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mweinst\OneDrive - Waste Management\Documents\WUTC Rate Cases\WM Spokane\Commodity Credit\2020\"/>
    </mc:Choice>
  </mc:AlternateContent>
  <xr:revisionPtr revIDLastSave="0" documentId="13_ncr:1_{D3BEF2EE-D341-425A-99F4-17F2FDC538D9}" xr6:coauthVersionLast="44" xr6:coauthVersionMax="44" xr10:uidLastSave="{00000000-0000-0000-0000-000000000000}"/>
  <bookViews>
    <workbookView xWindow="6420" yWindow="1275" windowWidth="19185" windowHeight="10275" xr2:uid="{00000000-000D-0000-FFFF-FFFF00000000}"/>
  </bookViews>
  <sheets>
    <sheet name="Rebate Calculation" sheetId="35" r:id="rId1"/>
    <sheet name="Tons &amp; Revenue" sheetId="33" r:id="rId2"/>
    <sheet name="Composition" sheetId="36" r:id="rId3"/>
    <sheet name="Prices" sheetId="37" r:id="rId4"/>
    <sheet name="Res'l &amp; MF Customers" sheetId="40" r:id="rId5"/>
    <sheet name="Incentive Analysis" sheetId="44" r:id="rId6"/>
    <sheet name="Budget vs Actual" sheetId="41" r:id="rId7"/>
    <sheet name="2020-2022 Budget" sheetId="45" r:id="rId8"/>
    <sheet name="24 Month Rev &amp; Ton summary" sheetId="42" r:id="rId9"/>
    <sheet name="B and O Tax " sheetId="43" r:id="rId10"/>
  </sheets>
  <definedNames>
    <definedName name="_xlnm.Print_Area" localSheetId="6">'Budget vs Actual'!$A$1:$D$47</definedName>
    <definedName name="_xlnm.Print_Area" localSheetId="2">Composition!$A$1:$AA$20</definedName>
    <definedName name="_xlnm.Print_Area" localSheetId="3">Prices!#REF!</definedName>
    <definedName name="_xlnm.Print_Area" localSheetId="0">'Rebate Calculation'!$A$184:$G$244</definedName>
    <definedName name="_xlnm.Print_Area" localSheetId="4">'Res''l &amp; MF Customers'!$A$1:$P$26</definedName>
    <definedName name="_xlnm.Print_Area" localSheetId="1">'Tons &amp; Revenue'!$A$1:$M$141</definedName>
    <definedName name="_xlnm.Print_Titles" localSheetId="1">'Tons &amp; Revenue'!$1:$3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53" i="43" l="1"/>
  <c r="F53" i="43" s="1"/>
  <c r="D6" i="45" l="1"/>
  <c r="D9" i="45"/>
  <c r="D12" i="45"/>
  <c r="D15" i="45" s="1"/>
  <c r="B46" i="45"/>
  <c r="D45" i="45"/>
  <c r="D44" i="45"/>
  <c r="D43" i="45"/>
  <c r="D42" i="45"/>
  <c r="D26" i="45"/>
  <c r="D46" i="45" l="1"/>
  <c r="D19" i="45" s="1"/>
  <c r="D28" i="45" s="1"/>
  <c r="D30" i="45" s="1"/>
  <c r="D32" i="45" s="1"/>
  <c r="D36" i="45"/>
  <c r="D38" i="45"/>
  <c r="K16" i="44"/>
  <c r="K14" i="44"/>
  <c r="K11" i="44"/>
  <c r="K9" i="44"/>
  <c r="C7" i="42"/>
  <c r="C9" i="42"/>
  <c r="C11" i="42"/>
  <c r="C13" i="42" s="1"/>
  <c r="D16" i="45" l="1"/>
  <c r="D17" i="45" s="1"/>
  <c r="D34" i="45" s="1"/>
  <c r="N12" i="40"/>
  <c r="G49" i="44" l="1"/>
  <c r="G50" i="44" s="1"/>
  <c r="G48" i="44"/>
  <c r="G47" i="44"/>
  <c r="H47" i="44" s="1"/>
  <c r="G46" i="44"/>
  <c r="H46" i="44" s="1"/>
  <c r="G45" i="44"/>
  <c r="H45" i="44" s="1"/>
  <c r="G27" i="44"/>
  <c r="H32" i="44" s="1"/>
  <c r="G44" i="44"/>
  <c r="G43" i="44"/>
  <c r="G42" i="44"/>
  <c r="G41" i="44"/>
  <c r="H41" i="44" s="1"/>
  <c r="G40" i="44"/>
  <c r="G39" i="44"/>
  <c r="G38" i="44"/>
  <c r="H30" i="44" l="1"/>
  <c r="H48" i="44"/>
  <c r="H35" i="44"/>
  <c r="H40" i="44"/>
  <c r="H44" i="44"/>
  <c r="H49" i="44"/>
  <c r="H29" i="44"/>
  <c r="H34" i="44"/>
  <c r="H38" i="44"/>
  <c r="H42" i="44"/>
  <c r="H28" i="44"/>
  <c r="H37" i="44"/>
  <c r="H33" i="44"/>
  <c r="H39" i="44"/>
  <c r="H43" i="44"/>
  <c r="H31" i="44"/>
  <c r="H36" i="44"/>
  <c r="J20" i="44"/>
  <c r="G20" i="44"/>
  <c r="F20" i="44"/>
  <c r="G17" i="44"/>
  <c r="F17" i="44"/>
  <c r="J17" i="44"/>
  <c r="H16" i="44"/>
  <c r="H15" i="44"/>
  <c r="H14" i="44"/>
  <c r="G12" i="44"/>
  <c r="F12" i="44"/>
  <c r="J12" i="44"/>
  <c r="H11" i="44"/>
  <c r="H10" i="44"/>
  <c r="H9" i="44"/>
  <c r="F18" i="44" l="1"/>
  <c r="F21" i="44" s="1"/>
  <c r="L9" i="44"/>
  <c r="H12" i="44"/>
  <c r="L14" i="44"/>
  <c r="G18" i="44"/>
  <c r="G21" i="44" s="1"/>
  <c r="K12" i="44"/>
  <c r="L10" i="44"/>
  <c r="L15" i="44"/>
  <c r="J18" i="44"/>
  <c r="J21" i="44" s="1"/>
  <c r="K20" i="44"/>
  <c r="H20" i="44"/>
  <c r="H17" i="44"/>
  <c r="J6" i="43"/>
  <c r="J8" i="43" s="1"/>
  <c r="J13" i="43" s="1"/>
  <c r="E2" i="43" s="1"/>
  <c r="N21" i="40"/>
  <c r="E50" i="43" l="1"/>
  <c r="F50" i="43" s="1"/>
  <c r="E20" i="43"/>
  <c r="F20" i="43" s="1"/>
  <c r="E37" i="43"/>
  <c r="F37" i="43" s="1"/>
  <c r="E33" i="43"/>
  <c r="F33" i="43" s="1"/>
  <c r="E31" i="43"/>
  <c r="F31" i="43" s="1"/>
  <c r="E36" i="43"/>
  <c r="F36" i="43" s="1"/>
  <c r="E32" i="43"/>
  <c r="F32" i="43" s="1"/>
  <c r="E45" i="43"/>
  <c r="F45" i="43" s="1"/>
  <c r="E35" i="43"/>
  <c r="F35" i="43" s="1"/>
  <c r="E34" i="43"/>
  <c r="F34" i="43" s="1"/>
  <c r="E65" i="43"/>
  <c r="F65" i="43" s="1"/>
  <c r="E12" i="43"/>
  <c r="F12" i="43" s="1"/>
  <c r="H18" i="44"/>
  <c r="H21" i="44"/>
  <c r="L20" i="44"/>
  <c r="L11" i="44"/>
  <c r="L12" i="44" s="1"/>
  <c r="H50" i="44"/>
  <c r="L16" i="44"/>
  <c r="L17" i="44" s="1"/>
  <c r="K17" i="44"/>
  <c r="K18" i="44" s="1"/>
  <c r="K21" i="44" s="1"/>
  <c r="E4" i="43"/>
  <c r="F4" i="43" s="1"/>
  <c r="E6" i="43"/>
  <c r="F6" i="43" s="1"/>
  <c r="E8" i="43"/>
  <c r="F8" i="43" s="1"/>
  <c r="E10" i="43"/>
  <c r="F10" i="43" s="1"/>
  <c r="E13" i="43"/>
  <c r="F13" i="43" s="1"/>
  <c r="E14" i="43"/>
  <c r="F14" i="43" s="1"/>
  <c r="E17" i="43"/>
  <c r="F17" i="43" s="1"/>
  <c r="E19" i="43"/>
  <c r="F19" i="43" s="1"/>
  <c r="E22" i="43"/>
  <c r="F22" i="43" s="1"/>
  <c r="H22" i="43" s="1"/>
  <c r="E24" i="43"/>
  <c r="F24" i="43" s="1"/>
  <c r="E26" i="43"/>
  <c r="F26" i="43" s="1"/>
  <c r="E28" i="43"/>
  <c r="F28" i="43" s="1"/>
  <c r="E30" i="43"/>
  <c r="F30" i="43" s="1"/>
  <c r="E39" i="43"/>
  <c r="F39" i="43" s="1"/>
  <c r="E41" i="43"/>
  <c r="F41" i="43" s="1"/>
  <c r="E43" i="43"/>
  <c r="F43" i="43" s="1"/>
  <c r="E46" i="43"/>
  <c r="F46" i="43" s="1"/>
  <c r="E48" i="43"/>
  <c r="F48" i="43" s="1"/>
  <c r="E51" i="43"/>
  <c r="F51" i="43" s="1"/>
  <c r="E54" i="43"/>
  <c r="F54" i="43" s="1"/>
  <c r="E56" i="43"/>
  <c r="F56" i="43" s="1"/>
  <c r="E58" i="43"/>
  <c r="F58" i="43" s="1"/>
  <c r="E60" i="43"/>
  <c r="F60" i="43" s="1"/>
  <c r="E62" i="43"/>
  <c r="F62" i="43" s="1"/>
  <c r="E64" i="43"/>
  <c r="F64" i="43" s="1"/>
  <c r="E3" i="43"/>
  <c r="F3" i="43" s="1"/>
  <c r="E5" i="43"/>
  <c r="F5" i="43" s="1"/>
  <c r="E7" i="43"/>
  <c r="F7" i="43" s="1"/>
  <c r="E9" i="43"/>
  <c r="F9" i="43" s="1"/>
  <c r="E11" i="43"/>
  <c r="F11" i="43" s="1"/>
  <c r="E15" i="43"/>
  <c r="F15" i="43" s="1"/>
  <c r="E16" i="43"/>
  <c r="F16" i="43" s="1"/>
  <c r="E18" i="43"/>
  <c r="F18" i="43" s="1"/>
  <c r="E21" i="43"/>
  <c r="F21" i="43" s="1"/>
  <c r="H21" i="43" s="1"/>
  <c r="E23" i="43"/>
  <c r="F23" i="43" s="1"/>
  <c r="H23" i="43" s="1"/>
  <c r="E25" i="43"/>
  <c r="F25" i="43" s="1"/>
  <c r="E27" i="43"/>
  <c r="F27" i="43" s="1"/>
  <c r="E29" i="43"/>
  <c r="F29" i="43" s="1"/>
  <c r="E38" i="43"/>
  <c r="F38" i="43" s="1"/>
  <c r="E40" i="43"/>
  <c r="F40" i="43" s="1"/>
  <c r="E42" i="43"/>
  <c r="F42" i="43" s="1"/>
  <c r="E44" i="43"/>
  <c r="F44" i="43" s="1"/>
  <c r="E47" i="43"/>
  <c r="F47" i="43" s="1"/>
  <c r="E49" i="43"/>
  <c r="F49" i="43" s="1"/>
  <c r="E52" i="43"/>
  <c r="F52" i="43" s="1"/>
  <c r="E55" i="43"/>
  <c r="F55" i="43" s="1"/>
  <c r="E57" i="43"/>
  <c r="F57" i="43" s="1"/>
  <c r="E59" i="43"/>
  <c r="F59" i="43" s="1"/>
  <c r="E61" i="43"/>
  <c r="F61" i="43" s="1"/>
  <c r="E63" i="43"/>
  <c r="F63" i="43" s="1"/>
  <c r="H27" i="43" l="1"/>
  <c r="H28" i="43"/>
  <c r="H26" i="43"/>
  <c r="H29" i="43"/>
  <c r="H24" i="43"/>
  <c r="H30" i="43"/>
  <c r="H25" i="43"/>
  <c r="L21" i="44"/>
  <c r="L18" i="44"/>
  <c r="F110" i="35" l="1"/>
  <c r="F81" i="35"/>
  <c r="X37" i="36" l="1"/>
  <c r="H19" i="41" l="1"/>
  <c r="H23" i="41"/>
  <c r="H24" i="41"/>
  <c r="H25" i="41"/>
  <c r="H22" i="41"/>
  <c r="F6" i="41"/>
  <c r="H6" i="41" s="1"/>
  <c r="E42" i="35" l="1"/>
  <c r="C42" i="35"/>
  <c r="E9" i="35" l="1"/>
  <c r="C10" i="35" l="1"/>
  <c r="C9" i="35"/>
  <c r="X26" i="36"/>
  <c r="C16" i="37"/>
  <c r="G16" i="37"/>
  <c r="K16" i="37"/>
  <c r="C70" i="33" l="1"/>
  <c r="D70" i="33"/>
  <c r="E70" i="33"/>
  <c r="F70" i="33"/>
  <c r="G70" i="33"/>
  <c r="H70" i="33"/>
  <c r="I70" i="33"/>
  <c r="J70" i="33"/>
  <c r="M70" i="33" s="1"/>
  <c r="K70" i="33"/>
  <c r="L70" i="33"/>
  <c r="V37" i="36"/>
  <c r="M12" i="40"/>
  <c r="E69" i="33" l="1"/>
  <c r="F69" i="33"/>
  <c r="G69" i="33"/>
  <c r="H69" i="33"/>
  <c r="I69" i="33"/>
  <c r="J69" i="33"/>
  <c r="K69" i="33"/>
  <c r="L69" i="33"/>
  <c r="M69" i="33"/>
  <c r="D69" i="33"/>
  <c r="C69" i="33"/>
  <c r="L12" i="40"/>
  <c r="T37" i="36" l="1"/>
  <c r="C68" i="33" l="1"/>
  <c r="D68" i="33"/>
  <c r="E68" i="33"/>
  <c r="F68" i="33"/>
  <c r="G68" i="33"/>
  <c r="H68" i="33"/>
  <c r="I68" i="33"/>
  <c r="J68" i="33"/>
  <c r="K68" i="33"/>
  <c r="L68" i="33"/>
  <c r="M68" i="33"/>
  <c r="D7" i="42"/>
  <c r="R37" i="36" l="1"/>
  <c r="J21" i="40" l="1"/>
  <c r="J12" i="40" l="1"/>
  <c r="P37" i="36"/>
  <c r="H21" i="40" l="1"/>
  <c r="I21" i="40"/>
  <c r="K21" i="40"/>
  <c r="L21" i="40"/>
  <c r="M21" i="40"/>
  <c r="D17" i="33" l="1"/>
  <c r="D16" i="33"/>
  <c r="D15" i="33"/>
  <c r="D14" i="33"/>
  <c r="D13" i="33"/>
  <c r="D12" i="33"/>
  <c r="I12" i="40"/>
  <c r="N37" i="36" l="1"/>
  <c r="H12" i="40" l="1"/>
  <c r="L37" i="36"/>
  <c r="D25" i="40" l="1"/>
  <c r="E25" i="40"/>
  <c r="F25" i="40"/>
  <c r="G25" i="40"/>
  <c r="H25" i="40"/>
  <c r="I25" i="40"/>
  <c r="J25" i="40"/>
  <c r="K25" i="40"/>
  <c r="L25" i="40"/>
  <c r="M25" i="40"/>
  <c r="N25" i="40"/>
  <c r="C43" i="35" s="1"/>
  <c r="D21" i="40"/>
  <c r="E21" i="40"/>
  <c r="F21" i="40"/>
  <c r="G21" i="40"/>
  <c r="C21" i="40"/>
  <c r="G12" i="40" l="1"/>
  <c r="J37" i="36"/>
  <c r="P12" i="40" l="1"/>
  <c r="H37" i="36" l="1"/>
  <c r="N94" i="33" l="1"/>
  <c r="N93" i="33"/>
  <c r="N78" i="33"/>
  <c r="N77" i="33"/>
  <c r="N112" i="33"/>
  <c r="N113" i="33" s="1"/>
  <c r="N129" i="33"/>
  <c r="N128" i="33"/>
  <c r="N62" i="33"/>
  <c r="N61" i="33"/>
  <c r="C128" i="33" l="1"/>
  <c r="D128" i="33"/>
  <c r="E128" i="33"/>
  <c r="F128" i="33"/>
  <c r="M128" i="33" s="1"/>
  <c r="G128" i="33"/>
  <c r="H128" i="33"/>
  <c r="I128" i="33"/>
  <c r="J128" i="33"/>
  <c r="K128" i="33"/>
  <c r="L128" i="33"/>
  <c r="C129" i="33"/>
  <c r="M129" i="33" s="1"/>
  <c r="D129" i="33"/>
  <c r="E129" i="33"/>
  <c r="F129" i="33"/>
  <c r="G129" i="33"/>
  <c r="H129" i="33"/>
  <c r="I129" i="33"/>
  <c r="J129" i="33"/>
  <c r="K129" i="33"/>
  <c r="L129" i="33"/>
  <c r="C112" i="33"/>
  <c r="D112" i="33"/>
  <c r="E112" i="33"/>
  <c r="F112" i="33"/>
  <c r="M112" i="33" s="1"/>
  <c r="G112" i="33"/>
  <c r="H112" i="33"/>
  <c r="I112" i="33"/>
  <c r="J112" i="33"/>
  <c r="K112" i="33"/>
  <c r="L112" i="33"/>
  <c r="C113" i="33"/>
  <c r="M113" i="33" s="1"/>
  <c r="D113" i="33"/>
  <c r="E113" i="33"/>
  <c r="F113" i="33"/>
  <c r="G113" i="33"/>
  <c r="H113" i="33"/>
  <c r="I113" i="33"/>
  <c r="J113" i="33"/>
  <c r="K113" i="33"/>
  <c r="L113" i="33"/>
  <c r="C93" i="33"/>
  <c r="D93" i="33"/>
  <c r="E93" i="33"/>
  <c r="F93" i="33"/>
  <c r="M93" i="33" s="1"/>
  <c r="G93" i="33"/>
  <c r="H93" i="33"/>
  <c r="I93" i="33"/>
  <c r="J93" i="33"/>
  <c r="K93" i="33"/>
  <c r="L93" i="33"/>
  <c r="C94" i="33"/>
  <c r="M94" i="33" s="1"/>
  <c r="D94" i="33"/>
  <c r="E94" i="33"/>
  <c r="F94" i="33"/>
  <c r="G94" i="33"/>
  <c r="H94" i="33"/>
  <c r="I94" i="33"/>
  <c r="J94" i="33"/>
  <c r="K94" i="33"/>
  <c r="L94" i="33"/>
  <c r="C77" i="33"/>
  <c r="D77" i="33"/>
  <c r="E77" i="33"/>
  <c r="F77" i="33"/>
  <c r="M77" i="33" s="1"/>
  <c r="G77" i="33"/>
  <c r="H77" i="33"/>
  <c r="I77" i="33"/>
  <c r="J77" i="33"/>
  <c r="K77" i="33"/>
  <c r="L77" i="33"/>
  <c r="C78" i="33"/>
  <c r="M78" i="33" s="1"/>
  <c r="D78" i="33"/>
  <c r="E78" i="33"/>
  <c r="F78" i="33"/>
  <c r="G78" i="33"/>
  <c r="H78" i="33"/>
  <c r="I78" i="33"/>
  <c r="J78" i="33"/>
  <c r="K78" i="33"/>
  <c r="L78" i="33"/>
  <c r="C85" i="33"/>
  <c r="D85" i="33"/>
  <c r="D101" i="33" s="1"/>
  <c r="E85" i="33"/>
  <c r="E101" i="33" s="1"/>
  <c r="F85" i="33"/>
  <c r="F101" i="33" s="1"/>
  <c r="F136" i="33" s="1"/>
  <c r="G85" i="33"/>
  <c r="H85" i="33"/>
  <c r="H101" i="33" s="1"/>
  <c r="H136" i="33" s="1"/>
  <c r="I85" i="33"/>
  <c r="I101" i="33" s="1"/>
  <c r="J85" i="33"/>
  <c r="J101" i="33" s="1"/>
  <c r="K85" i="33"/>
  <c r="L85" i="33"/>
  <c r="L101" i="33" s="1"/>
  <c r="C86" i="33"/>
  <c r="C102" i="33" s="1"/>
  <c r="D86" i="33"/>
  <c r="E86" i="33"/>
  <c r="E102" i="33" s="1"/>
  <c r="F86" i="33"/>
  <c r="F102" i="33" s="1"/>
  <c r="G86" i="33"/>
  <c r="G102" i="33" s="1"/>
  <c r="H86" i="33"/>
  <c r="H121" i="33" s="1"/>
  <c r="I86" i="33"/>
  <c r="I102" i="33" s="1"/>
  <c r="J86" i="33"/>
  <c r="J102" i="33" s="1"/>
  <c r="K86" i="33"/>
  <c r="K102" i="33" s="1"/>
  <c r="L86" i="33"/>
  <c r="C61" i="33"/>
  <c r="M61" i="33" s="1"/>
  <c r="D61" i="33"/>
  <c r="E61" i="33"/>
  <c r="F61" i="33"/>
  <c r="G61" i="33"/>
  <c r="H61" i="33"/>
  <c r="I61" i="33"/>
  <c r="J61" i="33"/>
  <c r="K61" i="33"/>
  <c r="L61" i="33"/>
  <c r="C62" i="33"/>
  <c r="D62" i="33"/>
  <c r="E62" i="33"/>
  <c r="F62" i="33"/>
  <c r="G62" i="33"/>
  <c r="H62" i="33"/>
  <c r="I62" i="33"/>
  <c r="J62" i="33"/>
  <c r="K62" i="33"/>
  <c r="L62" i="33"/>
  <c r="M62" i="33"/>
  <c r="C43" i="33"/>
  <c r="D43" i="33"/>
  <c r="E43" i="33"/>
  <c r="F43" i="33"/>
  <c r="G43" i="33"/>
  <c r="H43" i="33"/>
  <c r="I43" i="33"/>
  <c r="J43" i="33"/>
  <c r="K43" i="33"/>
  <c r="L43" i="33"/>
  <c r="C44" i="33"/>
  <c r="D44" i="33"/>
  <c r="E44" i="33"/>
  <c r="F44" i="33"/>
  <c r="G44" i="33"/>
  <c r="H44" i="33"/>
  <c r="I44" i="33"/>
  <c r="J44" i="33"/>
  <c r="K44" i="33"/>
  <c r="L44" i="33"/>
  <c r="C45" i="33"/>
  <c r="D45" i="33"/>
  <c r="E45" i="33"/>
  <c r="F45" i="33"/>
  <c r="G45" i="33"/>
  <c r="H45" i="33"/>
  <c r="I45" i="33"/>
  <c r="J45" i="33"/>
  <c r="K45" i="33"/>
  <c r="L45" i="33"/>
  <c r="C46" i="33"/>
  <c r="D46" i="33"/>
  <c r="E46" i="33"/>
  <c r="F46" i="33"/>
  <c r="G46" i="33"/>
  <c r="H46" i="33"/>
  <c r="I46" i="33"/>
  <c r="J46" i="33"/>
  <c r="K46" i="33"/>
  <c r="L46" i="33"/>
  <c r="C47" i="33"/>
  <c r="D47" i="33"/>
  <c r="E47" i="33"/>
  <c r="F47" i="33"/>
  <c r="G47" i="33"/>
  <c r="H47" i="33"/>
  <c r="I47" i="33"/>
  <c r="J47" i="33"/>
  <c r="K47" i="33"/>
  <c r="L47" i="33"/>
  <c r="C48" i="33"/>
  <c r="D48" i="33"/>
  <c r="E48" i="33"/>
  <c r="F48" i="33"/>
  <c r="G48" i="33"/>
  <c r="H48" i="33"/>
  <c r="I48" i="33"/>
  <c r="J48" i="33"/>
  <c r="K48" i="33"/>
  <c r="L48" i="33"/>
  <c r="C49" i="33"/>
  <c r="D49" i="33"/>
  <c r="E49" i="33"/>
  <c r="F49" i="33"/>
  <c r="G49" i="33"/>
  <c r="H49" i="33"/>
  <c r="I49" i="33"/>
  <c r="J49" i="33"/>
  <c r="K49" i="33"/>
  <c r="L49" i="33"/>
  <c r="C50" i="33"/>
  <c r="D50" i="33"/>
  <c r="E50" i="33"/>
  <c r="F50" i="33"/>
  <c r="G50" i="33"/>
  <c r="H50" i="33"/>
  <c r="I50" i="33"/>
  <c r="J50" i="33"/>
  <c r="K50" i="33"/>
  <c r="L50" i="33"/>
  <c r="C51" i="33"/>
  <c r="D51" i="33"/>
  <c r="E51" i="33"/>
  <c r="F51" i="33"/>
  <c r="G51" i="33"/>
  <c r="H51" i="33"/>
  <c r="I51" i="33"/>
  <c r="J51" i="33"/>
  <c r="K51" i="33"/>
  <c r="L51" i="33"/>
  <c r="C52" i="33"/>
  <c r="D52" i="33"/>
  <c r="E52" i="33"/>
  <c r="F52" i="33"/>
  <c r="G52" i="33"/>
  <c r="H52" i="33"/>
  <c r="I52" i="33"/>
  <c r="J52" i="33"/>
  <c r="K52" i="33"/>
  <c r="L52" i="33"/>
  <c r="C53" i="33"/>
  <c r="D53" i="33"/>
  <c r="E53" i="33"/>
  <c r="F53" i="33"/>
  <c r="G53" i="33"/>
  <c r="H53" i="33"/>
  <c r="I53" i="33"/>
  <c r="J53" i="33"/>
  <c r="K53" i="33"/>
  <c r="L53" i="33"/>
  <c r="L30" i="33"/>
  <c r="K30" i="33"/>
  <c r="J30" i="33"/>
  <c r="I30" i="33"/>
  <c r="H30" i="33"/>
  <c r="G30" i="33"/>
  <c r="F30" i="33"/>
  <c r="E30" i="33"/>
  <c r="D30" i="33"/>
  <c r="C30" i="33"/>
  <c r="L29" i="33"/>
  <c r="K29" i="33"/>
  <c r="J29" i="33"/>
  <c r="I29" i="33"/>
  <c r="H29" i="33"/>
  <c r="G29" i="33"/>
  <c r="F29" i="33"/>
  <c r="E29" i="33"/>
  <c r="D29" i="33"/>
  <c r="C29" i="33"/>
  <c r="L28" i="33"/>
  <c r="K28" i="33"/>
  <c r="J28" i="33"/>
  <c r="I28" i="33"/>
  <c r="H28" i="33"/>
  <c r="G28" i="33"/>
  <c r="F28" i="33"/>
  <c r="E28" i="33"/>
  <c r="D28" i="33"/>
  <c r="C28" i="33"/>
  <c r="I20" i="33"/>
  <c r="I19" i="33"/>
  <c r="I18" i="33"/>
  <c r="I17" i="33"/>
  <c r="I16" i="33"/>
  <c r="I15" i="33"/>
  <c r="I14" i="33"/>
  <c r="I13" i="33"/>
  <c r="I12" i="33"/>
  <c r="F11" i="33"/>
  <c r="D20" i="33"/>
  <c r="D19" i="33"/>
  <c r="D18" i="33"/>
  <c r="C11" i="33"/>
  <c r="C12" i="40"/>
  <c r="D12" i="40"/>
  <c r="E12" i="40"/>
  <c r="L121" i="33" l="1"/>
  <c r="K137" i="33"/>
  <c r="J137" i="33"/>
  <c r="I137" i="33"/>
  <c r="G137" i="33"/>
  <c r="F137" i="33"/>
  <c r="E137" i="33"/>
  <c r="D121" i="33"/>
  <c r="M85" i="33"/>
  <c r="L136" i="33"/>
  <c r="K120" i="33"/>
  <c r="J136" i="33"/>
  <c r="I136" i="33"/>
  <c r="G120" i="33"/>
  <c r="E136" i="33"/>
  <c r="D136" i="33"/>
  <c r="C120" i="33"/>
  <c r="C137" i="33"/>
  <c r="L102" i="33"/>
  <c r="L137" i="33" s="1"/>
  <c r="H102" i="33"/>
  <c r="H137" i="33" s="1"/>
  <c r="D102" i="33"/>
  <c r="D137" i="33" s="1"/>
  <c r="K101" i="33"/>
  <c r="K136" i="33" s="1"/>
  <c r="G101" i="33"/>
  <c r="G136" i="33" s="1"/>
  <c r="C101" i="33"/>
  <c r="K121" i="33"/>
  <c r="G121" i="33"/>
  <c r="C121" i="33"/>
  <c r="J120" i="33"/>
  <c r="F120" i="33"/>
  <c r="J121" i="33"/>
  <c r="F121" i="33"/>
  <c r="I120" i="33"/>
  <c r="E120" i="33"/>
  <c r="M86" i="33"/>
  <c r="I121" i="33"/>
  <c r="E121" i="33"/>
  <c r="L120" i="33"/>
  <c r="H120" i="33"/>
  <c r="D120" i="33"/>
  <c r="M29" i="33"/>
  <c r="M30" i="33"/>
  <c r="F37" i="36"/>
  <c r="M120" i="33" l="1"/>
  <c r="M137" i="33"/>
  <c r="M121" i="33"/>
  <c r="C136" i="33"/>
  <c r="M136" i="33" s="1"/>
  <c r="M101" i="33"/>
  <c r="M102" i="33"/>
  <c r="K84" i="33"/>
  <c r="K119" i="33" s="1"/>
  <c r="L84" i="33"/>
  <c r="L119" i="33" s="1"/>
  <c r="F84" i="33"/>
  <c r="F119" i="33" s="1"/>
  <c r="C84" i="33"/>
  <c r="C100" i="33" s="1"/>
  <c r="I84" i="33"/>
  <c r="I119" i="33" s="1"/>
  <c r="H84" i="33"/>
  <c r="H119" i="33" s="1"/>
  <c r="G84" i="33"/>
  <c r="G119" i="33" s="1"/>
  <c r="J84" i="33"/>
  <c r="J119" i="33" s="1"/>
  <c r="E84" i="33"/>
  <c r="E119" i="33" s="1"/>
  <c r="D84" i="33"/>
  <c r="D119" i="33" s="1"/>
  <c r="D37" i="36"/>
  <c r="I100" i="33" l="1"/>
  <c r="I135" i="33" s="1"/>
  <c r="J100" i="33"/>
  <c r="J135" i="33" s="1"/>
  <c r="L100" i="33"/>
  <c r="L135" i="33" s="1"/>
  <c r="C135" i="33"/>
  <c r="E100" i="33"/>
  <c r="E135" i="33" s="1"/>
  <c r="G100" i="33"/>
  <c r="G135" i="33" s="1"/>
  <c r="K100" i="33"/>
  <c r="K135" i="33" s="1"/>
  <c r="D100" i="33"/>
  <c r="D135" i="33" s="1"/>
  <c r="H100" i="33"/>
  <c r="H135" i="33" s="1"/>
  <c r="M84" i="33"/>
  <c r="C119" i="33"/>
  <c r="M119" i="33" s="1"/>
  <c r="F100" i="33"/>
  <c r="F135" i="33" s="1"/>
  <c r="B37" i="36"/>
  <c r="M100" i="33" l="1"/>
  <c r="M135" i="33"/>
  <c r="G10" i="40"/>
  <c r="G14" i="40" s="1"/>
  <c r="G16" i="40" s="1"/>
  <c r="G18" i="40" s="1"/>
  <c r="F13" i="33" s="1"/>
  <c r="H10" i="40"/>
  <c r="H14" i="40" s="1"/>
  <c r="H16" i="40" s="1"/>
  <c r="H18" i="40" s="1"/>
  <c r="F14" i="33" s="1"/>
  <c r="I10" i="40"/>
  <c r="I14" i="40" s="1"/>
  <c r="I16" i="40" s="1"/>
  <c r="I18" i="40" s="1"/>
  <c r="F15" i="33" s="1"/>
  <c r="J10" i="40"/>
  <c r="J14" i="40" s="1"/>
  <c r="J16" i="40" s="1"/>
  <c r="J18" i="40" s="1"/>
  <c r="F16" i="33" s="1"/>
  <c r="K10" i="40"/>
  <c r="K14" i="40" s="1"/>
  <c r="K16" i="40" s="1"/>
  <c r="K18" i="40" s="1"/>
  <c r="F17" i="33" s="1"/>
  <c r="L10" i="40"/>
  <c r="L14" i="40" s="1"/>
  <c r="L16" i="40" s="1"/>
  <c r="L18" i="40" s="1"/>
  <c r="F18" i="33" s="1"/>
  <c r="M10" i="40"/>
  <c r="M14" i="40" s="1"/>
  <c r="M16" i="40" s="1"/>
  <c r="M18" i="40" s="1"/>
  <c r="F19" i="33" s="1"/>
  <c r="N10" i="40"/>
  <c r="N14" i="40" s="1"/>
  <c r="N16" i="40" s="1"/>
  <c r="N18" i="40" s="1"/>
  <c r="F20" i="33" s="1"/>
  <c r="Z37" i="36"/>
  <c r="X35" i="36"/>
  <c r="Y33" i="36" s="1"/>
  <c r="K39" i="33" s="1"/>
  <c r="V35" i="36"/>
  <c r="W34" i="36" s="1"/>
  <c r="L38" i="33" s="1"/>
  <c r="T35" i="36"/>
  <c r="U33" i="36" s="1"/>
  <c r="K37" i="33" s="1"/>
  <c r="R35" i="36"/>
  <c r="S34" i="36" s="1"/>
  <c r="L36" i="33" s="1"/>
  <c r="P35" i="36"/>
  <c r="P39" i="36" s="1"/>
  <c r="C16" i="33" s="1"/>
  <c r="E16" i="33" s="1"/>
  <c r="N35" i="36"/>
  <c r="O34" i="36" s="1"/>
  <c r="L34" i="33" s="1"/>
  <c r="Z26" i="36"/>
  <c r="Z27" i="36"/>
  <c r="Z28" i="36"/>
  <c r="Z29" i="36"/>
  <c r="Z30" i="36"/>
  <c r="Z31" i="36"/>
  <c r="Z32" i="36"/>
  <c r="Z33" i="36"/>
  <c r="Z34" i="36"/>
  <c r="Z25" i="36"/>
  <c r="C44" i="35"/>
  <c r="F62" i="35" s="1"/>
  <c r="F52" i="35" s="1"/>
  <c r="F9" i="35"/>
  <c r="Y34" i="36" l="1"/>
  <c r="L39" i="33" s="1"/>
  <c r="X39" i="36"/>
  <c r="C20" i="33" s="1"/>
  <c r="E20" i="33" s="1"/>
  <c r="G20" i="33" s="1"/>
  <c r="H20" i="33" s="1"/>
  <c r="Y26" i="36"/>
  <c r="D39" i="33" s="1"/>
  <c r="Y27" i="36"/>
  <c r="E39" i="33" s="1"/>
  <c r="Y30" i="36"/>
  <c r="G39" i="33" s="1"/>
  <c r="Y31" i="36"/>
  <c r="I39" i="33" s="1"/>
  <c r="Y28" i="36"/>
  <c r="F39" i="33" s="1"/>
  <c r="Y32" i="36"/>
  <c r="J39" i="33" s="1"/>
  <c r="Y25" i="36"/>
  <c r="Y29" i="36"/>
  <c r="H39" i="33" s="1"/>
  <c r="V39" i="36"/>
  <c r="C19" i="33" s="1"/>
  <c r="E19" i="33" s="1"/>
  <c r="W27" i="36"/>
  <c r="E38" i="33" s="1"/>
  <c r="W31" i="36"/>
  <c r="I38" i="33" s="1"/>
  <c r="G19" i="33"/>
  <c r="H19" i="33" s="1"/>
  <c r="J19" i="33" s="1"/>
  <c r="U27" i="36"/>
  <c r="E37" i="33" s="1"/>
  <c r="U30" i="36"/>
  <c r="G37" i="33" s="1"/>
  <c r="U31" i="36"/>
  <c r="I37" i="33" s="1"/>
  <c r="U26" i="36"/>
  <c r="D37" i="33" s="1"/>
  <c r="U34" i="36"/>
  <c r="L37" i="33" s="1"/>
  <c r="T39" i="36"/>
  <c r="C18" i="33" s="1"/>
  <c r="E18" i="33" s="1"/>
  <c r="G18" i="33" s="1"/>
  <c r="H18" i="33" s="1"/>
  <c r="J18" i="33" s="1"/>
  <c r="U28" i="36"/>
  <c r="F37" i="33" s="1"/>
  <c r="U32" i="36"/>
  <c r="J37" i="33" s="1"/>
  <c r="U25" i="36"/>
  <c r="U29" i="36"/>
  <c r="H37" i="33" s="1"/>
  <c r="S27" i="36"/>
  <c r="E36" i="33" s="1"/>
  <c r="R39" i="36"/>
  <c r="C17" i="33" s="1"/>
  <c r="E17" i="33" s="1"/>
  <c r="G17" i="33" s="1"/>
  <c r="H17" i="33" s="1"/>
  <c r="J17" i="33" s="1"/>
  <c r="S31" i="36"/>
  <c r="I36" i="33" s="1"/>
  <c r="G16" i="33"/>
  <c r="H16" i="33" s="1"/>
  <c r="Q34" i="36"/>
  <c r="L35" i="33" s="1"/>
  <c r="Q25" i="36"/>
  <c r="C35" i="33" s="1"/>
  <c r="Q26" i="36"/>
  <c r="D35" i="33" s="1"/>
  <c r="Q28" i="36"/>
  <c r="F35" i="33" s="1"/>
  <c r="Q27" i="36"/>
  <c r="E35" i="33" s="1"/>
  <c r="Q29" i="36"/>
  <c r="H35" i="33" s="1"/>
  <c r="Q30" i="36"/>
  <c r="G35" i="33" s="1"/>
  <c r="G67" i="33" s="1"/>
  <c r="Q31" i="36"/>
  <c r="I35" i="33" s="1"/>
  <c r="I67" i="33" s="1"/>
  <c r="Q32" i="36"/>
  <c r="J35" i="33" s="1"/>
  <c r="J67" i="33" s="1"/>
  <c r="Q33" i="36"/>
  <c r="K35" i="33" s="1"/>
  <c r="K67" i="33" s="1"/>
  <c r="H67" i="33"/>
  <c r="D67" i="33"/>
  <c r="E67" i="33"/>
  <c r="J16" i="33"/>
  <c r="L67" i="33"/>
  <c r="F67" i="33"/>
  <c r="O27" i="36"/>
  <c r="E34" i="33" s="1"/>
  <c r="O31" i="36"/>
  <c r="I34" i="33" s="1"/>
  <c r="N39" i="36"/>
  <c r="C15" i="33" s="1"/>
  <c r="E15" i="33" s="1"/>
  <c r="G15" i="33" s="1"/>
  <c r="H15" i="33" s="1"/>
  <c r="F42" i="35"/>
  <c r="O28" i="36"/>
  <c r="F34" i="33" s="1"/>
  <c r="O32" i="36"/>
  <c r="J34" i="33" s="1"/>
  <c r="S28" i="36"/>
  <c r="F36" i="33" s="1"/>
  <c r="S32" i="36"/>
  <c r="J36" i="33" s="1"/>
  <c r="W28" i="36"/>
  <c r="F38" i="33" s="1"/>
  <c r="W32" i="36"/>
  <c r="J38" i="33" s="1"/>
  <c r="O25" i="36"/>
  <c r="O29" i="36"/>
  <c r="H34" i="33" s="1"/>
  <c r="O33" i="36"/>
  <c r="K34" i="33" s="1"/>
  <c r="S25" i="36"/>
  <c r="S29" i="36"/>
  <c r="H36" i="33" s="1"/>
  <c r="S33" i="36"/>
  <c r="K36" i="33" s="1"/>
  <c r="W25" i="36"/>
  <c r="W29" i="36"/>
  <c r="H38" i="33" s="1"/>
  <c r="W33" i="36"/>
  <c r="K38" i="33" s="1"/>
  <c r="O26" i="36"/>
  <c r="D34" i="33" s="1"/>
  <c r="O30" i="36"/>
  <c r="G34" i="33" s="1"/>
  <c r="S26" i="36"/>
  <c r="D36" i="33" s="1"/>
  <c r="S30" i="36"/>
  <c r="G36" i="33" s="1"/>
  <c r="W26" i="36"/>
  <c r="D38" i="33" s="1"/>
  <c r="W30" i="36"/>
  <c r="G38" i="33" s="1"/>
  <c r="C11" i="35"/>
  <c r="F31" i="35" s="1"/>
  <c r="F21" i="35" s="1"/>
  <c r="Y35" i="36" l="1"/>
  <c r="J20" i="33"/>
  <c r="D71" i="33"/>
  <c r="D87" i="33" s="1"/>
  <c r="H71" i="33"/>
  <c r="H87" i="33" s="1"/>
  <c r="L71" i="33"/>
  <c r="L87" i="33" s="1"/>
  <c r="J71" i="33"/>
  <c r="K71" i="33"/>
  <c r="K87" i="33" s="1"/>
  <c r="E71" i="33"/>
  <c r="E87" i="33" s="1"/>
  <c r="I71" i="33"/>
  <c r="I87" i="33" s="1"/>
  <c r="F71" i="33"/>
  <c r="G71" i="33"/>
  <c r="G87" i="33" s="1"/>
  <c r="C39" i="33"/>
  <c r="M39" i="33" s="1"/>
  <c r="W35" i="36"/>
  <c r="C38" i="33"/>
  <c r="M38" i="33" s="1"/>
  <c r="U35" i="36"/>
  <c r="C37" i="33"/>
  <c r="M37" i="33" s="1"/>
  <c r="S35" i="36"/>
  <c r="C36" i="33"/>
  <c r="M36" i="33" s="1"/>
  <c r="M35" i="33"/>
  <c r="Q35" i="36"/>
  <c r="I83" i="33"/>
  <c r="I118" i="33" s="1"/>
  <c r="G83" i="33"/>
  <c r="G118" i="33" s="1"/>
  <c r="E83" i="33"/>
  <c r="E118" i="33" s="1"/>
  <c r="K83" i="33"/>
  <c r="K118" i="33" s="1"/>
  <c r="D83" i="33"/>
  <c r="D118" i="33" s="1"/>
  <c r="F83" i="33"/>
  <c r="F118" i="33" s="1"/>
  <c r="L83" i="33"/>
  <c r="L118" i="33" s="1"/>
  <c r="J83" i="33"/>
  <c r="J118" i="33" s="1"/>
  <c r="C67" i="33"/>
  <c r="H83" i="33"/>
  <c r="H118" i="33" s="1"/>
  <c r="O35" i="36"/>
  <c r="C34" i="33"/>
  <c r="M34" i="33" s="1"/>
  <c r="F66" i="33"/>
  <c r="J66" i="33"/>
  <c r="E66" i="33"/>
  <c r="C66" i="33"/>
  <c r="G66" i="33"/>
  <c r="K66" i="33"/>
  <c r="J15" i="33"/>
  <c r="I66" i="33"/>
  <c r="D66" i="33"/>
  <c r="H66" i="33"/>
  <c r="L66" i="33"/>
  <c r="L103" i="33" l="1"/>
  <c r="L138" i="33" s="1"/>
  <c r="L122" i="33"/>
  <c r="G103" i="33"/>
  <c r="G138" i="33" s="1"/>
  <c r="G122" i="33"/>
  <c r="K103" i="33"/>
  <c r="K138" i="33" s="1"/>
  <c r="K122" i="33"/>
  <c r="H103" i="33"/>
  <c r="H138" i="33" s="1"/>
  <c r="H122" i="33"/>
  <c r="E103" i="33"/>
  <c r="E138" i="33" s="1"/>
  <c r="E122" i="33"/>
  <c r="F87" i="33"/>
  <c r="F122" i="33" s="1"/>
  <c r="F103" i="33"/>
  <c r="F138" i="33" s="1"/>
  <c r="C71" i="33"/>
  <c r="D103" i="33"/>
  <c r="D138" i="33" s="1"/>
  <c r="D122" i="33"/>
  <c r="I103" i="33"/>
  <c r="I138" i="33" s="1"/>
  <c r="I122" i="33"/>
  <c r="J87" i="33"/>
  <c r="J122" i="33" s="1"/>
  <c r="I99" i="33"/>
  <c r="I134" i="33" s="1"/>
  <c r="H99" i="33"/>
  <c r="H134" i="33" s="1"/>
  <c r="J99" i="33"/>
  <c r="J134" i="33" s="1"/>
  <c r="F99" i="33"/>
  <c r="F134" i="33" s="1"/>
  <c r="K99" i="33"/>
  <c r="K134" i="33" s="1"/>
  <c r="L99" i="33"/>
  <c r="L134" i="33" s="1"/>
  <c r="D99" i="33"/>
  <c r="D134" i="33" s="1"/>
  <c r="E99" i="33"/>
  <c r="E134" i="33" s="1"/>
  <c r="G99" i="33"/>
  <c r="G134" i="33" s="1"/>
  <c r="M67" i="33"/>
  <c r="C83" i="33"/>
  <c r="H82" i="33"/>
  <c r="H117" i="33" s="1"/>
  <c r="K82" i="33"/>
  <c r="K117" i="33" s="1"/>
  <c r="J82" i="33"/>
  <c r="J117" i="33" s="1"/>
  <c r="D82" i="33"/>
  <c r="D117" i="33" s="1"/>
  <c r="G82" i="33"/>
  <c r="G117" i="33" s="1"/>
  <c r="F82" i="33"/>
  <c r="F117" i="33" s="1"/>
  <c r="I82" i="33"/>
  <c r="I117" i="33" s="1"/>
  <c r="C82" i="33"/>
  <c r="C98" i="33" s="1"/>
  <c r="M66" i="33"/>
  <c r="L82" i="33"/>
  <c r="L117" i="33" s="1"/>
  <c r="E82" i="33"/>
  <c r="E117" i="33" s="1"/>
  <c r="H26" i="41"/>
  <c r="H28" i="41" s="1"/>
  <c r="H30" i="41" s="1"/>
  <c r="H32" i="41" s="1"/>
  <c r="F26" i="41"/>
  <c r="F28" i="41" s="1"/>
  <c r="F16" i="41" s="1"/>
  <c r="J103" i="33" l="1"/>
  <c r="J138" i="33" s="1"/>
  <c r="M71" i="33"/>
  <c r="C87" i="33"/>
  <c r="C118" i="33"/>
  <c r="M118" i="33" s="1"/>
  <c r="M83" i="33"/>
  <c r="C99" i="33"/>
  <c r="K98" i="33"/>
  <c r="K133" i="33" s="1"/>
  <c r="H98" i="33"/>
  <c r="H133" i="33" s="1"/>
  <c r="F98" i="33"/>
  <c r="F133" i="33" s="1"/>
  <c r="L98" i="33"/>
  <c r="L133" i="33" s="1"/>
  <c r="D98" i="33"/>
  <c r="D133" i="33" s="1"/>
  <c r="G98" i="33"/>
  <c r="G133" i="33" s="1"/>
  <c r="E98" i="33"/>
  <c r="E133" i="33" s="1"/>
  <c r="M82" i="33"/>
  <c r="C117" i="33"/>
  <c r="M117" i="33" s="1"/>
  <c r="C133" i="33"/>
  <c r="I98" i="33"/>
  <c r="I133" i="33" s="1"/>
  <c r="J98" i="33"/>
  <c r="J133" i="33" s="1"/>
  <c r="F30" i="41"/>
  <c r="F32" i="41" s="1"/>
  <c r="F84" i="35"/>
  <c r="C103" i="33" l="1"/>
  <c r="C122" i="33"/>
  <c r="M122" i="33" s="1"/>
  <c r="F58" i="35" s="1"/>
  <c r="M87" i="33"/>
  <c r="M99" i="33"/>
  <c r="C134" i="33"/>
  <c r="M134" i="33" s="1"/>
  <c r="M133" i="33"/>
  <c r="M98" i="33"/>
  <c r="F164" i="35"/>
  <c r="F163" i="35"/>
  <c r="C165" i="35"/>
  <c r="C139" i="35"/>
  <c r="F152" i="35" s="1"/>
  <c r="G153" i="35" s="1"/>
  <c r="F138" i="35"/>
  <c r="F137" i="35"/>
  <c r="G63" i="35" l="1"/>
  <c r="F59" i="35"/>
  <c r="F60" i="35" s="1"/>
  <c r="C138" i="33"/>
  <c r="M138" i="33" s="1"/>
  <c r="F27" i="35" s="1"/>
  <c r="M103" i="33"/>
  <c r="F165" i="35"/>
  <c r="F169" i="35" s="1"/>
  <c r="F139" i="35"/>
  <c r="F143" i="35" s="1"/>
  <c r="F171" i="35"/>
  <c r="F178" i="35"/>
  <c r="G179" i="35" s="1"/>
  <c r="F145" i="35"/>
  <c r="G173" i="35" l="1"/>
  <c r="F28" i="35"/>
  <c r="F29" i="35" s="1"/>
  <c r="G32" i="35"/>
  <c r="G147" i="35"/>
  <c r="G155" i="35" s="1"/>
  <c r="G181" i="35"/>
  <c r="J35" i="36" l="1"/>
  <c r="K31" i="36" l="1"/>
  <c r="I32" i="33" s="1"/>
  <c r="K27" i="36"/>
  <c r="E32" i="33" s="1"/>
  <c r="K28" i="36"/>
  <c r="F32" i="33" s="1"/>
  <c r="K34" i="36"/>
  <c r="L32" i="33" s="1"/>
  <c r="K30" i="36"/>
  <c r="G32" i="33" s="1"/>
  <c r="K26" i="36"/>
  <c r="D32" i="33" s="1"/>
  <c r="K32" i="36"/>
  <c r="J32" i="33" s="1"/>
  <c r="K33" i="36"/>
  <c r="K32" i="33" s="1"/>
  <c r="K29" i="36"/>
  <c r="H32" i="33" s="1"/>
  <c r="K25" i="36"/>
  <c r="C32" i="33" s="1"/>
  <c r="E7" i="42" l="1"/>
  <c r="F7" i="42" s="1"/>
  <c r="M32" i="33"/>
  <c r="G42" i="33"/>
  <c r="H42" i="33"/>
  <c r="I42" i="33"/>
  <c r="J42" i="33"/>
  <c r="K42" i="33"/>
  <c r="L42" i="33"/>
  <c r="D42" i="33"/>
  <c r="E42" i="33"/>
  <c r="F42" i="33"/>
  <c r="C42" i="33"/>
  <c r="I11" i="33"/>
  <c r="I10" i="33"/>
  <c r="I9" i="33"/>
  <c r="D11" i="33"/>
  <c r="D10" i="33"/>
  <c r="D9" i="33"/>
  <c r="F207" i="35" l="1"/>
  <c r="Z6" i="36"/>
  <c r="Z7" i="36"/>
  <c r="AC7" i="36" s="1"/>
  <c r="Z8" i="36"/>
  <c r="AC8" i="36" s="1"/>
  <c r="Z9" i="36"/>
  <c r="AC9" i="36" s="1"/>
  <c r="Z10" i="36"/>
  <c r="Z11" i="36"/>
  <c r="AC11" i="36" s="1"/>
  <c r="Z12" i="36"/>
  <c r="AC12" i="36" s="1"/>
  <c r="Z13" i="36"/>
  <c r="AC13" i="36" s="1"/>
  <c r="Z14" i="36"/>
  <c r="Z15" i="36"/>
  <c r="AC15" i="36" s="1"/>
  <c r="B16" i="36"/>
  <c r="C7" i="36" s="1"/>
  <c r="D16" i="36"/>
  <c r="E13" i="36" s="1"/>
  <c r="F16" i="36"/>
  <c r="G9" i="36" s="1"/>
  <c r="H16" i="36"/>
  <c r="I11" i="36" s="1"/>
  <c r="J16" i="36"/>
  <c r="K7" i="36" s="1"/>
  <c r="L16" i="36"/>
  <c r="M8" i="36" s="1"/>
  <c r="L18" i="36"/>
  <c r="F20" i="36"/>
  <c r="G18" i="36" s="1"/>
  <c r="B20" i="36" l="1"/>
  <c r="C18" i="36" s="1"/>
  <c r="C12" i="36"/>
  <c r="J20" i="36"/>
  <c r="K18" i="36" s="1"/>
  <c r="K9" i="36"/>
  <c r="D20" i="36"/>
  <c r="E18" i="36" s="1"/>
  <c r="G15" i="36"/>
  <c r="G14" i="36"/>
  <c r="C9" i="36"/>
  <c r="K8" i="36"/>
  <c r="G7" i="36"/>
  <c r="G6" i="36"/>
  <c r="L20" i="36"/>
  <c r="M18" i="36" s="1"/>
  <c r="K13" i="36"/>
  <c r="C8" i="36"/>
  <c r="C13" i="36"/>
  <c r="K12" i="36"/>
  <c r="G11" i="36"/>
  <c r="G10" i="36"/>
  <c r="M13" i="36"/>
  <c r="M9" i="36"/>
  <c r="I7" i="36"/>
  <c r="E14" i="36"/>
  <c r="I12" i="36"/>
  <c r="E10" i="36"/>
  <c r="H20" i="36"/>
  <c r="I18" i="36" s="1"/>
  <c r="Z18" i="36"/>
  <c r="Z16" i="36"/>
  <c r="AA14" i="36" s="1"/>
  <c r="M15" i="36"/>
  <c r="E15" i="36"/>
  <c r="AC14" i="36"/>
  <c r="K14" i="36"/>
  <c r="C14" i="36"/>
  <c r="I13" i="36"/>
  <c r="G12" i="36"/>
  <c r="M11" i="36"/>
  <c r="E11" i="36"/>
  <c r="AC10" i="36"/>
  <c r="K10" i="36"/>
  <c r="C10" i="36"/>
  <c r="I9" i="36"/>
  <c r="G8" i="36"/>
  <c r="M7" i="36"/>
  <c r="E7" i="36"/>
  <c r="AC6" i="36"/>
  <c r="K6" i="36"/>
  <c r="C6" i="36"/>
  <c r="E9" i="36"/>
  <c r="M14" i="36"/>
  <c r="M10" i="36"/>
  <c r="I8" i="36"/>
  <c r="M6" i="36"/>
  <c r="E6" i="36"/>
  <c r="K15" i="36"/>
  <c r="C15" i="36"/>
  <c r="I14" i="36"/>
  <c r="G13" i="36"/>
  <c r="M12" i="36"/>
  <c r="E12" i="36"/>
  <c r="K11" i="36"/>
  <c r="C11" i="36"/>
  <c r="I10" i="36"/>
  <c r="E8" i="36"/>
  <c r="I6" i="36"/>
  <c r="I15" i="36"/>
  <c r="AC16" i="36" l="1"/>
  <c r="K16" i="36"/>
  <c r="AA10" i="36"/>
  <c r="AA6" i="36"/>
  <c r="Z20" i="36"/>
  <c r="AA18" i="36" s="1"/>
  <c r="AC18" i="36"/>
  <c r="I16" i="36"/>
  <c r="E16" i="36"/>
  <c r="M16" i="36"/>
  <c r="C16" i="36"/>
  <c r="G16" i="36"/>
  <c r="AA8" i="36"/>
  <c r="AA7" i="36"/>
  <c r="AA9" i="36"/>
  <c r="AA12" i="36"/>
  <c r="AA11" i="36"/>
  <c r="AA15" i="36"/>
  <c r="AA13" i="36"/>
  <c r="AA16" i="36" l="1"/>
  <c r="C78" i="35"/>
  <c r="F76" i="35"/>
  <c r="K17" i="37" l="1"/>
  <c r="J17" i="37"/>
  <c r="I17" i="37"/>
  <c r="H17" i="37"/>
  <c r="G17" i="37"/>
  <c r="F17" i="37"/>
  <c r="E17" i="37"/>
  <c r="D17" i="37"/>
  <c r="C17" i="37"/>
  <c r="B17" i="37"/>
  <c r="L35" i="36"/>
  <c r="J39" i="36"/>
  <c r="C13" i="33" s="1"/>
  <c r="E13" i="33" s="1"/>
  <c r="G13" i="33" s="1"/>
  <c r="H13" i="33" s="1"/>
  <c r="H35" i="36"/>
  <c r="F35" i="36"/>
  <c r="D35" i="36"/>
  <c r="B35" i="36"/>
  <c r="C64" i="33" l="1"/>
  <c r="G64" i="33"/>
  <c r="K64" i="33"/>
  <c r="J13" i="33"/>
  <c r="J64" i="33"/>
  <c r="D64" i="33"/>
  <c r="H64" i="33"/>
  <c r="L64" i="33"/>
  <c r="E64" i="33"/>
  <c r="I64" i="33"/>
  <c r="F64" i="33"/>
  <c r="M33" i="36"/>
  <c r="K33" i="33" s="1"/>
  <c r="M29" i="36"/>
  <c r="H33" i="33" s="1"/>
  <c r="M25" i="36"/>
  <c r="C33" i="33" s="1"/>
  <c r="M32" i="36"/>
  <c r="J33" i="33" s="1"/>
  <c r="M28" i="36"/>
  <c r="F33" i="33" s="1"/>
  <c r="M30" i="36"/>
  <c r="G33" i="33" s="1"/>
  <c r="M31" i="36"/>
  <c r="I33" i="33" s="1"/>
  <c r="M27" i="36"/>
  <c r="E33" i="33" s="1"/>
  <c r="M26" i="36"/>
  <c r="D33" i="33" s="1"/>
  <c r="M34" i="36"/>
  <c r="L33" i="33" s="1"/>
  <c r="F39" i="36"/>
  <c r="G31" i="36"/>
  <c r="G27" i="36"/>
  <c r="G32" i="36"/>
  <c r="G34" i="36"/>
  <c r="G30" i="36"/>
  <c r="G26" i="36"/>
  <c r="G28" i="36"/>
  <c r="G33" i="36"/>
  <c r="G29" i="36"/>
  <c r="G25" i="36"/>
  <c r="H39" i="36"/>
  <c r="C12" i="33" s="1"/>
  <c r="E12" i="33" s="1"/>
  <c r="I33" i="36"/>
  <c r="K31" i="33" s="1"/>
  <c r="I29" i="36"/>
  <c r="H31" i="33" s="1"/>
  <c r="I25" i="36"/>
  <c r="C31" i="33" s="1"/>
  <c r="I32" i="36"/>
  <c r="J31" i="33" s="1"/>
  <c r="I28" i="36"/>
  <c r="F31" i="33" s="1"/>
  <c r="I30" i="36"/>
  <c r="G31" i="33" s="1"/>
  <c r="I31" i="36"/>
  <c r="I31" i="33" s="1"/>
  <c r="I27" i="36"/>
  <c r="E31" i="33" s="1"/>
  <c r="I34" i="36"/>
  <c r="L31" i="33" s="1"/>
  <c r="I26" i="36"/>
  <c r="D31" i="33" s="1"/>
  <c r="D39" i="36"/>
  <c r="E33" i="36"/>
  <c r="E29" i="36"/>
  <c r="E25" i="36"/>
  <c r="E32" i="36"/>
  <c r="E28" i="36"/>
  <c r="E30" i="36"/>
  <c r="E31" i="36"/>
  <c r="E27" i="36"/>
  <c r="E34" i="36"/>
  <c r="E26" i="36"/>
  <c r="B39" i="36"/>
  <c r="C9" i="33" s="1"/>
  <c r="E9" i="33" s="1"/>
  <c r="C31" i="36"/>
  <c r="C27" i="36"/>
  <c r="C32" i="36"/>
  <c r="C34" i="36"/>
  <c r="C30" i="36"/>
  <c r="C26" i="36"/>
  <c r="C33" i="36"/>
  <c r="C29" i="36"/>
  <c r="C25" i="36"/>
  <c r="C28" i="36"/>
  <c r="E11" i="33"/>
  <c r="C10" i="33"/>
  <c r="E10" i="33" s="1"/>
  <c r="Z35" i="36"/>
  <c r="AA29" i="36" s="1"/>
  <c r="L39" i="36"/>
  <c r="C14" i="33" s="1"/>
  <c r="E14" i="33" s="1"/>
  <c r="G14" i="33" s="1"/>
  <c r="H14" i="33" s="1"/>
  <c r="M33" i="33" l="1"/>
  <c r="C65" i="33"/>
  <c r="G65" i="33"/>
  <c r="K65" i="33"/>
  <c r="J14" i="33"/>
  <c r="D65" i="33"/>
  <c r="H65" i="33"/>
  <c r="L65" i="33"/>
  <c r="J65" i="33"/>
  <c r="E65" i="33"/>
  <c r="I65" i="33"/>
  <c r="F65" i="33"/>
  <c r="F80" i="33"/>
  <c r="F115" i="33" s="1"/>
  <c r="H80" i="33"/>
  <c r="H115" i="33" s="1"/>
  <c r="K80" i="33"/>
  <c r="K115" i="33" s="1"/>
  <c r="L80" i="33"/>
  <c r="L115" i="33" s="1"/>
  <c r="I80" i="33"/>
  <c r="I115" i="33" s="1"/>
  <c r="D80" i="33"/>
  <c r="D115" i="33" s="1"/>
  <c r="G80" i="33"/>
  <c r="G115" i="33" s="1"/>
  <c r="E80" i="33"/>
  <c r="E115" i="33" s="1"/>
  <c r="J80" i="33"/>
  <c r="J115" i="33" s="1"/>
  <c r="M64" i="33"/>
  <c r="C80" i="33"/>
  <c r="C96" i="33" s="1"/>
  <c r="M31" i="33"/>
  <c r="AA31" i="36"/>
  <c r="AA30" i="36"/>
  <c r="AA25" i="36"/>
  <c r="M28" i="33"/>
  <c r="AA28" i="36"/>
  <c r="AA33" i="36"/>
  <c r="AA32" i="36"/>
  <c r="AA27" i="36"/>
  <c r="AA34" i="36"/>
  <c r="AA26" i="36"/>
  <c r="Z39" i="36"/>
  <c r="L81" i="33" l="1"/>
  <c r="L116" i="33" s="1"/>
  <c r="K81" i="33"/>
  <c r="K116" i="33" s="1"/>
  <c r="F81" i="33"/>
  <c r="F116" i="33" s="1"/>
  <c r="H81" i="33"/>
  <c r="H116" i="33" s="1"/>
  <c r="G81" i="33"/>
  <c r="G116" i="33" s="1"/>
  <c r="J81" i="33"/>
  <c r="J116" i="33" s="1"/>
  <c r="I81" i="33"/>
  <c r="I116" i="33" s="1"/>
  <c r="E81" i="33"/>
  <c r="E116" i="33" s="1"/>
  <c r="D81" i="33"/>
  <c r="D116" i="33" s="1"/>
  <c r="M65" i="33"/>
  <c r="C81" i="33"/>
  <c r="E96" i="33"/>
  <c r="E131" i="33" s="1"/>
  <c r="D96" i="33"/>
  <c r="D131" i="33" s="1"/>
  <c r="L96" i="33"/>
  <c r="L131" i="33" s="1"/>
  <c r="H96" i="33"/>
  <c r="H131" i="33" s="1"/>
  <c r="C131" i="33"/>
  <c r="C115" i="33"/>
  <c r="M115" i="33" s="1"/>
  <c r="M80" i="33"/>
  <c r="J96" i="33"/>
  <c r="J131" i="33" s="1"/>
  <c r="G96" i="33"/>
  <c r="G131" i="33" s="1"/>
  <c r="I96" i="33"/>
  <c r="I131" i="33" s="1"/>
  <c r="K96" i="33"/>
  <c r="K131" i="33" s="1"/>
  <c r="F96" i="33"/>
  <c r="F131" i="33" s="1"/>
  <c r="F10" i="40"/>
  <c r="E10" i="40"/>
  <c r="D10" i="40"/>
  <c r="C10" i="40"/>
  <c r="G97" i="33" l="1"/>
  <c r="G132" i="33" s="1"/>
  <c r="K97" i="33"/>
  <c r="K132" i="33" s="1"/>
  <c r="J97" i="33"/>
  <c r="J132" i="33" s="1"/>
  <c r="C116" i="33"/>
  <c r="M116" i="33" s="1"/>
  <c r="M81" i="33"/>
  <c r="E97" i="33"/>
  <c r="E132" i="33" s="1"/>
  <c r="H97" i="33"/>
  <c r="H132" i="33" s="1"/>
  <c r="C97" i="33"/>
  <c r="D97" i="33"/>
  <c r="D132" i="33" s="1"/>
  <c r="I97" i="33"/>
  <c r="I132" i="33" s="1"/>
  <c r="F97" i="33"/>
  <c r="F132" i="33" s="1"/>
  <c r="L97" i="33"/>
  <c r="L132" i="33" s="1"/>
  <c r="M96" i="33"/>
  <c r="M131" i="33"/>
  <c r="I21" i="33"/>
  <c r="C132" i="33" l="1"/>
  <c r="M132" i="33" s="1"/>
  <c r="M97" i="33"/>
  <c r="B46" i="41"/>
  <c r="D45" i="41"/>
  <c r="D44" i="41"/>
  <c r="D43" i="41"/>
  <c r="D42" i="41"/>
  <c r="D26" i="41"/>
  <c r="D46" i="41" l="1"/>
  <c r="D19" i="41" l="1"/>
  <c r="C194" i="35"/>
  <c r="F200" i="35" s="1"/>
  <c r="D28" i="41" l="1"/>
  <c r="D30" i="41" s="1"/>
  <c r="D32" i="41" s="1"/>
  <c r="D16" i="41"/>
  <c r="H16" i="41" s="1"/>
  <c r="E35" i="36" l="1"/>
  <c r="K35" i="36"/>
  <c r="C35" i="36"/>
  <c r="M35" i="36"/>
  <c r="I35" i="36"/>
  <c r="G35" i="36"/>
  <c r="AA35" i="36" l="1"/>
  <c r="C288" i="35" l="1"/>
  <c r="C260" i="35"/>
  <c r="F260" i="35" l="1"/>
  <c r="F113" i="35"/>
  <c r="C25" i="40"/>
  <c r="P21" i="40"/>
  <c r="F14" i="40"/>
  <c r="F16" i="40" s="1"/>
  <c r="F18" i="40" s="1"/>
  <c r="F12" i="33" s="1"/>
  <c r="G12" i="33" s="1"/>
  <c r="H12" i="33" s="1"/>
  <c r="E14" i="40"/>
  <c r="E16" i="40" s="1"/>
  <c r="E18" i="40" s="1"/>
  <c r="G11" i="33" s="1"/>
  <c r="H11" i="33" s="1"/>
  <c r="J11" i="33" s="1"/>
  <c r="D14" i="40"/>
  <c r="D16" i="40" s="1"/>
  <c r="D18" i="40" s="1"/>
  <c r="F10" i="33" s="1"/>
  <c r="G10" i="33" s="1"/>
  <c r="H10" i="33" s="1"/>
  <c r="J10" i="33" s="1"/>
  <c r="C14" i="40"/>
  <c r="C16" i="40" s="1"/>
  <c r="C18" i="40" s="1"/>
  <c r="F9" i="33" s="1"/>
  <c r="G9" i="33" s="1"/>
  <c r="H9" i="33" s="1"/>
  <c r="J9" i="33" s="1"/>
  <c r="G63" i="33" l="1"/>
  <c r="C63" i="33"/>
  <c r="H63" i="33"/>
  <c r="K63" i="33"/>
  <c r="D63" i="33"/>
  <c r="E63" i="33"/>
  <c r="F63" i="33"/>
  <c r="I63" i="33"/>
  <c r="J63" i="33"/>
  <c r="L63" i="33"/>
  <c r="J12" i="33"/>
  <c r="C223" i="35"/>
  <c r="F288" i="35"/>
  <c r="P25" i="40" l="1"/>
  <c r="I79" i="33"/>
  <c r="I114" i="33" s="1"/>
  <c r="K79" i="33"/>
  <c r="K114" i="33" s="1"/>
  <c r="H79" i="33"/>
  <c r="H114" i="33" s="1"/>
  <c r="C79" i="33"/>
  <c r="M63" i="33"/>
  <c r="N63" i="33" s="1"/>
  <c r="N64" i="33" s="1"/>
  <c r="N65" i="33" s="1"/>
  <c r="F79" i="33"/>
  <c r="F114" i="33" s="1"/>
  <c r="L79" i="33"/>
  <c r="L114" i="33" s="1"/>
  <c r="E79" i="33"/>
  <c r="E114" i="33" s="1"/>
  <c r="J79" i="33"/>
  <c r="J114" i="33" s="1"/>
  <c r="D79" i="33"/>
  <c r="D114" i="33" s="1"/>
  <c r="G79" i="33"/>
  <c r="G114" i="33" s="1"/>
  <c r="C107" i="35"/>
  <c r="F105" i="35"/>
  <c r="F229" i="35"/>
  <c r="N66" i="33" l="1"/>
  <c r="N67" i="33" s="1"/>
  <c r="N68" i="33" s="1"/>
  <c r="N69" i="33" s="1"/>
  <c r="N70" i="33" s="1"/>
  <c r="N71" i="33" s="1"/>
  <c r="J9" i="42" s="1"/>
  <c r="K9" i="42" s="1"/>
  <c r="D95" i="33"/>
  <c r="D130" i="33" s="1"/>
  <c r="K95" i="33"/>
  <c r="K130" i="33" s="1"/>
  <c r="F95" i="33"/>
  <c r="F130" i="33" s="1"/>
  <c r="H95" i="33"/>
  <c r="H130" i="33" s="1"/>
  <c r="I95" i="33"/>
  <c r="I130" i="33" s="1"/>
  <c r="E95" i="33"/>
  <c r="E130" i="33" s="1"/>
  <c r="C114" i="33"/>
  <c r="M114" i="33" s="1"/>
  <c r="N114" i="33" s="1"/>
  <c r="N115" i="33" s="1"/>
  <c r="N116" i="33" s="1"/>
  <c r="N117" i="33" s="1"/>
  <c r="N118" i="33" s="1"/>
  <c r="N119" i="33" s="1"/>
  <c r="N120" i="33" s="1"/>
  <c r="N121" i="33" s="1"/>
  <c r="N122" i="33" s="1"/>
  <c r="M79" i="33"/>
  <c r="N79" i="33" s="1"/>
  <c r="N80" i="33" s="1"/>
  <c r="N81" i="33" s="1"/>
  <c r="N82" i="33" s="1"/>
  <c r="N83" i="33" s="1"/>
  <c r="N84" i="33" s="1"/>
  <c r="N85" i="33" s="1"/>
  <c r="N86" i="33" s="1"/>
  <c r="N87" i="33" s="1"/>
  <c r="G95" i="33"/>
  <c r="G130" i="33" s="1"/>
  <c r="J95" i="33"/>
  <c r="J130" i="33" s="1"/>
  <c r="L95" i="33"/>
  <c r="L130" i="33" s="1"/>
  <c r="C95" i="33"/>
  <c r="C283" i="35"/>
  <c r="C255" i="35"/>
  <c r="D9" i="42" l="1"/>
  <c r="E9" i="42" s="1"/>
  <c r="F9" i="42" s="1"/>
  <c r="F9" i="41"/>
  <c r="M95" i="33"/>
  <c r="N95" i="33" s="1"/>
  <c r="N96" i="33" s="1"/>
  <c r="N97" i="33" s="1"/>
  <c r="N98" i="33" s="1"/>
  <c r="N99" i="33" s="1"/>
  <c r="N100" i="33" s="1"/>
  <c r="N101" i="33" s="1"/>
  <c r="N102" i="33" s="1"/>
  <c r="N103" i="33" s="1"/>
  <c r="C130" i="33"/>
  <c r="M130" i="33" s="1"/>
  <c r="N130" i="33" s="1"/>
  <c r="N131" i="33" s="1"/>
  <c r="N132" i="33" s="1"/>
  <c r="F263" i="35"/>
  <c r="F270" i="35"/>
  <c r="F291" i="35"/>
  <c r="F298" i="35"/>
  <c r="F36" i="41" l="1"/>
  <c r="H36" i="41" s="1"/>
  <c r="H9" i="41"/>
  <c r="N133" i="33"/>
  <c r="N134" i="33" s="1"/>
  <c r="N135" i="33" s="1"/>
  <c r="N136" i="33" s="1"/>
  <c r="N137" i="33" s="1"/>
  <c r="N138" i="33" s="1"/>
  <c r="C339" i="35"/>
  <c r="F345" i="35" s="1"/>
  <c r="C313" i="35"/>
  <c r="F319" i="35" l="1"/>
  <c r="F326" i="35"/>
  <c r="F352" i="35"/>
  <c r="C393" i="35" l="1"/>
  <c r="F399" i="35" l="1"/>
  <c r="F406" i="35"/>
  <c r="C367" i="35"/>
  <c r="F380" i="35" s="1"/>
  <c r="F373" i="35" l="1"/>
  <c r="F513" i="35" l="1"/>
  <c r="G515" i="35" s="1"/>
  <c r="C501" i="35"/>
  <c r="F507" i="35" s="1"/>
  <c r="G509" i="35" s="1"/>
  <c r="F500" i="35"/>
  <c r="F499" i="35"/>
  <c r="E445" i="35"/>
  <c r="F487" i="35"/>
  <c r="G489" i="35" s="1"/>
  <c r="E420" i="35" s="1"/>
  <c r="E365" i="35" s="1"/>
  <c r="F365" i="35" s="1"/>
  <c r="C475" i="35"/>
  <c r="F474" i="35"/>
  <c r="F473" i="35"/>
  <c r="E419" i="35"/>
  <c r="F501" i="35" l="1"/>
  <c r="F475" i="35"/>
  <c r="F479" i="35" s="1"/>
  <c r="G517" i="35"/>
  <c r="E446" i="35"/>
  <c r="E391" i="35" s="1"/>
  <c r="F391" i="35" s="1"/>
  <c r="F481" i="35"/>
  <c r="G483" i="35" l="1"/>
  <c r="G492" i="35" s="1"/>
  <c r="D21" i="33"/>
  <c r="F446" i="35" l="1"/>
  <c r="F419" i="35"/>
  <c r="C421" i="35"/>
  <c r="F434" i="35" s="1"/>
  <c r="F420" i="35"/>
  <c r="F421" i="35" l="1"/>
  <c r="C447" i="35"/>
  <c r="F445" i="35"/>
  <c r="F447" i="35" s="1"/>
  <c r="F427" i="35"/>
  <c r="F453" i="35" l="1"/>
  <c r="F460" i="35"/>
  <c r="G60" i="33" l="1"/>
  <c r="G76" i="33" s="1"/>
  <c r="G111" i="33" s="1"/>
  <c r="H60" i="33"/>
  <c r="H76" i="33" s="1"/>
  <c r="H111" i="33" s="1"/>
  <c r="L60" i="33"/>
  <c r="L76" i="33" s="1"/>
  <c r="L111" i="33" s="1"/>
  <c r="J60" i="33"/>
  <c r="J76" i="33" s="1"/>
  <c r="J111" i="33" s="1"/>
  <c r="D60" i="33"/>
  <c r="D76" i="33" s="1"/>
  <c r="D111" i="33" s="1"/>
  <c r="K60" i="33"/>
  <c r="K76" i="33" s="1"/>
  <c r="K111" i="33" s="1"/>
  <c r="C60" i="33"/>
  <c r="C76" i="33" s="1"/>
  <c r="I60" i="33"/>
  <c r="I76" i="33" s="1"/>
  <c r="I111" i="33" s="1"/>
  <c r="F60" i="33"/>
  <c r="F76" i="33" s="1"/>
  <c r="F111" i="33" s="1"/>
  <c r="E60" i="33"/>
  <c r="E76" i="33" s="1"/>
  <c r="E111" i="33" s="1"/>
  <c r="M60" i="33" l="1"/>
  <c r="H92" i="33"/>
  <c r="H127" i="33" s="1"/>
  <c r="L92" i="33"/>
  <c r="L127" i="33" s="1"/>
  <c r="I92" i="33"/>
  <c r="I127" i="33" s="1"/>
  <c r="G92" i="33"/>
  <c r="G127" i="33" s="1"/>
  <c r="K92" i="33"/>
  <c r="K127" i="33" s="1"/>
  <c r="J92" i="33"/>
  <c r="J127" i="33" s="1"/>
  <c r="D92" i="33"/>
  <c r="D127" i="33" s="1"/>
  <c r="M76" i="33"/>
  <c r="C111" i="33"/>
  <c r="M111" i="33" s="1"/>
  <c r="F92" i="33"/>
  <c r="F127" i="33" s="1"/>
  <c r="E92" i="33"/>
  <c r="E127" i="33" s="1"/>
  <c r="C92" i="33"/>
  <c r="C127" i="33" l="1"/>
  <c r="M127" i="33" s="1"/>
  <c r="M92" i="33"/>
  <c r="F120" i="35" l="1"/>
  <c r="F121" i="35" s="1"/>
  <c r="G124" i="35"/>
  <c r="E43" i="35" s="1"/>
  <c r="F43" i="35" s="1"/>
  <c r="F44" i="35" s="1"/>
  <c r="D15" i="41"/>
  <c r="D17" i="41" s="1"/>
  <c r="D34" i="41" s="1"/>
  <c r="G237" i="35"/>
  <c r="G401" i="35"/>
  <c r="F405" i="35"/>
  <c r="G407" i="35" s="1"/>
  <c r="E338" i="35" s="1"/>
  <c r="F91" i="35" l="1"/>
  <c r="F92" i="35" s="1"/>
  <c r="F106" i="35"/>
  <c r="F107" i="35" s="1"/>
  <c r="F111" i="35" s="1"/>
  <c r="F338" i="35"/>
  <c r="E281" i="35"/>
  <c r="F281" i="35" s="1"/>
  <c r="G409" i="35"/>
  <c r="F379" i="35"/>
  <c r="G381" i="35" s="1"/>
  <c r="E312" i="35" s="1"/>
  <c r="G375" i="35"/>
  <c r="F459" i="35"/>
  <c r="G461" i="35" s="1"/>
  <c r="E392" i="35" s="1"/>
  <c r="F451" i="35"/>
  <c r="G455" i="35" s="1"/>
  <c r="F312" i="35" l="1"/>
  <c r="E253" i="35"/>
  <c r="F253" i="35" s="1"/>
  <c r="F392" i="35"/>
  <c r="F393" i="35" s="1"/>
  <c r="E337" i="35"/>
  <c r="F337" i="35" s="1"/>
  <c r="F339" i="35" s="1"/>
  <c r="G384" i="35"/>
  <c r="F425" i="35"/>
  <c r="G429" i="35" s="1"/>
  <c r="F433" i="35"/>
  <c r="G435" i="35" s="1"/>
  <c r="E366" i="35" s="1"/>
  <c r="G463" i="35"/>
  <c r="F366" i="35" l="1"/>
  <c r="F367" i="35" s="1"/>
  <c r="E311" i="35"/>
  <c r="F311" i="35" s="1"/>
  <c r="F313" i="35" s="1"/>
  <c r="G438" i="35"/>
  <c r="C21" i="33" l="1"/>
  <c r="E21" i="33" l="1"/>
  <c r="G21" i="33" l="1"/>
  <c r="F21" i="33" s="1"/>
  <c r="G72" i="33" l="1"/>
  <c r="H72" i="33"/>
  <c r="L72" i="33"/>
  <c r="H21" i="33"/>
  <c r="J21" i="33" s="1"/>
  <c r="E72" i="33"/>
  <c r="C72" i="33"/>
  <c r="D36" i="41" l="1"/>
  <c r="F72" i="33"/>
  <c r="L139" i="33"/>
  <c r="G123" i="33"/>
  <c r="K72" i="33"/>
  <c r="D72" i="33"/>
  <c r="H139" i="33"/>
  <c r="I72" i="33"/>
  <c r="J72" i="33"/>
  <c r="M72" i="33"/>
  <c r="E139" i="33"/>
  <c r="J139" i="33"/>
  <c r="J104" i="33"/>
  <c r="C88" i="33"/>
  <c r="I104" i="33"/>
  <c r="I139" i="33"/>
  <c r="F88" i="33"/>
  <c r="F123" i="33"/>
  <c r="G88" i="33"/>
  <c r="K88" i="33"/>
  <c r="K123" i="33"/>
  <c r="J123" i="33"/>
  <c r="J88" i="33"/>
  <c r="F104" i="33"/>
  <c r="F139" i="33"/>
  <c r="D139" i="33"/>
  <c r="D104" i="33"/>
  <c r="I88" i="33"/>
  <c r="I123" i="33"/>
  <c r="D88" i="33"/>
  <c r="D123" i="33"/>
  <c r="M73" i="33" l="1"/>
  <c r="L123" i="33"/>
  <c r="L104" i="33"/>
  <c r="L141" i="33" s="1"/>
  <c r="G139" i="33"/>
  <c r="H123" i="33"/>
  <c r="H88" i="33"/>
  <c r="H104" i="33"/>
  <c r="H141" i="33" s="1"/>
  <c r="L88" i="33"/>
  <c r="J73" i="33"/>
  <c r="K73" i="33"/>
  <c r="L73" i="33"/>
  <c r="I73" i="33"/>
  <c r="E88" i="33"/>
  <c r="D73" i="33"/>
  <c r="G73" i="33"/>
  <c r="F73" i="33"/>
  <c r="C73" i="33"/>
  <c r="H73" i="33"/>
  <c r="E73" i="33"/>
  <c r="M88" i="33"/>
  <c r="E104" i="33"/>
  <c r="E141" i="33" s="1"/>
  <c r="E123" i="33"/>
  <c r="F141" i="33"/>
  <c r="I141" i="33"/>
  <c r="J141" i="33"/>
  <c r="K104" i="33"/>
  <c r="K139" i="33"/>
  <c r="C104" i="33"/>
  <c r="C123" i="33"/>
  <c r="D141" i="33"/>
  <c r="M104" i="33" l="1"/>
  <c r="G104" i="33"/>
  <c r="G141" i="33" s="1"/>
  <c r="M123" i="33"/>
  <c r="F46" i="35" s="1"/>
  <c r="F48" i="35" s="1"/>
  <c r="F50" i="35" s="1"/>
  <c r="G54" i="35" s="1"/>
  <c r="G65" i="35" s="1"/>
  <c r="K141" i="33"/>
  <c r="C139" i="33"/>
  <c r="C141" i="33" s="1"/>
  <c r="G115" i="35" l="1"/>
  <c r="G126" i="35" s="1"/>
  <c r="M139" i="33"/>
  <c r="F13" i="35" s="1"/>
  <c r="F269" i="35"/>
  <c r="G271" i="35" s="1"/>
  <c r="F343" i="35"/>
  <c r="G347" i="35" s="1"/>
  <c r="F297" i="35"/>
  <c r="G299" i="35" s="1"/>
  <c r="F222" i="35" s="1"/>
  <c r="F351" i="35"/>
  <c r="G353" i="35" s="1"/>
  <c r="F15" i="35" l="1"/>
  <c r="J11" i="42"/>
  <c r="K11" i="42" s="1"/>
  <c r="D11" i="42" s="1"/>
  <c r="M141" i="33"/>
  <c r="F193" i="35"/>
  <c r="G355" i="35"/>
  <c r="E282" i="35"/>
  <c r="F317" i="35"/>
  <c r="G321" i="35" s="1"/>
  <c r="F325" i="35"/>
  <c r="G327" i="35" s="1"/>
  <c r="E254" i="35" s="1"/>
  <c r="F12" i="41" l="1"/>
  <c r="H12" i="41" s="1"/>
  <c r="E11" i="42"/>
  <c r="F11" i="42" s="1"/>
  <c r="D13" i="42"/>
  <c r="F38" i="41"/>
  <c r="H38" i="41" s="1"/>
  <c r="D38" i="41"/>
  <c r="F282" i="35"/>
  <c r="F283" i="35" s="1"/>
  <c r="F287" i="35" s="1"/>
  <c r="F289" i="35" s="1"/>
  <c r="G293" i="35" s="1"/>
  <c r="G301" i="35" s="1"/>
  <c r="F221" i="35"/>
  <c r="F223" i="35" s="1"/>
  <c r="F227" i="35" s="1"/>
  <c r="F254" i="35"/>
  <c r="F255" i="35" s="1"/>
  <c r="F259" i="35" s="1"/>
  <c r="F261" i="35" s="1"/>
  <c r="G265" i="35" s="1"/>
  <c r="G274" i="35" s="1"/>
  <c r="F192" i="35"/>
  <c r="F194" i="35" s="1"/>
  <c r="F198" i="35" s="1"/>
  <c r="G202" i="35" s="1"/>
  <c r="G330" i="35"/>
  <c r="E13" i="42" l="1"/>
  <c r="F13" i="42" s="1"/>
  <c r="F15" i="41"/>
  <c r="H15" i="41" s="1"/>
  <c r="H17" i="41" s="1"/>
  <c r="H34" i="41" s="1"/>
  <c r="G95" i="35"/>
  <c r="G208" i="35"/>
  <c r="G231" i="35"/>
  <c r="G239" i="35" s="1"/>
  <c r="F17" i="41" l="1"/>
  <c r="F34" i="41" s="1"/>
  <c r="F17" i="35" s="1"/>
  <c r="F77" i="35"/>
  <c r="E10" i="35"/>
  <c r="F10" i="35" s="1"/>
  <c r="F11" i="35" s="1"/>
  <c r="G210" i="35"/>
  <c r="G243" i="35"/>
  <c r="F19" i="35" l="1"/>
  <c r="G23" i="35" s="1"/>
  <c r="G34" i="35" s="1"/>
  <c r="F78" i="35"/>
  <c r="F82" i="35" s="1"/>
  <c r="G214" i="35"/>
  <c r="G86" i="35" l="1"/>
  <c r="G97" i="3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Weinstein, Mike</author>
  </authors>
  <commentList>
    <comment ref="B75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Weinstein, Mike:</t>
        </r>
        <r>
          <rPr>
            <sz val="9"/>
            <color indexed="81"/>
            <rFont val="Tahoma"/>
            <family val="2"/>
          </rPr>
          <t xml:space="preserve">
This is the estimated percentage of single stream tonnages collected applicable to MF households based on the total container volumes.</t>
        </r>
      </text>
    </comment>
  </commentList>
</comments>
</file>

<file path=xl/sharedStrings.xml><?xml version="1.0" encoding="utf-8"?>
<sst xmlns="http://schemas.openxmlformats.org/spreadsheetml/2006/main" count="874" uniqueCount="308">
  <si>
    <t>HDPE</t>
  </si>
  <si>
    <t>PET</t>
  </si>
  <si>
    <t>May</t>
  </si>
  <si>
    <t>Total</t>
  </si>
  <si>
    <t>%</t>
  </si>
  <si>
    <t>Customers</t>
  </si>
  <si>
    <t>Credits</t>
  </si>
  <si>
    <t>Dec</t>
  </si>
  <si>
    <t>Mar</t>
  </si>
  <si>
    <t>Apr</t>
  </si>
  <si>
    <t>Feb</t>
  </si>
  <si>
    <t>Glass</t>
  </si>
  <si>
    <t>Tons</t>
  </si>
  <si>
    <t>Commodity</t>
  </si>
  <si>
    <t>Less:</t>
  </si>
  <si>
    <t>Non-Reg.</t>
  </si>
  <si>
    <t>Regulated</t>
  </si>
  <si>
    <t>Aluminum</t>
  </si>
  <si>
    <t>Tin</t>
  </si>
  <si>
    <t>OCC</t>
  </si>
  <si>
    <t>Yards</t>
  </si>
  <si>
    <t>Residential</t>
  </si>
  <si>
    <t>Credit</t>
  </si>
  <si>
    <t>Actual Commodity Revenue (adj. to reflect current customers)</t>
  </si>
  <si>
    <t>Owe Customer (company)</t>
  </si>
  <si>
    <t>Total Customers</t>
  </si>
  <si>
    <t>Commodity Adjustment</t>
  </si>
  <si>
    <t>Projected Value</t>
  </si>
  <si>
    <t>Residential Commodity Adjustment</t>
  </si>
  <si>
    <t>Multi-family</t>
  </si>
  <si>
    <t>Multi-family Commodity Adjustment</t>
  </si>
  <si>
    <t>WM of Spokane</t>
  </si>
  <si>
    <t>Jan</t>
  </si>
  <si>
    <t>Res'l</t>
  </si>
  <si>
    <t>SS</t>
  </si>
  <si>
    <t>Single stream commodity composition percentage</t>
  </si>
  <si>
    <t>Newspaper</t>
  </si>
  <si>
    <t>Baled</t>
  </si>
  <si>
    <t>UBC</t>
  </si>
  <si>
    <t>Steel Cans</t>
  </si>
  <si>
    <t>Mixed</t>
  </si>
  <si>
    <t>ONP</t>
  </si>
  <si>
    <t>MP</t>
  </si>
  <si>
    <t>Natural</t>
  </si>
  <si>
    <t>Colored</t>
  </si>
  <si>
    <t>Plastics</t>
  </si>
  <si>
    <t xml:space="preserve">Residue </t>
  </si>
  <si>
    <t>Net</t>
  </si>
  <si>
    <t>Materials Composition:</t>
  </si>
  <si>
    <t>Price per ton:</t>
  </si>
  <si>
    <t>Total Tonnage by Commodity:</t>
  </si>
  <si>
    <t>MF Tonnage by Commodity:</t>
  </si>
  <si>
    <t>Res'l Tonnage by Commodity:</t>
  </si>
  <si>
    <t>MF Revenue by Commodity:</t>
  </si>
  <si>
    <t>Res'l Revenue by Commodity:</t>
  </si>
  <si>
    <t>2014 - 2015 Rebate Calculation</t>
  </si>
  <si>
    <t>2013 - 2014 Rebate Calculation</t>
  </si>
  <si>
    <t>WM Spokane</t>
  </si>
  <si>
    <t>June - July projected value without adjustment factor</t>
  </si>
  <si>
    <t>Aug. - May projected value without adjustment factor</t>
  </si>
  <si>
    <t>Projected Revenue June 2013 - May 2014</t>
  </si>
  <si>
    <t>Projected Revenue June 2014 - May 2015</t>
  </si>
  <si>
    <t>Month</t>
  </si>
  <si>
    <t>Inbound</t>
  </si>
  <si>
    <t>Residential &amp; MF Regulated Recycling Tonnages and Revenue</t>
  </si>
  <si>
    <t>Composition</t>
  </si>
  <si>
    <t>Mix Paper</t>
  </si>
  <si>
    <t>HDPE Natl</t>
  </si>
  <si>
    <t>HDPE Col</t>
  </si>
  <si>
    <t>#3 - 7</t>
  </si>
  <si>
    <t>Residue</t>
  </si>
  <si>
    <t>Price/ton schedule</t>
  </si>
  <si>
    <t>ONP 6</t>
  </si>
  <si>
    <t>Mixed Paper</t>
  </si>
  <si>
    <t>Alum.</t>
  </si>
  <si>
    <t>HDPE Natural</t>
  </si>
  <si>
    <t>HDPE Colored</t>
  </si>
  <si>
    <t>Plastics 3-7</t>
  </si>
  <si>
    <t>Projected Revenue June 2015 - May 2016</t>
  </si>
  <si>
    <t>2015 - 2016 Rebate Calculation</t>
  </si>
  <si>
    <t>Deer Park</t>
  </si>
  <si>
    <t>Airway Heights</t>
  </si>
  <si>
    <t>Liberty Lake</t>
  </si>
  <si>
    <t>Spokane Valley</t>
  </si>
  <si>
    <t>2016 - 2017 Rebate Calculation</t>
  </si>
  <si>
    <t>Projected Revenue June 2016 - May 2017</t>
  </si>
  <si>
    <t>WUTC</t>
  </si>
  <si>
    <t>Total non-regulated</t>
  </si>
  <si>
    <t>Jurisdiction:</t>
  </si>
  <si>
    <t>% Regulated</t>
  </si>
  <si>
    <t>% Non-Regulated</t>
  </si>
  <si>
    <t>MF Rebate per yard</t>
  </si>
  <si>
    <t>WUTC recycling subscription MSW Yards</t>
  </si>
  <si>
    <t>Regulated MF Rebate per billing</t>
  </si>
  <si>
    <t>Residential &amp; MF Regulated Customers</t>
  </si>
  <si>
    <t>Total with Residue</t>
  </si>
  <si>
    <t>2017 - 2018 Rebate Calculation</t>
  </si>
  <si>
    <t>Tin Cans</t>
  </si>
  <si>
    <t>Projected Revenue June 2017 - May 2018</t>
  </si>
  <si>
    <t xml:space="preserve">Average Revenue/ton </t>
  </si>
  <si>
    <t>Net amount Owed Customer (company)</t>
  </si>
  <si>
    <t>Owed to Customer (company)</t>
  </si>
  <si>
    <t>Less: Error in rebate Aug - Sept. 2016 ($1.78 to $1.44)</t>
  </si>
  <si>
    <t>Less: Error in rebate Aug - Sept. 2016 ($0.28 - $0.23)</t>
  </si>
  <si>
    <t>2018 - 2019 Rebate Calculation</t>
  </si>
  <si>
    <t>Projected Value to Rebate to Customers</t>
  </si>
  <si>
    <t>Budget</t>
  </si>
  <si>
    <t>Customer Counts:</t>
  </si>
  <si>
    <t>Tonnage:</t>
  </si>
  <si>
    <t>Revenues:</t>
  </si>
  <si>
    <t>Expenditures Budget:</t>
  </si>
  <si>
    <t xml:space="preserve">Estimated Revenue Sharing retained by Company </t>
  </si>
  <si>
    <t>Detailed Expenditures:</t>
  </si>
  <si>
    <t>Labor Cost Total (see detail below)</t>
  </si>
  <si>
    <t>Tasks As Outlined In RSA</t>
  </si>
  <si>
    <t>Total RSA Task Fees (excluding capital)</t>
  </si>
  <si>
    <t>Total Budgeted Expenses</t>
  </si>
  <si>
    <t>Performance Incentive (5% of expenditures)</t>
  </si>
  <si>
    <t>Total Expenditures plus incentive</t>
  </si>
  <si>
    <t>Avg. lbs./customer/mo.</t>
  </si>
  <si>
    <t>Avg. revenue/ton</t>
  </si>
  <si>
    <t>Labor Cost Allocation</t>
  </si>
  <si>
    <t>Total Hours</t>
  </si>
  <si>
    <t>Hourly Rate</t>
  </si>
  <si>
    <t>Total 2 yrs</t>
  </si>
  <si>
    <t>Monthly Reporting (CC Team )</t>
  </si>
  <si>
    <t>Executive Management/Oversight (Mindy &amp; Mary)</t>
  </si>
  <si>
    <t>Public Education Team &amp; Website Updates</t>
  </si>
  <si>
    <t xml:space="preserve">Labor Cost Totals </t>
  </si>
  <si>
    <t>Net Residential Commodity Adjustment</t>
  </si>
  <si>
    <t>Average</t>
  </si>
  <si>
    <t>lbs./</t>
  </si>
  <si>
    <t>Customer/</t>
  </si>
  <si>
    <t>Week</t>
  </si>
  <si>
    <t>Multi-Family Commodity Adjustment</t>
  </si>
  <si>
    <t>Residential and Multi-Family WUTC tonnage (2 years)</t>
  </si>
  <si>
    <t>Less: Recycling Incentive</t>
  </si>
  <si>
    <t>Total Two Year Projected Commodity Revenue (based on most recent 5 months average commodity values due to "China Sword")</t>
  </si>
  <si>
    <t>RSA Project Manager (includes travel expenses)</t>
  </si>
  <si>
    <t>Task 1 - Recycling and Organics Rules Advertising</t>
  </si>
  <si>
    <t>Task 2 - Recycling and Organics Promotion at Events</t>
  </si>
  <si>
    <t>Task 3 - Elementary School Recycling Education</t>
  </si>
  <si>
    <t>Task 4 - Multifamily Recycling Education Programs</t>
  </si>
  <si>
    <t>Spokane County Revenue Sharing Budget</t>
  </si>
  <si>
    <t>August 1 2018 - July 31, 2020</t>
  </si>
  <si>
    <r>
      <t xml:space="preserve">Projected Revenue June 2018 - </t>
    </r>
    <r>
      <rPr>
        <b/>
        <u/>
        <sz val="12"/>
        <color rgb="FF0070C0"/>
        <rFont val="Arial"/>
        <family val="2"/>
      </rPr>
      <t>November 2018</t>
    </r>
    <r>
      <rPr>
        <b/>
        <u/>
        <sz val="12"/>
        <rFont val="Arial"/>
        <family val="2"/>
      </rPr>
      <t xml:space="preserve"> (based on most recent </t>
    </r>
    <r>
      <rPr>
        <b/>
        <u/>
        <sz val="12"/>
        <color rgb="FF0070C0"/>
        <rFont val="Arial"/>
        <family val="2"/>
      </rPr>
      <t>6</t>
    </r>
    <r>
      <rPr>
        <b/>
        <u/>
        <sz val="12"/>
        <rFont val="Arial"/>
        <family val="2"/>
      </rPr>
      <t xml:space="preserve"> months due to "China Sword")</t>
    </r>
  </si>
  <si>
    <t>June - July. projected value without adjustment factor</t>
  </si>
  <si>
    <t>Tonnage</t>
  </si>
  <si>
    <t>Actual</t>
  </si>
  <si>
    <t>Inc.</t>
  </si>
  <si>
    <t>(Dec.)</t>
  </si>
  <si>
    <t>Diff.</t>
  </si>
  <si>
    <t>Revenue per ton</t>
  </si>
  <si>
    <t>Budget vs. Actual Comparison</t>
  </si>
  <si>
    <t>Commodity Revenue</t>
  </si>
  <si>
    <t xml:space="preserve">Actual Commodity Revenue </t>
  </si>
  <si>
    <t>Projected Revenue July 2018 - November 2018</t>
  </si>
  <si>
    <t>Aug. - Nov. projected value without adjustment factor</t>
  </si>
  <si>
    <r>
      <t>Projected Revenue December 2018 - May</t>
    </r>
    <r>
      <rPr>
        <b/>
        <u/>
        <sz val="12"/>
        <color rgb="FF0070C0"/>
        <rFont val="Arial"/>
        <family val="2"/>
      </rPr>
      <t xml:space="preserve"> 2019</t>
    </r>
    <r>
      <rPr>
        <b/>
        <u/>
        <sz val="12"/>
        <rFont val="Arial"/>
        <family val="2"/>
      </rPr>
      <t xml:space="preserve"> (based on most recent </t>
    </r>
    <r>
      <rPr>
        <b/>
        <u/>
        <sz val="12"/>
        <color rgb="FF0070C0"/>
        <rFont val="Arial"/>
        <family val="2"/>
      </rPr>
      <t>6</t>
    </r>
    <r>
      <rPr>
        <b/>
        <u/>
        <sz val="12"/>
        <rFont val="Arial"/>
        <family val="2"/>
      </rPr>
      <t xml:space="preserve"> months due to "China Sword")</t>
    </r>
  </si>
  <si>
    <t>Projected Revenue December 2018 - June 2019</t>
  </si>
  <si>
    <t>Less: % Retained per RSA</t>
  </si>
  <si>
    <t>Total Credits</t>
  </si>
  <si>
    <t>Total Projected Customers</t>
  </si>
  <si>
    <t xml:space="preserve">Dec. - Jan. projected value </t>
  </si>
  <si>
    <t xml:space="preserve">Feb. - May projected value </t>
  </si>
  <si>
    <r>
      <t>Projected Revenue June 2019 - May</t>
    </r>
    <r>
      <rPr>
        <b/>
        <u/>
        <sz val="12"/>
        <color rgb="FF0070C0"/>
        <rFont val="Arial"/>
        <family val="2"/>
      </rPr>
      <t xml:space="preserve"> 2020</t>
    </r>
    <r>
      <rPr>
        <b/>
        <u/>
        <sz val="12"/>
        <rFont val="Arial"/>
        <family val="2"/>
      </rPr>
      <t xml:space="preserve"> (based on most recent </t>
    </r>
    <r>
      <rPr>
        <b/>
        <u/>
        <sz val="12"/>
        <color rgb="FF0070C0"/>
        <rFont val="Arial"/>
        <family val="2"/>
      </rPr>
      <t>6</t>
    </r>
    <r>
      <rPr>
        <b/>
        <u/>
        <sz val="12"/>
        <rFont val="Arial"/>
        <family val="2"/>
      </rPr>
      <t xml:space="preserve"> months average)</t>
    </r>
  </si>
  <si>
    <t>2019 - 2020 Rebate Calculation</t>
  </si>
  <si>
    <t>Projected Revenue June 2019 - May 2020</t>
  </si>
  <si>
    <t xml:space="preserve">Jun. - Jul. projected value </t>
  </si>
  <si>
    <t xml:space="preserve">Aug. - May projected value </t>
  </si>
  <si>
    <r>
      <t>Projected Revenue June 2020 - May</t>
    </r>
    <r>
      <rPr>
        <b/>
        <u/>
        <sz val="12"/>
        <color rgb="FF0070C0"/>
        <rFont val="Arial"/>
        <family val="2"/>
      </rPr>
      <t xml:space="preserve"> 2021</t>
    </r>
    <r>
      <rPr>
        <b/>
        <u/>
        <sz val="12"/>
        <rFont val="Arial"/>
        <family val="2"/>
      </rPr>
      <t xml:space="preserve"> (based on most recent </t>
    </r>
    <r>
      <rPr>
        <b/>
        <u/>
        <sz val="12"/>
        <color rgb="FF0070C0"/>
        <rFont val="Arial"/>
        <family val="2"/>
      </rPr>
      <t>6</t>
    </r>
    <r>
      <rPr>
        <b/>
        <u/>
        <sz val="12"/>
        <rFont val="Arial"/>
        <family val="2"/>
      </rPr>
      <t xml:space="preserve"> months average)</t>
    </r>
  </si>
  <si>
    <t>Jun</t>
  </si>
  <si>
    <t>Jul</t>
  </si>
  <si>
    <t>Aug</t>
  </si>
  <si>
    <t>Sep</t>
  </si>
  <si>
    <t>Oct</t>
  </si>
  <si>
    <t>Nov</t>
  </si>
  <si>
    <t>MRB</t>
  </si>
  <si>
    <t>VW2</t>
  </si>
  <si>
    <t>VWS</t>
  </si>
  <si>
    <t>VWT</t>
  </si>
  <si>
    <t>VWU</t>
  </si>
  <si>
    <t>Current</t>
  </si>
  <si>
    <t>Diff</t>
  </si>
  <si>
    <t>Amount Over (under) spent</t>
  </si>
  <si>
    <t>Filing</t>
  </si>
  <si>
    <t>Revenue less 50% retention</t>
  </si>
  <si>
    <t>Tariff Page</t>
  </si>
  <si>
    <t>Scheduled Service</t>
  </si>
  <si>
    <t>Company Current Tariff</t>
  </si>
  <si>
    <t>B &amp; O Tax</t>
  </si>
  <si>
    <t>Company Proposed Rate</t>
  </si>
  <si>
    <t>22,23</t>
  </si>
  <si>
    <t>C3M 32 GAL CAN MSW 1X MO</t>
  </si>
  <si>
    <t>T5M 35 GAL CART MSW 1X MO</t>
  </si>
  <si>
    <t>C21 1-20 GAL MINI CAN MSW</t>
  </si>
  <si>
    <t>C2T 20 GAL CART MSW</t>
  </si>
  <si>
    <t>C31 1-32 GAL CAN MSW</t>
  </si>
  <si>
    <t>C32 2-32 GAL CANS MSW</t>
  </si>
  <si>
    <t>C33 3-32 GAL CANS MSW</t>
  </si>
  <si>
    <t>C34 4-32 GAL CANS MSW</t>
  </si>
  <si>
    <t>C35 5-32 GAL CANS MSW</t>
  </si>
  <si>
    <t>T51 1-35 GAL CART MSW</t>
  </si>
  <si>
    <t>T61 1-64 GAL CART MSW</t>
  </si>
  <si>
    <t>T91 1-96 GAL CART MSW</t>
  </si>
  <si>
    <t>Extras</t>
  </si>
  <si>
    <t>Recycle Service</t>
  </si>
  <si>
    <t>Yard Waste Service</t>
  </si>
  <si>
    <t>Commercial</t>
  </si>
  <si>
    <t>1AM 1-32 GAL CAN MSW</t>
  </si>
  <si>
    <t>CM1 35 GAL CART MSW 1X WK</t>
  </si>
  <si>
    <t>1DM 1-64 GAL CART MSW</t>
  </si>
  <si>
    <t>1EM 1-96 GAL CART MSW</t>
  </si>
  <si>
    <t>151 1-1.5 YD 1X PER WEEK</t>
  </si>
  <si>
    <t>121 1-2 YD 1X PER WEEK</t>
  </si>
  <si>
    <t>131 1-3 YD 1X PER WEEK</t>
  </si>
  <si>
    <t>141 1-4 YD 1X PER WEEK</t>
  </si>
  <si>
    <t>161 1-6 YD 1X PER WEEK</t>
  </si>
  <si>
    <t>181 1-8 YD 1X PER WEEK</t>
  </si>
  <si>
    <t>Initial Delivery</t>
  </si>
  <si>
    <t>2C1 2 YD COMPACTOR 1X WK</t>
  </si>
  <si>
    <t>3C1 3 YD COMPACTOR 1X WK</t>
  </si>
  <si>
    <t>4C1 4 YD COMPACTOR 1X WK</t>
  </si>
  <si>
    <t>5C1 5 YD COMPACTOR 1X WK</t>
  </si>
  <si>
    <t>6C1 6 YD COMPACTOR 1X WK</t>
  </si>
  <si>
    <t>OFC SNAPSHOT EXCESS YARDS</t>
  </si>
  <si>
    <t>Roll Off</t>
  </si>
  <si>
    <t>10-30 yd Haul - Perm.</t>
  </si>
  <si>
    <t>10-30 yd Haul - Temp.</t>
  </si>
  <si>
    <t>40 yd Haul - Perm.</t>
  </si>
  <si>
    <t>40 yd Haul - Temp.</t>
  </si>
  <si>
    <t>10 yard rent</t>
  </si>
  <si>
    <t>20 yard rent</t>
  </si>
  <si>
    <t>30 yard rent</t>
  </si>
  <si>
    <t>40 yard rent</t>
  </si>
  <si>
    <t>Lid Rental</t>
  </si>
  <si>
    <t>Gate Charge</t>
  </si>
  <si>
    <t>Lid opening</t>
  </si>
  <si>
    <t>10 - 15 yard Haul - Compactor</t>
  </si>
  <si>
    <t>20 - 30 yard Haul - Compactor</t>
  </si>
  <si>
    <t>40 yard Haul - Compactor</t>
  </si>
  <si>
    <t>Mileage</t>
  </si>
  <si>
    <t>Disconnect Fee</t>
  </si>
  <si>
    <t>Gross Up Factors</t>
  </si>
  <si>
    <t>B&amp;O tax</t>
  </si>
  <si>
    <t>WUTC fees</t>
  </si>
  <si>
    <t>Factor</t>
  </si>
  <si>
    <t>B &amp; O Tax Increase</t>
  </si>
  <si>
    <t xml:space="preserve">Grossed Up B &amp; O </t>
  </si>
  <si>
    <t>Bad Debts</t>
  </si>
  <si>
    <t>YTD</t>
  </si>
  <si>
    <t>Annualized</t>
  </si>
  <si>
    <t>Over</t>
  </si>
  <si>
    <t>Rolling Avg.</t>
  </si>
  <si>
    <t>(under)</t>
  </si>
  <si>
    <t>a.) Diversion:</t>
  </si>
  <si>
    <t xml:space="preserve"> RESIDENTIAL WASTE STREAM</t>
  </si>
  <si>
    <t xml:space="preserve">Residential Recycling </t>
  </si>
  <si>
    <t xml:space="preserve">Residential Yard Waste </t>
  </si>
  <si>
    <t xml:space="preserve">Residential Solid Waste </t>
  </si>
  <si>
    <t>TOTAL RESIDENTIAL</t>
  </si>
  <si>
    <t xml:space="preserve"> MULTIFAMILY WASTE STREAM</t>
  </si>
  <si>
    <t xml:space="preserve">Multifamily Recycling </t>
  </si>
  <si>
    <t xml:space="preserve">Multifamily Yard Waste </t>
  </si>
  <si>
    <t xml:space="preserve">Multifamily Solid Waste </t>
  </si>
  <si>
    <t>TOTAL MULTIFAMILY</t>
  </si>
  <si>
    <t xml:space="preserve"> TOTAL WASTE STREAM</t>
  </si>
  <si>
    <t>Total Diversion</t>
  </si>
  <si>
    <t>Diversion Rate</t>
  </si>
  <si>
    <t>Met incentive</t>
  </si>
  <si>
    <t>b.) Increase in Recycling Customers:</t>
  </si>
  <si>
    <t>Inc. (dec)</t>
  </si>
  <si>
    <t>Jan., 2019</t>
  </si>
  <si>
    <t>Spokane County Financial Incentive Analysis</t>
  </si>
  <si>
    <t>2018 - 2020 RSA</t>
  </si>
  <si>
    <t>2-Year</t>
  </si>
  <si>
    <t>Jul.; 2018</t>
  </si>
  <si>
    <t>End of plan</t>
  </si>
  <si>
    <t>24 Month</t>
  </si>
  <si>
    <t>Add: Amount underspent (net of incentive)</t>
  </si>
  <si>
    <t>TG-190496</t>
  </si>
  <si>
    <t>TG-190007</t>
  </si>
  <si>
    <t>Annualized total reflects the most recent 12 months (June, 2019 - May, 2020 to account for the seasonality of yard waste</t>
  </si>
  <si>
    <t>May, 2020</t>
  </si>
  <si>
    <t>Total Two Year Projected Commodity Revenue (based on most recent 6 months average commodity values )</t>
  </si>
  <si>
    <t>August 1 2020 - July 31, 2022</t>
  </si>
  <si>
    <t>C36 6-32 GAL CANS MSW</t>
  </si>
  <si>
    <t>YDC YARDAGE MSW - Bulky</t>
  </si>
  <si>
    <t>YDC YARDAGE MSW - Loose</t>
  </si>
  <si>
    <t>Special PU add</t>
  </si>
  <si>
    <t>111 1-1 YD 1X PER WEEK</t>
  </si>
  <si>
    <t>112 1-1 YD 1X PER WEEK - Temp</t>
  </si>
  <si>
    <t>151 1-1.5 YD 1X PER WEEK -temp</t>
  </si>
  <si>
    <t>121 1-2 YD 1X PER WEEK -temp</t>
  </si>
  <si>
    <t>131 1-3 YD 1X PER WEEK -temp</t>
  </si>
  <si>
    <t>141 1-4 YD 1X PER WEEK temp</t>
  </si>
  <si>
    <t>161 1-6 YD 1X PER WEEK - temp</t>
  </si>
  <si>
    <t>181 1-8 YD 1X PER WEEK - temp</t>
  </si>
  <si>
    <t>34 and 37</t>
  </si>
  <si>
    <t>Minimum charge</t>
  </si>
  <si>
    <t>10-30 yd Haul - Special</t>
  </si>
  <si>
    <t>40 yd Haul - Special</t>
  </si>
  <si>
    <t>Actual/projected</t>
  </si>
  <si>
    <t>(8/18-7/20)</t>
  </si>
  <si>
    <t>Task 1 - Knowledge Sharing</t>
  </si>
  <si>
    <t>Task 2 - Community Events - Reducing Contamination and Waste</t>
  </si>
  <si>
    <t>Task 3 - Focused Education for Younger Minds</t>
  </si>
  <si>
    <t>Task 4 - Multifamily recycling and Reduction of Contamination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</si>
</sst>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5" formatCode="&quot;$&quot;#,##0_);\(&quot;$&quot;#,##0\)"/>
    <numFmt numFmtId="6" formatCode="&quot;$&quot;#,##0_);[Red]\(&quot;$&quot;#,##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0.0%"/>
    <numFmt numFmtId="167" formatCode="0.000%"/>
    <numFmt numFmtId="168" formatCode="_(* #,##0.000000_);_(* \(#,##0.000000\);_(* &quot;-&quot;??_);_(@_)"/>
    <numFmt numFmtId="169" formatCode="0.0000"/>
  </numFmts>
  <fonts count="8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u val="singleAccounting"/>
      <sz val="10"/>
      <name val="Arial"/>
      <family val="2"/>
    </font>
    <font>
      <b/>
      <u val="doubleAccounting"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b/>
      <sz val="12"/>
      <color indexed="12"/>
      <name val="Arial"/>
      <family val="2"/>
    </font>
    <font>
      <u val="singleAccounting"/>
      <sz val="12"/>
      <name val="Arial"/>
      <family val="2"/>
    </font>
    <font>
      <sz val="10"/>
      <name val="Arial"/>
      <family val="2"/>
    </font>
    <font>
      <b/>
      <sz val="18"/>
      <name val="Arial"/>
      <family val="2"/>
    </font>
    <font>
      <sz val="12"/>
      <color rgb="FFFF0000"/>
      <name val="Arial"/>
      <family val="2"/>
    </font>
    <font>
      <sz val="10"/>
      <color rgb="FFFF0000"/>
      <name val="Arial"/>
      <family val="2"/>
    </font>
    <font>
      <sz val="12"/>
      <color theme="1"/>
      <name val="Arial"/>
      <family val="2"/>
    </font>
    <font>
      <b/>
      <sz val="12"/>
      <color indexed="10"/>
      <name val="Arial"/>
      <family val="2"/>
    </font>
    <font>
      <i/>
      <u/>
      <sz val="12"/>
      <name val="Arial"/>
      <family val="2"/>
    </font>
    <font>
      <b/>
      <u val="singleAccounting"/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MS Sans Serif"/>
      <family val="2"/>
    </font>
    <font>
      <b/>
      <sz val="10"/>
      <name val="MS Sans Serif"/>
      <family val="2"/>
    </font>
    <font>
      <b/>
      <i/>
      <u val="double"/>
      <sz val="8"/>
      <name val="Arial"/>
      <family val="2"/>
    </font>
    <font>
      <b/>
      <i/>
      <u val="doubleAccounting"/>
      <sz val="9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u val="double"/>
      <sz val="10"/>
      <name val="Arial"/>
      <family val="2"/>
    </font>
    <font>
      <u val="singleAccounting"/>
      <sz val="9"/>
      <color theme="1"/>
      <name val="Arial"/>
      <family val="2"/>
    </font>
    <font>
      <b/>
      <u val="doubleAccounting"/>
      <sz val="9"/>
      <color theme="1"/>
      <name val="Arial"/>
      <family val="2"/>
    </font>
    <font>
      <u val="singleAccounting"/>
      <sz val="9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u val="singleAccounting"/>
      <sz val="12"/>
      <color theme="1"/>
      <name val="Arial"/>
      <family val="2"/>
    </font>
    <font>
      <b/>
      <sz val="18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FF0000"/>
      <name val="Calibri"/>
      <family val="2"/>
    </font>
    <font>
      <b/>
      <u val="singleAccounting"/>
      <sz val="12"/>
      <name val="Arial"/>
      <family val="2"/>
    </font>
    <font>
      <b/>
      <u val="doubleAccounting"/>
      <sz val="12"/>
      <name val="Arial"/>
      <family val="2"/>
    </font>
    <font>
      <sz val="10"/>
      <color theme="3" tint="0.39997558519241921"/>
      <name val="Arial"/>
      <family val="2"/>
    </font>
    <font>
      <sz val="10"/>
      <color rgb="FF0070C0"/>
      <name val="Arial"/>
      <family val="2"/>
    </font>
    <font>
      <sz val="12"/>
      <color rgb="FF0070C0"/>
      <name val="Arial"/>
      <family val="2"/>
    </font>
    <font>
      <u val="singleAccounting"/>
      <sz val="12"/>
      <color rgb="FF0070C0"/>
      <name val="Arial"/>
      <family val="2"/>
    </font>
    <font>
      <b/>
      <u/>
      <sz val="12"/>
      <color rgb="FF0070C0"/>
      <name val="Arial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  <font>
      <b/>
      <u val="singleAccounting"/>
      <sz val="12"/>
      <color rgb="FF0070C0"/>
      <name val="Arial"/>
      <family val="2"/>
    </font>
    <font>
      <b/>
      <sz val="12"/>
      <color theme="1"/>
      <name val="Arial"/>
      <family val="2"/>
    </font>
    <font>
      <b/>
      <u/>
      <sz val="10"/>
      <color theme="1"/>
      <name val="Arial"/>
      <family val="2"/>
    </font>
    <font>
      <b/>
      <u val="doubleAccounting"/>
      <sz val="10"/>
      <color theme="1"/>
      <name val="Arial"/>
      <family val="2"/>
    </font>
    <font>
      <b/>
      <i/>
      <u val="double"/>
      <sz val="10"/>
      <color theme="1"/>
      <name val="Arial"/>
      <family val="2"/>
    </font>
    <font>
      <b/>
      <sz val="10"/>
      <color theme="1"/>
      <name val="Arial"/>
      <family val="2"/>
    </font>
    <font>
      <b/>
      <u val="doubleAccounting"/>
      <sz val="10"/>
      <color rgb="FF00B050"/>
      <name val="Arial"/>
      <family val="2"/>
    </font>
    <font>
      <u val="singleAccounting"/>
      <sz val="10"/>
      <color theme="1"/>
      <name val="Arial"/>
      <family val="2"/>
    </font>
    <font>
      <b/>
      <u val="singleAccounting"/>
      <sz val="10"/>
      <color rgb="FFFF0000"/>
      <name val="Arial"/>
      <family val="2"/>
    </font>
    <font>
      <u val="singleAccounting"/>
      <sz val="10"/>
      <color rgb="FFFF0000"/>
      <name val="Arial"/>
      <family val="2"/>
    </font>
    <font>
      <b/>
      <sz val="11"/>
      <name val="Calibri"/>
      <family val="2"/>
    </font>
    <font>
      <u val="doubleAccounting"/>
      <sz val="12"/>
      <color theme="1"/>
      <name val="Arial"/>
      <family val="2"/>
    </font>
    <font>
      <b/>
      <u val="singleAccounting"/>
      <sz val="12"/>
      <color theme="1"/>
      <name val="Arial"/>
      <family val="2"/>
    </font>
    <font>
      <b/>
      <u val="doubleAccounting"/>
      <sz val="12"/>
      <color theme="1"/>
      <name val="Arial"/>
      <family val="2"/>
    </font>
    <font>
      <u val="doubleAccounting"/>
      <sz val="12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  <font>
      <b/>
      <u val="double"/>
      <sz val="11"/>
      <color theme="1"/>
      <name val="Calibri"/>
      <family val="2"/>
      <scheme val="minor"/>
    </font>
    <font>
      <sz val="11"/>
      <color theme="1"/>
      <name val="Arial"/>
      <family val="2"/>
    </font>
    <font>
      <u/>
      <sz val="11"/>
      <color theme="1"/>
      <name val="Arial"/>
      <family val="2"/>
    </font>
    <font>
      <b/>
      <u/>
      <sz val="12"/>
      <color theme="1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name val="Calibri"/>
      <family val="2"/>
      <scheme val="minor"/>
    </font>
    <font>
      <u/>
      <sz val="10"/>
      <color theme="1"/>
      <name val="Arial"/>
      <family val="2"/>
    </font>
    <font>
      <b/>
      <sz val="11"/>
      <name val="Calibri"/>
      <family val="2"/>
      <scheme val="minor"/>
    </font>
    <font>
      <b/>
      <i/>
      <sz val="11"/>
      <color indexed="10"/>
      <name val="Calibri"/>
      <family val="2"/>
      <scheme val="minor"/>
    </font>
    <font>
      <b/>
      <i/>
      <sz val="10"/>
      <color indexed="10"/>
      <name val="Arial"/>
      <family val="2"/>
    </font>
    <font>
      <b/>
      <u val="double"/>
      <sz val="10"/>
      <color theme="1"/>
      <name val="Arial"/>
      <family val="2"/>
    </font>
    <font>
      <sz val="8"/>
      <name val="Arial"/>
      <family val="2"/>
    </font>
    <font>
      <sz val="8"/>
      <name val="Arial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mediumGray">
        <fgColor indexed="22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0">
    <xf numFmtId="0" fontId="0" fillId="0" borderId="0"/>
    <xf numFmtId="43" fontId="3" fillId="0" borderId="0" applyFont="0" applyFill="0" applyBorder="0" applyAlignment="0" applyProtection="0"/>
    <xf numFmtId="43" fontId="14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24" fillId="0" borderId="0" applyNumberFormat="0" applyFont="0" applyFill="0" applyBorder="0" applyAlignment="0" applyProtection="0">
      <alignment horizontal="left"/>
    </xf>
    <xf numFmtId="15" fontId="24" fillId="0" borderId="0" applyFont="0" applyFill="0" applyBorder="0" applyAlignment="0" applyProtection="0"/>
    <xf numFmtId="4" fontId="24" fillId="0" borderId="0" applyFont="0" applyFill="0" applyBorder="0" applyAlignment="0" applyProtection="0"/>
    <xf numFmtId="0" fontId="25" fillId="0" borderId="8">
      <alignment horizontal="center"/>
    </xf>
    <xf numFmtId="3" fontId="24" fillId="0" borderId="0" applyFont="0" applyFill="0" applyBorder="0" applyAlignment="0" applyProtection="0"/>
    <xf numFmtId="0" fontId="24" fillId="3" borderId="0" applyNumberFormat="0" applyFon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385">
    <xf numFmtId="0" fontId="0" fillId="0" borderId="0" xfId="0"/>
    <xf numFmtId="0" fontId="4" fillId="0" borderId="0" xfId="0" applyFont="1"/>
    <xf numFmtId="43" fontId="0" fillId="0" borderId="0" xfId="1" applyFont="1"/>
    <xf numFmtId="0" fontId="5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43" fontId="0" fillId="0" borderId="0" xfId="0" applyNumberFormat="1"/>
    <xf numFmtId="43" fontId="7" fillId="0" borderId="0" xfId="0" applyNumberFormat="1" applyFont="1"/>
    <xf numFmtId="43" fontId="8" fillId="0" borderId="0" xfId="0" applyNumberFormat="1" applyFont="1"/>
    <xf numFmtId="165" fontId="0" fillId="0" borderId="0" xfId="3" applyNumberFormat="1" applyFont="1"/>
    <xf numFmtId="165" fontId="7" fillId="0" borderId="0" xfId="3" applyNumberFormat="1" applyFont="1"/>
    <xf numFmtId="165" fontId="8" fillId="0" borderId="0" xfId="3" applyNumberFormat="1" applyFont="1"/>
    <xf numFmtId="43" fontId="7" fillId="0" borderId="0" xfId="1" applyFont="1"/>
    <xf numFmtId="164" fontId="0" fillId="0" borderId="0" xfId="0" applyNumberFormat="1"/>
    <xf numFmtId="164" fontId="8" fillId="0" borderId="0" xfId="0" applyNumberFormat="1" applyFont="1"/>
    <xf numFmtId="43" fontId="8" fillId="0" borderId="0" xfId="1" applyFont="1"/>
    <xf numFmtId="43" fontId="5" fillId="0" borderId="0" xfId="1" applyFont="1" applyAlignment="1">
      <alignment horizontal="center"/>
    </xf>
    <xf numFmtId="0" fontId="0" fillId="0" borderId="0" xfId="0" applyAlignment="1">
      <alignment horizontal="center"/>
    </xf>
    <xf numFmtId="44" fontId="0" fillId="0" borderId="0" xfId="0" applyNumberFormat="1"/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/>
    <xf numFmtId="0" fontId="15" fillId="0" borderId="0" xfId="0" applyFont="1"/>
    <xf numFmtId="0" fontId="3" fillId="0" borderId="0" xfId="5"/>
    <xf numFmtId="0" fontId="4" fillId="0" borderId="0" xfId="5" applyFont="1" applyAlignment="1">
      <alignment horizontal="center"/>
    </xf>
    <xf numFmtId="0" fontId="5" fillId="0" borderId="0" xfId="5" applyFont="1" applyAlignment="1">
      <alignment horizontal="center"/>
    </xf>
    <xf numFmtId="10" fontId="0" fillId="0" borderId="0" xfId="0" applyNumberFormat="1"/>
    <xf numFmtId="43" fontId="4" fillId="0" borderId="0" xfId="1" applyFont="1" applyAlignment="1">
      <alignment horizontal="center"/>
    </xf>
    <xf numFmtId="10" fontId="17" fillId="0" borderId="0" xfId="0" applyNumberFormat="1" applyFont="1"/>
    <xf numFmtId="44" fontId="17" fillId="0" borderId="0" xfId="0" applyNumberFormat="1" applyFont="1"/>
    <xf numFmtId="0" fontId="5" fillId="0" borderId="0" xfId="5" applyFont="1" applyFill="1" applyAlignment="1">
      <alignment horizontal="center"/>
    </xf>
    <xf numFmtId="0" fontId="15" fillId="2" borderId="2" xfId="0" applyFont="1" applyFill="1" applyBorder="1"/>
    <xf numFmtId="0" fontId="10" fillId="2" borderId="3" xfId="0" applyFont="1" applyFill="1" applyBorder="1"/>
    <xf numFmtId="0" fontId="18" fillId="2" borderId="3" xfId="0" applyFont="1" applyFill="1" applyBorder="1"/>
    <xf numFmtId="0" fontId="18" fillId="2" borderId="4" xfId="0" applyFont="1" applyFill="1" applyBorder="1"/>
    <xf numFmtId="0" fontId="9" fillId="2" borderId="5" xfId="0" applyFont="1" applyFill="1" applyBorder="1"/>
    <xf numFmtId="0" fontId="9" fillId="2" borderId="0" xfId="0" applyFont="1" applyFill="1" applyBorder="1"/>
    <xf numFmtId="0" fontId="19" fillId="2" borderId="0" xfId="0" applyFont="1" applyFill="1" applyBorder="1"/>
    <xf numFmtId="0" fontId="18" fillId="2" borderId="0" xfId="0" applyFont="1" applyFill="1" applyBorder="1"/>
    <xf numFmtId="0" fontId="18" fillId="2" borderId="6" xfId="0" applyFont="1" applyFill="1" applyBorder="1"/>
    <xf numFmtId="15" fontId="9" fillId="2" borderId="5" xfId="0" applyNumberFormat="1" applyFont="1" applyFill="1" applyBorder="1"/>
    <xf numFmtId="15" fontId="9" fillId="2" borderId="0" xfId="0" applyNumberFormat="1" applyFont="1" applyFill="1" applyBorder="1"/>
    <xf numFmtId="0" fontId="18" fillId="2" borderId="5" xfId="0" applyFont="1" applyFill="1" applyBorder="1"/>
    <xf numFmtId="0" fontId="9" fillId="2" borderId="0" xfId="0" applyFont="1" applyFill="1" applyBorder="1" applyAlignment="1">
      <alignment horizontal="center"/>
    </xf>
    <xf numFmtId="0" fontId="11" fillId="2" borderId="0" xfId="0" applyFont="1" applyFill="1" applyBorder="1" applyAlignment="1">
      <alignment horizontal="center"/>
    </xf>
    <xf numFmtId="0" fontId="9" fillId="2" borderId="10" xfId="0" applyFont="1" applyFill="1" applyBorder="1"/>
    <xf numFmtId="0" fontId="18" fillId="2" borderId="0" xfId="0" applyFont="1" applyFill="1" applyBorder="1" applyAlignment="1">
      <alignment horizontal="center"/>
    </xf>
    <xf numFmtId="41" fontId="18" fillId="2" borderId="0" xfId="0" applyNumberFormat="1" applyFont="1" applyFill="1" applyBorder="1"/>
    <xf numFmtId="44" fontId="12" fillId="2" borderId="0" xfId="7" applyFont="1" applyFill="1" applyBorder="1"/>
    <xf numFmtId="0" fontId="10" fillId="2" borderId="5" xfId="0" applyFont="1" applyFill="1" applyBorder="1"/>
    <xf numFmtId="0" fontId="10" fillId="2" borderId="0" xfId="0" applyFont="1" applyFill="1" applyBorder="1"/>
    <xf numFmtId="41" fontId="13" fillId="2" borderId="0" xfId="0" applyNumberFormat="1" applyFont="1" applyFill="1" applyBorder="1"/>
    <xf numFmtId="44" fontId="10" fillId="2" borderId="6" xfId="7" applyFont="1" applyFill="1" applyBorder="1"/>
    <xf numFmtId="165" fontId="10" fillId="2" borderId="0" xfId="7" applyNumberFormat="1" applyFont="1" applyFill="1" applyBorder="1"/>
    <xf numFmtId="165" fontId="10" fillId="2" borderId="0" xfId="3" applyNumberFormat="1" applyFont="1" applyFill="1" applyBorder="1"/>
    <xf numFmtId="44" fontId="13" fillId="2" borderId="6" xfId="7" applyNumberFormat="1" applyFont="1" applyFill="1" applyBorder="1"/>
    <xf numFmtId="44" fontId="13" fillId="2" borderId="6" xfId="7" applyFont="1" applyFill="1" applyBorder="1"/>
    <xf numFmtId="44" fontId="13" fillId="2" borderId="6" xfId="3" applyFont="1" applyFill="1" applyBorder="1"/>
    <xf numFmtId="44" fontId="9" fillId="2" borderId="11" xfId="7" applyNumberFormat="1" applyFont="1" applyFill="1" applyBorder="1"/>
    <xf numFmtId="44" fontId="9" fillId="2" borderId="11" xfId="7" applyFont="1" applyFill="1" applyBorder="1"/>
    <xf numFmtId="41" fontId="16" fillId="2" borderId="0" xfId="0" applyNumberFormat="1" applyFont="1" applyFill="1" applyBorder="1"/>
    <xf numFmtId="44" fontId="10" fillId="2" borderId="0" xfId="7" applyFont="1" applyFill="1" applyBorder="1"/>
    <xf numFmtId="44" fontId="3" fillId="0" borderId="0" xfId="0" applyNumberFormat="1" applyFont="1"/>
    <xf numFmtId="0" fontId="3" fillId="0" borderId="0" xfId="0" applyFont="1"/>
    <xf numFmtId="0" fontId="10" fillId="2" borderId="6" xfId="0" applyFont="1" applyFill="1" applyBorder="1"/>
    <xf numFmtId="0" fontId="9" fillId="2" borderId="1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41" fontId="10" fillId="2" borderId="0" xfId="0" applyNumberFormat="1" applyFont="1" applyFill="1" applyBorder="1"/>
    <xf numFmtId="44" fontId="12" fillId="2" borderId="0" xfId="3" applyFont="1" applyFill="1" applyBorder="1"/>
    <xf numFmtId="5" fontId="10" fillId="2" borderId="0" xfId="0" applyNumberFormat="1" applyFont="1" applyFill="1" applyBorder="1"/>
    <xf numFmtId="44" fontId="10" fillId="2" borderId="6" xfId="3" applyNumberFormat="1" applyFont="1" applyFill="1" applyBorder="1"/>
    <xf numFmtId="44" fontId="9" fillId="2" borderId="11" xfId="3" applyFont="1" applyFill="1" applyBorder="1"/>
    <xf numFmtId="0" fontId="10" fillId="2" borderId="7" xfId="0" applyFont="1" applyFill="1" applyBorder="1"/>
    <xf numFmtId="0" fontId="10" fillId="2" borderId="8" xfId="0" applyFont="1" applyFill="1" applyBorder="1"/>
    <xf numFmtId="0" fontId="10" fillId="2" borderId="9" xfId="0" applyFont="1" applyFill="1" applyBorder="1"/>
    <xf numFmtId="164" fontId="0" fillId="0" borderId="0" xfId="1" applyNumberFormat="1" applyFont="1" applyFill="1"/>
    <xf numFmtId="44" fontId="0" fillId="0" borderId="0" xfId="3" applyFont="1"/>
    <xf numFmtId="10" fontId="17" fillId="0" borderId="0" xfId="4" applyNumberFormat="1" applyFont="1" applyAlignment="1">
      <alignment horizontal="center"/>
    </xf>
    <xf numFmtId="0" fontId="6" fillId="0" borderId="0" xfId="0" applyFont="1" applyAlignment="1">
      <alignment horizontal="center"/>
    </xf>
    <xf numFmtId="43" fontId="0" fillId="0" borderId="0" xfId="0" applyNumberFormat="1" applyAlignment="1">
      <alignment horizontal="center"/>
    </xf>
    <xf numFmtId="10" fontId="26" fillId="0" borderId="0" xfId="4" applyNumberFormat="1" applyFont="1"/>
    <xf numFmtId="44" fontId="27" fillId="0" borderId="0" xfId="3" applyFont="1"/>
    <xf numFmtId="10" fontId="26" fillId="0" borderId="0" xfId="1" applyNumberFormat="1" applyFont="1"/>
    <xf numFmtId="0" fontId="28" fillId="0" borderId="0" xfId="0" applyFont="1" applyFill="1"/>
    <xf numFmtId="0" fontId="29" fillId="0" borderId="0" xfId="0" applyFont="1"/>
    <xf numFmtId="0" fontId="29" fillId="0" borderId="0" xfId="0" applyFont="1" applyBorder="1"/>
    <xf numFmtId="0" fontId="30" fillId="0" borderId="0" xfId="0" applyFont="1" applyBorder="1"/>
    <xf numFmtId="0" fontId="30" fillId="0" borderId="1" xfId="0" applyFont="1" applyBorder="1" applyAlignment="1">
      <alignment horizontal="center"/>
    </xf>
    <xf numFmtId="43" fontId="31" fillId="0" borderId="0" xfId="1" applyFont="1" applyBorder="1" applyAlignment="1" applyProtection="1">
      <alignment horizontal="right"/>
      <protection locked="0"/>
    </xf>
    <xf numFmtId="166" fontId="29" fillId="0" borderId="0" xfId="4" applyNumberFormat="1" applyFont="1" applyBorder="1"/>
    <xf numFmtId="0" fontId="28" fillId="0" borderId="0" xfId="0" applyFont="1" applyBorder="1"/>
    <xf numFmtId="43" fontId="28" fillId="0" borderId="12" xfId="1" applyFont="1" applyBorder="1"/>
    <xf numFmtId="0" fontId="30" fillId="0" borderId="0" xfId="0" applyFont="1" applyFill="1" applyBorder="1"/>
    <xf numFmtId="0" fontId="29" fillId="0" borderId="0" xfId="0" applyFont="1" applyFill="1" applyBorder="1"/>
    <xf numFmtId="0" fontId="30" fillId="0" borderId="0" xfId="0" applyFont="1" applyFill="1" applyBorder="1" applyAlignment="1">
      <alignment horizontal="center"/>
    </xf>
    <xf numFmtId="0" fontId="30" fillId="2" borderId="1" xfId="0" applyFont="1" applyFill="1" applyBorder="1" applyAlignment="1" applyProtection="1">
      <alignment horizontal="center"/>
    </xf>
    <xf numFmtId="0" fontId="30" fillId="2" borderId="1" xfId="0" applyFont="1" applyFill="1" applyBorder="1" applyAlignment="1">
      <alignment horizontal="center"/>
    </xf>
    <xf numFmtId="17" fontId="30" fillId="0" borderId="0" xfId="0" applyNumberFormat="1" applyFont="1" applyFill="1" applyBorder="1" applyAlignment="1">
      <alignment horizontal="right"/>
    </xf>
    <xf numFmtId="44" fontId="31" fillId="0" borderId="0" xfId="3" applyFont="1" applyFill="1" applyBorder="1" applyProtection="1">
      <protection locked="0"/>
    </xf>
    <xf numFmtId="0" fontId="4" fillId="0" borderId="0" xfId="5" applyFont="1" applyFill="1" applyAlignment="1">
      <alignment horizontal="center"/>
    </xf>
    <xf numFmtId="166" fontId="32" fillId="0" borderId="0" xfId="4" applyNumberFormat="1" applyFont="1"/>
    <xf numFmtId="0" fontId="5" fillId="0" borderId="0" xfId="0" applyFont="1" applyAlignment="1">
      <alignment horizontal="center"/>
    </xf>
    <xf numFmtId="166" fontId="28" fillId="0" borderId="12" xfId="4" applyNumberFormat="1" applyFont="1" applyBorder="1"/>
    <xf numFmtId="0" fontId="0" fillId="0" borderId="0" xfId="0" applyFill="1"/>
    <xf numFmtId="0" fontId="4" fillId="0" borderId="0" xfId="0" applyFont="1" applyFill="1"/>
    <xf numFmtId="0" fontId="3" fillId="0" borderId="0" xfId="0" applyFont="1" applyFill="1"/>
    <xf numFmtId="17" fontId="5" fillId="0" borderId="0" xfId="0" applyNumberFormat="1" applyFont="1"/>
    <xf numFmtId="0" fontId="6" fillId="0" borderId="0" xfId="0" applyFont="1"/>
    <xf numFmtId="164" fontId="7" fillId="0" borderId="0" xfId="1" applyNumberFormat="1" applyFont="1" applyFill="1"/>
    <xf numFmtId="164" fontId="4" fillId="0" borderId="0" xfId="0" applyNumberFormat="1" applyFont="1" applyFill="1"/>
    <xf numFmtId="0" fontId="5" fillId="0" borderId="0" xfId="0" applyFont="1" applyFill="1"/>
    <xf numFmtId="164" fontId="5" fillId="0" borderId="0" xfId="0" applyNumberFormat="1" applyFont="1" applyFill="1"/>
    <xf numFmtId="164" fontId="21" fillId="0" borderId="0" xfId="0" applyNumberFormat="1" applyFont="1" applyFill="1"/>
    <xf numFmtId="166" fontId="0" fillId="0" borderId="0" xfId="4" applyNumberFormat="1" applyFont="1"/>
    <xf numFmtId="166" fontId="32" fillId="0" borderId="0" xfId="0" applyNumberFormat="1" applyFont="1"/>
    <xf numFmtId="44" fontId="21" fillId="0" borderId="0" xfId="0" applyNumberFormat="1" applyFont="1"/>
    <xf numFmtId="0" fontId="32" fillId="0" borderId="0" xfId="0" applyFont="1"/>
    <xf numFmtId="164" fontId="32" fillId="0" borderId="0" xfId="1" applyNumberFormat="1" applyFont="1"/>
    <xf numFmtId="164" fontId="32" fillId="0" borderId="0" xfId="0" applyNumberFormat="1" applyFont="1"/>
    <xf numFmtId="41" fontId="0" fillId="0" borderId="0" xfId="0" applyNumberFormat="1"/>
    <xf numFmtId="44" fontId="4" fillId="0" borderId="0" xfId="3" applyFont="1"/>
    <xf numFmtId="10" fontId="31" fillId="0" borderId="0" xfId="4" applyNumberFormat="1" applyFont="1" applyBorder="1" applyAlignment="1">
      <alignment horizontal="right"/>
    </xf>
    <xf numFmtId="43" fontId="31" fillId="0" borderId="0" xfId="1" applyFont="1" applyBorder="1" applyProtection="1">
      <protection locked="0"/>
    </xf>
    <xf numFmtId="0" fontId="28" fillId="0" borderId="0" xfId="0" applyFont="1"/>
    <xf numFmtId="0" fontId="0" fillId="0" borderId="0" xfId="0" applyNumberFormat="1"/>
    <xf numFmtId="43" fontId="34" fillId="0" borderId="0" xfId="0" applyNumberFormat="1" applyFont="1" applyBorder="1"/>
    <xf numFmtId="43" fontId="35" fillId="0" borderId="0" xfId="1" applyFont="1" applyBorder="1" applyAlignment="1" applyProtection="1">
      <alignment horizontal="right"/>
      <protection locked="0"/>
    </xf>
    <xf numFmtId="166" fontId="33" fillId="0" borderId="0" xfId="4" applyNumberFormat="1" applyFont="1" applyBorder="1"/>
    <xf numFmtId="0" fontId="36" fillId="0" borderId="0" xfId="0" applyFont="1"/>
    <xf numFmtId="0" fontId="37" fillId="0" borderId="0" xfId="0" applyFont="1"/>
    <xf numFmtId="44" fontId="18" fillId="2" borderId="0" xfId="3" applyFont="1" applyFill="1" applyBorder="1"/>
    <xf numFmtId="165" fontId="18" fillId="2" borderId="0" xfId="3" applyNumberFormat="1" applyFont="1" applyFill="1" applyBorder="1"/>
    <xf numFmtId="165" fontId="13" fillId="2" borderId="0" xfId="3" applyNumberFormat="1" applyFont="1" applyFill="1" applyBorder="1"/>
    <xf numFmtId="165" fontId="38" fillId="2" borderId="0" xfId="3" applyNumberFormat="1" applyFont="1" applyFill="1" applyBorder="1"/>
    <xf numFmtId="0" fontId="18" fillId="2" borderId="5" xfId="0" applyFont="1" applyFill="1" applyBorder="1" applyAlignment="1">
      <alignment horizontal="center"/>
    </xf>
    <xf numFmtId="44" fontId="10" fillId="2" borderId="0" xfId="3" applyFont="1" applyFill="1" applyBorder="1"/>
    <xf numFmtId="0" fontId="33" fillId="0" borderId="0" xfId="0" applyFont="1"/>
    <xf numFmtId="43" fontId="29" fillId="0" borderId="0" xfId="1" applyFont="1"/>
    <xf numFmtId="43" fontId="28" fillId="0" borderId="0" xfId="0" applyNumberFormat="1" applyFont="1"/>
    <xf numFmtId="9" fontId="16" fillId="2" borderId="0" xfId="4" applyFont="1" applyFill="1" applyBorder="1"/>
    <xf numFmtId="0" fontId="39" fillId="0" borderId="0" xfId="0" applyFont="1" applyBorder="1"/>
    <xf numFmtId="0" fontId="0" fillId="0" borderId="0" xfId="0" applyBorder="1"/>
    <xf numFmtId="0" fontId="40" fillId="0" borderId="0" xfId="0" quotePrefix="1" applyFont="1" applyAlignment="1">
      <alignment wrapText="1"/>
    </xf>
    <xf numFmtId="0" fontId="41" fillId="0" borderId="0" xfId="0" applyFont="1" applyAlignment="1">
      <alignment horizontal="right" wrapText="1"/>
    </xf>
    <xf numFmtId="0" fontId="42" fillId="0" borderId="0" xfId="0" applyFont="1" applyAlignment="1">
      <alignment horizontal="center" wrapText="1"/>
    </xf>
    <xf numFmtId="0" fontId="3" fillId="4" borderId="5" xfId="0" applyFont="1" applyFill="1" applyBorder="1" applyAlignment="1">
      <alignment wrapText="1"/>
    </xf>
    <xf numFmtId="166" fontId="3" fillId="0" borderId="0" xfId="4" applyNumberFormat="1" applyFont="1"/>
    <xf numFmtId="164" fontId="3" fillId="0" borderId="0" xfId="1" applyNumberFormat="1" applyFont="1" applyFill="1"/>
    <xf numFmtId="43" fontId="33" fillId="0" borderId="0" xfId="1" applyFont="1"/>
    <xf numFmtId="166" fontId="6" fillId="0" borderId="0" xfId="4" applyNumberFormat="1" applyFont="1"/>
    <xf numFmtId="44" fontId="9" fillId="2" borderId="6" xfId="7" applyNumberFormat="1" applyFont="1" applyFill="1" applyBorder="1"/>
    <xf numFmtId="0" fontId="11" fillId="2" borderId="5" xfId="0" applyFont="1" applyFill="1" applyBorder="1"/>
    <xf numFmtId="44" fontId="43" fillId="2" borderId="6" xfId="7" applyNumberFormat="1" applyFont="1" applyFill="1" applyBorder="1"/>
    <xf numFmtId="44" fontId="44" fillId="2" borderId="6" xfId="7" applyNumberFormat="1" applyFont="1" applyFill="1" applyBorder="1"/>
    <xf numFmtId="44" fontId="28" fillId="0" borderId="0" xfId="0" applyNumberFormat="1" applyFont="1" applyBorder="1"/>
    <xf numFmtId="164" fontId="0" fillId="0" borderId="0" xfId="1" applyNumberFormat="1" applyFont="1"/>
    <xf numFmtId="164" fontId="7" fillId="0" borderId="0" xfId="1" applyNumberFormat="1" applyFont="1"/>
    <xf numFmtId="164" fontId="8" fillId="0" borderId="0" xfId="1" applyNumberFormat="1" applyFont="1"/>
    <xf numFmtId="165" fontId="0" fillId="0" borderId="0" xfId="0" applyNumberFormat="1"/>
    <xf numFmtId="9" fontId="0" fillId="0" borderId="0" xfId="4" applyFont="1"/>
    <xf numFmtId="165" fontId="45" fillId="0" borderId="0" xfId="0" applyNumberFormat="1" applyFont="1"/>
    <xf numFmtId="41" fontId="45" fillId="0" borderId="0" xfId="0" applyNumberFormat="1" applyFont="1"/>
    <xf numFmtId="44" fontId="45" fillId="0" borderId="0" xfId="3" applyFont="1"/>
    <xf numFmtId="165" fontId="47" fillId="2" borderId="0" xfId="7" applyNumberFormat="1" applyFont="1" applyFill="1" applyBorder="1"/>
    <xf numFmtId="41" fontId="48" fillId="2" borderId="0" xfId="0" applyNumberFormat="1" applyFont="1" applyFill="1" applyBorder="1"/>
    <xf numFmtId="165" fontId="47" fillId="2" borderId="0" xfId="3" applyNumberFormat="1" applyFont="1" applyFill="1" applyBorder="1"/>
    <xf numFmtId="164" fontId="48" fillId="2" borderId="0" xfId="1" applyNumberFormat="1" applyFont="1" applyFill="1" applyBorder="1"/>
    <xf numFmtId="166" fontId="46" fillId="0" borderId="0" xfId="4" applyNumberFormat="1" applyFont="1"/>
    <xf numFmtId="44" fontId="9" fillId="5" borderId="6" xfId="7" applyNumberFormat="1" applyFont="1" applyFill="1" applyBorder="1"/>
    <xf numFmtId="44" fontId="29" fillId="0" borderId="0" xfId="0" applyNumberFormat="1" applyFont="1" applyBorder="1"/>
    <xf numFmtId="43" fontId="29" fillId="0" borderId="0" xfId="0" applyNumberFormat="1" applyFont="1" applyBorder="1"/>
    <xf numFmtId="164" fontId="4" fillId="0" borderId="0" xfId="1" applyNumberFormat="1" applyFont="1"/>
    <xf numFmtId="164" fontId="4" fillId="0" borderId="0" xfId="1" applyNumberFormat="1" applyFont="1" applyAlignment="1">
      <alignment horizontal="center"/>
    </xf>
    <xf numFmtId="164" fontId="5" fillId="0" borderId="0" xfId="1" applyNumberFormat="1" applyFont="1" applyAlignment="1">
      <alignment horizontal="center"/>
    </xf>
    <xf numFmtId="164" fontId="3" fillId="0" borderId="0" xfId="1" applyNumberFormat="1" applyFont="1" applyAlignment="1">
      <alignment horizontal="center"/>
    </xf>
    <xf numFmtId="43" fontId="31" fillId="0" borderId="0" xfId="1" applyFont="1"/>
    <xf numFmtId="9" fontId="16" fillId="2" borderId="0" xfId="4" applyFont="1" applyFill="1" applyBorder="1" applyAlignment="1">
      <alignment horizontal="center"/>
    </xf>
    <xf numFmtId="165" fontId="48" fillId="2" borderId="0" xfId="7" applyNumberFormat="1" applyFont="1" applyFill="1" applyBorder="1"/>
    <xf numFmtId="165" fontId="52" fillId="2" borderId="0" xfId="7" applyNumberFormat="1" applyFont="1" applyFill="1" applyBorder="1"/>
    <xf numFmtId="0" fontId="53" fillId="2" borderId="5" xfId="0" applyFont="1" applyFill="1" applyBorder="1"/>
    <xf numFmtId="41" fontId="53" fillId="2" borderId="0" xfId="0" applyNumberFormat="1" applyFont="1" applyFill="1" applyBorder="1"/>
    <xf numFmtId="165" fontId="53" fillId="2" borderId="0" xfId="3" applyNumberFormat="1" applyFont="1" applyFill="1" applyBorder="1"/>
    <xf numFmtId="43" fontId="35" fillId="0" borderId="0" xfId="1" applyFont="1"/>
    <xf numFmtId="44" fontId="44" fillId="5" borderId="6" xfId="7" applyNumberFormat="1" applyFont="1" applyFill="1" applyBorder="1"/>
    <xf numFmtId="165" fontId="4" fillId="0" borderId="0" xfId="3" applyNumberFormat="1" applyFont="1"/>
    <xf numFmtId="0" fontId="3" fillId="0" borderId="0" xfId="0" applyFont="1" applyBorder="1"/>
    <xf numFmtId="0" fontId="3" fillId="0" borderId="0" xfId="0" applyFont="1" applyFill="1" applyBorder="1"/>
    <xf numFmtId="0" fontId="3" fillId="0" borderId="0" xfId="0" applyFont="1" applyBorder="1" applyAlignment="1"/>
    <xf numFmtId="0" fontId="3" fillId="0" borderId="0" xfId="0" applyFont="1" applyAlignment="1">
      <alignment horizontal="right" wrapText="1"/>
    </xf>
    <xf numFmtId="0" fontId="3" fillId="0" borderId="0" xfId="0" applyFont="1" applyAlignment="1">
      <alignment wrapText="1"/>
    </xf>
    <xf numFmtId="0" fontId="3" fillId="4" borderId="2" xfId="0" applyFont="1" applyFill="1" applyBorder="1" applyAlignment="1">
      <alignment wrapText="1"/>
    </xf>
    <xf numFmtId="0" fontId="3" fillId="4" borderId="3" xfId="0" applyFont="1" applyFill="1" applyBorder="1" applyAlignment="1">
      <alignment wrapText="1"/>
    </xf>
    <xf numFmtId="0" fontId="3" fillId="4" borderId="3" xfId="0" applyFont="1" applyFill="1" applyBorder="1" applyAlignment="1">
      <alignment horizontal="right" wrapText="1"/>
    </xf>
    <xf numFmtId="0" fontId="3" fillId="4" borderId="4" xfId="0" applyFont="1" applyFill="1" applyBorder="1" applyAlignment="1">
      <alignment horizontal="right" wrapText="1"/>
    </xf>
    <xf numFmtId="0" fontId="3" fillId="4" borderId="7" xfId="0" applyFont="1" applyFill="1" applyBorder="1" applyAlignment="1">
      <alignment wrapText="1"/>
    </xf>
    <xf numFmtId="0" fontId="3" fillId="4" borderId="8" xfId="0" applyFont="1" applyFill="1" applyBorder="1" applyAlignment="1">
      <alignment wrapText="1"/>
    </xf>
    <xf numFmtId="0" fontId="3" fillId="4" borderId="8" xfId="0" applyFont="1" applyFill="1" applyBorder="1" applyAlignment="1">
      <alignment horizontal="right" wrapText="1"/>
    </xf>
    <xf numFmtId="0" fontId="3" fillId="4" borderId="9" xfId="0" applyFont="1" applyFill="1" applyBorder="1" applyAlignment="1">
      <alignment horizontal="right" wrapText="1"/>
    </xf>
    <xf numFmtId="0" fontId="51" fillId="0" borderId="0" xfId="0" applyFont="1" applyAlignment="1">
      <alignment wrapText="1"/>
    </xf>
    <xf numFmtId="0" fontId="51" fillId="0" borderId="0" xfId="0" applyFont="1" applyAlignment="1">
      <alignment horizontal="right" wrapText="1"/>
    </xf>
    <xf numFmtId="44" fontId="4" fillId="0" borderId="0" xfId="3" applyFont="1" applyAlignment="1">
      <alignment horizontal="center"/>
    </xf>
    <xf numFmtId="44" fontId="21" fillId="0" borderId="0" xfId="3" applyFont="1" applyAlignment="1">
      <alignment horizontal="center"/>
    </xf>
    <xf numFmtId="0" fontId="54" fillId="0" borderId="0" xfId="0" applyFont="1" applyBorder="1"/>
    <xf numFmtId="0" fontId="54" fillId="0" borderId="0" xfId="0" applyFont="1" applyBorder="1" applyAlignment="1">
      <alignment horizontal="center"/>
    </xf>
    <xf numFmtId="164" fontId="55" fillId="0" borderId="0" xfId="0" applyNumberFormat="1" applyFont="1" applyBorder="1" applyAlignment="1">
      <alignment horizontal="center"/>
    </xf>
    <xf numFmtId="166" fontId="56" fillId="0" borderId="0" xfId="4" applyNumberFormat="1" applyFont="1" applyAlignment="1"/>
    <xf numFmtId="0" fontId="57" fillId="0" borderId="0" xfId="0" applyFont="1" applyFill="1" applyBorder="1"/>
    <xf numFmtId="164" fontId="55" fillId="0" borderId="0" xfId="0" applyNumberFormat="1" applyFont="1" applyBorder="1" applyAlignment="1"/>
    <xf numFmtId="0" fontId="57" fillId="0" borderId="0" xfId="0" applyFont="1" applyAlignment="1">
      <alignment wrapText="1"/>
    </xf>
    <xf numFmtId="165" fontId="55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166" fontId="51" fillId="0" borderId="0" xfId="4" applyNumberFormat="1" applyFont="1" applyAlignment="1">
      <alignment horizontal="center" wrapText="1"/>
    </xf>
    <xf numFmtId="165" fontId="57" fillId="0" borderId="0" xfId="3" applyNumberFormat="1" applyFont="1" applyAlignment="1">
      <alignment horizontal="right"/>
    </xf>
    <xf numFmtId="0" fontId="57" fillId="0" borderId="0" xfId="0" applyFont="1" applyBorder="1" applyAlignment="1">
      <alignment wrapText="1"/>
    </xf>
    <xf numFmtId="9" fontId="51" fillId="0" borderId="0" xfId="4" applyFont="1" applyAlignment="1">
      <alignment horizontal="center" wrapText="1"/>
    </xf>
    <xf numFmtId="165" fontId="54" fillId="0" borderId="0" xfId="3" applyNumberFormat="1" applyFont="1" applyBorder="1" applyAlignment="1">
      <alignment horizontal="center"/>
    </xf>
    <xf numFmtId="165" fontId="55" fillId="0" borderId="0" xfId="4" applyNumberFormat="1" applyFont="1" applyBorder="1" applyAlignment="1">
      <alignment horizontal="center"/>
    </xf>
    <xf numFmtId="0" fontId="4" fillId="0" borderId="0" xfId="0" applyFont="1" applyAlignment="1">
      <alignment wrapText="1"/>
    </xf>
    <xf numFmtId="165" fontId="21" fillId="0" borderId="0" xfId="3" applyNumberFormat="1" applyFont="1" applyAlignment="1">
      <alignment horizontal="right"/>
    </xf>
    <xf numFmtId="0" fontId="4" fillId="0" borderId="0" xfId="0" applyFont="1" applyAlignment="1">
      <alignment horizontal="right" wrapText="1"/>
    </xf>
    <xf numFmtId="165" fontId="58" fillId="0" borderId="0" xfId="3" applyNumberFormat="1" applyFont="1" applyAlignment="1">
      <alignment horizontal="right"/>
    </xf>
    <xf numFmtId="0" fontId="54" fillId="0" borderId="0" xfId="0" applyFont="1" applyBorder="1" applyAlignment="1"/>
    <xf numFmtId="0" fontId="17" fillId="0" borderId="0" xfId="0" applyFont="1" applyAlignment="1">
      <alignment horizontal="right" wrapText="1"/>
    </xf>
    <xf numFmtId="165" fontId="3" fillId="0" borderId="0" xfId="3" applyNumberFormat="1" applyFont="1" applyAlignment="1">
      <alignment horizontal="right"/>
    </xf>
    <xf numFmtId="0" fontId="51" fillId="0" borderId="0" xfId="0" applyFont="1" applyBorder="1" applyAlignment="1">
      <alignment horizontal="right" wrapText="1"/>
    </xf>
    <xf numFmtId="165" fontId="7" fillId="0" borderId="0" xfId="3" applyNumberFormat="1" applyFont="1" applyAlignment="1">
      <alignment horizontal="right"/>
    </xf>
    <xf numFmtId="6" fontId="4" fillId="0" borderId="0" xfId="3" applyNumberFormat="1" applyFont="1" applyAlignment="1">
      <alignment horizontal="right" wrapText="1"/>
    </xf>
    <xf numFmtId="6" fontId="4" fillId="0" borderId="0" xfId="3" applyNumberFormat="1" applyFont="1" applyAlignment="1">
      <alignment horizontal="right"/>
    </xf>
    <xf numFmtId="165" fontId="8" fillId="0" borderId="0" xfId="3" applyNumberFormat="1" applyFont="1" applyAlignment="1">
      <alignment horizontal="right"/>
    </xf>
    <xf numFmtId="165" fontId="32" fillId="0" borderId="0" xfId="3" applyNumberFormat="1" applyFont="1" applyAlignment="1">
      <alignment horizontal="right"/>
    </xf>
    <xf numFmtId="6" fontId="51" fillId="0" borderId="0" xfId="3" applyNumberFormat="1" applyFont="1" applyAlignment="1">
      <alignment horizontal="right" wrapText="1"/>
    </xf>
    <xf numFmtId="6" fontId="4" fillId="0" borderId="0" xfId="3" applyNumberFormat="1" applyFont="1" applyAlignment="1">
      <alignment horizontal="center" wrapText="1"/>
    </xf>
    <xf numFmtId="166" fontId="32" fillId="0" borderId="0" xfId="4" applyNumberFormat="1" applyFont="1" applyAlignment="1">
      <alignment horizontal="center"/>
    </xf>
    <xf numFmtId="43" fontId="32" fillId="0" borderId="0" xfId="1" applyFont="1" applyAlignment="1">
      <alignment horizontal="center"/>
    </xf>
    <xf numFmtId="44" fontId="32" fillId="0" borderId="0" xfId="3" applyFont="1" applyAlignment="1">
      <alignment horizontal="center"/>
    </xf>
    <xf numFmtId="0" fontId="54" fillId="4" borderId="5" xfId="0" applyFont="1" applyFill="1" applyBorder="1" applyAlignment="1">
      <alignment wrapText="1"/>
    </xf>
    <xf numFmtId="0" fontId="54" fillId="4" borderId="0" xfId="0" applyFont="1" applyFill="1" applyBorder="1" applyAlignment="1">
      <alignment horizontal="center" wrapText="1"/>
    </xf>
    <xf numFmtId="0" fontId="54" fillId="4" borderId="0" xfId="0" applyFont="1" applyFill="1" applyBorder="1"/>
    <xf numFmtId="0" fontId="54" fillId="4" borderId="6" xfId="0" applyFont="1" applyFill="1" applyBorder="1" applyAlignment="1">
      <alignment horizontal="center"/>
    </xf>
    <xf numFmtId="164" fontId="50" fillId="4" borderId="0" xfId="1" applyNumberFormat="1" applyFont="1" applyFill="1" applyBorder="1" applyAlignment="1">
      <alignment horizontal="center" wrapText="1"/>
    </xf>
    <xf numFmtId="165" fontId="50" fillId="4" borderId="0" xfId="3" applyNumberFormat="1" applyFont="1" applyFill="1" applyBorder="1"/>
    <xf numFmtId="165" fontId="50" fillId="4" borderId="6" xfId="3" applyNumberFormat="1" applyFont="1" applyFill="1" applyBorder="1"/>
    <xf numFmtId="164" fontId="59" fillId="4" borderId="0" xfId="1" applyNumberFormat="1" applyFont="1" applyFill="1" applyBorder="1" applyAlignment="1">
      <alignment horizontal="center" wrapText="1"/>
    </xf>
    <xf numFmtId="165" fontId="59" fillId="4" borderId="6" xfId="3" applyNumberFormat="1" applyFont="1" applyFill="1" applyBorder="1"/>
    <xf numFmtId="0" fontId="4" fillId="4" borderId="5" xfId="0" applyFont="1" applyFill="1" applyBorder="1" applyAlignment="1">
      <alignment wrapText="1"/>
    </xf>
    <xf numFmtId="164" fontId="8" fillId="4" borderId="0" xfId="1" applyNumberFormat="1" applyFont="1" applyFill="1" applyBorder="1" applyAlignment="1">
      <alignment horizontal="center" wrapText="1"/>
    </xf>
    <xf numFmtId="165" fontId="55" fillId="4" borderId="6" xfId="3" applyNumberFormat="1" applyFont="1" applyFill="1" applyBorder="1"/>
    <xf numFmtId="165" fontId="3" fillId="0" borderId="0" xfId="3" applyNumberFormat="1" applyFont="1"/>
    <xf numFmtId="165" fontId="21" fillId="0" borderId="0" xfId="0" applyNumberFormat="1" applyFont="1"/>
    <xf numFmtId="44" fontId="29" fillId="0" borderId="0" xfId="3" applyFont="1" applyBorder="1"/>
    <xf numFmtId="17" fontId="30" fillId="2" borderId="0" xfId="0" applyNumberFormat="1" applyFont="1" applyFill="1" applyBorder="1" applyAlignment="1">
      <alignment horizontal="center"/>
    </xf>
    <xf numFmtId="43" fontId="33" fillId="0" borderId="0" xfId="1" applyFont="1" applyBorder="1"/>
    <xf numFmtId="165" fontId="17" fillId="0" borderId="0" xfId="3" applyNumberFormat="1" applyFont="1" applyAlignment="1">
      <alignment horizontal="right"/>
    </xf>
    <xf numFmtId="165" fontId="61" fillId="0" borderId="0" xfId="3" applyNumberFormat="1" applyFont="1" applyAlignment="1">
      <alignment horizontal="right"/>
    </xf>
    <xf numFmtId="165" fontId="60" fillId="0" borderId="0" xfId="3" applyNumberFormat="1" applyFont="1"/>
    <xf numFmtId="0" fontId="42" fillId="0" borderId="0" xfId="0" applyFont="1" applyAlignment="1">
      <alignment wrapText="1"/>
    </xf>
    <xf numFmtId="165" fontId="32" fillId="0" borderId="0" xfId="3" applyNumberFormat="1" applyFont="1" applyAlignment="1">
      <alignment horizontal="center"/>
    </xf>
    <xf numFmtId="0" fontId="62" fillId="0" borderId="0" xfId="0" applyFont="1" applyAlignment="1">
      <alignment wrapText="1"/>
    </xf>
    <xf numFmtId="14" fontId="5" fillId="0" borderId="0" xfId="0" applyNumberFormat="1" applyFont="1" applyAlignment="1">
      <alignment horizontal="center"/>
    </xf>
    <xf numFmtId="43" fontId="31" fillId="0" borderId="12" xfId="1" applyFont="1" applyBorder="1"/>
    <xf numFmtId="0" fontId="31" fillId="0" borderId="0" xfId="0" applyFont="1"/>
    <xf numFmtId="43" fontId="35" fillId="0" borderId="0" xfId="1" applyFont="1" applyBorder="1"/>
    <xf numFmtId="44" fontId="35" fillId="0" borderId="0" xfId="0" applyNumberFormat="1" applyFont="1" applyBorder="1"/>
    <xf numFmtId="0" fontId="18" fillId="2" borderId="0" xfId="0" applyFont="1" applyFill="1"/>
    <xf numFmtId="165" fontId="18" fillId="2" borderId="0" xfId="3" applyNumberFormat="1" applyFont="1" applyFill="1"/>
    <xf numFmtId="0" fontId="10" fillId="2" borderId="0" xfId="0" applyFont="1" applyFill="1"/>
    <xf numFmtId="41" fontId="18" fillId="2" borderId="0" xfId="0" applyNumberFormat="1" applyFont="1" applyFill="1"/>
    <xf numFmtId="165" fontId="38" fillId="2" borderId="0" xfId="3" applyNumberFormat="1" applyFont="1" applyFill="1"/>
    <xf numFmtId="165" fontId="65" fillId="2" borderId="0" xfId="3" applyNumberFormat="1" applyFont="1" applyFill="1" applyBorder="1"/>
    <xf numFmtId="41" fontId="65" fillId="2" borderId="0" xfId="0" applyNumberFormat="1" applyFont="1" applyFill="1" applyBorder="1"/>
    <xf numFmtId="41" fontId="66" fillId="2" borderId="0" xfId="0" applyNumberFormat="1" applyFont="1" applyFill="1" applyBorder="1"/>
    <xf numFmtId="0" fontId="63" fillId="2" borderId="0" xfId="0" applyFont="1" applyFill="1" applyBorder="1"/>
    <xf numFmtId="41" fontId="44" fillId="2" borderId="0" xfId="0" applyNumberFormat="1" applyFont="1" applyFill="1" applyBorder="1"/>
    <xf numFmtId="0" fontId="44" fillId="2" borderId="0" xfId="0" applyFont="1" applyFill="1" applyBorder="1"/>
    <xf numFmtId="165" fontId="44" fillId="2" borderId="0" xfId="3" applyNumberFormat="1" applyFont="1" applyFill="1" applyBorder="1"/>
    <xf numFmtId="165" fontId="64" fillId="2" borderId="0" xfId="3" applyNumberFormat="1" applyFont="1" applyFill="1" applyBorder="1"/>
    <xf numFmtId="0" fontId="9" fillId="2" borderId="7" xfId="0" applyFont="1" applyFill="1" applyBorder="1"/>
    <xf numFmtId="0" fontId="9" fillId="2" borderId="8" xfId="0" applyFont="1" applyFill="1" applyBorder="1"/>
    <xf numFmtId="0" fontId="18" fillId="2" borderId="8" xfId="0" applyFont="1" applyFill="1" applyBorder="1"/>
    <xf numFmtId="44" fontId="9" fillId="2" borderId="9" xfId="7" applyNumberFormat="1" applyFont="1" applyFill="1" applyBorder="1"/>
    <xf numFmtId="0" fontId="67" fillId="6" borderId="13" xfId="0" applyFont="1" applyFill="1" applyBorder="1"/>
    <xf numFmtId="0" fontId="67" fillId="6" borderId="14" xfId="0" applyFont="1" applyFill="1" applyBorder="1" applyAlignment="1">
      <alignment horizontal="center" wrapText="1"/>
    </xf>
    <xf numFmtId="0" fontId="68" fillId="6" borderId="14" xfId="0" applyFont="1" applyFill="1" applyBorder="1" applyAlignment="1">
      <alignment horizontal="center" vertical="center"/>
    </xf>
    <xf numFmtId="0" fontId="68" fillId="6" borderId="15" xfId="0" applyFont="1" applyFill="1" applyBorder="1" applyAlignment="1">
      <alignment horizontal="center" wrapText="1"/>
    </xf>
    <xf numFmtId="0" fontId="68" fillId="6" borderId="14" xfId="0" applyFont="1" applyFill="1" applyBorder="1" applyAlignment="1">
      <alignment horizontal="center" wrapText="1"/>
    </xf>
    <xf numFmtId="0" fontId="68" fillId="6" borderId="16" xfId="0" applyFont="1" applyFill="1" applyBorder="1" applyAlignment="1">
      <alignment horizontal="center" wrapText="1"/>
    </xf>
    <xf numFmtId="0" fontId="67" fillId="6" borderId="17" xfId="0" applyFont="1" applyFill="1" applyBorder="1"/>
    <xf numFmtId="0" fontId="67" fillId="6" borderId="18" xfId="0" applyFont="1" applyFill="1" applyBorder="1" applyAlignment="1">
      <alignment horizontal="center" wrapText="1"/>
    </xf>
    <xf numFmtId="0" fontId="68" fillId="6" borderId="18" xfId="0" applyFont="1" applyFill="1" applyBorder="1" applyAlignment="1">
      <alignment horizontal="center" vertical="center"/>
    </xf>
    <xf numFmtId="0" fontId="68" fillId="6" borderId="1" xfId="0" applyFont="1" applyFill="1" applyBorder="1" applyAlignment="1">
      <alignment horizontal="center" wrapText="1"/>
    </xf>
    <xf numFmtId="0" fontId="68" fillId="6" borderId="20" xfId="0" applyFont="1" applyFill="1" applyBorder="1" applyAlignment="1">
      <alignment horizontal="center" wrapText="1"/>
    </xf>
    <xf numFmtId="0" fontId="0" fillId="0" borderId="15" xfId="0" applyBorder="1" applyAlignment="1">
      <alignment horizontal="center" vertical="center"/>
    </xf>
    <xf numFmtId="0" fontId="69" fillId="0" borderId="14" xfId="14" applyFont="1" applyBorder="1"/>
    <xf numFmtId="44" fontId="69" fillId="0" borderId="15" xfId="3" applyFont="1" applyBorder="1"/>
    <xf numFmtId="44" fontId="70" fillId="0" borderId="15" xfId="17" applyFont="1" applyBorder="1"/>
    <xf numFmtId="44" fontId="69" fillId="7" borderId="16" xfId="3" applyFont="1" applyFill="1" applyBorder="1"/>
    <xf numFmtId="0" fontId="0" fillId="0" borderId="0" xfId="0" applyAlignment="1">
      <alignment horizontal="center" vertical="center"/>
    </xf>
    <xf numFmtId="0" fontId="69" fillId="0" borderId="21" xfId="14" applyFont="1" applyBorder="1"/>
    <xf numFmtId="44" fontId="69" fillId="0" borderId="0" xfId="3" applyFont="1"/>
    <xf numFmtId="44" fontId="70" fillId="0" borderId="0" xfId="17" applyFont="1"/>
    <xf numFmtId="44" fontId="69" fillId="7" borderId="22" xfId="3" applyFont="1" applyFill="1" applyBorder="1"/>
    <xf numFmtId="0" fontId="70" fillId="0" borderId="21" xfId="0" applyFont="1" applyBorder="1"/>
    <xf numFmtId="0" fontId="0" fillId="0" borderId="1" xfId="0" applyBorder="1" applyAlignment="1">
      <alignment horizontal="center" vertical="center"/>
    </xf>
    <xf numFmtId="0" fontId="70" fillId="0" borderId="18" xfId="0" applyFont="1" applyBorder="1"/>
    <xf numFmtId="44" fontId="69" fillId="0" borderId="1" xfId="3" applyFont="1" applyBorder="1"/>
    <xf numFmtId="44" fontId="70" fillId="0" borderId="1" xfId="17" applyFont="1" applyBorder="1"/>
    <xf numFmtId="44" fontId="69" fillId="7" borderId="20" xfId="3" applyFont="1" applyFill="1" applyBorder="1"/>
    <xf numFmtId="0" fontId="69" fillId="0" borderId="14" xfId="0" applyFont="1" applyBorder="1"/>
    <xf numFmtId="0" fontId="69" fillId="0" borderId="21" xfId="0" applyFont="1" applyBorder="1"/>
    <xf numFmtId="0" fontId="0" fillId="0" borderId="1" xfId="0" applyBorder="1" applyAlignment="1">
      <alignment horizontal="center"/>
    </xf>
    <xf numFmtId="0" fontId="69" fillId="0" borderId="18" xfId="0" applyFont="1" applyBorder="1"/>
    <xf numFmtId="0" fontId="0" fillId="0" borderId="13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17" xfId="0" applyBorder="1" applyAlignment="1">
      <alignment horizontal="center"/>
    </xf>
    <xf numFmtId="0" fontId="69" fillId="0" borderId="0" xfId="0" applyFont="1"/>
    <xf numFmtId="10" fontId="0" fillId="0" borderId="0" xfId="4" applyNumberFormat="1" applyFont="1"/>
    <xf numFmtId="0" fontId="67" fillId="0" borderId="0" xfId="0" applyFont="1"/>
    <xf numFmtId="167" fontId="42" fillId="6" borderId="19" xfId="4" applyNumberFormat="1" applyFont="1" applyFill="1" applyBorder="1" applyAlignment="1">
      <alignment horizontal="center" wrapText="1"/>
    </xf>
    <xf numFmtId="167" fontId="71" fillId="0" borderId="0" xfId="4" applyNumberFormat="1" applyFont="1"/>
    <xf numFmtId="168" fontId="1" fillId="0" borderId="0" xfId="1" applyNumberFormat="1" applyFont="1" applyBorder="1"/>
    <xf numFmtId="10" fontId="3" fillId="0" borderId="0" xfId="4" applyNumberFormat="1" applyFont="1"/>
    <xf numFmtId="10" fontId="72" fillId="0" borderId="0" xfId="4" applyNumberFormat="1" applyFont="1"/>
    <xf numFmtId="10" fontId="73" fillId="0" borderId="1" xfId="4" applyNumberFormat="1" applyFont="1" applyBorder="1"/>
    <xf numFmtId="10" fontId="4" fillId="0" borderId="0" xfId="4" applyNumberFormat="1" applyFont="1"/>
    <xf numFmtId="169" fontId="0" fillId="0" borderId="0" xfId="0" applyNumberFormat="1"/>
    <xf numFmtId="0" fontId="39" fillId="0" borderId="0" xfId="0" applyFont="1"/>
    <xf numFmtId="0" fontId="54" fillId="0" borderId="0" xfId="0" applyFont="1" applyAlignment="1">
      <alignment horizontal="center"/>
    </xf>
    <xf numFmtId="0" fontId="54" fillId="0" borderId="0" xfId="0" applyFont="1"/>
    <xf numFmtId="0" fontId="57" fillId="0" borderId="0" xfId="0" applyFont="1" applyAlignment="1">
      <alignment horizontal="center"/>
    </xf>
    <xf numFmtId="164" fontId="57" fillId="0" borderId="0" xfId="18" applyNumberFormat="1" applyFont="1" applyAlignment="1">
      <alignment horizontal="center"/>
    </xf>
    <xf numFmtId="164" fontId="54" fillId="0" borderId="0" xfId="18" applyNumberFormat="1" applyFont="1" applyAlignment="1">
      <alignment horizontal="center"/>
    </xf>
    <xf numFmtId="0" fontId="74" fillId="0" borderId="0" xfId="0" applyFont="1"/>
    <xf numFmtId="164" fontId="50" fillId="0" borderId="0" xfId="18" applyNumberFormat="1" applyFont="1"/>
    <xf numFmtId="0" fontId="75" fillId="0" borderId="0" xfId="0" applyFont="1"/>
    <xf numFmtId="0" fontId="76" fillId="0" borderId="0" xfId="0" applyFont="1"/>
    <xf numFmtId="3" fontId="3" fillId="0" borderId="0" xfId="0" applyNumberFormat="1" applyFont="1"/>
    <xf numFmtId="164" fontId="3" fillId="0" borderId="0" xfId="1" applyNumberFormat="1"/>
    <xf numFmtId="3" fontId="77" fillId="0" borderId="0" xfId="0" applyNumberFormat="1" applyFont="1"/>
    <xf numFmtId="164" fontId="59" fillId="0" borderId="0" xfId="18" applyNumberFormat="1" applyFont="1"/>
    <xf numFmtId="0" fontId="78" fillId="0" borderId="0" xfId="0" applyFont="1"/>
    <xf numFmtId="0" fontId="36" fillId="0" borderId="0" xfId="0" applyFont="1" applyAlignment="1">
      <alignment horizontal="left"/>
    </xf>
    <xf numFmtId="0" fontId="57" fillId="0" borderId="0" xfId="0" applyFont="1"/>
    <xf numFmtId="3" fontId="54" fillId="0" borderId="0" xfId="0" applyNumberFormat="1" applyFont="1"/>
    <xf numFmtId="164" fontId="54" fillId="0" borderId="0" xfId="18" applyNumberFormat="1" applyFont="1"/>
    <xf numFmtId="164" fontId="3" fillId="0" borderId="0" xfId="0" applyNumberFormat="1" applyFont="1"/>
    <xf numFmtId="0" fontId="79" fillId="0" borderId="0" xfId="0" applyFont="1" applyAlignment="1">
      <alignment horizontal="left"/>
    </xf>
    <xf numFmtId="0" fontId="80" fillId="0" borderId="0" xfId="0" applyFont="1" applyAlignment="1">
      <alignment horizontal="left"/>
    </xf>
    <xf numFmtId="3" fontId="81" fillId="0" borderId="0" xfId="0" applyNumberFormat="1" applyFont="1"/>
    <xf numFmtId="164" fontId="81" fillId="0" borderId="0" xfId="18" applyNumberFormat="1" applyFont="1"/>
    <xf numFmtId="3" fontId="57" fillId="0" borderId="0" xfId="0" applyNumberFormat="1" applyFont="1"/>
    <xf numFmtId="166" fontId="81" fillId="0" borderId="0" xfId="19" applyNumberFormat="1" applyFont="1"/>
    <xf numFmtId="166" fontId="81" fillId="5" borderId="0" xfId="19" applyNumberFormat="1" applyFont="1" applyFill="1"/>
    <xf numFmtId="0" fontId="21" fillId="0" borderId="0" xfId="0" applyFont="1" applyAlignment="1">
      <alignment horizontal="center"/>
    </xf>
    <xf numFmtId="10" fontId="3" fillId="0" borderId="0" xfId="4" applyNumberFormat="1"/>
    <xf numFmtId="10" fontId="7" fillId="0" borderId="0" xfId="4" applyNumberFormat="1" applyFont="1"/>
    <xf numFmtId="10" fontId="32" fillId="0" borderId="0" xfId="4" applyNumberFormat="1" applyFont="1"/>
    <xf numFmtId="164" fontId="3" fillId="0" borderId="0" xfId="1" applyNumberFormat="1" applyFont="1"/>
    <xf numFmtId="0" fontId="0" fillId="0" borderId="0" xfId="0" applyAlignment="1">
      <alignment vertical="top"/>
    </xf>
    <xf numFmtId="165" fontId="63" fillId="2" borderId="0" xfId="3" applyNumberFormat="1" applyFont="1" applyFill="1"/>
    <xf numFmtId="0" fontId="53" fillId="2" borderId="0" xfId="0" applyFont="1" applyFill="1" applyBorder="1"/>
    <xf numFmtId="0" fontId="53" fillId="2" borderId="6" xfId="0" applyFont="1" applyFill="1" applyBorder="1"/>
    <xf numFmtId="0" fontId="3" fillId="0" borderId="23" xfId="0" applyFont="1" applyBorder="1" applyAlignment="1">
      <alignment horizontal="center"/>
    </xf>
    <xf numFmtId="0" fontId="0" fillId="0" borderId="0" xfId="0" applyBorder="1" applyAlignment="1">
      <alignment horizontal="center" vertical="center"/>
    </xf>
    <xf numFmtId="44" fontId="69" fillId="0" borderId="0" xfId="3" applyFont="1" applyBorder="1"/>
    <xf numFmtId="44" fontId="70" fillId="0" borderId="0" xfId="17" applyFont="1" applyBorder="1"/>
    <xf numFmtId="0" fontId="76" fillId="0" borderId="0" xfId="0" applyFont="1" applyAlignment="1">
      <alignment wrapText="1"/>
    </xf>
    <xf numFmtId="165" fontId="4" fillId="0" borderId="0" xfId="0" applyNumberFormat="1" applyFont="1"/>
    <xf numFmtId="0" fontId="20" fillId="2" borderId="5" xfId="0" applyFont="1" applyFill="1" applyBorder="1" applyAlignment="1">
      <alignment horizontal="center"/>
    </xf>
    <xf numFmtId="0" fontId="20" fillId="2" borderId="0" xfId="0" applyFont="1" applyFill="1" applyBorder="1" applyAlignment="1">
      <alignment horizontal="center"/>
    </xf>
    <xf numFmtId="0" fontId="20" fillId="2" borderId="6" xfId="0" applyFont="1" applyFill="1" applyBorder="1" applyAlignment="1">
      <alignment horizontal="center"/>
    </xf>
    <xf numFmtId="0" fontId="20" fillId="2" borderId="2" xfId="0" applyFont="1" applyFill="1" applyBorder="1" applyAlignment="1">
      <alignment horizontal="center"/>
    </xf>
    <xf numFmtId="0" fontId="20" fillId="2" borderId="3" xfId="0" applyFont="1" applyFill="1" applyBorder="1" applyAlignment="1">
      <alignment horizontal="center"/>
    </xf>
    <xf numFmtId="0" fontId="20" fillId="2" borderId="4" xfId="0" applyFont="1" applyFill="1" applyBorder="1" applyAlignment="1">
      <alignment horizontal="center"/>
    </xf>
    <xf numFmtId="0" fontId="4" fillId="0" borderId="1" xfId="5" applyFont="1" applyBorder="1" applyAlignment="1">
      <alignment horizontal="center"/>
    </xf>
    <xf numFmtId="17" fontId="30" fillId="2" borderId="0" xfId="0" applyNumberFormat="1" applyFont="1" applyFill="1" applyBorder="1" applyAlignment="1">
      <alignment horizontal="center"/>
    </xf>
    <xf numFmtId="0" fontId="54" fillId="0" borderId="0" xfId="0" applyFont="1" applyAlignment="1">
      <alignment horizontal="center"/>
    </xf>
    <xf numFmtId="3" fontId="3" fillId="0" borderId="0" xfId="0" applyNumberFormat="1" applyFont="1" applyAlignment="1">
      <alignment vertical="top" wrapText="1"/>
    </xf>
    <xf numFmtId="0" fontId="0" fillId="0" borderId="0" xfId="0" applyAlignment="1">
      <alignment vertical="top" wrapText="1"/>
    </xf>
    <xf numFmtId="0" fontId="67" fillId="0" borderId="14" xfId="0" applyFont="1" applyBorder="1" applyAlignment="1">
      <alignment horizontal="center" vertical="center" textRotation="90"/>
    </xf>
    <xf numFmtId="0" fontId="67" fillId="0" borderId="21" xfId="0" applyFont="1" applyBorder="1" applyAlignment="1">
      <alignment horizontal="center" vertical="center" textRotation="90"/>
    </xf>
    <xf numFmtId="0" fontId="67" fillId="0" borderId="18" xfId="0" applyFont="1" applyBorder="1" applyAlignment="1">
      <alignment horizontal="center" vertical="center" textRotation="90"/>
    </xf>
    <xf numFmtId="0" fontId="0" fillId="0" borderId="14" xfId="0" applyBorder="1" applyAlignment="1">
      <alignment horizontal="center" vertical="center" textRotation="90"/>
    </xf>
    <xf numFmtId="0" fontId="0" fillId="0" borderId="21" xfId="0" applyBorder="1" applyAlignment="1">
      <alignment horizontal="center" vertical="center" textRotation="90"/>
    </xf>
    <xf numFmtId="0" fontId="0" fillId="0" borderId="18" xfId="0" applyBorder="1" applyAlignment="1">
      <alignment horizontal="center" vertical="center" textRotation="90"/>
    </xf>
    <xf numFmtId="0" fontId="67" fillId="6" borderId="1" xfId="0" applyFont="1" applyFill="1" applyBorder="1" applyAlignment="1">
      <alignment horizontal="center"/>
    </xf>
  </cellXfs>
  <cellStyles count="20">
    <cellStyle name="Comma" xfId="1" builtinId="3"/>
    <cellStyle name="Comma 10" xfId="15" xr:uid="{00000000-0005-0000-0000-000001000000}"/>
    <cellStyle name="Comma 2" xfId="18" xr:uid="{47FD33DA-9B16-45C6-9651-DE83A2574855}"/>
    <cellStyle name="Comma 3" xfId="2" xr:uid="{00000000-0005-0000-0000-000002000000}"/>
    <cellStyle name="Currency" xfId="3" builtinId="4"/>
    <cellStyle name="Currency 2" xfId="7" xr:uid="{00000000-0005-0000-0000-000004000000}"/>
    <cellStyle name="Currency 2 6 2 2" xfId="17" xr:uid="{4569FD3E-A105-4853-B874-8A1AA2DF8635}"/>
    <cellStyle name="Normal" xfId="0" builtinId="0"/>
    <cellStyle name="Normal 21" xfId="14" xr:uid="{00000000-0005-0000-0000-000006000000}"/>
    <cellStyle name="Normal 3" xfId="5" xr:uid="{00000000-0005-0000-0000-000007000000}"/>
    <cellStyle name="Percent" xfId="4" builtinId="5"/>
    <cellStyle name="Percent 13" xfId="16" xr:uid="{00000000-0005-0000-0000-000009000000}"/>
    <cellStyle name="Percent 2" xfId="19" xr:uid="{B4109315-16C4-409F-8E91-6C317839CD3B}"/>
    <cellStyle name="Percent 4" xfId="6" xr:uid="{00000000-0005-0000-0000-00000A000000}"/>
    <cellStyle name="PSChar" xfId="8" xr:uid="{00000000-0005-0000-0000-00000B000000}"/>
    <cellStyle name="PSDate" xfId="9" xr:uid="{00000000-0005-0000-0000-00000C000000}"/>
    <cellStyle name="PSDec" xfId="10" xr:uid="{00000000-0005-0000-0000-00000D000000}"/>
    <cellStyle name="PSHeading" xfId="11" xr:uid="{00000000-0005-0000-0000-00000E000000}"/>
    <cellStyle name="PSInt" xfId="12" xr:uid="{00000000-0005-0000-0000-00000F000000}"/>
    <cellStyle name="PSSpacer" xfId="13" xr:uid="{00000000-0005-0000-0000-000010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2</xdr:col>
      <xdr:colOff>409575</xdr:colOff>
      <xdr:row>0</xdr:row>
      <xdr:rowOff>123825</xdr:rowOff>
    </xdr:to>
    <xdr:sp macro="" textlink="">
      <xdr:nvSpPr>
        <xdr:cNvPr id="4" name="Line 5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>
          <a:spLocks noChangeShapeType="1"/>
        </xdr:cNvSpPr>
      </xdr:nvSpPr>
      <xdr:spPr bwMode="auto">
        <a:xfrm>
          <a:off x="1181100" y="1933575"/>
          <a:ext cx="409575" cy="13906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1</xdr:col>
      <xdr:colOff>600075</xdr:colOff>
      <xdr:row>4</xdr:row>
      <xdr:rowOff>0</xdr:rowOff>
    </xdr:from>
    <xdr:to>
      <xdr:col>2</xdr:col>
      <xdr:colOff>409575</xdr:colOff>
      <xdr:row>18</xdr:row>
      <xdr:rowOff>0</xdr:rowOff>
    </xdr:to>
    <xdr:sp macro="" textlink="">
      <xdr:nvSpPr>
        <xdr:cNvPr id="7" name="Line 5">
          <a:extLst>
            <a:ext uri="{FF2B5EF4-FFF2-40B4-BE49-F238E27FC236}">
              <a16:creationId xmlns:a16="http://schemas.microsoft.com/office/drawing/2014/main" id="{6B44CD38-EDD0-4A93-875A-A2107CC0B0EA}"/>
            </a:ext>
          </a:extLst>
        </xdr:cNvPr>
        <xdr:cNvSpPr>
          <a:spLocks noChangeShapeType="1"/>
        </xdr:cNvSpPr>
      </xdr:nvSpPr>
      <xdr:spPr bwMode="auto">
        <a:xfrm>
          <a:off x="1181100" y="1809750"/>
          <a:ext cx="409575" cy="13906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1</xdr:col>
      <xdr:colOff>600075</xdr:colOff>
      <xdr:row>0</xdr:row>
      <xdr:rowOff>133350</xdr:rowOff>
    </xdr:from>
    <xdr:to>
      <xdr:col>2</xdr:col>
      <xdr:colOff>409575</xdr:colOff>
      <xdr:row>10</xdr:row>
      <xdr:rowOff>85725</xdr:rowOff>
    </xdr:to>
    <xdr:sp macro="" textlink="">
      <xdr:nvSpPr>
        <xdr:cNvPr id="8" name="Line 5">
          <a:extLst>
            <a:ext uri="{FF2B5EF4-FFF2-40B4-BE49-F238E27FC236}">
              <a16:creationId xmlns:a16="http://schemas.microsoft.com/office/drawing/2014/main" id="{240B0E61-95BF-4667-A83E-7A170F410638}"/>
            </a:ext>
          </a:extLst>
        </xdr:cNvPr>
        <xdr:cNvSpPr>
          <a:spLocks noChangeShapeType="1"/>
        </xdr:cNvSpPr>
      </xdr:nvSpPr>
      <xdr:spPr bwMode="auto">
        <a:xfrm>
          <a:off x="1181100" y="438150"/>
          <a:ext cx="409575" cy="16287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1</xdr:col>
      <xdr:colOff>600075</xdr:colOff>
      <xdr:row>0</xdr:row>
      <xdr:rowOff>133350</xdr:rowOff>
    </xdr:from>
    <xdr:to>
      <xdr:col>2</xdr:col>
      <xdr:colOff>409575</xdr:colOff>
      <xdr:row>10</xdr:row>
      <xdr:rowOff>85725</xdr:rowOff>
    </xdr:to>
    <xdr:sp macro="" textlink="">
      <xdr:nvSpPr>
        <xdr:cNvPr id="9" name="Line 5">
          <a:extLst>
            <a:ext uri="{FF2B5EF4-FFF2-40B4-BE49-F238E27FC236}">
              <a16:creationId xmlns:a16="http://schemas.microsoft.com/office/drawing/2014/main" id="{A6BCEA4A-4E19-4CD7-B202-ADCA3964338F}"/>
            </a:ext>
          </a:extLst>
        </xdr:cNvPr>
        <xdr:cNvSpPr>
          <a:spLocks noChangeShapeType="1"/>
        </xdr:cNvSpPr>
      </xdr:nvSpPr>
      <xdr:spPr bwMode="auto">
        <a:xfrm>
          <a:off x="1181100" y="438150"/>
          <a:ext cx="409575" cy="16287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8</xdr:col>
      <xdr:colOff>647700</xdr:colOff>
      <xdr:row>4</xdr:row>
      <xdr:rowOff>0</xdr:rowOff>
    </xdr:from>
    <xdr:to>
      <xdr:col>9</xdr:col>
      <xdr:colOff>457200</xdr:colOff>
      <xdr:row>17</xdr:row>
      <xdr:rowOff>76200</xdr:rowOff>
    </xdr:to>
    <xdr:sp macro="" textlink="">
      <xdr:nvSpPr>
        <xdr:cNvPr id="10" name="Line 5">
          <a:extLst>
            <a:ext uri="{FF2B5EF4-FFF2-40B4-BE49-F238E27FC236}">
              <a16:creationId xmlns:a16="http://schemas.microsoft.com/office/drawing/2014/main" id="{F836954D-B1FE-4ACC-98C4-2BFAD304054A}"/>
            </a:ext>
          </a:extLst>
        </xdr:cNvPr>
        <xdr:cNvSpPr>
          <a:spLocks noChangeShapeType="1"/>
        </xdr:cNvSpPr>
      </xdr:nvSpPr>
      <xdr:spPr bwMode="auto">
        <a:xfrm>
          <a:off x="5495925" y="1495425"/>
          <a:ext cx="590550" cy="16287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50</xdr:row>
      <xdr:rowOff>171450</xdr:rowOff>
    </xdr:from>
    <xdr:to>
      <xdr:col>10</xdr:col>
      <xdr:colOff>38100</xdr:colOff>
      <xdr:row>71</xdr:row>
      <xdr:rowOff>142875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E2BA671E-33EA-4592-936F-068A89512F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9258300"/>
          <a:ext cx="5457825" cy="3400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518"/>
  <sheetViews>
    <sheetView tabSelected="1" topLeftCell="A16" zoomScale="80" zoomScaleNormal="80" workbookViewId="0">
      <selection activeCell="H19" sqref="H19"/>
    </sheetView>
  </sheetViews>
  <sheetFormatPr defaultRowHeight="12.75" x14ac:dyDescent="0.2"/>
  <cols>
    <col min="1" max="1" width="73.140625" bestFit="1" customWidth="1"/>
    <col min="3" max="3" width="13.42578125" bestFit="1" customWidth="1"/>
    <col min="5" max="5" width="15.5703125" bestFit="1" customWidth="1"/>
    <col min="6" max="6" width="14.28515625" bestFit="1" customWidth="1"/>
    <col min="7" max="7" width="9.140625" bestFit="1" customWidth="1"/>
    <col min="8" max="8" width="30.42578125" customWidth="1"/>
    <col min="9" max="9" width="8.42578125" bestFit="1" customWidth="1"/>
    <col min="10" max="10" width="63.42578125" customWidth="1"/>
    <col min="11" max="11" width="2.42578125" customWidth="1"/>
    <col min="12" max="12" width="13.42578125" bestFit="1" customWidth="1"/>
    <col min="13" max="13" width="13.42578125" customWidth="1"/>
    <col min="14" max="14" width="14" bestFit="1" customWidth="1"/>
    <col min="15" max="15" width="14.28515625" bestFit="1" customWidth="1"/>
    <col min="16" max="16" width="8.42578125" bestFit="1" customWidth="1"/>
    <col min="17" max="17" width="63.42578125" customWidth="1"/>
    <col min="18" max="18" width="3.28515625" customWidth="1"/>
    <col min="19" max="19" width="13.42578125" bestFit="1" customWidth="1"/>
    <col min="20" max="20" width="13.42578125" customWidth="1"/>
    <col min="21" max="21" width="14" bestFit="1" customWidth="1"/>
    <col min="22" max="22" width="12.28515625" bestFit="1" customWidth="1"/>
    <col min="23" max="23" width="11.5703125" bestFit="1" customWidth="1"/>
  </cols>
  <sheetData>
    <row r="1" spans="1:7" ht="23.25" x14ac:dyDescent="0.35">
      <c r="A1" s="31" t="s">
        <v>57</v>
      </c>
      <c r="B1" s="32"/>
      <c r="C1" s="33"/>
      <c r="D1" s="33"/>
      <c r="E1" s="33"/>
      <c r="F1" s="33"/>
      <c r="G1" s="34"/>
    </row>
    <row r="2" spans="1:7" ht="15.75" x14ac:dyDescent="0.25">
      <c r="A2" s="35" t="s">
        <v>166</v>
      </c>
      <c r="B2" s="36"/>
      <c r="C2" s="37"/>
      <c r="D2" s="37"/>
      <c r="E2" s="38"/>
      <c r="F2" s="38"/>
      <c r="G2" s="39"/>
    </row>
    <row r="3" spans="1:7" ht="15.75" x14ac:dyDescent="0.25">
      <c r="A3" s="40"/>
      <c r="B3" s="41"/>
      <c r="C3" s="38"/>
      <c r="D3" s="38"/>
      <c r="E3" s="38"/>
      <c r="F3" s="38"/>
      <c r="G3" s="39"/>
    </row>
    <row r="4" spans="1:7" ht="15" x14ac:dyDescent="0.2">
      <c r="A4" s="367" t="s">
        <v>21</v>
      </c>
      <c r="B4" s="368"/>
      <c r="C4" s="368"/>
      <c r="D4" s="368"/>
      <c r="E4" s="368"/>
      <c r="F4" s="368"/>
      <c r="G4" s="369"/>
    </row>
    <row r="5" spans="1:7" ht="15" x14ac:dyDescent="0.2">
      <c r="A5" s="42"/>
      <c r="B5" s="38"/>
      <c r="C5" s="38"/>
      <c r="D5" s="38"/>
      <c r="E5" s="38"/>
      <c r="F5" s="38"/>
      <c r="G5" s="39"/>
    </row>
    <row r="6" spans="1:7" ht="15.75" x14ac:dyDescent="0.25">
      <c r="A6" s="42"/>
      <c r="B6" s="38"/>
      <c r="C6" s="43"/>
      <c r="D6" s="43"/>
      <c r="E6" s="43" t="s">
        <v>13</v>
      </c>
      <c r="F6" s="43" t="s">
        <v>3</v>
      </c>
      <c r="G6" s="39"/>
    </row>
    <row r="7" spans="1:7" ht="15.75" x14ac:dyDescent="0.25">
      <c r="A7" s="42"/>
      <c r="B7" s="38"/>
      <c r="C7" s="44" t="s">
        <v>5</v>
      </c>
      <c r="D7" s="44"/>
      <c r="E7" s="44" t="s">
        <v>22</v>
      </c>
      <c r="F7" s="44" t="s">
        <v>6</v>
      </c>
      <c r="G7" s="39"/>
    </row>
    <row r="8" spans="1:7" ht="15.75" x14ac:dyDescent="0.25">
      <c r="A8" s="45" t="s">
        <v>167</v>
      </c>
      <c r="B8" s="36"/>
      <c r="C8" s="46"/>
      <c r="D8" s="46"/>
      <c r="E8" s="46"/>
      <c r="F8" s="46"/>
      <c r="G8" s="39"/>
    </row>
    <row r="9" spans="1:7" ht="15.75" x14ac:dyDescent="0.25">
      <c r="A9" s="42" t="s">
        <v>168</v>
      </c>
      <c r="B9" s="38"/>
      <c r="C9" s="47">
        <f>+'Res''l &amp; MF Customers'!C12+'Res''l &amp; MF Customers'!D12</f>
        <v>49322</v>
      </c>
      <c r="D9" s="47"/>
      <c r="E9" s="48">
        <f>+E77</f>
        <v>0.97</v>
      </c>
      <c r="F9" s="131">
        <f>C9*E9</f>
        <v>47842.34</v>
      </c>
      <c r="G9" s="39"/>
    </row>
    <row r="10" spans="1:7" ht="17.25" x14ac:dyDescent="0.35">
      <c r="A10" s="49" t="s">
        <v>169</v>
      </c>
      <c r="B10" s="50"/>
      <c r="C10" s="51">
        <f>SUM('Res''l &amp; MF Customers'!E12:N12)</f>
        <v>250128</v>
      </c>
      <c r="D10" s="51"/>
      <c r="E10" s="48">
        <f>+G95</f>
        <v>1.08</v>
      </c>
      <c r="F10" s="132">
        <f>C10*E10</f>
        <v>270138.23999999999</v>
      </c>
      <c r="G10" s="39"/>
    </row>
    <row r="11" spans="1:7" ht="18" x14ac:dyDescent="0.4">
      <c r="A11" s="179" t="s">
        <v>161</v>
      </c>
      <c r="B11" s="38"/>
      <c r="C11" s="269">
        <f>SUM(C9:C10)</f>
        <v>299450</v>
      </c>
      <c r="D11" s="270"/>
      <c r="E11" s="271"/>
      <c r="F11" s="268">
        <f>SUM(F9:F10)</f>
        <v>317980.57999999996</v>
      </c>
      <c r="G11" s="39"/>
    </row>
    <row r="12" spans="1:7" ht="15" x14ac:dyDescent="0.2">
      <c r="A12" s="42"/>
      <c r="B12" s="38"/>
      <c r="C12" s="38"/>
      <c r="D12" s="38"/>
      <c r="E12" s="38"/>
      <c r="F12" s="38"/>
      <c r="G12" s="39"/>
    </row>
    <row r="13" spans="1:7" ht="18" x14ac:dyDescent="0.4">
      <c r="A13" s="35" t="s">
        <v>155</v>
      </c>
      <c r="B13" s="38"/>
      <c r="C13" s="38"/>
      <c r="D13" s="38"/>
      <c r="E13" s="38"/>
      <c r="F13" s="268">
        <f>'Tons &amp; Revenue'!M139</f>
        <v>283604.17260645487</v>
      </c>
      <c r="G13" s="39"/>
    </row>
    <row r="14" spans="1:7" ht="18" x14ac:dyDescent="0.4">
      <c r="A14" s="35"/>
      <c r="B14" s="38"/>
      <c r="C14" s="38"/>
      <c r="D14" s="38"/>
      <c r="E14" s="38"/>
      <c r="F14" s="268"/>
      <c r="G14" s="39"/>
    </row>
    <row r="15" spans="1:7" ht="17.25" x14ac:dyDescent="0.35">
      <c r="A15" s="49" t="s">
        <v>186</v>
      </c>
      <c r="B15" s="263"/>
      <c r="C15" s="263"/>
      <c r="D15" s="263"/>
      <c r="E15" s="263"/>
      <c r="F15" s="358">
        <f>+F13*50%</f>
        <v>141802.08630322744</v>
      </c>
      <c r="G15" s="39"/>
    </row>
    <row r="16" spans="1:7" ht="17.25" x14ac:dyDescent="0.35">
      <c r="A16" s="49"/>
      <c r="B16" s="263"/>
      <c r="C16" s="263"/>
      <c r="D16" s="263"/>
      <c r="E16" s="263"/>
      <c r="F16" s="358"/>
      <c r="G16" s="39"/>
    </row>
    <row r="17" spans="1:8" ht="17.25" x14ac:dyDescent="0.35">
      <c r="A17" s="49" t="s">
        <v>279</v>
      </c>
      <c r="B17" s="263"/>
      <c r="C17" s="263"/>
      <c r="D17" s="263"/>
      <c r="E17" s="263"/>
      <c r="F17" s="267">
        <f>-'Budget vs Actual'!F34</f>
        <v>685.61155927769141</v>
      </c>
      <c r="G17" s="39"/>
    </row>
    <row r="18" spans="1:8" ht="17.25" x14ac:dyDescent="0.35">
      <c r="A18" s="49"/>
      <c r="B18" s="263"/>
      <c r="C18" s="263"/>
      <c r="D18" s="263"/>
      <c r="E18" s="263"/>
      <c r="F18" s="267"/>
      <c r="G18" s="39"/>
    </row>
    <row r="19" spans="1:8" s="1" customFormat="1" ht="15.75" x14ac:dyDescent="0.25">
      <c r="A19" s="179" t="s">
        <v>24</v>
      </c>
      <c r="B19" s="359"/>
      <c r="C19" s="359"/>
      <c r="D19" s="359"/>
      <c r="E19" s="359"/>
      <c r="F19" s="181">
        <f>F13-F11-F15+F17</f>
        <v>-175492.88213749483</v>
      </c>
      <c r="G19" s="360"/>
      <c r="H19" s="366"/>
    </row>
    <row r="20" spans="1:8" ht="15" x14ac:dyDescent="0.2">
      <c r="A20" s="42"/>
      <c r="B20" s="38"/>
      <c r="C20" s="38"/>
      <c r="D20" s="38"/>
      <c r="E20" s="38"/>
      <c r="F20" s="266"/>
      <c r="G20" s="39"/>
    </row>
    <row r="21" spans="1:8" ht="15" x14ac:dyDescent="0.2">
      <c r="A21" s="42" t="s">
        <v>25</v>
      </c>
      <c r="B21" s="38"/>
      <c r="C21" s="38"/>
      <c r="D21" s="38"/>
      <c r="E21" s="38"/>
      <c r="F21" s="47">
        <f>+F31</f>
        <v>299450</v>
      </c>
      <c r="G21" s="39"/>
    </row>
    <row r="22" spans="1:8" ht="15" x14ac:dyDescent="0.2">
      <c r="A22" s="42"/>
      <c r="B22" s="38"/>
      <c r="C22" s="38"/>
      <c r="D22" s="38"/>
      <c r="E22" s="38"/>
      <c r="F22" s="38"/>
      <c r="G22" s="39"/>
    </row>
    <row r="23" spans="1:8" ht="15" x14ac:dyDescent="0.2">
      <c r="A23" s="42" t="s">
        <v>26</v>
      </c>
      <c r="B23" s="38"/>
      <c r="C23" s="38"/>
      <c r="D23" s="38"/>
      <c r="E23" s="38"/>
      <c r="F23" s="61"/>
      <c r="G23" s="52">
        <f>ROUND(F19/F21,2)</f>
        <v>-0.59</v>
      </c>
    </row>
    <row r="24" spans="1:8" ht="15" x14ac:dyDescent="0.2">
      <c r="A24" s="42"/>
      <c r="B24" s="38"/>
      <c r="C24" s="38"/>
      <c r="D24" s="38"/>
      <c r="E24" s="38"/>
      <c r="F24" s="38"/>
      <c r="G24" s="52"/>
    </row>
    <row r="25" spans="1:8" ht="15" x14ac:dyDescent="0.2">
      <c r="A25" s="42"/>
      <c r="B25" s="38"/>
      <c r="C25" s="38"/>
      <c r="D25" s="38"/>
      <c r="E25" s="38"/>
      <c r="F25" s="38"/>
      <c r="G25" s="52"/>
    </row>
    <row r="26" spans="1:8" ht="15" x14ac:dyDescent="0.2">
      <c r="A26" s="42"/>
      <c r="B26" s="38"/>
      <c r="C26" s="38"/>
      <c r="D26" s="38"/>
      <c r="E26" s="38"/>
      <c r="F26" s="38"/>
      <c r="G26" s="52"/>
    </row>
    <row r="27" spans="1:8" ht="15.75" x14ac:dyDescent="0.25">
      <c r="A27" s="151" t="s">
        <v>170</v>
      </c>
      <c r="B27" s="36"/>
      <c r="C27" s="38"/>
      <c r="D27" s="38"/>
      <c r="E27" s="38"/>
      <c r="F27" s="163">
        <f>SUM('Tons &amp; Revenue'!M133:M138)*2</f>
        <v>318358.59542120708</v>
      </c>
      <c r="G27" s="52"/>
    </row>
    <row r="28" spans="1:8" ht="17.25" x14ac:dyDescent="0.35">
      <c r="A28" s="49" t="s">
        <v>160</v>
      </c>
      <c r="B28" s="36"/>
      <c r="C28" s="38"/>
      <c r="D28" s="38"/>
      <c r="E28" s="176">
        <v>0.5</v>
      </c>
      <c r="F28" s="177">
        <f>-F27*E28</f>
        <v>-159179.29771060354</v>
      </c>
      <c r="G28" s="52"/>
    </row>
    <row r="29" spans="1:8" ht="20.25" x14ac:dyDescent="0.55000000000000004">
      <c r="A29" s="49"/>
      <c r="B29" s="36"/>
      <c r="C29" s="38"/>
      <c r="D29" s="38"/>
      <c r="E29" s="176"/>
      <c r="F29" s="178">
        <f>+F28+F27</f>
        <v>159179.29771060354</v>
      </c>
      <c r="G29" s="52"/>
    </row>
    <row r="30" spans="1:8" ht="17.25" x14ac:dyDescent="0.35">
      <c r="A30" s="49"/>
      <c r="B30" s="36"/>
      <c r="C30" s="38"/>
      <c r="D30" s="38"/>
      <c r="E30" s="176"/>
      <c r="F30" s="177"/>
      <c r="G30" s="52"/>
    </row>
    <row r="31" spans="1:8" ht="17.25" x14ac:dyDescent="0.35">
      <c r="A31" s="42" t="s">
        <v>162</v>
      </c>
      <c r="B31" s="38"/>
      <c r="C31" s="38"/>
      <c r="D31" s="38"/>
      <c r="E31" s="38"/>
      <c r="F31" s="164">
        <f>+C11</f>
        <v>299450</v>
      </c>
      <c r="G31" s="52"/>
    </row>
    <row r="32" spans="1:8" ht="17.25" x14ac:dyDescent="0.35">
      <c r="A32" s="42" t="s">
        <v>105</v>
      </c>
      <c r="B32" s="38"/>
      <c r="C32" s="38"/>
      <c r="D32" s="38"/>
      <c r="E32" s="38"/>
      <c r="F32" s="38"/>
      <c r="G32" s="55">
        <f>ROUND(+F27/F31,2)</f>
        <v>1.06</v>
      </c>
    </row>
    <row r="33" spans="1:7" ht="15" x14ac:dyDescent="0.2">
      <c r="A33" s="42"/>
      <c r="B33" s="38"/>
      <c r="C33" s="38"/>
      <c r="D33" s="38"/>
      <c r="E33" s="38"/>
      <c r="F33" s="38"/>
      <c r="G33" s="52"/>
    </row>
    <row r="34" spans="1:7" ht="18" x14ac:dyDescent="0.4">
      <c r="A34" s="35" t="s">
        <v>28</v>
      </c>
      <c r="B34" s="36"/>
      <c r="C34" s="38"/>
      <c r="D34" s="38"/>
      <c r="E34" s="38"/>
      <c r="F34" s="38"/>
      <c r="G34" s="183">
        <f>SUM(G23:G32)</f>
        <v>0.47000000000000008</v>
      </c>
    </row>
    <row r="35" spans="1:7" ht="15.75" x14ac:dyDescent="0.25">
      <c r="A35" s="35"/>
      <c r="B35" s="36"/>
      <c r="C35" s="38"/>
      <c r="D35" s="38"/>
      <c r="E35" s="38"/>
      <c r="F35" s="38"/>
      <c r="G35" s="150"/>
    </row>
    <row r="36" spans="1:7" ht="13.5" thickBot="1" x14ac:dyDescent="0.25">
      <c r="A36" s="19"/>
      <c r="B36" s="20"/>
      <c r="C36" s="20"/>
      <c r="D36" s="20"/>
      <c r="E36" s="20"/>
      <c r="F36" s="20"/>
      <c r="G36" s="21"/>
    </row>
    <row r="37" spans="1:7" ht="15" x14ac:dyDescent="0.2">
      <c r="A37" s="370" t="s">
        <v>29</v>
      </c>
      <c r="B37" s="371"/>
      <c r="C37" s="371"/>
      <c r="D37" s="371"/>
      <c r="E37" s="371"/>
      <c r="F37" s="371"/>
      <c r="G37" s="372"/>
    </row>
    <row r="38" spans="1:7" ht="15" x14ac:dyDescent="0.2">
      <c r="A38" s="49"/>
      <c r="B38" s="50"/>
      <c r="C38" s="50"/>
      <c r="D38" s="50"/>
      <c r="E38" s="50"/>
      <c r="F38" s="50"/>
      <c r="G38" s="64"/>
    </row>
    <row r="39" spans="1:7" ht="15.75" x14ac:dyDescent="0.25">
      <c r="A39" s="49"/>
      <c r="B39" s="50"/>
      <c r="C39" s="43"/>
      <c r="D39" s="43"/>
      <c r="E39" s="43" t="s">
        <v>13</v>
      </c>
      <c r="F39" s="43" t="s">
        <v>3</v>
      </c>
      <c r="G39" s="64"/>
    </row>
    <row r="40" spans="1:7" ht="15.75" x14ac:dyDescent="0.25">
      <c r="A40" s="49"/>
      <c r="B40" s="50"/>
      <c r="C40" s="65" t="s">
        <v>20</v>
      </c>
      <c r="D40" s="65"/>
      <c r="E40" s="65" t="s">
        <v>22</v>
      </c>
      <c r="F40" s="65" t="s">
        <v>6</v>
      </c>
      <c r="G40" s="64"/>
    </row>
    <row r="41" spans="1:7" ht="15.75" x14ac:dyDescent="0.25">
      <c r="A41" s="45" t="s">
        <v>167</v>
      </c>
      <c r="B41" s="36"/>
      <c r="C41" s="66"/>
      <c r="D41" s="66"/>
      <c r="E41" s="66"/>
      <c r="F41" s="66"/>
      <c r="G41" s="64"/>
    </row>
    <row r="42" spans="1:7" ht="15.75" x14ac:dyDescent="0.25">
      <c r="A42" s="42" t="s">
        <v>168</v>
      </c>
      <c r="B42" s="50"/>
      <c r="C42" s="67">
        <f>+'Res''l &amp; MF Customers'!C25+'Res''l &amp; MF Customers'!D25</f>
        <v>4161.9615384615381</v>
      </c>
      <c r="D42" s="67"/>
      <c r="E42" s="68">
        <f>+E106</f>
        <v>0.18</v>
      </c>
      <c r="F42" s="54">
        <f>E42*C42</f>
        <v>749.15307692307681</v>
      </c>
      <c r="G42" s="64"/>
    </row>
    <row r="43" spans="1:7" ht="17.25" x14ac:dyDescent="0.35">
      <c r="A43" s="49" t="s">
        <v>169</v>
      </c>
      <c r="B43" s="50"/>
      <c r="C43" s="51">
        <f>SUM('Res''l &amp; MF Customers'!E25:N25)</f>
        <v>20883.428571428576</v>
      </c>
      <c r="D43" s="51"/>
      <c r="E43" s="68">
        <f>+G124</f>
        <v>0.21</v>
      </c>
      <c r="F43" s="132">
        <f>E43*C43</f>
        <v>4385.5200000000004</v>
      </c>
      <c r="G43" s="64"/>
    </row>
    <row r="44" spans="1:7" ht="18" x14ac:dyDescent="0.4">
      <c r="A44" s="42" t="s">
        <v>3</v>
      </c>
      <c r="B44" s="50"/>
      <c r="C44" s="272">
        <f>SUM(C42:C43)</f>
        <v>25045.390109890115</v>
      </c>
      <c r="D44" s="272"/>
      <c r="E44" s="273"/>
      <c r="F44" s="274">
        <f>SUM(F42:F43)</f>
        <v>5134.6730769230771</v>
      </c>
      <c r="G44" s="64"/>
    </row>
    <row r="45" spans="1:7" ht="15" x14ac:dyDescent="0.2">
      <c r="A45" s="42"/>
      <c r="B45" s="50"/>
      <c r="C45" s="50"/>
      <c r="D45" s="50"/>
      <c r="E45" s="50"/>
      <c r="F45" s="54"/>
      <c r="G45" s="64"/>
    </row>
    <row r="46" spans="1:7" ht="18" x14ac:dyDescent="0.4">
      <c r="A46" s="35" t="s">
        <v>155</v>
      </c>
      <c r="B46" s="38"/>
      <c r="C46" s="38"/>
      <c r="D46" s="38"/>
      <c r="E46" s="38"/>
      <c r="F46" s="268">
        <f>+'Tons &amp; Revenue'!M123</f>
        <v>3881.0505121004967</v>
      </c>
      <c r="G46" s="64"/>
    </row>
    <row r="47" spans="1:7" ht="15.75" x14ac:dyDescent="0.25">
      <c r="A47" s="35"/>
      <c r="B47" s="38"/>
      <c r="C47" s="38"/>
      <c r="D47" s="38"/>
      <c r="E47" s="38"/>
      <c r="F47" s="131"/>
      <c r="G47" s="64"/>
    </row>
    <row r="48" spans="1:7" ht="20.25" x14ac:dyDescent="0.55000000000000004">
      <c r="A48" s="35" t="s">
        <v>186</v>
      </c>
      <c r="B48" s="38"/>
      <c r="C48" s="38"/>
      <c r="D48" s="38"/>
      <c r="E48" s="38"/>
      <c r="F48" s="275">
        <f>F46*50%</f>
        <v>1940.5252560502483</v>
      </c>
      <c r="G48" s="64"/>
    </row>
    <row r="49" spans="1:7" ht="17.25" x14ac:dyDescent="0.35">
      <c r="A49" s="35"/>
      <c r="B49" s="38"/>
      <c r="C49" s="38"/>
      <c r="D49" s="38"/>
      <c r="E49" s="38"/>
      <c r="F49" s="133"/>
      <c r="G49" s="64"/>
    </row>
    <row r="50" spans="1:7" ht="15" x14ac:dyDescent="0.2">
      <c r="A50" s="42" t="s">
        <v>24</v>
      </c>
      <c r="B50" s="38"/>
      <c r="C50" s="38"/>
      <c r="D50" s="38"/>
      <c r="E50" s="38"/>
      <c r="F50" s="47">
        <f>F48-F44</f>
        <v>-3194.1478208728286</v>
      </c>
      <c r="G50" s="64"/>
    </row>
    <row r="51" spans="1:7" ht="17.25" x14ac:dyDescent="0.35">
      <c r="A51" s="42"/>
      <c r="B51" s="38"/>
      <c r="C51" s="130"/>
      <c r="D51" s="38"/>
      <c r="E51" s="38"/>
      <c r="F51" s="133"/>
      <c r="G51" s="64"/>
    </row>
    <row r="52" spans="1:7" ht="15" x14ac:dyDescent="0.2">
      <c r="A52" s="42" t="s">
        <v>25</v>
      </c>
      <c r="B52" s="50"/>
      <c r="C52" s="50"/>
      <c r="D52" s="50"/>
      <c r="E52" s="50"/>
      <c r="F52" s="67">
        <f>+F62</f>
        <v>25045.390109890115</v>
      </c>
      <c r="G52" s="64"/>
    </row>
    <row r="53" spans="1:7" ht="15" x14ac:dyDescent="0.2">
      <c r="A53" s="42"/>
      <c r="B53" s="50"/>
      <c r="C53" s="50"/>
      <c r="D53" s="50"/>
      <c r="E53" s="50"/>
      <c r="F53" s="50"/>
      <c r="G53" s="64"/>
    </row>
    <row r="54" spans="1:7" ht="15" x14ac:dyDescent="0.2">
      <c r="A54" s="42" t="s">
        <v>26</v>
      </c>
      <c r="B54" s="50"/>
      <c r="C54" s="50"/>
      <c r="D54" s="50"/>
      <c r="E54" s="50"/>
      <c r="F54" s="50"/>
      <c r="G54" s="52">
        <f>ROUND(F50/F52,2)</f>
        <v>-0.13</v>
      </c>
    </row>
    <row r="55" spans="1:7" ht="15" x14ac:dyDescent="0.2">
      <c r="A55" s="42"/>
      <c r="B55" s="50"/>
      <c r="C55" s="50"/>
      <c r="D55" s="50"/>
      <c r="E55" s="50"/>
      <c r="F55" s="50"/>
      <c r="G55" s="70"/>
    </row>
    <row r="56" spans="1:7" ht="15" x14ac:dyDescent="0.2">
      <c r="A56" s="42"/>
      <c r="B56" s="50"/>
      <c r="C56" s="50"/>
      <c r="D56" s="50"/>
      <c r="E56" s="50"/>
      <c r="F56" s="67"/>
      <c r="G56" s="64"/>
    </row>
    <row r="57" spans="1:7" ht="15.75" x14ac:dyDescent="0.25">
      <c r="A57" s="42"/>
      <c r="B57" s="36"/>
      <c r="C57" s="50"/>
      <c r="D57" s="50"/>
      <c r="E57" s="50"/>
      <c r="F57" s="67"/>
      <c r="G57" s="64"/>
    </row>
    <row r="58" spans="1:7" ht="15.75" x14ac:dyDescent="0.25">
      <c r="A58" s="151" t="s">
        <v>170</v>
      </c>
      <c r="B58" s="50"/>
      <c r="C58" s="50"/>
      <c r="D58" s="50"/>
      <c r="E58" s="50"/>
      <c r="F58" s="165">
        <f>+SUM('Tons &amp; Revenue'!M117:M122)*2</f>
        <v>4356.6558927382621</v>
      </c>
      <c r="G58" s="64"/>
    </row>
    <row r="59" spans="1:7" ht="17.25" x14ac:dyDescent="0.35">
      <c r="A59" s="49" t="s">
        <v>160</v>
      </c>
      <c r="B59" s="36"/>
      <c r="C59" s="38"/>
      <c r="D59" s="38"/>
      <c r="E59" s="176">
        <v>0.5</v>
      </c>
      <c r="F59" s="177">
        <f>-F58*E59</f>
        <v>-2178.327946369131</v>
      </c>
      <c r="G59" s="52"/>
    </row>
    <row r="60" spans="1:7" ht="20.25" x14ac:dyDescent="0.55000000000000004">
      <c r="A60" s="49"/>
      <c r="B60" s="36"/>
      <c r="C60" s="38"/>
      <c r="D60" s="38"/>
      <c r="E60" s="176"/>
      <c r="F60" s="178">
        <f>+F59+F58</f>
        <v>2178.327946369131</v>
      </c>
      <c r="G60" s="52"/>
    </row>
    <row r="61" spans="1:7" ht="17.25" x14ac:dyDescent="0.35">
      <c r="A61" s="49"/>
      <c r="B61" s="36"/>
      <c r="C61" s="38"/>
      <c r="D61" s="38"/>
      <c r="E61" s="176"/>
      <c r="F61" s="177"/>
      <c r="G61" s="52"/>
    </row>
    <row r="62" spans="1:7" ht="17.25" x14ac:dyDescent="0.35">
      <c r="A62" s="42" t="s">
        <v>162</v>
      </c>
      <c r="B62" s="38"/>
      <c r="C62" s="38"/>
      <c r="D62" s="38"/>
      <c r="E62" s="38"/>
      <c r="F62" s="164">
        <f>+C44</f>
        <v>25045.390109890115</v>
      </c>
      <c r="G62" s="52"/>
    </row>
    <row r="63" spans="1:7" ht="17.25" x14ac:dyDescent="0.35">
      <c r="A63" s="42" t="s">
        <v>105</v>
      </c>
      <c r="B63" s="38"/>
      <c r="C63" s="38"/>
      <c r="D63" s="38"/>
      <c r="E63" s="38"/>
      <c r="F63" s="38"/>
      <c r="G63" s="55">
        <f>ROUND(+F58/F62,2)</f>
        <v>0.17</v>
      </c>
    </row>
    <row r="64" spans="1:7" ht="15" x14ac:dyDescent="0.2">
      <c r="A64" s="42"/>
      <c r="B64" s="38"/>
      <c r="C64" s="38"/>
      <c r="D64" s="38"/>
      <c r="E64" s="38"/>
      <c r="F64" s="38"/>
      <c r="G64" s="52"/>
    </row>
    <row r="65" spans="1:8" ht="18" x14ac:dyDescent="0.4">
      <c r="A65" s="35" t="s">
        <v>134</v>
      </c>
      <c r="B65" s="36"/>
      <c r="C65" s="38"/>
      <c r="D65" s="38"/>
      <c r="E65" s="38"/>
      <c r="F65" s="38"/>
      <c r="G65" s="183">
        <f>SUM(G54:G63)</f>
        <v>4.0000000000000008E-2</v>
      </c>
    </row>
    <row r="66" spans="1:8" ht="16.5" thickBot="1" x14ac:dyDescent="0.3">
      <c r="A66" s="276"/>
      <c r="B66" s="277"/>
      <c r="C66" s="278"/>
      <c r="D66" s="278"/>
      <c r="E66" s="278"/>
      <c r="F66" s="278"/>
      <c r="G66" s="279"/>
    </row>
    <row r="67" spans="1:8" ht="13.5" thickBot="1" x14ac:dyDescent="0.25"/>
    <row r="68" spans="1:8" ht="23.25" x14ac:dyDescent="0.35">
      <c r="A68" s="31" t="s">
        <v>57</v>
      </c>
      <c r="B68" s="32"/>
      <c r="C68" s="33"/>
      <c r="D68" s="33"/>
      <c r="E68" s="33"/>
      <c r="F68" s="33"/>
      <c r="G68" s="34"/>
    </row>
    <row r="69" spans="1:8" ht="15.75" x14ac:dyDescent="0.25">
      <c r="A69" s="35" t="s">
        <v>104</v>
      </c>
      <c r="B69" s="36"/>
      <c r="C69" s="37"/>
      <c r="D69" s="37"/>
      <c r="E69" s="38"/>
      <c r="F69" s="38"/>
      <c r="G69" s="39"/>
    </row>
    <row r="70" spans="1:8" ht="15.75" x14ac:dyDescent="0.25">
      <c r="A70" s="40"/>
      <c r="B70" s="41"/>
      <c r="C70" s="38"/>
      <c r="D70" s="38"/>
      <c r="E70" s="38"/>
      <c r="F70" s="38"/>
      <c r="G70" s="39"/>
    </row>
    <row r="71" spans="1:8" ht="15" x14ac:dyDescent="0.2">
      <c r="A71" s="367" t="s">
        <v>21</v>
      </c>
      <c r="B71" s="368"/>
      <c r="C71" s="368"/>
      <c r="D71" s="368"/>
      <c r="E71" s="368"/>
      <c r="F71" s="368"/>
      <c r="G71" s="369"/>
    </row>
    <row r="72" spans="1:8" ht="15" x14ac:dyDescent="0.2">
      <c r="A72" s="42"/>
      <c r="B72" s="38"/>
      <c r="C72" s="38"/>
      <c r="D72" s="38"/>
      <c r="E72" s="38"/>
      <c r="F72" s="38"/>
      <c r="G72" s="39"/>
    </row>
    <row r="73" spans="1:8" ht="15.75" x14ac:dyDescent="0.25">
      <c r="A73" s="42"/>
      <c r="B73" s="38"/>
      <c r="C73" s="43"/>
      <c r="D73" s="43"/>
      <c r="E73" s="43" t="s">
        <v>13</v>
      </c>
      <c r="F73" s="43" t="s">
        <v>3</v>
      </c>
      <c r="G73" s="39"/>
    </row>
    <row r="74" spans="1:8" ht="15.75" x14ac:dyDescent="0.25">
      <c r="A74" s="42"/>
      <c r="B74" s="38"/>
      <c r="C74" s="44" t="s">
        <v>5</v>
      </c>
      <c r="D74" s="44"/>
      <c r="E74" s="44" t="s">
        <v>22</v>
      </c>
      <c r="F74" s="44" t="s">
        <v>6</v>
      </c>
      <c r="G74" s="39"/>
    </row>
    <row r="75" spans="1:8" ht="15.75" x14ac:dyDescent="0.25">
      <c r="A75" s="45" t="s">
        <v>159</v>
      </c>
      <c r="B75" s="36"/>
      <c r="C75" s="46"/>
      <c r="D75" s="46"/>
      <c r="E75" s="46"/>
      <c r="F75" s="46"/>
      <c r="G75" s="39"/>
    </row>
    <row r="76" spans="1:8" ht="15.75" x14ac:dyDescent="0.25">
      <c r="A76" s="42" t="s">
        <v>163</v>
      </c>
      <c r="B76" s="38"/>
      <c r="C76" s="47">
        <v>46369</v>
      </c>
      <c r="D76" s="47"/>
      <c r="E76" s="48">
        <v>1.7</v>
      </c>
      <c r="F76" s="131">
        <f>C76*E76</f>
        <v>78827.3</v>
      </c>
      <c r="G76" s="39"/>
    </row>
    <row r="77" spans="1:8" ht="17.25" x14ac:dyDescent="0.35">
      <c r="A77" s="49" t="s">
        <v>164</v>
      </c>
      <c r="B77" s="50"/>
      <c r="C77" s="51">
        <v>94573</v>
      </c>
      <c r="D77" s="51"/>
      <c r="E77" s="48">
        <v>0.97</v>
      </c>
      <c r="F77" s="132">
        <f>C77*E77</f>
        <v>91735.81</v>
      </c>
      <c r="G77" s="39"/>
      <c r="H77" s="63"/>
    </row>
    <row r="78" spans="1:8" ht="17.25" x14ac:dyDescent="0.35">
      <c r="A78" s="179" t="s">
        <v>161</v>
      </c>
      <c r="B78" s="38"/>
      <c r="C78" s="180">
        <f>SUM(C76:C77)</f>
        <v>140942</v>
      </c>
      <c r="D78" s="51"/>
      <c r="E78" s="38"/>
      <c r="F78" s="181">
        <f>SUM(F76:F77)</f>
        <v>170563.11</v>
      </c>
      <c r="G78" s="39"/>
      <c r="H78" s="158"/>
    </row>
    <row r="79" spans="1:8" ht="15" x14ac:dyDescent="0.2">
      <c r="A79" s="42"/>
      <c r="B79" s="38"/>
      <c r="C79" s="38"/>
      <c r="D79" s="38"/>
      <c r="E79" s="38"/>
      <c r="F79" s="38"/>
      <c r="G79" s="39"/>
    </row>
    <row r="80" spans="1:8" ht="15.75" x14ac:dyDescent="0.25">
      <c r="A80" s="35" t="s">
        <v>155</v>
      </c>
      <c r="B80" s="38"/>
      <c r="C80" s="38"/>
      <c r="D80" s="38"/>
      <c r="E80" s="38"/>
      <c r="F80" s="131">
        <v>159522</v>
      </c>
      <c r="G80" s="39"/>
    </row>
    <row r="81" spans="1:7" ht="15.75" x14ac:dyDescent="0.25">
      <c r="A81" s="35" t="s">
        <v>186</v>
      </c>
      <c r="B81" s="263"/>
      <c r="C81" s="263"/>
      <c r="D81" s="263"/>
      <c r="E81" s="263"/>
      <c r="F81" s="264">
        <f>F80*50%</f>
        <v>79761</v>
      </c>
      <c r="G81" s="39"/>
    </row>
    <row r="82" spans="1:7" ht="15" x14ac:dyDescent="0.2">
      <c r="A82" s="42" t="s">
        <v>24</v>
      </c>
      <c r="B82" s="38"/>
      <c r="C82" s="38"/>
      <c r="D82" s="38"/>
      <c r="E82" s="38"/>
      <c r="F82" s="47">
        <f>F80-F78-F81</f>
        <v>-90802.109999999986</v>
      </c>
      <c r="G82" s="39"/>
    </row>
    <row r="83" spans="1:7" ht="17.25" x14ac:dyDescent="0.35">
      <c r="A83" s="42"/>
      <c r="B83" s="38"/>
      <c r="C83" s="130"/>
      <c r="D83" s="38"/>
      <c r="E83" s="38"/>
      <c r="F83" s="133"/>
      <c r="G83" s="39"/>
    </row>
    <row r="84" spans="1:7" ht="15" x14ac:dyDescent="0.2">
      <c r="A84" s="42" t="s">
        <v>25</v>
      </c>
      <c r="B84" s="38"/>
      <c r="C84" s="38"/>
      <c r="D84" s="38"/>
      <c r="E84" s="38"/>
      <c r="F84" s="47">
        <f>+F94</f>
        <v>294660</v>
      </c>
      <c r="G84" s="39"/>
    </row>
    <row r="85" spans="1:7" ht="15" x14ac:dyDescent="0.2">
      <c r="A85" s="42"/>
      <c r="B85" s="38"/>
      <c r="C85" s="38"/>
      <c r="D85" s="38"/>
      <c r="E85" s="38"/>
      <c r="F85" s="38"/>
      <c r="G85" s="39"/>
    </row>
    <row r="86" spans="1:7" ht="15" x14ac:dyDescent="0.2">
      <c r="A86" s="42" t="s">
        <v>26</v>
      </c>
      <c r="B86" s="38"/>
      <c r="C86" s="38"/>
      <c r="D86" s="38"/>
      <c r="E86" s="38"/>
      <c r="F86" s="61"/>
      <c r="G86" s="52">
        <f>ROUND(F82/F84,2)</f>
        <v>-0.31</v>
      </c>
    </row>
    <row r="87" spans="1:7" ht="15" x14ac:dyDescent="0.2">
      <c r="A87" s="42"/>
      <c r="B87" s="38"/>
      <c r="C87" s="38"/>
      <c r="D87" s="38"/>
      <c r="E87" s="38"/>
      <c r="F87" s="38"/>
      <c r="G87" s="52"/>
    </row>
    <row r="88" spans="1:7" ht="15" x14ac:dyDescent="0.2">
      <c r="A88" s="42"/>
      <c r="B88" s="38"/>
      <c r="C88" s="38"/>
      <c r="D88" s="38"/>
      <c r="E88" s="38"/>
      <c r="F88" s="38"/>
      <c r="G88" s="52"/>
    </row>
    <row r="89" spans="1:7" ht="15" x14ac:dyDescent="0.2">
      <c r="A89" s="42"/>
      <c r="B89" s="38"/>
      <c r="C89" s="38"/>
      <c r="D89" s="38"/>
      <c r="E89" s="38"/>
      <c r="F89" s="38"/>
      <c r="G89" s="52"/>
    </row>
    <row r="90" spans="1:7" ht="15.75" x14ac:dyDescent="0.25">
      <c r="A90" s="151" t="s">
        <v>165</v>
      </c>
      <c r="B90" s="36"/>
      <c r="C90" s="38"/>
      <c r="D90" s="38"/>
      <c r="E90" s="38"/>
      <c r="F90" s="163">
        <v>319043.89435762784</v>
      </c>
      <c r="G90" s="52"/>
    </row>
    <row r="91" spans="1:7" ht="17.25" x14ac:dyDescent="0.35">
      <c r="A91" s="49" t="s">
        <v>160</v>
      </c>
      <c r="B91" s="36"/>
      <c r="C91" s="38"/>
      <c r="D91" s="38"/>
      <c r="E91" s="176">
        <v>0.5</v>
      </c>
      <c r="F91" s="177">
        <f>-F90*E91</f>
        <v>-159521.94717881392</v>
      </c>
      <c r="G91" s="52"/>
    </row>
    <row r="92" spans="1:7" ht="20.25" x14ac:dyDescent="0.55000000000000004">
      <c r="A92" s="49"/>
      <c r="B92" s="36"/>
      <c r="C92" s="38"/>
      <c r="D92" s="38"/>
      <c r="E92" s="176"/>
      <c r="F92" s="178">
        <f>+F91+F90</f>
        <v>159521.94717881392</v>
      </c>
      <c r="G92" s="52"/>
    </row>
    <row r="93" spans="1:7" ht="17.25" x14ac:dyDescent="0.35">
      <c r="A93" s="49"/>
      <c r="B93" s="36"/>
      <c r="C93" s="38"/>
      <c r="D93" s="38"/>
      <c r="E93" s="176"/>
      <c r="F93" s="177"/>
      <c r="G93" s="52"/>
    </row>
    <row r="94" spans="1:7" ht="17.25" x14ac:dyDescent="0.35">
      <c r="A94" s="42" t="s">
        <v>162</v>
      </c>
      <c r="B94" s="38"/>
      <c r="C94" s="38"/>
      <c r="D94" s="38"/>
      <c r="E94" s="38"/>
      <c r="F94" s="164">
        <v>294660</v>
      </c>
      <c r="G94" s="52"/>
    </row>
    <row r="95" spans="1:7" ht="17.25" x14ac:dyDescent="0.35">
      <c r="A95" s="42" t="s">
        <v>105</v>
      </c>
      <c r="B95" s="38"/>
      <c r="C95" s="38"/>
      <c r="D95" s="38"/>
      <c r="E95" s="38"/>
      <c r="F95" s="38"/>
      <c r="G95" s="55">
        <f>ROUND(+F90/F94,2)</f>
        <v>1.08</v>
      </c>
    </row>
    <row r="96" spans="1:7" ht="15" x14ac:dyDescent="0.2">
      <c r="A96" s="42"/>
      <c r="B96" s="38"/>
      <c r="C96" s="38"/>
      <c r="D96" s="38"/>
      <c r="E96" s="38"/>
      <c r="F96" s="38"/>
      <c r="G96" s="52"/>
    </row>
    <row r="97" spans="1:9" ht="18" x14ac:dyDescent="0.4">
      <c r="A97" s="35" t="s">
        <v>28</v>
      </c>
      <c r="B97" s="36"/>
      <c r="C97" s="38"/>
      <c r="D97" s="38"/>
      <c r="E97" s="38"/>
      <c r="F97" s="38"/>
      <c r="G97" s="183">
        <f>SUM(G86:G95)</f>
        <v>0.77</v>
      </c>
      <c r="I97" s="159"/>
    </row>
    <row r="98" spans="1:9" ht="15.75" x14ac:dyDescent="0.25">
      <c r="A98" s="35"/>
      <c r="B98" s="36"/>
      <c r="C98" s="38"/>
      <c r="D98" s="38"/>
      <c r="E98" s="38"/>
      <c r="F98" s="38"/>
      <c r="G98" s="150"/>
    </row>
    <row r="99" spans="1:9" ht="13.5" thickBot="1" x14ac:dyDescent="0.25">
      <c r="A99" s="19"/>
      <c r="B99" s="20"/>
      <c r="C99" s="20"/>
      <c r="D99" s="20"/>
      <c r="E99" s="20"/>
      <c r="F99" s="20"/>
      <c r="G99" s="21"/>
    </row>
    <row r="100" spans="1:9" ht="15" x14ac:dyDescent="0.2">
      <c r="A100" s="367" t="s">
        <v>29</v>
      </c>
      <c r="B100" s="368"/>
      <c r="C100" s="368"/>
      <c r="D100" s="368"/>
      <c r="E100" s="368"/>
      <c r="F100" s="368"/>
      <c r="G100" s="369"/>
    </row>
    <row r="101" spans="1:9" ht="15" x14ac:dyDescent="0.2">
      <c r="A101" s="49"/>
      <c r="B101" s="50"/>
      <c r="C101" s="50"/>
      <c r="D101" s="50"/>
      <c r="E101" s="50"/>
      <c r="F101" s="50"/>
      <c r="G101" s="64"/>
    </row>
    <row r="102" spans="1:9" ht="15.75" x14ac:dyDescent="0.25">
      <c r="A102" s="49"/>
      <c r="B102" s="50"/>
      <c r="C102" s="43"/>
      <c r="D102" s="43"/>
      <c r="E102" s="43" t="s">
        <v>13</v>
      </c>
      <c r="F102" s="43" t="s">
        <v>3</v>
      </c>
      <c r="G102" s="64"/>
    </row>
    <row r="103" spans="1:9" ht="15.75" x14ac:dyDescent="0.25">
      <c r="A103" s="49"/>
      <c r="B103" s="50"/>
      <c r="C103" s="65" t="s">
        <v>20</v>
      </c>
      <c r="D103" s="65"/>
      <c r="E103" s="65" t="s">
        <v>22</v>
      </c>
      <c r="F103" s="65" t="s">
        <v>6</v>
      </c>
      <c r="G103" s="64"/>
    </row>
    <row r="104" spans="1:9" ht="15.75" x14ac:dyDescent="0.25">
      <c r="A104" s="45" t="s">
        <v>159</v>
      </c>
      <c r="B104" s="36"/>
      <c r="C104" s="66"/>
      <c r="D104" s="66"/>
      <c r="E104" s="66"/>
      <c r="F104" s="66"/>
      <c r="G104" s="64"/>
    </row>
    <row r="105" spans="1:9" ht="15.75" x14ac:dyDescent="0.25">
      <c r="A105" s="42" t="s">
        <v>163</v>
      </c>
      <c r="B105" s="50"/>
      <c r="C105" s="67">
        <v>3428.8235294117644</v>
      </c>
      <c r="D105" s="67"/>
      <c r="E105" s="68">
        <v>0.3</v>
      </c>
      <c r="F105" s="54">
        <f>E105*C105</f>
        <v>1028.6470588235293</v>
      </c>
      <c r="G105" s="64"/>
    </row>
    <row r="106" spans="1:9" ht="17.25" x14ac:dyDescent="0.35">
      <c r="A106" s="49" t="s">
        <v>164</v>
      </c>
      <c r="B106" s="50"/>
      <c r="C106" s="51">
        <v>6962.5271493212667</v>
      </c>
      <c r="D106" s="51"/>
      <c r="E106" s="68">
        <v>0.18</v>
      </c>
      <c r="F106" s="132">
        <f>E106*C106</f>
        <v>1253.2548868778279</v>
      </c>
      <c r="G106" s="64"/>
    </row>
    <row r="107" spans="1:9" ht="15" x14ac:dyDescent="0.2">
      <c r="A107" s="42" t="s">
        <v>3</v>
      </c>
      <c r="B107" s="50"/>
      <c r="C107" s="67">
        <f>SUM(C105:C106)</f>
        <v>10391.350678733032</v>
      </c>
      <c r="D107" s="67"/>
      <c r="E107" s="50"/>
      <c r="F107" s="54">
        <f>SUM(F105:F106)</f>
        <v>2281.9019457013574</v>
      </c>
      <c r="G107" s="64"/>
    </row>
    <row r="108" spans="1:9" ht="15" x14ac:dyDescent="0.2">
      <c r="A108" s="42"/>
      <c r="B108" s="50"/>
      <c r="C108" s="50"/>
      <c r="D108" s="50"/>
      <c r="E108" s="50"/>
      <c r="F108" s="54"/>
      <c r="G108" s="64"/>
    </row>
    <row r="109" spans="1:9" ht="15.75" x14ac:dyDescent="0.25">
      <c r="A109" s="35" t="s">
        <v>155</v>
      </c>
      <c r="B109" s="50"/>
      <c r="C109" s="50"/>
      <c r="D109" s="50"/>
      <c r="E109" s="50"/>
      <c r="F109" s="54">
        <v>2183.0170166386092</v>
      </c>
      <c r="G109" s="64"/>
    </row>
    <row r="110" spans="1:9" ht="15.75" x14ac:dyDescent="0.25">
      <c r="A110" s="35" t="s">
        <v>186</v>
      </c>
      <c r="B110" s="265"/>
      <c r="C110" s="265"/>
      <c r="D110" s="265"/>
      <c r="E110" s="265"/>
      <c r="F110" s="264">
        <f>F109*50%</f>
        <v>1091.5085083193046</v>
      </c>
      <c r="G110" s="64"/>
    </row>
    <row r="111" spans="1:9" ht="15" x14ac:dyDescent="0.2">
      <c r="A111" s="42" t="s">
        <v>101</v>
      </c>
      <c r="B111" s="50"/>
      <c r="C111" s="50"/>
      <c r="D111" s="50"/>
      <c r="E111" s="50"/>
      <c r="F111" s="47">
        <f>F109-F107-F110</f>
        <v>-1190.3934373820528</v>
      </c>
      <c r="G111" s="64"/>
    </row>
    <row r="112" spans="1:9" ht="17.25" x14ac:dyDescent="0.35">
      <c r="A112" s="42"/>
      <c r="B112" s="50"/>
      <c r="C112" s="135"/>
      <c r="D112" s="50"/>
      <c r="E112" s="50"/>
      <c r="F112" s="133"/>
      <c r="G112" s="64"/>
    </row>
    <row r="113" spans="1:7" ht="15" x14ac:dyDescent="0.2">
      <c r="A113" s="42" t="s">
        <v>25</v>
      </c>
      <c r="B113" s="50"/>
      <c r="C113" s="50"/>
      <c r="D113" s="50"/>
      <c r="E113" s="50"/>
      <c r="F113" s="67">
        <f>+F123</f>
        <v>21101.999999999996</v>
      </c>
      <c r="G113" s="64"/>
    </row>
    <row r="114" spans="1:7" ht="15" x14ac:dyDescent="0.2">
      <c r="A114" s="42"/>
      <c r="B114" s="50"/>
      <c r="C114" s="50"/>
      <c r="D114" s="50"/>
      <c r="E114" s="50"/>
      <c r="F114" s="50"/>
      <c r="G114" s="64"/>
    </row>
    <row r="115" spans="1:7" ht="15" x14ac:dyDescent="0.2">
      <c r="A115" s="42" t="s">
        <v>26</v>
      </c>
      <c r="B115" s="50"/>
      <c r="C115" s="50"/>
      <c r="D115" s="50"/>
      <c r="E115" s="50"/>
      <c r="F115" s="50"/>
      <c r="G115" s="70">
        <f>ROUND(F111/F113,2)</f>
        <v>-0.06</v>
      </c>
    </row>
    <row r="116" spans="1:7" ht="15" x14ac:dyDescent="0.2">
      <c r="A116" s="42"/>
      <c r="B116" s="50"/>
      <c r="C116" s="50"/>
      <c r="D116" s="50"/>
      <c r="E116" s="50"/>
      <c r="F116" s="50"/>
      <c r="G116" s="70"/>
    </row>
    <row r="117" spans="1:7" ht="15" x14ac:dyDescent="0.2">
      <c r="A117" s="42"/>
      <c r="B117" s="50"/>
      <c r="C117" s="50"/>
      <c r="D117" s="50"/>
      <c r="E117" s="50"/>
      <c r="F117" s="67"/>
      <c r="G117" s="64"/>
    </row>
    <row r="118" spans="1:7" ht="15.75" x14ac:dyDescent="0.25">
      <c r="A118" s="42"/>
      <c r="B118" s="36"/>
      <c r="C118" s="50"/>
      <c r="D118" s="50"/>
      <c r="E118" s="50"/>
      <c r="F118" s="67"/>
      <c r="G118" s="64"/>
    </row>
    <row r="119" spans="1:7" ht="15.75" x14ac:dyDescent="0.25">
      <c r="A119" s="151" t="s">
        <v>165</v>
      </c>
      <c r="B119" s="50"/>
      <c r="C119" s="50"/>
      <c r="D119" s="50"/>
      <c r="E119" s="50"/>
      <c r="F119" s="165">
        <v>4366.0340332772184</v>
      </c>
      <c r="G119" s="64"/>
    </row>
    <row r="120" spans="1:7" ht="17.25" x14ac:dyDescent="0.35">
      <c r="A120" s="49" t="s">
        <v>160</v>
      </c>
      <c r="B120" s="36"/>
      <c r="C120" s="38"/>
      <c r="D120" s="38"/>
      <c r="E120" s="176">
        <v>0.5</v>
      </c>
      <c r="F120" s="177">
        <f>-F119*E120</f>
        <v>-2183.0170166386092</v>
      </c>
      <c r="G120" s="52"/>
    </row>
    <row r="121" spans="1:7" ht="20.25" x14ac:dyDescent="0.55000000000000004">
      <c r="A121" s="49"/>
      <c r="B121" s="36"/>
      <c r="C121" s="38"/>
      <c r="D121" s="38"/>
      <c r="E121" s="176"/>
      <c r="F121" s="178">
        <f>+F120+F119</f>
        <v>2183.0170166386092</v>
      </c>
      <c r="G121" s="52"/>
    </row>
    <row r="122" spans="1:7" ht="17.25" x14ac:dyDescent="0.35">
      <c r="A122" s="49"/>
      <c r="B122" s="36"/>
      <c r="C122" s="38"/>
      <c r="D122" s="38"/>
      <c r="E122" s="176"/>
      <c r="F122" s="177"/>
      <c r="G122" s="52"/>
    </row>
    <row r="123" spans="1:7" ht="17.25" x14ac:dyDescent="0.35">
      <c r="A123" s="42" t="s">
        <v>162</v>
      </c>
      <c r="B123" s="38"/>
      <c r="C123" s="38"/>
      <c r="D123" s="38"/>
      <c r="E123" s="38"/>
      <c r="F123" s="164">
        <v>21101.999999999996</v>
      </c>
      <c r="G123" s="52"/>
    </row>
    <row r="124" spans="1:7" ht="17.25" x14ac:dyDescent="0.35">
      <c r="A124" s="42" t="s">
        <v>105</v>
      </c>
      <c r="B124" s="38"/>
      <c r="C124" s="38"/>
      <c r="D124" s="38"/>
      <c r="E124" s="38"/>
      <c r="F124" s="38"/>
      <c r="G124" s="55">
        <f>ROUND(+F119/F123,2)</f>
        <v>0.21</v>
      </c>
    </row>
    <row r="125" spans="1:7" ht="15" x14ac:dyDescent="0.2">
      <c r="A125" s="42"/>
      <c r="B125" s="38"/>
      <c r="C125" s="38"/>
      <c r="D125" s="38"/>
      <c r="E125" s="38"/>
      <c r="F125" s="38"/>
      <c r="G125" s="52"/>
    </row>
    <row r="126" spans="1:7" ht="18" x14ac:dyDescent="0.4">
      <c r="A126" s="35" t="s">
        <v>134</v>
      </c>
      <c r="B126" s="36"/>
      <c r="C126" s="38"/>
      <c r="D126" s="38"/>
      <c r="E126" s="38"/>
      <c r="F126" s="38"/>
      <c r="G126" s="183">
        <f>SUM(G115:G124)</f>
        <v>0.15</v>
      </c>
    </row>
    <row r="127" spans="1:7" ht="15.75" x14ac:dyDescent="0.25">
      <c r="A127" s="35"/>
      <c r="B127" s="36"/>
      <c r="C127" s="38"/>
      <c r="D127" s="38"/>
      <c r="E127" s="38"/>
      <c r="F127" s="38"/>
      <c r="G127" s="150"/>
    </row>
    <row r="128" spans="1:7" ht="15.75" thickBot="1" x14ac:dyDescent="0.25">
      <c r="A128" s="72"/>
      <c r="B128" s="73"/>
      <c r="C128" s="73"/>
      <c r="D128" s="73"/>
      <c r="E128" s="73"/>
      <c r="F128" s="73"/>
      <c r="G128" s="74"/>
    </row>
    <row r="129" spans="1:7" ht="23.25" x14ac:dyDescent="0.35">
      <c r="A129" s="31" t="s">
        <v>57</v>
      </c>
      <c r="B129" s="32"/>
      <c r="C129" s="33"/>
      <c r="D129" s="33"/>
      <c r="E129" s="33"/>
      <c r="F129" s="33"/>
      <c r="G129" s="34"/>
    </row>
    <row r="130" spans="1:7" ht="15.75" x14ac:dyDescent="0.25">
      <c r="A130" s="35" t="s">
        <v>104</v>
      </c>
      <c r="B130" s="36"/>
      <c r="C130" s="37"/>
      <c r="D130" s="37"/>
      <c r="E130" s="38"/>
      <c r="F130" s="38"/>
      <c r="G130" s="39"/>
    </row>
    <row r="131" spans="1:7" ht="15.75" x14ac:dyDescent="0.25">
      <c r="A131" s="40"/>
      <c r="B131" s="41"/>
      <c r="C131" s="38"/>
      <c r="D131" s="38"/>
      <c r="E131" s="38"/>
      <c r="F131" s="38"/>
      <c r="G131" s="39"/>
    </row>
    <row r="132" spans="1:7" ht="15" x14ac:dyDescent="0.2">
      <c r="A132" s="367" t="s">
        <v>21</v>
      </c>
      <c r="B132" s="368"/>
      <c r="C132" s="368"/>
      <c r="D132" s="368"/>
      <c r="E132" s="368"/>
      <c r="F132" s="368"/>
      <c r="G132" s="369"/>
    </row>
    <row r="133" spans="1:7" ht="15" x14ac:dyDescent="0.2">
      <c r="A133" s="42"/>
      <c r="B133" s="38"/>
      <c r="C133" s="38"/>
      <c r="D133" s="38"/>
      <c r="E133" s="38"/>
      <c r="F133" s="38"/>
      <c r="G133" s="39"/>
    </row>
    <row r="134" spans="1:7" ht="15.75" x14ac:dyDescent="0.25">
      <c r="A134" s="42"/>
      <c r="B134" s="38"/>
      <c r="C134" s="43"/>
      <c r="D134" s="43"/>
      <c r="E134" s="43" t="s">
        <v>13</v>
      </c>
      <c r="F134" s="43" t="s">
        <v>3</v>
      </c>
      <c r="G134" s="39"/>
    </row>
    <row r="135" spans="1:7" ht="15.75" x14ac:dyDescent="0.25">
      <c r="A135" s="42"/>
      <c r="B135" s="38"/>
      <c r="C135" s="44" t="s">
        <v>5</v>
      </c>
      <c r="D135" s="44"/>
      <c r="E135" s="44" t="s">
        <v>22</v>
      </c>
      <c r="F135" s="44" t="s">
        <v>6</v>
      </c>
      <c r="G135" s="39"/>
    </row>
    <row r="136" spans="1:7" ht="15.75" x14ac:dyDescent="0.25">
      <c r="A136" s="45" t="s">
        <v>156</v>
      </c>
      <c r="B136" s="36"/>
      <c r="C136" s="46"/>
      <c r="D136" s="46"/>
      <c r="E136" s="46"/>
      <c r="F136" s="46"/>
      <c r="G136" s="39"/>
    </row>
    <row r="137" spans="1:7" ht="15.75" x14ac:dyDescent="0.25">
      <c r="A137" s="42" t="s">
        <v>146</v>
      </c>
      <c r="B137" s="38"/>
      <c r="C137" s="47">
        <v>46369</v>
      </c>
      <c r="D137" s="47"/>
      <c r="E137" s="48">
        <v>2.23</v>
      </c>
      <c r="F137" s="131">
        <f>C137*E137</f>
        <v>103402.87</v>
      </c>
      <c r="G137" s="39"/>
    </row>
    <row r="138" spans="1:7" ht="17.25" x14ac:dyDescent="0.35">
      <c r="A138" s="49" t="s">
        <v>157</v>
      </c>
      <c r="B138" s="50"/>
      <c r="C138" s="51">
        <v>94573</v>
      </c>
      <c r="D138" s="51"/>
      <c r="E138" s="48">
        <v>1.7</v>
      </c>
      <c r="F138" s="132">
        <f>C138*E138</f>
        <v>160774.1</v>
      </c>
      <c r="G138" s="39"/>
    </row>
    <row r="139" spans="1:7" ht="17.25" x14ac:dyDescent="0.35">
      <c r="A139" s="42" t="s">
        <v>3</v>
      </c>
      <c r="B139" s="38"/>
      <c r="C139" s="47">
        <f>SUM(C137:C138)</f>
        <v>140942</v>
      </c>
      <c r="D139" s="51"/>
      <c r="E139" s="38"/>
      <c r="F139" s="131">
        <f>SUM(F137:F138)</f>
        <v>264176.96999999997</v>
      </c>
      <c r="G139" s="39"/>
    </row>
    <row r="140" spans="1:7" ht="15" x14ac:dyDescent="0.2">
      <c r="A140" s="42"/>
      <c r="B140" s="38"/>
      <c r="C140" s="38"/>
      <c r="D140" s="38"/>
      <c r="E140" s="38"/>
      <c r="F140" s="38"/>
      <c r="G140" s="39"/>
    </row>
    <row r="141" spans="1:7" ht="15.75" x14ac:dyDescent="0.25">
      <c r="A141" s="35" t="s">
        <v>23</v>
      </c>
      <c r="B141" s="38"/>
      <c r="C141" s="38"/>
      <c r="D141" s="38"/>
      <c r="E141" s="38"/>
      <c r="F141" s="131">
        <v>261404</v>
      </c>
      <c r="G141" s="39"/>
    </row>
    <row r="142" spans="1:7" ht="15" x14ac:dyDescent="0.2">
      <c r="A142" s="42"/>
      <c r="B142" s="38"/>
      <c r="C142" s="38"/>
      <c r="D142" s="38"/>
      <c r="E142" s="38"/>
      <c r="F142" s="131"/>
      <c r="G142" s="39"/>
    </row>
    <row r="143" spans="1:7" ht="15" x14ac:dyDescent="0.2">
      <c r="A143" s="42" t="s">
        <v>24</v>
      </c>
      <c r="B143" s="38"/>
      <c r="C143" s="38"/>
      <c r="D143" s="38"/>
      <c r="E143" s="38"/>
      <c r="F143" s="47">
        <f>F141-F139</f>
        <v>-2772.9699999999721</v>
      </c>
      <c r="G143" s="39"/>
    </row>
    <row r="144" spans="1:7" ht="17.25" x14ac:dyDescent="0.35">
      <c r="A144" s="42"/>
      <c r="B144" s="38"/>
      <c r="C144" s="130"/>
      <c r="D144" s="38"/>
      <c r="E144" s="38"/>
      <c r="F144" s="133"/>
      <c r="G144" s="39"/>
    </row>
    <row r="145" spans="1:7" ht="15" x14ac:dyDescent="0.2">
      <c r="A145" s="42" t="s">
        <v>25</v>
      </c>
      <c r="B145" s="38"/>
      <c r="C145" s="38"/>
      <c r="D145" s="38"/>
      <c r="E145" s="38"/>
      <c r="F145" s="47">
        <f>+C139</f>
        <v>140942</v>
      </c>
      <c r="G145" s="39"/>
    </row>
    <row r="146" spans="1:7" ht="15" x14ac:dyDescent="0.2">
      <c r="A146" s="42"/>
      <c r="B146" s="38"/>
      <c r="C146" s="38"/>
      <c r="D146" s="38"/>
      <c r="E146" s="38"/>
      <c r="F146" s="38"/>
      <c r="G146" s="39"/>
    </row>
    <row r="147" spans="1:7" ht="15" x14ac:dyDescent="0.2">
      <c r="A147" s="42" t="s">
        <v>26</v>
      </c>
      <c r="B147" s="38"/>
      <c r="C147" s="38"/>
      <c r="D147" s="38"/>
      <c r="E147" s="38"/>
      <c r="F147" s="61"/>
      <c r="G147" s="52">
        <f>ROUND(F143/F145,2)</f>
        <v>-0.02</v>
      </c>
    </row>
    <row r="148" spans="1:7" ht="15" x14ac:dyDescent="0.2">
      <c r="A148" s="42"/>
      <c r="B148" s="38"/>
      <c r="C148" s="38"/>
      <c r="D148" s="38"/>
      <c r="E148" s="38"/>
      <c r="F148" s="38"/>
      <c r="G148" s="52"/>
    </row>
    <row r="149" spans="1:7" ht="15" x14ac:dyDescent="0.2">
      <c r="A149" s="42"/>
      <c r="B149" s="38"/>
      <c r="C149" s="38"/>
      <c r="D149" s="38"/>
      <c r="E149" s="38"/>
      <c r="F149" s="38"/>
      <c r="G149" s="52"/>
    </row>
    <row r="150" spans="1:7" ht="15" x14ac:dyDescent="0.2">
      <c r="A150" s="42"/>
      <c r="B150" s="38"/>
      <c r="C150" s="38"/>
      <c r="D150" s="38"/>
      <c r="E150" s="38"/>
      <c r="F150" s="38"/>
      <c r="G150" s="52"/>
    </row>
    <row r="151" spans="1:7" ht="15.75" x14ac:dyDescent="0.25">
      <c r="A151" s="151" t="s">
        <v>158</v>
      </c>
      <c r="B151" s="36"/>
      <c r="C151" s="38"/>
      <c r="D151" s="38"/>
      <c r="E151" s="38"/>
      <c r="F151" s="163">
        <v>130702</v>
      </c>
      <c r="G151" s="52"/>
    </row>
    <row r="152" spans="1:7" ht="17.25" x14ac:dyDescent="0.35">
      <c r="A152" s="42" t="s">
        <v>25</v>
      </c>
      <c r="B152" s="38"/>
      <c r="C152" s="38"/>
      <c r="D152" s="38"/>
      <c r="E152" s="38"/>
      <c r="F152" s="164">
        <f>+C139</f>
        <v>140942</v>
      </c>
      <c r="G152" s="52"/>
    </row>
    <row r="153" spans="1:7" ht="17.25" x14ac:dyDescent="0.35">
      <c r="A153" s="42" t="s">
        <v>105</v>
      </c>
      <c r="B153" s="38"/>
      <c r="C153" s="38"/>
      <c r="D153" s="38"/>
      <c r="E153" s="38"/>
      <c r="F153" s="38"/>
      <c r="G153" s="55">
        <f>ROUND(+F151/F152,2)</f>
        <v>0.93</v>
      </c>
    </row>
    <row r="154" spans="1:7" ht="15" x14ac:dyDescent="0.2">
      <c r="A154" s="42"/>
      <c r="B154" s="38"/>
      <c r="C154" s="38"/>
      <c r="D154" s="38"/>
      <c r="E154" s="38"/>
      <c r="F154" s="38"/>
      <c r="G154" s="52"/>
    </row>
    <row r="155" spans="1:7" ht="18" x14ac:dyDescent="0.4">
      <c r="A155" s="35" t="s">
        <v>28</v>
      </c>
      <c r="B155" s="36"/>
      <c r="C155" s="38"/>
      <c r="D155" s="38"/>
      <c r="E155" s="38"/>
      <c r="F155" s="38"/>
      <c r="G155" s="183">
        <f>SUM(G147:G153)</f>
        <v>0.91</v>
      </c>
    </row>
    <row r="156" spans="1:7" ht="15.75" x14ac:dyDescent="0.25">
      <c r="A156" s="35"/>
      <c r="B156" s="36"/>
      <c r="C156" s="38"/>
      <c r="D156" s="38"/>
      <c r="E156" s="38"/>
      <c r="F156" s="38"/>
      <c r="G156" s="150"/>
    </row>
    <row r="157" spans="1:7" ht="13.5" thickBot="1" x14ac:dyDescent="0.25">
      <c r="A157" s="19"/>
      <c r="B157" s="20"/>
      <c r="C157" s="20"/>
      <c r="D157" s="20"/>
      <c r="E157" s="20"/>
      <c r="F157" s="20"/>
      <c r="G157" s="21"/>
    </row>
    <row r="158" spans="1:7" ht="15" x14ac:dyDescent="0.2">
      <c r="A158" s="367" t="s">
        <v>29</v>
      </c>
      <c r="B158" s="368"/>
      <c r="C158" s="368"/>
      <c r="D158" s="368"/>
      <c r="E158" s="368"/>
      <c r="F158" s="368"/>
      <c r="G158" s="369"/>
    </row>
    <row r="159" spans="1:7" ht="15" x14ac:dyDescent="0.2">
      <c r="A159" s="49"/>
      <c r="B159" s="50"/>
      <c r="C159" s="50"/>
      <c r="D159" s="50"/>
      <c r="E159" s="50"/>
      <c r="F159" s="50"/>
      <c r="G159" s="64"/>
    </row>
    <row r="160" spans="1:7" ht="15.75" x14ac:dyDescent="0.25">
      <c r="A160" s="49"/>
      <c r="B160" s="50"/>
      <c r="C160" s="43"/>
      <c r="D160" s="43"/>
      <c r="E160" s="43" t="s">
        <v>13</v>
      </c>
      <c r="F160" s="43" t="s">
        <v>3</v>
      </c>
      <c r="G160" s="64"/>
    </row>
    <row r="161" spans="1:7" ht="15.75" x14ac:dyDescent="0.25">
      <c r="A161" s="49"/>
      <c r="B161" s="50"/>
      <c r="C161" s="65" t="s">
        <v>20</v>
      </c>
      <c r="D161" s="65"/>
      <c r="E161" s="65" t="s">
        <v>22</v>
      </c>
      <c r="F161" s="65" t="s">
        <v>6</v>
      </c>
      <c r="G161" s="64"/>
    </row>
    <row r="162" spans="1:7" ht="15.75" x14ac:dyDescent="0.25">
      <c r="A162" s="45" t="s">
        <v>156</v>
      </c>
      <c r="B162" s="36"/>
      <c r="C162" s="66"/>
      <c r="D162" s="66"/>
      <c r="E162" s="66"/>
      <c r="F162" s="66"/>
      <c r="G162" s="64"/>
    </row>
    <row r="163" spans="1:7" ht="15.75" x14ac:dyDescent="0.25">
      <c r="A163" s="42" t="s">
        <v>58</v>
      </c>
      <c r="B163" s="50"/>
      <c r="C163" s="67">
        <v>3064</v>
      </c>
      <c r="D163" s="67"/>
      <c r="E163" s="68">
        <v>0.24</v>
      </c>
      <c r="F163" s="54">
        <f>E163*C163</f>
        <v>735.36</v>
      </c>
      <c r="G163" s="64"/>
    </row>
    <row r="164" spans="1:7" ht="17.25" x14ac:dyDescent="0.35">
      <c r="A164" s="49" t="s">
        <v>59</v>
      </c>
      <c r="B164" s="50"/>
      <c r="C164" s="51">
        <v>6764</v>
      </c>
      <c r="D164" s="51"/>
      <c r="E164" s="68">
        <v>0.3</v>
      </c>
      <c r="F164" s="132">
        <f>E164*C164</f>
        <v>2029.1999999999998</v>
      </c>
      <c r="G164" s="64"/>
    </row>
    <row r="165" spans="1:7" ht="15" x14ac:dyDescent="0.2">
      <c r="A165" s="42" t="s">
        <v>3</v>
      </c>
      <c r="B165" s="50"/>
      <c r="C165" s="67">
        <f>SUM(C163:C164)</f>
        <v>9828</v>
      </c>
      <c r="D165" s="67"/>
      <c r="E165" s="50"/>
      <c r="F165" s="54">
        <f>SUM(F163:F164)</f>
        <v>2764.56</v>
      </c>
      <c r="G165" s="64"/>
    </row>
    <row r="166" spans="1:7" ht="15" x14ac:dyDescent="0.2">
      <c r="A166" s="42"/>
      <c r="B166" s="50"/>
      <c r="C166" s="50"/>
      <c r="D166" s="50"/>
      <c r="E166" s="50"/>
      <c r="F166" s="54"/>
      <c r="G166" s="64"/>
    </row>
    <row r="167" spans="1:7" ht="15.75" x14ac:dyDescent="0.25">
      <c r="A167" s="35" t="s">
        <v>23</v>
      </c>
      <c r="B167" s="50"/>
      <c r="C167" s="50"/>
      <c r="D167" s="50"/>
      <c r="E167" s="50"/>
      <c r="F167" s="54">
        <v>3577</v>
      </c>
      <c r="G167" s="64"/>
    </row>
    <row r="168" spans="1:7" ht="15" x14ac:dyDescent="0.2">
      <c r="A168" s="42"/>
      <c r="B168" s="50"/>
      <c r="C168" s="50"/>
      <c r="D168" s="50"/>
      <c r="E168" s="50"/>
      <c r="F168" s="54"/>
      <c r="G168" s="64"/>
    </row>
    <row r="169" spans="1:7" ht="15" x14ac:dyDescent="0.2">
      <c r="A169" s="42" t="s">
        <v>101</v>
      </c>
      <c r="B169" s="50"/>
      <c r="C169" s="50"/>
      <c r="D169" s="50"/>
      <c r="E169" s="50"/>
      <c r="F169" s="131">
        <f>F167-F165</f>
        <v>812.44</v>
      </c>
      <c r="G169" s="64"/>
    </row>
    <row r="170" spans="1:7" ht="17.25" x14ac:dyDescent="0.35">
      <c r="A170" s="42"/>
      <c r="B170" s="50"/>
      <c r="C170" s="135"/>
      <c r="D170" s="50"/>
      <c r="E170" s="50"/>
      <c r="F170" s="133"/>
      <c r="G170" s="64"/>
    </row>
    <row r="171" spans="1:7" ht="15" x14ac:dyDescent="0.2">
      <c r="A171" s="42" t="s">
        <v>25</v>
      </c>
      <c r="B171" s="50"/>
      <c r="C171" s="50"/>
      <c r="D171" s="50"/>
      <c r="E171" s="50"/>
      <c r="F171" s="67">
        <f>+C165</f>
        <v>9828</v>
      </c>
      <c r="G171" s="64"/>
    </row>
    <row r="172" spans="1:7" ht="15" x14ac:dyDescent="0.2">
      <c r="A172" s="42"/>
      <c r="B172" s="50"/>
      <c r="C172" s="50"/>
      <c r="D172" s="50"/>
      <c r="E172" s="50"/>
      <c r="F172" s="50"/>
      <c r="G172" s="64"/>
    </row>
    <row r="173" spans="1:7" ht="15" x14ac:dyDescent="0.2">
      <c r="A173" s="42" t="s">
        <v>26</v>
      </c>
      <c r="B173" s="50"/>
      <c r="C173" s="50"/>
      <c r="D173" s="50"/>
      <c r="E173" s="50"/>
      <c r="F173" s="50"/>
      <c r="G173" s="70">
        <f>ROUND(F169/F171,2)</f>
        <v>0.08</v>
      </c>
    </row>
    <row r="174" spans="1:7" ht="15" x14ac:dyDescent="0.2">
      <c r="A174" s="42"/>
      <c r="B174" s="50"/>
      <c r="C174" s="50"/>
      <c r="D174" s="50"/>
      <c r="E174" s="50"/>
      <c r="F174" s="50"/>
      <c r="G174" s="70"/>
    </row>
    <row r="175" spans="1:7" ht="15" x14ac:dyDescent="0.2">
      <c r="A175" s="42"/>
      <c r="B175" s="50"/>
      <c r="C175" s="50"/>
      <c r="D175" s="50"/>
      <c r="E175" s="50"/>
      <c r="F175" s="67"/>
      <c r="G175" s="64"/>
    </row>
    <row r="176" spans="1:7" ht="15.75" x14ac:dyDescent="0.25">
      <c r="A176" s="42"/>
      <c r="B176" s="36"/>
      <c r="C176" s="50"/>
      <c r="D176" s="50"/>
      <c r="E176" s="50"/>
      <c r="F176" s="67"/>
      <c r="G176" s="64"/>
    </row>
    <row r="177" spans="1:7" ht="15.75" x14ac:dyDescent="0.25">
      <c r="A177" s="151" t="s">
        <v>158</v>
      </c>
      <c r="B177" s="50"/>
      <c r="C177" s="50"/>
      <c r="D177" s="50"/>
      <c r="E177" s="50"/>
      <c r="F177" s="165">
        <v>1789</v>
      </c>
      <c r="G177" s="64"/>
    </row>
    <row r="178" spans="1:7" ht="17.25" x14ac:dyDescent="0.35">
      <c r="A178" s="49" t="s">
        <v>25</v>
      </c>
      <c r="B178" s="36"/>
      <c r="C178" s="139"/>
      <c r="D178" s="38"/>
      <c r="E178" s="38"/>
      <c r="F178" s="166">
        <f>+C165</f>
        <v>9828</v>
      </c>
      <c r="G178" s="64"/>
    </row>
    <row r="179" spans="1:7" ht="17.25" x14ac:dyDescent="0.35">
      <c r="A179" s="42" t="s">
        <v>105</v>
      </c>
      <c r="B179" s="38"/>
      <c r="C179" s="38"/>
      <c r="D179" s="38"/>
      <c r="E179" s="38"/>
      <c r="F179" s="38"/>
      <c r="G179" s="55">
        <f>ROUND(+F177/F178,2)</f>
        <v>0.18</v>
      </c>
    </row>
    <row r="180" spans="1:7" ht="15" x14ac:dyDescent="0.2">
      <c r="A180" s="42"/>
      <c r="B180" s="50"/>
      <c r="C180" s="50"/>
      <c r="D180" s="50"/>
      <c r="E180" s="50"/>
      <c r="F180" s="67"/>
      <c r="G180" s="64"/>
    </row>
    <row r="181" spans="1:7" ht="18" x14ac:dyDescent="0.4">
      <c r="A181" s="35" t="s">
        <v>134</v>
      </c>
      <c r="B181" s="36"/>
      <c r="C181" s="38"/>
      <c r="D181" s="38"/>
      <c r="E181" s="38"/>
      <c r="F181" s="38"/>
      <c r="G181" s="183">
        <f>SUM(G173:G179)</f>
        <v>0.26</v>
      </c>
    </row>
    <row r="182" spans="1:7" ht="17.25" x14ac:dyDescent="0.35">
      <c r="A182" s="42"/>
      <c r="B182" s="50"/>
      <c r="C182" s="50"/>
      <c r="D182" s="50"/>
      <c r="E182" s="50"/>
      <c r="F182" s="50"/>
      <c r="G182" s="55"/>
    </row>
    <row r="183" spans="1:7" ht="15.75" thickBot="1" x14ac:dyDescent="0.25">
      <c r="A183" s="72"/>
      <c r="B183" s="73"/>
      <c r="C183" s="73"/>
      <c r="D183" s="73"/>
      <c r="E183" s="73"/>
      <c r="F183" s="73"/>
      <c r="G183" s="74"/>
    </row>
    <row r="184" spans="1:7" ht="23.25" x14ac:dyDescent="0.35">
      <c r="A184" s="31" t="s">
        <v>57</v>
      </c>
      <c r="B184" s="32"/>
      <c r="C184" s="33"/>
      <c r="D184" s="33"/>
      <c r="E184" s="33"/>
      <c r="F184" s="33"/>
      <c r="G184" s="34"/>
    </row>
    <row r="185" spans="1:7" ht="15.75" x14ac:dyDescent="0.25">
      <c r="A185" s="35" t="s">
        <v>96</v>
      </c>
      <c r="B185" s="36"/>
      <c r="C185" s="37"/>
      <c r="D185" s="37"/>
      <c r="E185" s="38"/>
      <c r="F185" s="38"/>
      <c r="G185" s="39"/>
    </row>
    <row r="186" spans="1:7" ht="15.75" x14ac:dyDescent="0.25">
      <c r="A186" s="40"/>
      <c r="B186" s="41"/>
      <c r="C186" s="38"/>
      <c r="D186" s="38"/>
      <c r="E186" s="38"/>
      <c r="F186" s="38"/>
      <c r="G186" s="39"/>
    </row>
    <row r="187" spans="1:7" ht="15" x14ac:dyDescent="0.2">
      <c r="A187" s="367" t="s">
        <v>21</v>
      </c>
      <c r="B187" s="368"/>
      <c r="C187" s="368"/>
      <c r="D187" s="368"/>
      <c r="E187" s="368"/>
      <c r="F187" s="368"/>
      <c r="G187" s="369"/>
    </row>
    <row r="188" spans="1:7" ht="15" x14ac:dyDescent="0.2">
      <c r="A188" s="42"/>
      <c r="B188" s="38"/>
      <c r="C188" s="38"/>
      <c r="D188" s="38"/>
      <c r="E188" s="38"/>
      <c r="F188" s="38"/>
      <c r="G188" s="39"/>
    </row>
    <row r="189" spans="1:7" ht="15.75" x14ac:dyDescent="0.25">
      <c r="A189" s="42"/>
      <c r="B189" s="38"/>
      <c r="C189" s="43"/>
      <c r="D189" s="43"/>
      <c r="E189" s="43" t="s">
        <v>13</v>
      </c>
      <c r="F189" s="43" t="s">
        <v>3</v>
      </c>
      <c r="G189" s="39"/>
    </row>
    <row r="190" spans="1:7" ht="15.75" x14ac:dyDescent="0.25">
      <c r="A190" s="42"/>
      <c r="B190" s="38"/>
      <c r="C190" s="44" t="s">
        <v>5</v>
      </c>
      <c r="D190" s="44"/>
      <c r="E190" s="44" t="s">
        <v>22</v>
      </c>
      <c r="F190" s="44" t="s">
        <v>6</v>
      </c>
      <c r="G190" s="39"/>
    </row>
    <row r="191" spans="1:7" ht="15.75" x14ac:dyDescent="0.25">
      <c r="A191" s="45" t="s">
        <v>98</v>
      </c>
      <c r="B191" s="36"/>
      <c r="C191" s="46"/>
      <c r="D191" s="46"/>
      <c r="E191" s="46"/>
      <c r="F191" s="46"/>
      <c r="G191" s="39"/>
    </row>
    <row r="192" spans="1:7" ht="15.75" x14ac:dyDescent="0.25">
      <c r="A192" s="42" t="s">
        <v>58</v>
      </c>
      <c r="B192" s="38"/>
      <c r="C192" s="47">
        <v>44693</v>
      </c>
      <c r="D192" s="47"/>
      <c r="E192" s="48">
        <v>1.71</v>
      </c>
      <c r="F192" s="131">
        <f>C192*E192</f>
        <v>76425.03</v>
      </c>
      <c r="G192" s="39"/>
    </row>
    <row r="193" spans="1:8" ht="17.25" x14ac:dyDescent="0.35">
      <c r="A193" s="49" t="s">
        <v>59</v>
      </c>
      <c r="B193" s="50"/>
      <c r="C193" s="51">
        <v>225967</v>
      </c>
      <c r="D193" s="51"/>
      <c r="E193" s="48">
        <v>2.23</v>
      </c>
      <c r="F193" s="132">
        <f>C193*E193</f>
        <v>503906.41</v>
      </c>
      <c r="G193" s="39"/>
    </row>
    <row r="194" spans="1:8" ht="17.25" x14ac:dyDescent="0.35">
      <c r="A194" s="42" t="s">
        <v>3</v>
      </c>
      <c r="B194" s="38"/>
      <c r="C194" s="47">
        <f>SUM(C192:C193)</f>
        <v>270660</v>
      </c>
      <c r="D194" s="51"/>
      <c r="E194" s="38"/>
      <c r="F194" s="131">
        <f>SUM(F192:F193)</f>
        <v>580331.43999999994</v>
      </c>
      <c r="G194" s="39"/>
    </row>
    <row r="195" spans="1:8" ht="15" x14ac:dyDescent="0.2">
      <c r="A195" s="42"/>
      <c r="B195" s="38"/>
      <c r="C195" s="38"/>
      <c r="D195" s="38"/>
      <c r="E195" s="38"/>
      <c r="F195" s="38"/>
      <c r="G195" s="39"/>
    </row>
    <row r="196" spans="1:8" ht="15.75" x14ac:dyDescent="0.25">
      <c r="A196" s="35" t="s">
        <v>23</v>
      </c>
      <c r="B196" s="38"/>
      <c r="C196" s="38"/>
      <c r="D196" s="38"/>
      <c r="E196" s="38"/>
      <c r="F196" s="131">
        <v>519430</v>
      </c>
      <c r="G196" s="39"/>
    </row>
    <row r="197" spans="1:8" ht="15" x14ac:dyDescent="0.2">
      <c r="A197" s="42"/>
      <c r="B197" s="38"/>
      <c r="C197" s="38"/>
      <c r="D197" s="38"/>
      <c r="E197" s="38"/>
      <c r="F197" s="131"/>
      <c r="G197" s="39"/>
    </row>
    <row r="198" spans="1:8" ht="15" x14ac:dyDescent="0.2">
      <c r="A198" s="42" t="s">
        <v>24</v>
      </c>
      <c r="B198" s="38"/>
      <c r="C198" s="38"/>
      <c r="D198" s="38"/>
      <c r="E198" s="38"/>
      <c r="F198" s="47">
        <f>F196-F194</f>
        <v>-60901.439999999944</v>
      </c>
      <c r="G198" s="39"/>
    </row>
    <row r="199" spans="1:8" ht="17.25" x14ac:dyDescent="0.35">
      <c r="A199" s="42"/>
      <c r="B199" s="38"/>
      <c r="C199" s="130"/>
      <c r="D199" s="38"/>
      <c r="E199" s="38"/>
      <c r="F199" s="133"/>
      <c r="G199" s="39"/>
    </row>
    <row r="200" spans="1:8" ht="15" x14ac:dyDescent="0.2">
      <c r="A200" s="42" t="s">
        <v>25</v>
      </c>
      <c r="B200" s="38"/>
      <c r="C200" s="38"/>
      <c r="D200" s="38"/>
      <c r="E200" s="38"/>
      <c r="F200" s="47">
        <f>+C194</f>
        <v>270660</v>
      </c>
      <c r="G200" s="39"/>
    </row>
    <row r="201" spans="1:8" ht="15" x14ac:dyDescent="0.2">
      <c r="A201" s="42"/>
      <c r="B201" s="38"/>
      <c r="C201" s="38"/>
      <c r="D201" s="38"/>
      <c r="E201" s="38"/>
      <c r="F201" s="38"/>
      <c r="G201" s="39"/>
    </row>
    <row r="202" spans="1:8" ht="15" x14ac:dyDescent="0.2">
      <c r="A202" s="42" t="s">
        <v>26</v>
      </c>
      <c r="B202" s="38"/>
      <c r="C202" s="38"/>
      <c r="D202" s="38"/>
      <c r="E202" s="38"/>
      <c r="F202" s="61"/>
      <c r="G202" s="52">
        <f>ROUND(F198/F200,2)</f>
        <v>-0.23</v>
      </c>
    </row>
    <row r="203" spans="1:8" ht="15" x14ac:dyDescent="0.2">
      <c r="A203" s="42"/>
      <c r="B203" s="38"/>
      <c r="C203" s="38"/>
      <c r="D203" s="38"/>
      <c r="E203" s="38"/>
      <c r="F203" s="38"/>
      <c r="G203" s="52"/>
    </row>
    <row r="204" spans="1:8" ht="15" x14ac:dyDescent="0.2">
      <c r="A204" s="42"/>
      <c r="B204" s="38"/>
      <c r="C204" s="38"/>
      <c r="D204" s="38"/>
      <c r="E204" s="38"/>
      <c r="F204" s="38"/>
      <c r="G204" s="52"/>
    </row>
    <row r="205" spans="1:8" ht="15" x14ac:dyDescent="0.2">
      <c r="A205" s="42"/>
      <c r="B205" s="38"/>
      <c r="C205" s="38"/>
      <c r="D205" s="38"/>
      <c r="E205" s="38"/>
      <c r="F205" s="38"/>
      <c r="G205" s="52"/>
      <c r="H205" s="63"/>
    </row>
    <row r="206" spans="1:8" ht="15.75" x14ac:dyDescent="0.25">
      <c r="A206" s="151" t="s">
        <v>145</v>
      </c>
      <c r="B206" s="36"/>
      <c r="C206" s="38"/>
      <c r="D206" s="38"/>
      <c r="E206" s="38"/>
      <c r="F206" s="163">
        <v>115861</v>
      </c>
      <c r="G206" s="52"/>
      <c r="H206" s="160"/>
    </row>
    <row r="207" spans="1:8" ht="17.25" x14ac:dyDescent="0.35">
      <c r="A207" s="42" t="s">
        <v>25</v>
      </c>
      <c r="B207" s="38"/>
      <c r="C207" s="38"/>
      <c r="D207" s="38"/>
      <c r="E207" s="38"/>
      <c r="F207" s="164">
        <f>135817</f>
        <v>135817</v>
      </c>
      <c r="G207" s="52"/>
      <c r="H207" s="161"/>
    </row>
    <row r="208" spans="1:8" ht="17.25" x14ac:dyDescent="0.35">
      <c r="A208" s="42" t="s">
        <v>105</v>
      </c>
      <c r="B208" s="38"/>
      <c r="C208" s="38"/>
      <c r="D208" s="38"/>
      <c r="E208" s="38"/>
      <c r="F208" s="38"/>
      <c r="G208" s="55">
        <f>ROUND(+F206/F207,2)</f>
        <v>0.85</v>
      </c>
      <c r="H208" s="162"/>
    </row>
    <row r="209" spans="1:8" ht="15" x14ac:dyDescent="0.2">
      <c r="A209" s="42"/>
      <c r="B209" s="38"/>
      <c r="C209" s="38"/>
      <c r="D209" s="38"/>
      <c r="E209" s="38"/>
      <c r="F209" s="38"/>
      <c r="G209" s="52"/>
    </row>
    <row r="210" spans="1:8" ht="15.75" x14ac:dyDescent="0.25">
      <c r="A210" s="35" t="s">
        <v>28</v>
      </c>
      <c r="B210" s="36"/>
      <c r="C210" s="38"/>
      <c r="D210" s="38"/>
      <c r="E210" s="38"/>
      <c r="F210" s="38"/>
      <c r="G210" s="168">
        <f>SUM(G202:G208)</f>
        <v>0.62</v>
      </c>
      <c r="H210" s="159"/>
    </row>
    <row r="211" spans="1:8" ht="15.75" x14ac:dyDescent="0.25">
      <c r="A211" s="35"/>
      <c r="B211" s="36"/>
      <c r="C211" s="38"/>
      <c r="D211" s="38"/>
      <c r="E211" s="38"/>
      <c r="F211" s="38"/>
      <c r="G211" s="150"/>
    </row>
    <row r="212" spans="1:8" ht="20.25" x14ac:dyDescent="0.55000000000000004">
      <c r="A212" s="49"/>
      <c r="B212" s="38"/>
      <c r="C212" s="38"/>
      <c r="D212" s="38"/>
      <c r="E212" s="139"/>
      <c r="F212" s="38"/>
      <c r="G212" s="152"/>
      <c r="H212" s="162"/>
    </row>
    <row r="213" spans="1:8" ht="20.25" x14ac:dyDescent="0.55000000000000004">
      <c r="A213" s="49"/>
      <c r="B213" s="38"/>
      <c r="C213" s="38"/>
      <c r="D213" s="38"/>
      <c r="E213" s="139"/>
      <c r="F213" s="38"/>
      <c r="G213" s="152"/>
      <c r="H213" s="119"/>
    </row>
    <row r="214" spans="1:8" ht="18" x14ac:dyDescent="0.4">
      <c r="A214" s="35" t="s">
        <v>129</v>
      </c>
      <c r="B214" s="38"/>
      <c r="C214" s="38"/>
      <c r="D214" s="38"/>
      <c r="E214" s="139"/>
      <c r="F214" s="38"/>
      <c r="G214" s="153">
        <f>+G210+G212</f>
        <v>0.62</v>
      </c>
      <c r="H214" s="159"/>
    </row>
    <row r="215" spans="1:8" ht="13.5" thickBot="1" x14ac:dyDescent="0.25">
      <c r="A215" s="19"/>
      <c r="B215" s="20"/>
      <c r="C215" s="20"/>
      <c r="D215" s="20"/>
      <c r="E215" s="20"/>
      <c r="F215" s="20"/>
      <c r="G215" s="21"/>
    </row>
    <row r="216" spans="1:8" ht="15" x14ac:dyDescent="0.2">
      <c r="A216" s="367" t="s">
        <v>29</v>
      </c>
      <c r="B216" s="368"/>
      <c r="C216" s="368"/>
      <c r="D216" s="368"/>
      <c r="E216" s="368"/>
      <c r="F216" s="368"/>
      <c r="G216" s="369"/>
    </row>
    <row r="217" spans="1:8" ht="15" x14ac:dyDescent="0.2">
      <c r="A217" s="49"/>
      <c r="B217" s="50"/>
      <c r="C217" s="50"/>
      <c r="D217" s="50"/>
      <c r="E217" s="50"/>
      <c r="F217" s="50"/>
      <c r="G217" s="64"/>
    </row>
    <row r="218" spans="1:8" ht="15.75" x14ac:dyDescent="0.25">
      <c r="A218" s="49"/>
      <c r="B218" s="50"/>
      <c r="C218" s="43"/>
      <c r="D218" s="43"/>
      <c r="E218" s="43" t="s">
        <v>13</v>
      </c>
      <c r="F218" s="43" t="s">
        <v>3</v>
      </c>
      <c r="G218" s="64"/>
    </row>
    <row r="219" spans="1:8" ht="15.75" x14ac:dyDescent="0.25">
      <c r="A219" s="49"/>
      <c r="B219" s="50"/>
      <c r="C219" s="65" t="s">
        <v>20</v>
      </c>
      <c r="D219" s="65"/>
      <c r="E219" s="65" t="s">
        <v>22</v>
      </c>
      <c r="F219" s="65" t="s">
        <v>6</v>
      </c>
      <c r="G219" s="64"/>
    </row>
    <row r="220" spans="1:8" ht="15.75" x14ac:dyDescent="0.25">
      <c r="A220" s="45" t="s">
        <v>98</v>
      </c>
      <c r="B220" s="36"/>
      <c r="C220" s="66"/>
      <c r="D220" s="66"/>
      <c r="E220" s="66"/>
      <c r="F220" s="66"/>
      <c r="G220" s="64"/>
    </row>
    <row r="221" spans="1:8" ht="15.75" x14ac:dyDescent="0.25">
      <c r="A221" s="42" t="s">
        <v>58</v>
      </c>
      <c r="B221" s="50"/>
      <c r="C221" s="67">
        <v>3419</v>
      </c>
      <c r="D221" s="67"/>
      <c r="E221" s="68">
        <v>0.24</v>
      </c>
      <c r="F221" s="54">
        <f>E221*C221</f>
        <v>820.56</v>
      </c>
      <c r="G221" s="64"/>
    </row>
    <row r="222" spans="1:8" ht="17.25" x14ac:dyDescent="0.35">
      <c r="A222" s="49" t="s">
        <v>59</v>
      </c>
      <c r="B222" s="50"/>
      <c r="C222" s="51">
        <v>17388</v>
      </c>
      <c r="D222" s="51"/>
      <c r="E222" s="68">
        <v>0.34</v>
      </c>
      <c r="F222" s="132">
        <f>E222*C222</f>
        <v>5911.92</v>
      </c>
      <c r="G222" s="64"/>
    </row>
    <row r="223" spans="1:8" ht="15" x14ac:dyDescent="0.2">
      <c r="A223" s="42" t="s">
        <v>3</v>
      </c>
      <c r="B223" s="50"/>
      <c r="C223" s="67">
        <f>SUM(C221:C222)</f>
        <v>20807</v>
      </c>
      <c r="D223" s="67"/>
      <c r="E223" s="50"/>
      <c r="F223" s="54">
        <f>SUM(F221:F222)</f>
        <v>6732.48</v>
      </c>
      <c r="G223" s="64"/>
    </row>
    <row r="224" spans="1:8" ht="15" x14ac:dyDescent="0.2">
      <c r="A224" s="42"/>
      <c r="B224" s="50"/>
      <c r="C224" s="50"/>
      <c r="D224" s="50"/>
      <c r="E224" s="50"/>
      <c r="F224" s="54"/>
      <c r="G224" s="64"/>
    </row>
    <row r="225" spans="1:8" ht="15.75" x14ac:dyDescent="0.25">
      <c r="A225" s="35" t="s">
        <v>23</v>
      </c>
      <c r="B225" s="50"/>
      <c r="C225" s="50"/>
      <c r="D225" s="50"/>
      <c r="E225" s="50"/>
      <c r="F225" s="54">
        <v>7108</v>
      </c>
      <c r="G225" s="64"/>
    </row>
    <row r="226" spans="1:8" ht="15" x14ac:dyDescent="0.2">
      <c r="A226" s="42"/>
      <c r="B226" s="50"/>
      <c r="C226" s="50"/>
      <c r="D226" s="50"/>
      <c r="E226" s="50"/>
      <c r="F226" s="54"/>
      <c r="G226" s="64"/>
    </row>
    <row r="227" spans="1:8" ht="15" x14ac:dyDescent="0.2">
      <c r="A227" s="42" t="s">
        <v>101</v>
      </c>
      <c r="B227" s="50"/>
      <c r="C227" s="50"/>
      <c r="D227" s="50"/>
      <c r="E227" s="50"/>
      <c r="F227" s="131">
        <f>F225-F223</f>
        <v>375.52000000000044</v>
      </c>
      <c r="G227" s="64"/>
    </row>
    <row r="228" spans="1:8" ht="17.25" x14ac:dyDescent="0.35">
      <c r="A228" s="42"/>
      <c r="B228" s="50"/>
      <c r="C228" s="135"/>
      <c r="D228" s="50"/>
      <c r="E228" s="50"/>
      <c r="F228" s="133"/>
      <c r="G228" s="64"/>
    </row>
    <row r="229" spans="1:8" ht="15" x14ac:dyDescent="0.2">
      <c r="A229" s="42" t="s">
        <v>25</v>
      </c>
      <c r="B229" s="50"/>
      <c r="C229" s="50"/>
      <c r="D229" s="50"/>
      <c r="E229" s="50"/>
      <c r="F229" s="67">
        <f>+C223</f>
        <v>20807</v>
      </c>
      <c r="G229" s="64"/>
    </row>
    <row r="230" spans="1:8" ht="15" x14ac:dyDescent="0.2">
      <c r="A230" s="42"/>
      <c r="B230" s="50"/>
      <c r="C230" s="50"/>
      <c r="D230" s="50"/>
      <c r="E230" s="50"/>
      <c r="F230" s="50"/>
      <c r="G230" s="64"/>
    </row>
    <row r="231" spans="1:8" ht="15" x14ac:dyDescent="0.2">
      <c r="A231" s="42" t="s">
        <v>26</v>
      </c>
      <c r="B231" s="50"/>
      <c r="C231" s="50"/>
      <c r="D231" s="50"/>
      <c r="E231" s="50"/>
      <c r="F231" s="50"/>
      <c r="G231" s="70">
        <f>ROUND(F227/F229,2)</f>
        <v>0.02</v>
      </c>
    </row>
    <row r="232" spans="1:8" ht="15" x14ac:dyDescent="0.2">
      <c r="A232" s="42"/>
      <c r="B232" s="50"/>
      <c r="C232" s="50"/>
      <c r="D232" s="50"/>
      <c r="E232" s="50"/>
      <c r="F232" s="50"/>
      <c r="G232" s="70"/>
    </row>
    <row r="233" spans="1:8" ht="15" x14ac:dyDescent="0.2">
      <c r="A233" s="42"/>
      <c r="B233" s="50"/>
      <c r="C233" s="50"/>
      <c r="D233" s="50"/>
      <c r="E233" s="50"/>
      <c r="F233" s="67"/>
      <c r="G233" s="64"/>
    </row>
    <row r="234" spans="1:8" ht="15.75" x14ac:dyDescent="0.25">
      <c r="A234" s="42"/>
      <c r="B234" s="36"/>
      <c r="C234" s="50"/>
      <c r="D234" s="50"/>
      <c r="E234" s="50"/>
      <c r="F234" s="67"/>
      <c r="G234" s="64"/>
    </row>
    <row r="235" spans="1:8" ht="15.75" x14ac:dyDescent="0.25">
      <c r="A235" s="151" t="s">
        <v>145</v>
      </c>
      <c r="B235" s="50"/>
      <c r="C235" s="50"/>
      <c r="D235" s="50"/>
      <c r="E235" s="50"/>
      <c r="F235" s="165">
        <v>1586</v>
      </c>
      <c r="G235" s="64"/>
      <c r="H235" s="158"/>
    </row>
    <row r="236" spans="1:8" ht="17.25" x14ac:dyDescent="0.35">
      <c r="A236" s="49" t="s">
        <v>25</v>
      </c>
      <c r="B236" s="36"/>
      <c r="C236" s="139"/>
      <c r="D236" s="38"/>
      <c r="E236" s="38"/>
      <c r="F236" s="166">
        <v>10624</v>
      </c>
      <c r="G236" s="64"/>
    </row>
    <row r="237" spans="1:8" ht="17.25" x14ac:dyDescent="0.35">
      <c r="A237" s="42" t="s">
        <v>105</v>
      </c>
      <c r="B237" s="38"/>
      <c r="C237" s="38"/>
      <c r="D237" s="38"/>
      <c r="E237" s="38"/>
      <c r="F237" s="38"/>
      <c r="G237" s="55">
        <f>ROUND(+F235/F236,2)</f>
        <v>0.15</v>
      </c>
    </row>
    <row r="238" spans="1:8" ht="15" x14ac:dyDescent="0.2">
      <c r="A238" s="42"/>
      <c r="B238" s="50"/>
      <c r="C238" s="50"/>
      <c r="D238" s="50"/>
      <c r="E238" s="50"/>
      <c r="F238" s="67"/>
      <c r="G238" s="64"/>
    </row>
    <row r="239" spans="1:8" ht="15.75" x14ac:dyDescent="0.25">
      <c r="A239" s="35" t="s">
        <v>134</v>
      </c>
      <c r="B239" s="36"/>
      <c r="C239" s="38"/>
      <c r="D239" s="38"/>
      <c r="E239" s="38"/>
      <c r="F239" s="38"/>
      <c r="G239" s="168">
        <f>SUM(G231:G237)</f>
        <v>0.16999999999999998</v>
      </c>
      <c r="H239" s="159"/>
    </row>
    <row r="240" spans="1:8" ht="17.25" x14ac:dyDescent="0.35">
      <c r="A240" s="42"/>
      <c r="B240" s="50"/>
      <c r="C240" s="50"/>
      <c r="D240" s="50"/>
      <c r="E240" s="50"/>
      <c r="F240" s="50"/>
      <c r="G240" s="55"/>
    </row>
    <row r="241" spans="1:8" ht="20.25" x14ac:dyDescent="0.55000000000000004">
      <c r="A241" s="49"/>
      <c r="B241" s="38"/>
      <c r="C241" s="38"/>
      <c r="D241" s="38"/>
      <c r="E241" s="139"/>
      <c r="F241" s="38"/>
      <c r="G241" s="152"/>
    </row>
    <row r="242" spans="1:8" ht="20.25" x14ac:dyDescent="0.55000000000000004">
      <c r="A242" s="49"/>
      <c r="B242" s="38"/>
      <c r="C242" s="38"/>
      <c r="D242" s="38"/>
      <c r="E242" s="139"/>
      <c r="F242" s="38"/>
      <c r="G242" s="152"/>
      <c r="H242" s="119"/>
    </row>
    <row r="243" spans="1:8" ht="18" x14ac:dyDescent="0.4">
      <c r="A243" s="35" t="s">
        <v>129</v>
      </c>
      <c r="B243" s="38"/>
      <c r="C243" s="38"/>
      <c r="D243" s="38"/>
      <c r="E243" s="139"/>
      <c r="F243" s="38"/>
      <c r="G243" s="153">
        <f>+G239+G241</f>
        <v>0.16999999999999998</v>
      </c>
      <c r="H243" s="159"/>
    </row>
    <row r="244" spans="1:8" ht="15.75" thickBot="1" x14ac:dyDescent="0.25">
      <c r="A244" s="72"/>
      <c r="B244" s="73"/>
      <c r="C244" s="73"/>
      <c r="D244" s="73"/>
      <c r="E244" s="73"/>
      <c r="F244" s="73"/>
      <c r="G244" s="74"/>
    </row>
    <row r="245" spans="1:8" ht="23.25" x14ac:dyDescent="0.35">
      <c r="A245" s="31" t="s">
        <v>57</v>
      </c>
      <c r="B245" s="32"/>
      <c r="C245" s="33"/>
      <c r="D245" s="33"/>
      <c r="E245" s="33"/>
      <c r="F245" s="33"/>
      <c r="G245" s="34"/>
    </row>
    <row r="246" spans="1:8" ht="15.75" x14ac:dyDescent="0.25">
      <c r="A246" s="35" t="s">
        <v>96</v>
      </c>
      <c r="B246" s="36"/>
      <c r="C246" s="37"/>
      <c r="D246" s="37"/>
      <c r="E246" s="38"/>
      <c r="F246" s="38"/>
      <c r="G246" s="39"/>
    </row>
    <row r="247" spans="1:8" ht="15.75" x14ac:dyDescent="0.25">
      <c r="A247" s="40"/>
      <c r="B247" s="41"/>
      <c r="C247" s="38"/>
      <c r="D247" s="38"/>
      <c r="E247" s="38"/>
      <c r="F247" s="38"/>
      <c r="G247" s="39"/>
    </row>
    <row r="248" spans="1:8" ht="15" x14ac:dyDescent="0.2">
      <c r="A248" s="367" t="s">
        <v>21</v>
      </c>
      <c r="B248" s="368"/>
      <c r="C248" s="368"/>
      <c r="D248" s="368"/>
      <c r="E248" s="368"/>
      <c r="F248" s="368"/>
      <c r="G248" s="369"/>
    </row>
    <row r="249" spans="1:8" ht="15" x14ac:dyDescent="0.2">
      <c r="A249" s="42"/>
      <c r="B249" s="38"/>
      <c r="C249" s="38"/>
      <c r="D249" s="38"/>
      <c r="E249" s="38"/>
      <c r="F249" s="38"/>
      <c r="G249" s="39"/>
    </row>
    <row r="250" spans="1:8" ht="15.75" x14ac:dyDescent="0.25">
      <c r="A250" s="42"/>
      <c r="B250" s="38"/>
      <c r="C250" s="43"/>
      <c r="D250" s="43"/>
      <c r="E250" s="43" t="s">
        <v>13</v>
      </c>
      <c r="F250" s="43" t="s">
        <v>3</v>
      </c>
      <c r="G250" s="39"/>
    </row>
    <row r="251" spans="1:8" ht="15.75" x14ac:dyDescent="0.25">
      <c r="A251" s="42"/>
      <c r="B251" s="38"/>
      <c r="C251" s="44" t="s">
        <v>5</v>
      </c>
      <c r="D251" s="44"/>
      <c r="E251" s="44" t="s">
        <v>22</v>
      </c>
      <c r="F251" s="44" t="s">
        <v>6</v>
      </c>
      <c r="G251" s="39"/>
    </row>
    <row r="252" spans="1:8" ht="15.75" x14ac:dyDescent="0.25">
      <c r="A252" s="45" t="s">
        <v>85</v>
      </c>
      <c r="B252" s="36"/>
      <c r="C252" s="46"/>
      <c r="D252" s="46"/>
      <c r="E252" s="46"/>
      <c r="F252" s="46"/>
      <c r="G252" s="39"/>
    </row>
    <row r="253" spans="1:8" ht="15.75" x14ac:dyDescent="0.25">
      <c r="A253" s="42" t="s">
        <v>58</v>
      </c>
      <c r="B253" s="38"/>
      <c r="C253" s="47">
        <v>43420</v>
      </c>
      <c r="D253" s="47"/>
      <c r="E253" s="48">
        <f>+E312</f>
        <v>1.99</v>
      </c>
      <c r="F253" s="131">
        <f>C253*E253</f>
        <v>86405.8</v>
      </c>
      <c r="G253" s="39"/>
    </row>
    <row r="254" spans="1:8" ht="17.25" x14ac:dyDescent="0.35">
      <c r="A254" s="49" t="s">
        <v>59</v>
      </c>
      <c r="B254" s="50"/>
      <c r="C254" s="51">
        <v>219122</v>
      </c>
      <c r="D254" s="51"/>
      <c r="E254" s="48">
        <f>+G327</f>
        <v>1.71</v>
      </c>
      <c r="F254" s="132">
        <f>C254*E254</f>
        <v>374698.62</v>
      </c>
      <c r="G254" s="39"/>
    </row>
    <row r="255" spans="1:8" ht="17.25" x14ac:dyDescent="0.35">
      <c r="A255" s="42" t="s">
        <v>3</v>
      </c>
      <c r="B255" s="38"/>
      <c r="C255" s="47">
        <f>SUM(C253:C254)</f>
        <v>262542</v>
      </c>
      <c r="D255" s="51"/>
      <c r="E255" s="38"/>
      <c r="F255" s="131">
        <f>SUM(F253:F254)</f>
        <v>461104.42</v>
      </c>
      <c r="G255" s="39"/>
    </row>
    <row r="256" spans="1:8" ht="15" x14ac:dyDescent="0.2">
      <c r="A256" s="42"/>
      <c r="B256" s="38"/>
      <c r="C256" s="38"/>
      <c r="D256" s="38"/>
      <c r="E256" s="38"/>
      <c r="F256" s="38"/>
      <c r="G256" s="39"/>
    </row>
    <row r="257" spans="1:7" ht="15.75" x14ac:dyDescent="0.25">
      <c r="A257" s="35" t="s">
        <v>23</v>
      </c>
      <c r="B257" s="38"/>
      <c r="C257" s="38"/>
      <c r="D257" s="38"/>
      <c r="E257" s="38"/>
      <c r="F257" s="131">
        <v>585067</v>
      </c>
      <c r="G257" s="39"/>
    </row>
    <row r="258" spans="1:7" ht="15" x14ac:dyDescent="0.2">
      <c r="A258" s="42"/>
      <c r="B258" s="38"/>
      <c r="C258" s="38"/>
      <c r="D258" s="38"/>
      <c r="E258" s="38"/>
      <c r="F258" s="131"/>
      <c r="G258" s="39"/>
    </row>
    <row r="259" spans="1:7" ht="15" x14ac:dyDescent="0.2">
      <c r="A259" s="42" t="s">
        <v>101</v>
      </c>
      <c r="B259" s="38"/>
      <c r="C259" s="38"/>
      <c r="D259" s="38"/>
      <c r="E259" s="38"/>
      <c r="F259" s="131">
        <f>F257-F255</f>
        <v>123962.58000000002</v>
      </c>
      <c r="G259" s="39"/>
    </row>
    <row r="260" spans="1:7" ht="17.25" x14ac:dyDescent="0.35">
      <c r="A260" s="42" t="s">
        <v>102</v>
      </c>
      <c r="B260" s="38"/>
      <c r="C260" s="130">
        <f>-1.78+1.44</f>
        <v>-0.34000000000000008</v>
      </c>
      <c r="D260" s="38"/>
      <c r="E260" s="38"/>
      <c r="F260" s="133">
        <f>C260*C253</f>
        <v>-14762.800000000003</v>
      </c>
      <c r="G260" s="39"/>
    </row>
    <row r="261" spans="1:7" ht="15" x14ac:dyDescent="0.2">
      <c r="A261" s="134" t="s">
        <v>100</v>
      </c>
      <c r="B261" s="38"/>
      <c r="C261" s="38"/>
      <c r="D261" s="38"/>
      <c r="E261" s="38"/>
      <c r="F261" s="131">
        <f>SUM(F259:F260)</f>
        <v>109199.78000000001</v>
      </c>
      <c r="G261" s="39"/>
    </row>
    <row r="262" spans="1:7" ht="15" x14ac:dyDescent="0.2">
      <c r="A262" s="42"/>
      <c r="B262" s="38"/>
      <c r="C262" s="38"/>
      <c r="D262" s="38"/>
      <c r="E262" s="38"/>
      <c r="F262" s="38"/>
      <c r="G262" s="39"/>
    </row>
    <row r="263" spans="1:7" ht="15" x14ac:dyDescent="0.2">
      <c r="A263" s="42" t="s">
        <v>25</v>
      </c>
      <c r="B263" s="38"/>
      <c r="C263" s="38"/>
      <c r="D263" s="38"/>
      <c r="E263" s="38"/>
      <c r="F263" s="47">
        <f>+C255</f>
        <v>262542</v>
      </c>
      <c r="G263" s="39"/>
    </row>
    <row r="264" spans="1:7" ht="15" x14ac:dyDescent="0.2">
      <c r="A264" s="42"/>
      <c r="B264" s="38"/>
      <c r="C264" s="38"/>
      <c r="D264" s="38"/>
      <c r="E264" s="38"/>
      <c r="F264" s="38"/>
      <c r="G264" s="39"/>
    </row>
    <row r="265" spans="1:7" ht="15" x14ac:dyDescent="0.2">
      <c r="A265" s="42" t="s">
        <v>26</v>
      </c>
      <c r="B265" s="38"/>
      <c r="C265" s="38"/>
      <c r="D265" s="38"/>
      <c r="E265" s="38"/>
      <c r="F265" s="61"/>
      <c r="G265" s="52">
        <f>ROUND(F261/F263,2)</f>
        <v>0.42</v>
      </c>
    </row>
    <row r="266" spans="1:7" ht="15" x14ac:dyDescent="0.2">
      <c r="A266" s="42"/>
      <c r="B266" s="38"/>
      <c r="C266" s="38"/>
      <c r="D266" s="38"/>
      <c r="E266" s="38"/>
      <c r="F266" s="38"/>
      <c r="G266" s="52"/>
    </row>
    <row r="267" spans="1:7" ht="15" x14ac:dyDescent="0.2">
      <c r="A267" s="42"/>
      <c r="B267" s="38"/>
      <c r="C267" s="38"/>
      <c r="D267" s="38"/>
      <c r="E267" s="38"/>
      <c r="F267" s="38"/>
      <c r="G267" s="52"/>
    </row>
    <row r="268" spans="1:7" ht="15" x14ac:dyDescent="0.2">
      <c r="A268" s="42"/>
      <c r="B268" s="38"/>
      <c r="C268" s="38"/>
      <c r="D268" s="38"/>
      <c r="E268" s="38"/>
      <c r="F268" s="38"/>
      <c r="G268" s="52"/>
    </row>
    <row r="269" spans="1:7" ht="15.75" x14ac:dyDescent="0.25">
      <c r="A269" s="45" t="s">
        <v>98</v>
      </c>
      <c r="B269" s="36"/>
      <c r="C269" s="38"/>
      <c r="D269" s="38"/>
      <c r="E269" s="38"/>
      <c r="F269" s="53">
        <f>+F257</f>
        <v>585067</v>
      </c>
      <c r="G269" s="52"/>
    </row>
    <row r="270" spans="1:7" ht="15" x14ac:dyDescent="0.2">
      <c r="A270" s="42" t="s">
        <v>25</v>
      </c>
      <c r="B270" s="38"/>
      <c r="C270" s="38"/>
      <c r="D270" s="38"/>
      <c r="E270" s="38"/>
      <c r="F270" s="47">
        <f>+C255</f>
        <v>262542</v>
      </c>
      <c r="G270" s="52"/>
    </row>
    <row r="271" spans="1:7" ht="17.25" x14ac:dyDescent="0.35">
      <c r="A271" s="42" t="s">
        <v>27</v>
      </c>
      <c r="B271" s="38"/>
      <c r="C271" s="38"/>
      <c r="D271" s="38"/>
      <c r="E271" s="38"/>
      <c r="F271" s="38"/>
      <c r="G271" s="55">
        <f>ROUND(+F269/F270,2)</f>
        <v>2.23</v>
      </c>
    </row>
    <row r="272" spans="1:7" ht="15" x14ac:dyDescent="0.2">
      <c r="A272" s="42"/>
      <c r="B272" s="38"/>
      <c r="C272" s="38"/>
      <c r="D272" s="38"/>
      <c r="E272" s="38"/>
      <c r="F272" s="38"/>
      <c r="G272" s="52"/>
    </row>
    <row r="273" spans="1:7" ht="15" x14ac:dyDescent="0.2">
      <c r="A273" s="42"/>
      <c r="B273" s="38"/>
      <c r="C273" s="38"/>
      <c r="D273" s="38"/>
      <c r="E273" s="38"/>
      <c r="F273" s="38"/>
      <c r="G273" s="52"/>
    </row>
    <row r="274" spans="1:7" ht="16.5" thickBot="1" x14ac:dyDescent="0.3">
      <c r="A274" s="35" t="s">
        <v>28</v>
      </c>
      <c r="B274" s="36"/>
      <c r="C274" s="38"/>
      <c r="D274" s="38"/>
      <c r="E274" s="38"/>
      <c r="F274" s="38"/>
      <c r="G274" s="58">
        <f>SUM(G265:G271)</f>
        <v>2.65</v>
      </c>
    </row>
    <row r="275" spans="1:7" ht="14.25" thickTop="1" thickBot="1" x14ac:dyDescent="0.25">
      <c r="A275" s="19"/>
      <c r="B275" s="20"/>
      <c r="C275" s="20"/>
      <c r="D275" s="20"/>
      <c r="E275" s="20"/>
      <c r="F275" s="20"/>
      <c r="G275" s="21"/>
    </row>
    <row r="276" spans="1:7" ht="15" x14ac:dyDescent="0.2">
      <c r="A276" s="367" t="s">
        <v>29</v>
      </c>
      <c r="B276" s="368"/>
      <c r="C276" s="368"/>
      <c r="D276" s="368"/>
      <c r="E276" s="368"/>
      <c r="F276" s="368"/>
      <c r="G276" s="369"/>
    </row>
    <row r="277" spans="1:7" ht="15" x14ac:dyDescent="0.2">
      <c r="A277" s="49"/>
      <c r="B277" s="50"/>
      <c r="C277" s="50"/>
      <c r="D277" s="50"/>
      <c r="E277" s="50"/>
      <c r="F277" s="50"/>
      <c r="G277" s="64"/>
    </row>
    <row r="278" spans="1:7" ht="15.75" x14ac:dyDescent="0.25">
      <c r="A278" s="49"/>
      <c r="B278" s="50"/>
      <c r="C278" s="43"/>
      <c r="D278" s="43"/>
      <c r="E278" s="43" t="s">
        <v>13</v>
      </c>
      <c r="F278" s="43" t="s">
        <v>3</v>
      </c>
      <c r="G278" s="64"/>
    </row>
    <row r="279" spans="1:7" ht="15.75" x14ac:dyDescent="0.25">
      <c r="A279" s="49"/>
      <c r="B279" s="50"/>
      <c r="C279" s="65" t="s">
        <v>20</v>
      </c>
      <c r="D279" s="65"/>
      <c r="E279" s="65" t="s">
        <v>22</v>
      </c>
      <c r="F279" s="65" t="s">
        <v>6</v>
      </c>
      <c r="G279" s="64"/>
    </row>
    <row r="280" spans="1:7" ht="15.75" x14ac:dyDescent="0.25">
      <c r="A280" s="45" t="s">
        <v>85</v>
      </c>
      <c r="B280" s="36"/>
      <c r="C280" s="66"/>
      <c r="D280" s="66"/>
      <c r="E280" s="66"/>
      <c r="F280" s="66"/>
      <c r="G280" s="64"/>
    </row>
    <row r="281" spans="1:7" ht="15.75" x14ac:dyDescent="0.25">
      <c r="A281" s="42" t="s">
        <v>58</v>
      </c>
      <c r="B281" s="50"/>
      <c r="C281" s="67">
        <v>3165.2666666666669</v>
      </c>
      <c r="D281" s="67"/>
      <c r="E281" s="68">
        <f>+E338</f>
        <v>0.26</v>
      </c>
      <c r="F281" s="54">
        <f>E281*C281</f>
        <v>822.96933333333345</v>
      </c>
      <c r="G281" s="64"/>
    </row>
    <row r="282" spans="1:7" ht="17.25" x14ac:dyDescent="0.35">
      <c r="A282" s="49" t="s">
        <v>59</v>
      </c>
      <c r="B282" s="50"/>
      <c r="C282" s="51">
        <v>15187.712732919255</v>
      </c>
      <c r="D282" s="51"/>
      <c r="E282" s="68">
        <f>+G353</f>
        <v>0.24</v>
      </c>
      <c r="F282" s="132">
        <f>E282*C282</f>
        <v>3645.0510559006211</v>
      </c>
      <c r="G282" s="64"/>
    </row>
    <row r="283" spans="1:7" ht="15" x14ac:dyDescent="0.2">
      <c r="A283" s="42" t="s">
        <v>3</v>
      </c>
      <c r="B283" s="50"/>
      <c r="C283" s="67">
        <f>SUM(C281:C282)</f>
        <v>18352.979399585922</v>
      </c>
      <c r="D283" s="67"/>
      <c r="E283" s="50"/>
      <c r="F283" s="54">
        <f>SUM(F281:F282)</f>
        <v>4468.0203892339541</v>
      </c>
      <c r="G283" s="64"/>
    </row>
    <row r="284" spans="1:7" ht="15" x14ac:dyDescent="0.2">
      <c r="A284" s="42"/>
      <c r="B284" s="50"/>
      <c r="C284" s="50"/>
      <c r="D284" s="50"/>
      <c r="E284" s="50"/>
      <c r="F284" s="54"/>
      <c r="G284" s="64"/>
    </row>
    <row r="285" spans="1:7" ht="15.75" x14ac:dyDescent="0.25">
      <c r="A285" s="35" t="s">
        <v>23</v>
      </c>
      <c r="B285" s="50"/>
      <c r="C285" s="50"/>
      <c r="D285" s="50"/>
      <c r="E285" s="50"/>
      <c r="F285" s="54">
        <v>6208.3877211296831</v>
      </c>
      <c r="G285" s="64"/>
    </row>
    <row r="286" spans="1:7" ht="15" x14ac:dyDescent="0.2">
      <c r="A286" s="42"/>
      <c r="B286" s="50"/>
      <c r="C286" s="50"/>
      <c r="D286" s="50"/>
      <c r="E286" s="50"/>
      <c r="F286" s="54"/>
      <c r="G286" s="64"/>
    </row>
    <row r="287" spans="1:7" ht="15" x14ac:dyDescent="0.2">
      <c r="A287" s="42" t="s">
        <v>101</v>
      </c>
      <c r="B287" s="50"/>
      <c r="C287" s="50"/>
      <c r="D287" s="50"/>
      <c r="E287" s="50"/>
      <c r="F287" s="131">
        <f>F285-F283</f>
        <v>1740.367331895729</v>
      </c>
      <c r="G287" s="64"/>
    </row>
    <row r="288" spans="1:7" ht="17.25" x14ac:dyDescent="0.35">
      <c r="A288" s="42" t="s">
        <v>103</v>
      </c>
      <c r="B288" s="50"/>
      <c r="C288" s="135">
        <f>-0.28+0.23</f>
        <v>-5.0000000000000017E-2</v>
      </c>
      <c r="D288" s="50"/>
      <c r="E288" s="50"/>
      <c r="F288" s="133">
        <f>C288*C281</f>
        <v>-158.26333333333341</v>
      </c>
      <c r="G288" s="64"/>
    </row>
    <row r="289" spans="1:7" ht="15" x14ac:dyDescent="0.2">
      <c r="A289" s="134" t="s">
        <v>100</v>
      </c>
      <c r="B289" s="50"/>
      <c r="C289" s="50"/>
      <c r="D289" s="50"/>
      <c r="E289" s="50"/>
      <c r="F289" s="131">
        <f>SUM(F287:F288)</f>
        <v>1582.1039985623956</v>
      </c>
      <c r="G289" s="64"/>
    </row>
    <row r="290" spans="1:7" ht="15" x14ac:dyDescent="0.2">
      <c r="A290" s="42"/>
      <c r="B290" s="50"/>
      <c r="C290" s="50"/>
      <c r="D290" s="50"/>
      <c r="E290" s="50"/>
      <c r="F290" s="50"/>
      <c r="G290" s="64"/>
    </row>
    <row r="291" spans="1:7" ht="15" x14ac:dyDescent="0.2">
      <c r="A291" s="42" t="s">
        <v>25</v>
      </c>
      <c r="B291" s="50"/>
      <c r="C291" s="50"/>
      <c r="D291" s="50"/>
      <c r="E291" s="50"/>
      <c r="F291" s="67">
        <f>+C283</f>
        <v>18352.979399585922</v>
      </c>
      <c r="G291" s="64"/>
    </row>
    <row r="292" spans="1:7" ht="15" x14ac:dyDescent="0.2">
      <c r="A292" s="42"/>
      <c r="B292" s="50"/>
      <c r="C292" s="50"/>
      <c r="D292" s="50"/>
      <c r="E292" s="50"/>
      <c r="F292" s="50"/>
      <c r="G292" s="64"/>
    </row>
    <row r="293" spans="1:7" ht="15" x14ac:dyDescent="0.2">
      <c r="A293" s="42" t="s">
        <v>26</v>
      </c>
      <c r="B293" s="50"/>
      <c r="C293" s="50"/>
      <c r="D293" s="50"/>
      <c r="E293" s="50"/>
      <c r="F293" s="50"/>
      <c r="G293" s="70">
        <f>ROUND(F289/F291,2)</f>
        <v>0.09</v>
      </c>
    </row>
    <row r="294" spans="1:7" ht="15" x14ac:dyDescent="0.2">
      <c r="A294" s="42"/>
      <c r="B294" s="50"/>
      <c r="C294" s="50"/>
      <c r="D294" s="50"/>
      <c r="E294" s="50"/>
      <c r="F294" s="50"/>
      <c r="G294" s="70"/>
    </row>
    <row r="295" spans="1:7" ht="15" x14ac:dyDescent="0.2">
      <c r="A295" s="42"/>
      <c r="B295" s="50"/>
      <c r="C295" s="50"/>
      <c r="D295" s="50"/>
      <c r="E295" s="50"/>
      <c r="F295" s="67"/>
      <c r="G295" s="64"/>
    </row>
    <row r="296" spans="1:7" ht="15.75" x14ac:dyDescent="0.25">
      <c r="A296" s="42"/>
      <c r="B296" s="36"/>
      <c r="C296" s="50"/>
      <c r="D296" s="50"/>
      <c r="E296" s="50"/>
      <c r="F296" s="67"/>
      <c r="G296" s="64"/>
    </row>
    <row r="297" spans="1:7" ht="15.75" x14ac:dyDescent="0.25">
      <c r="A297" s="45" t="s">
        <v>98</v>
      </c>
      <c r="B297" s="50"/>
      <c r="C297" s="50"/>
      <c r="D297" s="50"/>
      <c r="E297" s="50"/>
      <c r="F297" s="54">
        <f>+F285</f>
        <v>6208.3877211296831</v>
      </c>
      <c r="G297" s="64"/>
    </row>
    <row r="298" spans="1:7" ht="15" x14ac:dyDescent="0.2">
      <c r="A298" s="42" t="s">
        <v>25</v>
      </c>
      <c r="B298" s="50"/>
      <c r="C298" s="50"/>
      <c r="D298" s="50"/>
      <c r="E298" s="50"/>
      <c r="F298" s="67">
        <f>+C283</f>
        <v>18352.979399585922</v>
      </c>
      <c r="G298" s="64"/>
    </row>
    <row r="299" spans="1:7" ht="17.25" x14ac:dyDescent="0.35">
      <c r="A299" s="42" t="s">
        <v>27</v>
      </c>
      <c r="B299" s="50"/>
      <c r="C299" s="50"/>
      <c r="D299" s="50"/>
      <c r="E299" s="50"/>
      <c r="F299" s="50"/>
      <c r="G299" s="57">
        <f>ROUND(+F297/F298,2)</f>
        <v>0.34</v>
      </c>
    </row>
    <row r="300" spans="1:7" ht="17.25" x14ac:dyDescent="0.35">
      <c r="A300" s="42"/>
      <c r="B300" s="50"/>
      <c r="C300" s="50"/>
      <c r="D300" s="50"/>
      <c r="E300" s="50"/>
      <c r="F300" s="50"/>
      <c r="G300" s="57"/>
    </row>
    <row r="301" spans="1:7" ht="16.5" thickBot="1" x14ac:dyDescent="0.3">
      <c r="A301" s="35" t="s">
        <v>30</v>
      </c>
      <c r="B301" s="36"/>
      <c r="C301" s="50"/>
      <c r="D301" s="50"/>
      <c r="E301" s="50"/>
      <c r="F301" s="50"/>
      <c r="G301" s="71">
        <f>+G299+G293+G294</f>
        <v>0.43000000000000005</v>
      </c>
    </row>
    <row r="302" spans="1:7" ht="16.5" thickTop="1" thickBot="1" x14ac:dyDescent="0.25">
      <c r="A302" s="72"/>
      <c r="B302" s="73"/>
      <c r="C302" s="73"/>
      <c r="D302" s="73"/>
      <c r="E302" s="73"/>
      <c r="F302" s="73"/>
      <c r="G302" s="74"/>
    </row>
    <row r="303" spans="1:7" ht="23.25" x14ac:dyDescent="0.35">
      <c r="A303" s="31" t="s">
        <v>57</v>
      </c>
      <c r="B303" s="32"/>
      <c r="C303" s="33"/>
      <c r="D303" s="33"/>
      <c r="E303" s="33"/>
      <c r="F303" s="33"/>
      <c r="G303" s="34"/>
    </row>
    <row r="304" spans="1:7" ht="15.75" x14ac:dyDescent="0.25">
      <c r="A304" s="35" t="s">
        <v>84</v>
      </c>
      <c r="B304" s="36"/>
      <c r="C304" s="37"/>
      <c r="D304" s="37"/>
      <c r="E304" s="38"/>
      <c r="F304" s="38"/>
      <c r="G304" s="39"/>
    </row>
    <row r="305" spans="1:7" ht="15.75" x14ac:dyDescent="0.25">
      <c r="A305" s="40"/>
      <c r="B305" s="41"/>
      <c r="C305" s="38"/>
      <c r="D305" s="38"/>
      <c r="E305" s="38"/>
      <c r="F305" s="38"/>
      <c r="G305" s="39"/>
    </row>
    <row r="306" spans="1:7" ht="15" x14ac:dyDescent="0.2">
      <c r="A306" s="367" t="s">
        <v>21</v>
      </c>
      <c r="B306" s="368"/>
      <c r="C306" s="368"/>
      <c r="D306" s="368"/>
      <c r="E306" s="368"/>
      <c r="F306" s="368"/>
      <c r="G306" s="369"/>
    </row>
    <row r="307" spans="1:7" ht="15" x14ac:dyDescent="0.2">
      <c r="A307" s="42"/>
      <c r="B307" s="38"/>
      <c r="C307" s="38"/>
      <c r="D307" s="38"/>
      <c r="E307" s="38"/>
      <c r="F307" s="38"/>
      <c r="G307" s="39"/>
    </row>
    <row r="308" spans="1:7" ht="15.75" x14ac:dyDescent="0.25">
      <c r="A308" s="42"/>
      <c r="B308" s="38"/>
      <c r="C308" s="43"/>
      <c r="D308" s="43"/>
      <c r="E308" s="43" t="s">
        <v>13</v>
      </c>
      <c r="F308" s="43" t="s">
        <v>3</v>
      </c>
      <c r="G308" s="39"/>
    </row>
    <row r="309" spans="1:7" ht="15.75" x14ac:dyDescent="0.25">
      <c r="A309" s="42"/>
      <c r="B309" s="38"/>
      <c r="C309" s="44" t="s">
        <v>5</v>
      </c>
      <c r="D309" s="44"/>
      <c r="E309" s="44" t="s">
        <v>22</v>
      </c>
      <c r="F309" s="44" t="s">
        <v>6</v>
      </c>
      <c r="G309" s="39"/>
    </row>
    <row r="310" spans="1:7" ht="15.75" x14ac:dyDescent="0.25">
      <c r="A310" s="45" t="s">
        <v>78</v>
      </c>
      <c r="B310" s="36"/>
      <c r="C310" s="46"/>
      <c r="D310" s="46"/>
      <c r="E310" s="46"/>
      <c r="F310" s="46"/>
      <c r="G310" s="39"/>
    </row>
    <row r="311" spans="1:7" ht="15.75" x14ac:dyDescent="0.25">
      <c r="A311" s="42" t="s">
        <v>58</v>
      </c>
      <c r="B311" s="38"/>
      <c r="C311" s="47">
        <v>42479</v>
      </c>
      <c r="D311" s="47"/>
      <c r="E311" s="48">
        <f>+E366</f>
        <v>1.96</v>
      </c>
      <c r="F311" s="47">
        <f>C311*E311</f>
        <v>83258.84</v>
      </c>
      <c r="G311" s="39"/>
    </row>
    <row r="312" spans="1:7" ht="17.25" x14ac:dyDescent="0.35">
      <c r="A312" s="49" t="s">
        <v>59</v>
      </c>
      <c r="B312" s="50"/>
      <c r="C312" s="51">
        <v>213820</v>
      </c>
      <c r="D312" s="51"/>
      <c r="E312" s="48">
        <f>+G381</f>
        <v>1.99</v>
      </c>
      <c r="F312" s="51">
        <f>C312*E312</f>
        <v>425501.8</v>
      </c>
      <c r="G312" s="39"/>
    </row>
    <row r="313" spans="1:7" ht="17.25" x14ac:dyDescent="0.35">
      <c r="A313" s="42" t="s">
        <v>3</v>
      </c>
      <c r="B313" s="38"/>
      <c r="C313" s="47">
        <f>SUM(C311:C312)</f>
        <v>256299</v>
      </c>
      <c r="D313" s="51"/>
      <c r="E313" s="38"/>
      <c r="F313" s="47">
        <f>SUM(F311:F312)</f>
        <v>508760.64</v>
      </c>
      <c r="G313" s="39"/>
    </row>
    <row r="314" spans="1:7" ht="15" x14ac:dyDescent="0.2">
      <c r="A314" s="42"/>
      <c r="B314" s="38"/>
      <c r="C314" s="38"/>
      <c r="D314" s="38"/>
      <c r="E314" s="38"/>
      <c r="F314" s="38"/>
      <c r="G314" s="39"/>
    </row>
    <row r="315" spans="1:7" ht="15.75" x14ac:dyDescent="0.25">
      <c r="A315" s="35" t="s">
        <v>23</v>
      </c>
      <c r="B315" s="38"/>
      <c r="C315" s="38"/>
      <c r="D315" s="38"/>
      <c r="E315" s="38"/>
      <c r="F315" s="47">
        <v>438426</v>
      </c>
      <c r="G315" s="39"/>
    </row>
    <row r="316" spans="1:7" ht="15" x14ac:dyDescent="0.2">
      <c r="A316" s="42"/>
      <c r="B316" s="38"/>
      <c r="C316" s="38"/>
      <c r="D316" s="38"/>
      <c r="E316" s="38"/>
      <c r="F316" s="38"/>
      <c r="G316" s="39"/>
    </row>
    <row r="317" spans="1:7" ht="15" x14ac:dyDescent="0.2">
      <c r="A317" s="42" t="s">
        <v>24</v>
      </c>
      <c r="B317" s="38"/>
      <c r="C317" s="38"/>
      <c r="D317" s="38"/>
      <c r="E317" s="38"/>
      <c r="F317" s="47">
        <f>F315-F313</f>
        <v>-70334.640000000014</v>
      </c>
      <c r="G317" s="39"/>
    </row>
    <row r="318" spans="1:7" ht="15" x14ac:dyDescent="0.2">
      <c r="A318" s="42"/>
      <c r="B318" s="38"/>
      <c r="C318" s="38"/>
      <c r="D318" s="38"/>
      <c r="E318" s="38"/>
      <c r="F318" s="38"/>
      <c r="G318" s="39"/>
    </row>
    <row r="319" spans="1:7" ht="15" x14ac:dyDescent="0.2">
      <c r="A319" s="42" t="s">
        <v>25</v>
      </c>
      <c r="B319" s="38"/>
      <c r="C319" s="38"/>
      <c r="D319" s="38"/>
      <c r="E319" s="38"/>
      <c r="F319" s="47">
        <f>+C313</f>
        <v>256299</v>
      </c>
      <c r="G319" s="39"/>
    </row>
    <row r="320" spans="1:7" ht="15" x14ac:dyDescent="0.2">
      <c r="A320" s="42"/>
      <c r="B320" s="38"/>
      <c r="C320" s="38"/>
      <c r="D320" s="38"/>
      <c r="E320" s="38"/>
      <c r="F320" s="38"/>
      <c r="G320" s="39"/>
    </row>
    <row r="321" spans="1:8" ht="15" x14ac:dyDescent="0.2">
      <c r="A321" s="42" t="s">
        <v>26</v>
      </c>
      <c r="B321" s="38"/>
      <c r="C321" s="38"/>
      <c r="D321" s="38"/>
      <c r="E321" s="38"/>
      <c r="F321" s="61"/>
      <c r="G321" s="52">
        <f>ROUND(F317/F319,2)</f>
        <v>-0.27</v>
      </c>
    </row>
    <row r="322" spans="1:8" ht="15" x14ac:dyDescent="0.2">
      <c r="A322" s="42"/>
      <c r="B322" s="38"/>
      <c r="C322" s="38"/>
      <c r="D322" s="38"/>
      <c r="E322" s="38"/>
      <c r="F322" s="38"/>
      <c r="G322" s="52"/>
    </row>
    <row r="323" spans="1:8" ht="15" x14ac:dyDescent="0.2">
      <c r="A323" s="42"/>
      <c r="B323" s="38"/>
      <c r="C323" s="38"/>
      <c r="D323" s="38"/>
      <c r="E323" s="38"/>
      <c r="F323" s="38"/>
      <c r="G323" s="52"/>
    </row>
    <row r="324" spans="1:8" ht="15" x14ac:dyDescent="0.2">
      <c r="A324" s="42"/>
      <c r="B324" s="38"/>
      <c r="C324" s="38"/>
      <c r="D324" s="38"/>
      <c r="E324" s="38"/>
      <c r="F324" s="38"/>
      <c r="G324" s="52"/>
    </row>
    <row r="325" spans="1:8" ht="15.75" x14ac:dyDescent="0.25">
      <c r="A325" s="45" t="s">
        <v>85</v>
      </c>
      <c r="B325" s="36"/>
      <c r="C325" s="38"/>
      <c r="D325" s="38"/>
      <c r="E325" s="38"/>
      <c r="F325" s="53">
        <f>+F315</f>
        <v>438426</v>
      </c>
      <c r="G325" s="52"/>
    </row>
    <row r="326" spans="1:8" ht="15" x14ac:dyDescent="0.2">
      <c r="A326" s="42" t="s">
        <v>25</v>
      </c>
      <c r="B326" s="38"/>
      <c r="C326" s="38"/>
      <c r="D326" s="38"/>
      <c r="E326" s="38"/>
      <c r="F326" s="47">
        <f>+C313</f>
        <v>256299</v>
      </c>
      <c r="G326" s="52"/>
    </row>
    <row r="327" spans="1:8" ht="17.25" x14ac:dyDescent="0.35">
      <c r="A327" s="42" t="s">
        <v>27</v>
      </c>
      <c r="B327" s="38"/>
      <c r="C327" s="38"/>
      <c r="D327" s="38"/>
      <c r="E327" s="38"/>
      <c r="F327" s="38"/>
      <c r="G327" s="55">
        <f>ROUND(+F325/F326,2)</f>
        <v>1.71</v>
      </c>
    </row>
    <row r="328" spans="1:8" ht="15" x14ac:dyDescent="0.2">
      <c r="A328" s="42"/>
      <c r="B328" s="38"/>
      <c r="C328" s="38"/>
      <c r="D328" s="38"/>
      <c r="E328" s="38"/>
      <c r="F328" s="38"/>
      <c r="G328" s="52"/>
    </row>
    <row r="329" spans="1:8" ht="15" x14ac:dyDescent="0.2">
      <c r="A329" s="42"/>
      <c r="B329" s="38"/>
      <c r="C329" s="38"/>
      <c r="D329" s="38"/>
      <c r="E329" s="38"/>
      <c r="F329" s="38"/>
      <c r="G329" s="52"/>
    </row>
    <row r="330" spans="1:8" ht="16.5" thickBot="1" x14ac:dyDescent="0.3">
      <c r="A330" s="35" t="s">
        <v>28</v>
      </c>
      <c r="B330" s="36"/>
      <c r="C330" s="38"/>
      <c r="D330" s="38"/>
      <c r="E330" s="38"/>
      <c r="F330" s="38"/>
      <c r="G330" s="58">
        <f>SUM(G321:G327)</f>
        <v>1.44</v>
      </c>
      <c r="H330" s="18"/>
    </row>
    <row r="331" spans="1:8" ht="14.25" thickTop="1" thickBot="1" x14ac:dyDescent="0.25">
      <c r="A331" s="19"/>
      <c r="B331" s="20"/>
      <c r="C331" s="20"/>
      <c r="D331" s="20"/>
      <c r="E331" s="20"/>
      <c r="F331" s="20"/>
      <c r="G331" s="21"/>
    </row>
    <row r="332" spans="1:8" ht="15" x14ac:dyDescent="0.2">
      <c r="A332" s="367" t="s">
        <v>29</v>
      </c>
      <c r="B332" s="368"/>
      <c r="C332" s="368"/>
      <c r="D332" s="368"/>
      <c r="E332" s="368"/>
      <c r="F332" s="368"/>
      <c r="G332" s="369"/>
    </row>
    <row r="333" spans="1:8" ht="15" x14ac:dyDescent="0.2">
      <c r="A333" s="49"/>
      <c r="B333" s="50"/>
      <c r="C333" s="50"/>
      <c r="D333" s="50"/>
      <c r="E333" s="50"/>
      <c r="F333" s="50"/>
      <c r="G333" s="64"/>
    </row>
    <row r="334" spans="1:8" ht="15.75" x14ac:dyDescent="0.25">
      <c r="A334" s="49"/>
      <c r="B334" s="50"/>
      <c r="C334" s="43"/>
      <c r="D334" s="43"/>
      <c r="E334" s="43" t="s">
        <v>13</v>
      </c>
      <c r="F334" s="43" t="s">
        <v>3</v>
      </c>
      <c r="G334" s="64"/>
    </row>
    <row r="335" spans="1:8" ht="15.75" x14ac:dyDescent="0.25">
      <c r="A335" s="49"/>
      <c r="B335" s="50"/>
      <c r="C335" s="65" t="s">
        <v>20</v>
      </c>
      <c r="D335" s="65"/>
      <c r="E335" s="65" t="s">
        <v>22</v>
      </c>
      <c r="F335" s="65" t="s">
        <v>6</v>
      </c>
      <c r="G335" s="64"/>
    </row>
    <row r="336" spans="1:8" ht="15.75" x14ac:dyDescent="0.25">
      <c r="A336" s="45" t="s">
        <v>78</v>
      </c>
      <c r="B336" s="36"/>
      <c r="C336" s="66"/>
      <c r="D336" s="66"/>
      <c r="E336" s="66"/>
      <c r="F336" s="66"/>
      <c r="G336" s="64"/>
    </row>
    <row r="337" spans="1:7" ht="15.75" x14ac:dyDescent="0.25">
      <c r="A337" s="42" t="s">
        <v>58</v>
      </c>
      <c r="B337" s="50"/>
      <c r="C337" s="67">
        <v>3158</v>
      </c>
      <c r="D337" s="67"/>
      <c r="E337" s="68">
        <f>+E392</f>
        <v>0.23</v>
      </c>
      <c r="F337" s="67">
        <f>E337*C337</f>
        <v>726.34</v>
      </c>
      <c r="G337" s="64"/>
    </row>
    <row r="338" spans="1:7" ht="17.25" x14ac:dyDescent="0.35">
      <c r="A338" s="49" t="s">
        <v>59</v>
      </c>
      <c r="B338" s="50"/>
      <c r="C338" s="51">
        <v>15916</v>
      </c>
      <c r="D338" s="51"/>
      <c r="E338" s="68">
        <f>+G407</f>
        <v>0.26</v>
      </c>
      <c r="F338" s="51">
        <f>E338*C338</f>
        <v>4138.16</v>
      </c>
      <c r="G338" s="64"/>
    </row>
    <row r="339" spans="1:7" ht="15" x14ac:dyDescent="0.2">
      <c r="A339" s="42" t="s">
        <v>3</v>
      </c>
      <c r="B339" s="50"/>
      <c r="C339" s="67">
        <f>SUM(C337:C338)</f>
        <v>19074</v>
      </c>
      <c r="D339" s="67"/>
      <c r="E339" s="50"/>
      <c r="F339" s="67">
        <f>SUM(F337:F338)</f>
        <v>4864.5</v>
      </c>
      <c r="G339" s="64"/>
    </row>
    <row r="340" spans="1:7" ht="15" x14ac:dyDescent="0.2">
      <c r="A340" s="42"/>
      <c r="B340" s="50"/>
      <c r="C340" s="50"/>
      <c r="D340" s="50"/>
      <c r="E340" s="50"/>
      <c r="F340" s="50"/>
      <c r="G340" s="64"/>
    </row>
    <row r="341" spans="1:7" ht="15.75" x14ac:dyDescent="0.25">
      <c r="A341" s="35" t="s">
        <v>23</v>
      </c>
      <c r="B341" s="50"/>
      <c r="C341" s="50"/>
      <c r="D341" s="50"/>
      <c r="E341" s="50"/>
      <c r="F341" s="69">
        <v>4652</v>
      </c>
      <c r="G341" s="64"/>
    </row>
    <row r="342" spans="1:7" ht="15" x14ac:dyDescent="0.2">
      <c r="A342" s="42"/>
      <c r="B342" s="50"/>
      <c r="C342" s="50"/>
      <c r="D342" s="50"/>
      <c r="E342" s="50"/>
      <c r="F342" s="50"/>
      <c r="G342" s="64"/>
    </row>
    <row r="343" spans="1:7" ht="15" x14ac:dyDescent="0.2">
      <c r="A343" s="42" t="s">
        <v>24</v>
      </c>
      <c r="B343" s="50"/>
      <c r="C343" s="50"/>
      <c r="D343" s="50"/>
      <c r="E343" s="50"/>
      <c r="F343" s="47">
        <f>F341-F339</f>
        <v>-212.5</v>
      </c>
      <c r="G343" s="64"/>
    </row>
    <row r="344" spans="1:7" ht="15" x14ac:dyDescent="0.2">
      <c r="A344" s="42"/>
      <c r="B344" s="50"/>
      <c r="C344" s="50"/>
      <c r="D344" s="50"/>
      <c r="E344" s="50"/>
      <c r="F344" s="50"/>
      <c r="G344" s="64"/>
    </row>
    <row r="345" spans="1:7" ht="15" x14ac:dyDescent="0.2">
      <c r="A345" s="42" t="s">
        <v>25</v>
      </c>
      <c r="B345" s="50"/>
      <c r="C345" s="50"/>
      <c r="D345" s="50"/>
      <c r="E345" s="50"/>
      <c r="F345" s="67">
        <f>+C339</f>
        <v>19074</v>
      </c>
      <c r="G345" s="64"/>
    </row>
    <row r="346" spans="1:7" ht="15" x14ac:dyDescent="0.2">
      <c r="A346" s="42"/>
      <c r="B346" s="50"/>
      <c r="C346" s="50"/>
      <c r="D346" s="50"/>
      <c r="E346" s="50"/>
      <c r="F346" s="50"/>
      <c r="G346" s="64"/>
    </row>
    <row r="347" spans="1:7" ht="15" x14ac:dyDescent="0.2">
      <c r="A347" s="42" t="s">
        <v>26</v>
      </c>
      <c r="B347" s="50"/>
      <c r="C347" s="50"/>
      <c r="D347" s="50"/>
      <c r="E347" s="50"/>
      <c r="F347" s="50"/>
      <c r="G347" s="70">
        <f>ROUND(F343/F345,2)</f>
        <v>-0.01</v>
      </c>
    </row>
    <row r="348" spans="1:7" ht="15" x14ac:dyDescent="0.2">
      <c r="A348" s="42"/>
      <c r="B348" s="50"/>
      <c r="C348" s="50"/>
      <c r="D348" s="50"/>
      <c r="E348" s="50"/>
      <c r="F348" s="50"/>
      <c r="G348" s="70"/>
    </row>
    <row r="349" spans="1:7" ht="15" x14ac:dyDescent="0.2">
      <c r="A349" s="42"/>
      <c r="B349" s="50"/>
      <c r="C349" s="50"/>
      <c r="D349" s="50"/>
      <c r="E349" s="50"/>
      <c r="F349" s="67"/>
      <c r="G349" s="64"/>
    </row>
    <row r="350" spans="1:7" ht="15.75" x14ac:dyDescent="0.25">
      <c r="A350" s="42"/>
      <c r="B350" s="36"/>
      <c r="C350" s="50"/>
      <c r="D350" s="50"/>
      <c r="E350" s="50"/>
      <c r="F350" s="67"/>
      <c r="G350" s="64"/>
    </row>
    <row r="351" spans="1:7" ht="15.75" x14ac:dyDescent="0.25">
      <c r="A351" s="45" t="s">
        <v>85</v>
      </c>
      <c r="B351" s="50"/>
      <c r="C351" s="50"/>
      <c r="D351" s="50"/>
      <c r="E351" s="50"/>
      <c r="F351" s="54">
        <f>+F341</f>
        <v>4652</v>
      </c>
      <c r="G351" s="64"/>
    </row>
    <row r="352" spans="1:7" ht="15" x14ac:dyDescent="0.2">
      <c r="A352" s="42" t="s">
        <v>25</v>
      </c>
      <c r="B352" s="50"/>
      <c r="C352" s="50"/>
      <c r="D352" s="50"/>
      <c r="E352" s="50"/>
      <c r="F352" s="67">
        <f>+C339</f>
        <v>19074</v>
      </c>
      <c r="G352" s="64"/>
    </row>
    <row r="353" spans="1:8" ht="17.25" x14ac:dyDescent="0.35">
      <c r="A353" s="42" t="s">
        <v>27</v>
      </c>
      <c r="B353" s="50"/>
      <c r="C353" s="50"/>
      <c r="D353" s="50"/>
      <c r="E353" s="50"/>
      <c r="F353" s="50"/>
      <c r="G353" s="57">
        <f>ROUND(+F351/F352,2)</f>
        <v>0.24</v>
      </c>
      <c r="H353" s="18"/>
    </row>
    <row r="354" spans="1:8" ht="17.25" x14ac:dyDescent="0.35">
      <c r="A354" s="42"/>
      <c r="B354" s="50"/>
      <c r="C354" s="50"/>
      <c r="D354" s="50"/>
      <c r="E354" s="50"/>
      <c r="F354" s="50"/>
      <c r="G354" s="57"/>
    </row>
    <row r="355" spans="1:8" ht="16.5" thickBot="1" x14ac:dyDescent="0.3">
      <c r="A355" s="35" t="s">
        <v>30</v>
      </c>
      <c r="B355" s="36"/>
      <c r="C355" s="50"/>
      <c r="D355" s="50"/>
      <c r="E355" s="50"/>
      <c r="F355" s="50"/>
      <c r="G355" s="71">
        <f>+G353+G347+G348</f>
        <v>0.22999999999999998</v>
      </c>
    </row>
    <row r="356" spans="1:8" ht="16.5" thickTop="1" thickBot="1" x14ac:dyDescent="0.25">
      <c r="A356" s="72"/>
      <c r="B356" s="73"/>
      <c r="C356" s="73"/>
      <c r="D356" s="73"/>
      <c r="E356" s="73"/>
      <c r="F356" s="73"/>
      <c r="G356" s="74"/>
    </row>
    <row r="357" spans="1:8" ht="23.25" x14ac:dyDescent="0.35">
      <c r="A357" s="31" t="s">
        <v>57</v>
      </c>
      <c r="B357" s="32"/>
      <c r="C357" s="33"/>
      <c r="D357" s="33"/>
      <c r="E357" s="33"/>
      <c r="F357" s="33"/>
      <c r="G357" s="34"/>
    </row>
    <row r="358" spans="1:8" ht="15.75" x14ac:dyDescent="0.25">
      <c r="A358" s="35" t="s">
        <v>79</v>
      </c>
      <c r="B358" s="36"/>
      <c r="C358" s="37"/>
      <c r="D358" s="37"/>
      <c r="E358" s="38"/>
      <c r="F358" s="38"/>
      <c r="G358" s="39"/>
    </row>
    <row r="359" spans="1:8" ht="15.75" x14ac:dyDescent="0.25">
      <c r="A359" s="40"/>
      <c r="B359" s="41"/>
      <c r="C359" s="38"/>
      <c r="D359" s="38"/>
      <c r="E359" s="38"/>
      <c r="F359" s="38"/>
      <c r="G359" s="39"/>
    </row>
    <row r="360" spans="1:8" ht="15" x14ac:dyDescent="0.2">
      <c r="A360" s="367" t="s">
        <v>21</v>
      </c>
      <c r="B360" s="368"/>
      <c r="C360" s="368"/>
      <c r="D360" s="368"/>
      <c r="E360" s="368"/>
      <c r="F360" s="368"/>
      <c r="G360" s="369"/>
    </row>
    <row r="361" spans="1:8" ht="15" x14ac:dyDescent="0.2">
      <c r="A361" s="42"/>
      <c r="B361" s="38"/>
      <c r="C361" s="38"/>
      <c r="D361" s="38"/>
      <c r="E361" s="38"/>
      <c r="F361" s="38"/>
      <c r="G361" s="39"/>
    </row>
    <row r="362" spans="1:8" ht="15.75" x14ac:dyDescent="0.25">
      <c r="A362" s="42"/>
      <c r="B362" s="38"/>
      <c r="C362" s="43"/>
      <c r="D362" s="43"/>
      <c r="E362" s="43" t="s">
        <v>13</v>
      </c>
      <c r="F362" s="43" t="s">
        <v>3</v>
      </c>
      <c r="G362" s="39"/>
    </row>
    <row r="363" spans="1:8" ht="15.75" x14ac:dyDescent="0.25">
      <c r="A363" s="42"/>
      <c r="B363" s="38"/>
      <c r="C363" s="44" t="s">
        <v>5</v>
      </c>
      <c r="D363" s="44"/>
      <c r="E363" s="44" t="s">
        <v>22</v>
      </c>
      <c r="F363" s="44" t="s">
        <v>6</v>
      </c>
      <c r="G363" s="39"/>
    </row>
    <row r="364" spans="1:8" ht="15.75" x14ac:dyDescent="0.25">
      <c r="A364" s="45" t="s">
        <v>61</v>
      </c>
      <c r="B364" s="36"/>
      <c r="C364" s="46"/>
      <c r="D364" s="46"/>
      <c r="E364" s="46"/>
      <c r="F364" s="46"/>
      <c r="G364" s="39"/>
    </row>
    <row r="365" spans="1:8" ht="15.75" x14ac:dyDescent="0.25">
      <c r="A365" s="42" t="s">
        <v>58</v>
      </c>
      <c r="B365" s="38"/>
      <c r="C365" s="47">
        <v>41334</v>
      </c>
      <c r="D365" s="47"/>
      <c r="E365" s="48">
        <f>+E420</f>
        <v>1.6641107756753206</v>
      </c>
      <c r="F365" s="47">
        <f>C365*E365</f>
        <v>68784.354801763708</v>
      </c>
      <c r="G365" s="39"/>
    </row>
    <row r="366" spans="1:8" ht="17.25" x14ac:dyDescent="0.35">
      <c r="A366" s="49" t="s">
        <v>59</v>
      </c>
      <c r="B366" s="50"/>
      <c r="C366" s="51">
        <v>206670</v>
      </c>
      <c r="D366" s="51"/>
      <c r="E366" s="48">
        <f>+G435</f>
        <v>1.96</v>
      </c>
      <c r="F366" s="51">
        <f>C366*E366</f>
        <v>405073.2</v>
      </c>
      <c r="G366" s="39"/>
    </row>
    <row r="367" spans="1:8" ht="17.25" x14ac:dyDescent="0.35">
      <c r="A367" s="42" t="s">
        <v>3</v>
      </c>
      <c r="B367" s="38"/>
      <c r="C367" s="47">
        <f>SUM(C365:C366)</f>
        <v>248004</v>
      </c>
      <c r="D367" s="51"/>
      <c r="E367" s="38"/>
      <c r="F367" s="47">
        <f>SUM(F365:F366)</f>
        <v>473857.55480176373</v>
      </c>
      <c r="G367" s="39"/>
    </row>
    <row r="368" spans="1:8" ht="15" x14ac:dyDescent="0.2">
      <c r="A368" s="42"/>
      <c r="B368" s="38"/>
      <c r="C368" s="38"/>
      <c r="D368" s="38"/>
      <c r="E368" s="38"/>
      <c r="F368" s="38"/>
      <c r="G368" s="39"/>
    </row>
    <row r="369" spans="1:7" ht="15.75" x14ac:dyDescent="0.25">
      <c r="A369" s="35" t="s">
        <v>23</v>
      </c>
      <c r="B369" s="38"/>
      <c r="C369" s="38"/>
      <c r="D369" s="38"/>
      <c r="E369" s="38"/>
      <c r="F369" s="47">
        <v>494632</v>
      </c>
      <c r="G369" s="39"/>
    </row>
    <row r="370" spans="1:7" ht="15" x14ac:dyDescent="0.2">
      <c r="A370" s="42"/>
      <c r="B370" s="38"/>
      <c r="C370" s="38"/>
      <c r="D370" s="38"/>
      <c r="E370" s="38"/>
      <c r="F370" s="38"/>
      <c r="G370" s="39"/>
    </row>
    <row r="371" spans="1:7" ht="15" x14ac:dyDescent="0.2">
      <c r="A371" s="42" t="s">
        <v>24</v>
      </c>
      <c r="B371" s="38"/>
      <c r="C371" s="38"/>
      <c r="D371" s="38"/>
      <c r="E371" s="38"/>
      <c r="F371" s="47">
        <v>20775</v>
      </c>
      <c r="G371" s="39"/>
    </row>
    <row r="372" spans="1:7" ht="15" x14ac:dyDescent="0.2">
      <c r="A372" s="42"/>
      <c r="B372" s="38"/>
      <c r="C372" s="38"/>
      <c r="D372" s="38"/>
      <c r="E372" s="38"/>
      <c r="F372" s="38"/>
      <c r="G372" s="39"/>
    </row>
    <row r="373" spans="1:7" ht="15" x14ac:dyDescent="0.2">
      <c r="A373" s="42" t="s">
        <v>25</v>
      </c>
      <c r="B373" s="38"/>
      <c r="C373" s="38"/>
      <c r="D373" s="38"/>
      <c r="E373" s="38"/>
      <c r="F373" s="47">
        <f>+C367</f>
        <v>248004</v>
      </c>
      <c r="G373" s="39"/>
    </row>
    <row r="374" spans="1:7" ht="15" x14ac:dyDescent="0.2">
      <c r="A374" s="42"/>
      <c r="B374" s="38"/>
      <c r="C374" s="38"/>
      <c r="D374" s="38"/>
      <c r="E374" s="38"/>
      <c r="F374" s="38"/>
      <c r="G374" s="39"/>
    </row>
    <row r="375" spans="1:7" ht="15" x14ac:dyDescent="0.2">
      <c r="A375" s="42" t="s">
        <v>26</v>
      </c>
      <c r="B375" s="38"/>
      <c r="C375" s="38"/>
      <c r="D375" s="38"/>
      <c r="E375" s="38"/>
      <c r="F375" s="61"/>
      <c r="G375" s="52">
        <f>ROUND(F371/F373,2)</f>
        <v>0.08</v>
      </c>
    </row>
    <row r="376" spans="1:7" ht="15" x14ac:dyDescent="0.2">
      <c r="A376" s="42"/>
      <c r="B376" s="38"/>
      <c r="C376" s="38"/>
      <c r="D376" s="38"/>
      <c r="E376" s="38"/>
      <c r="F376" s="38"/>
      <c r="G376" s="52"/>
    </row>
    <row r="377" spans="1:7" ht="15" x14ac:dyDescent="0.2">
      <c r="A377" s="42"/>
      <c r="B377" s="38"/>
      <c r="C377" s="38"/>
      <c r="D377" s="38"/>
      <c r="E377" s="38"/>
      <c r="F377" s="38"/>
      <c r="G377" s="52"/>
    </row>
    <row r="378" spans="1:7" ht="15" x14ac:dyDescent="0.2">
      <c r="A378" s="42"/>
      <c r="B378" s="38"/>
      <c r="C378" s="38"/>
      <c r="D378" s="38"/>
      <c r="E378" s="38"/>
      <c r="F378" s="38"/>
      <c r="G378" s="52"/>
    </row>
    <row r="379" spans="1:7" ht="15.75" x14ac:dyDescent="0.25">
      <c r="A379" s="45" t="s">
        <v>78</v>
      </c>
      <c r="B379" s="36"/>
      <c r="C379" s="38"/>
      <c r="D379" s="38"/>
      <c r="E379" s="38"/>
      <c r="F379" s="53">
        <f>+F369</f>
        <v>494632</v>
      </c>
      <c r="G379" s="52"/>
    </row>
    <row r="380" spans="1:7" ht="15" x14ac:dyDescent="0.2">
      <c r="A380" s="42" t="s">
        <v>25</v>
      </c>
      <c r="B380" s="38"/>
      <c r="C380" s="38"/>
      <c r="D380" s="38"/>
      <c r="E380" s="38"/>
      <c r="F380" s="47">
        <f>+C367</f>
        <v>248004</v>
      </c>
      <c r="G380" s="52"/>
    </row>
    <row r="381" spans="1:7" ht="17.25" x14ac:dyDescent="0.35">
      <c r="A381" s="42" t="s">
        <v>27</v>
      </c>
      <c r="B381" s="38"/>
      <c r="C381" s="38"/>
      <c r="D381" s="38"/>
      <c r="E381" s="38"/>
      <c r="F381" s="38"/>
      <c r="G381" s="55">
        <f>ROUND(+F379/F380,2)</f>
        <v>1.99</v>
      </c>
    </row>
    <row r="382" spans="1:7" ht="15" x14ac:dyDescent="0.2">
      <c r="A382" s="42"/>
      <c r="B382" s="38"/>
      <c r="C382" s="38"/>
      <c r="D382" s="38"/>
      <c r="E382" s="38"/>
      <c r="F382" s="38"/>
      <c r="G382" s="52"/>
    </row>
    <row r="383" spans="1:7" ht="15" x14ac:dyDescent="0.2">
      <c r="A383" s="42"/>
      <c r="B383" s="38"/>
      <c r="C383" s="38"/>
      <c r="D383" s="38"/>
      <c r="E383" s="38"/>
      <c r="F383" s="38"/>
      <c r="G383" s="52"/>
    </row>
    <row r="384" spans="1:7" ht="16.5" thickBot="1" x14ac:dyDescent="0.3">
      <c r="A384" s="35" t="s">
        <v>28</v>
      </c>
      <c r="B384" s="36"/>
      <c r="C384" s="38"/>
      <c r="D384" s="38"/>
      <c r="E384" s="38"/>
      <c r="F384" s="38"/>
      <c r="G384" s="58">
        <f>SUM(G375:G381)</f>
        <v>2.0699999999999998</v>
      </c>
    </row>
    <row r="385" spans="1:7" ht="14.25" thickTop="1" thickBot="1" x14ac:dyDescent="0.25">
      <c r="A385" s="19"/>
      <c r="B385" s="20"/>
      <c r="C385" s="20"/>
      <c r="D385" s="20"/>
      <c r="E385" s="20"/>
      <c r="F385" s="20"/>
      <c r="G385" s="21"/>
    </row>
    <row r="386" spans="1:7" ht="15" x14ac:dyDescent="0.2">
      <c r="A386" s="367" t="s">
        <v>29</v>
      </c>
      <c r="B386" s="368"/>
      <c r="C386" s="368"/>
      <c r="D386" s="368"/>
      <c r="E386" s="368"/>
      <c r="F386" s="368"/>
      <c r="G386" s="369"/>
    </row>
    <row r="387" spans="1:7" ht="15" x14ac:dyDescent="0.2">
      <c r="A387" s="49"/>
      <c r="B387" s="50"/>
      <c r="C387" s="50"/>
      <c r="D387" s="50"/>
      <c r="E387" s="50"/>
      <c r="F387" s="50"/>
      <c r="G387" s="64"/>
    </row>
    <row r="388" spans="1:7" ht="15.75" x14ac:dyDescent="0.25">
      <c r="A388" s="49"/>
      <c r="B388" s="50"/>
      <c r="C388" s="43"/>
      <c r="D388" s="43"/>
      <c r="E388" s="43" t="s">
        <v>13</v>
      </c>
      <c r="F388" s="43" t="s">
        <v>3</v>
      </c>
      <c r="G388" s="64"/>
    </row>
    <row r="389" spans="1:7" ht="15.75" x14ac:dyDescent="0.25">
      <c r="A389" s="49"/>
      <c r="B389" s="50"/>
      <c r="C389" s="65" t="s">
        <v>20</v>
      </c>
      <c r="D389" s="65"/>
      <c r="E389" s="65" t="s">
        <v>22</v>
      </c>
      <c r="F389" s="65" t="s">
        <v>6</v>
      </c>
      <c r="G389" s="64"/>
    </row>
    <row r="390" spans="1:7" ht="15.75" x14ac:dyDescent="0.25">
      <c r="A390" s="45" t="s">
        <v>61</v>
      </c>
      <c r="B390" s="36"/>
      <c r="C390" s="66"/>
      <c r="D390" s="66"/>
      <c r="E390" s="66"/>
      <c r="F390" s="66"/>
      <c r="G390" s="64"/>
    </row>
    <row r="391" spans="1:7" ht="15.75" x14ac:dyDescent="0.25">
      <c r="A391" s="42" t="s">
        <v>58</v>
      </c>
      <c r="B391" s="50"/>
      <c r="C391" s="67">
        <v>3534</v>
      </c>
      <c r="D391" s="67"/>
      <c r="E391" s="68">
        <f>+E446</f>
        <v>0.19</v>
      </c>
      <c r="F391" s="67">
        <f>E391*C391</f>
        <v>671.46</v>
      </c>
      <c r="G391" s="64"/>
    </row>
    <row r="392" spans="1:7" ht="17.25" x14ac:dyDescent="0.35">
      <c r="A392" s="49" t="s">
        <v>59</v>
      </c>
      <c r="B392" s="50"/>
      <c r="C392" s="51">
        <v>17099</v>
      </c>
      <c r="D392" s="51"/>
      <c r="E392" s="68">
        <f>+G461</f>
        <v>0.23</v>
      </c>
      <c r="F392" s="51">
        <f>E392*C392</f>
        <v>3932.77</v>
      </c>
      <c r="G392" s="64"/>
    </row>
    <row r="393" spans="1:7" ht="15" x14ac:dyDescent="0.2">
      <c r="A393" s="42" t="s">
        <v>3</v>
      </c>
      <c r="B393" s="50"/>
      <c r="C393" s="67">
        <f>SUM(C391:C392)</f>
        <v>20633</v>
      </c>
      <c r="D393" s="67"/>
      <c r="E393" s="50"/>
      <c r="F393" s="67">
        <f>SUM(F391:F392)</f>
        <v>4604.2299999999996</v>
      </c>
      <c r="G393" s="64"/>
    </row>
    <row r="394" spans="1:7" ht="15" x14ac:dyDescent="0.2">
      <c r="A394" s="42"/>
      <c r="B394" s="50"/>
      <c r="C394" s="50"/>
      <c r="D394" s="50"/>
      <c r="E394" s="50"/>
      <c r="F394" s="50"/>
      <c r="G394" s="64"/>
    </row>
    <row r="395" spans="1:7" ht="15.75" x14ac:dyDescent="0.25">
      <c r="A395" s="35" t="s">
        <v>23</v>
      </c>
      <c r="B395" s="50"/>
      <c r="C395" s="50"/>
      <c r="D395" s="50"/>
      <c r="E395" s="50"/>
      <c r="F395" s="69">
        <v>5419</v>
      </c>
      <c r="G395" s="64"/>
    </row>
    <row r="396" spans="1:7" ht="15" x14ac:dyDescent="0.2">
      <c r="A396" s="42"/>
      <c r="B396" s="50"/>
      <c r="C396" s="50"/>
      <c r="D396" s="50"/>
      <c r="E396" s="50"/>
      <c r="F396" s="50"/>
      <c r="G396" s="64"/>
    </row>
    <row r="397" spans="1:7" ht="15" x14ac:dyDescent="0.2">
      <c r="A397" s="42" t="s">
        <v>24</v>
      </c>
      <c r="B397" s="50"/>
      <c r="C397" s="50"/>
      <c r="D397" s="50"/>
      <c r="E397" s="50"/>
      <c r="F397" s="67">
        <v>814</v>
      </c>
      <c r="G397" s="64"/>
    </row>
    <row r="398" spans="1:7" ht="15" x14ac:dyDescent="0.2">
      <c r="A398" s="42"/>
      <c r="B398" s="50"/>
      <c r="C398" s="50"/>
      <c r="D398" s="50"/>
      <c r="E398" s="50"/>
      <c r="F398" s="50"/>
      <c r="G398" s="64"/>
    </row>
    <row r="399" spans="1:7" ht="15" x14ac:dyDescent="0.2">
      <c r="A399" s="42" t="s">
        <v>25</v>
      </c>
      <c r="B399" s="50"/>
      <c r="C399" s="50"/>
      <c r="D399" s="50"/>
      <c r="E399" s="50"/>
      <c r="F399" s="67">
        <f>+C393</f>
        <v>20633</v>
      </c>
      <c r="G399" s="64"/>
    </row>
    <row r="400" spans="1:7" ht="15" x14ac:dyDescent="0.2">
      <c r="A400" s="42"/>
      <c r="B400" s="50"/>
      <c r="C400" s="50"/>
      <c r="D400" s="50"/>
      <c r="E400" s="50"/>
      <c r="F400" s="50"/>
      <c r="G400" s="64"/>
    </row>
    <row r="401" spans="1:7" ht="15" x14ac:dyDescent="0.2">
      <c r="A401" s="42" t="s">
        <v>26</v>
      </c>
      <c r="B401" s="50"/>
      <c r="C401" s="50"/>
      <c r="D401" s="50"/>
      <c r="E401" s="50"/>
      <c r="F401" s="50"/>
      <c r="G401" s="70">
        <f>ROUND(F397/F399,2)</f>
        <v>0.04</v>
      </c>
    </row>
    <row r="402" spans="1:7" ht="15" x14ac:dyDescent="0.2">
      <c r="A402" s="42"/>
      <c r="B402" s="50"/>
      <c r="C402" s="50"/>
      <c r="D402" s="50"/>
      <c r="E402" s="50"/>
      <c r="F402" s="50"/>
      <c r="G402" s="70"/>
    </row>
    <row r="403" spans="1:7" ht="15" x14ac:dyDescent="0.2">
      <c r="A403" s="42"/>
      <c r="B403" s="50"/>
      <c r="C403" s="50"/>
      <c r="D403" s="50"/>
      <c r="E403" s="50"/>
      <c r="F403" s="67"/>
      <c r="G403" s="64"/>
    </row>
    <row r="404" spans="1:7" ht="15.75" x14ac:dyDescent="0.25">
      <c r="A404" s="42"/>
      <c r="B404" s="36"/>
      <c r="C404" s="50"/>
      <c r="D404" s="50"/>
      <c r="E404" s="50"/>
      <c r="F404" s="67"/>
      <c r="G404" s="64"/>
    </row>
    <row r="405" spans="1:7" ht="15.75" x14ac:dyDescent="0.25">
      <c r="A405" s="45" t="s">
        <v>78</v>
      </c>
      <c r="B405" s="50"/>
      <c r="C405" s="50"/>
      <c r="D405" s="50"/>
      <c r="E405" s="50"/>
      <c r="F405" s="54">
        <f>+F395</f>
        <v>5419</v>
      </c>
      <c r="G405" s="64"/>
    </row>
    <row r="406" spans="1:7" ht="15" x14ac:dyDescent="0.2">
      <c r="A406" s="42" t="s">
        <v>25</v>
      </c>
      <c r="B406" s="50"/>
      <c r="C406" s="50"/>
      <c r="D406" s="50"/>
      <c r="E406" s="50"/>
      <c r="F406" s="67">
        <f>+C393</f>
        <v>20633</v>
      </c>
      <c r="G406" s="64"/>
    </row>
    <row r="407" spans="1:7" ht="17.25" x14ac:dyDescent="0.35">
      <c r="A407" s="42" t="s">
        <v>27</v>
      </c>
      <c r="B407" s="50"/>
      <c r="C407" s="50"/>
      <c r="D407" s="50"/>
      <c r="E407" s="50"/>
      <c r="F407" s="50"/>
      <c r="G407" s="57">
        <f>ROUND(+F405/F406,2)</f>
        <v>0.26</v>
      </c>
    </row>
    <row r="408" spans="1:7" ht="17.25" x14ac:dyDescent="0.35">
      <c r="A408" s="42"/>
      <c r="B408" s="50"/>
      <c r="C408" s="50"/>
      <c r="D408" s="50"/>
      <c r="E408" s="50"/>
      <c r="F408" s="50"/>
      <c r="G408" s="57"/>
    </row>
    <row r="409" spans="1:7" ht="16.5" thickBot="1" x14ac:dyDescent="0.3">
      <c r="A409" s="35" t="s">
        <v>30</v>
      </c>
      <c r="B409" s="36"/>
      <c r="C409" s="50"/>
      <c r="D409" s="50"/>
      <c r="E409" s="50"/>
      <c r="F409" s="50"/>
      <c r="G409" s="71">
        <f>+G407+G401+G402</f>
        <v>0.3</v>
      </c>
    </row>
    <row r="410" spans="1:7" ht="16.5" thickTop="1" thickBot="1" x14ac:dyDescent="0.25">
      <c r="A410" s="72"/>
      <c r="B410" s="73"/>
      <c r="C410" s="73"/>
      <c r="D410" s="73"/>
      <c r="E410" s="73"/>
      <c r="F410" s="73"/>
      <c r="G410" s="74"/>
    </row>
    <row r="411" spans="1:7" ht="23.25" x14ac:dyDescent="0.35">
      <c r="A411" s="31" t="s">
        <v>57</v>
      </c>
      <c r="B411" s="32"/>
      <c r="C411" s="33"/>
      <c r="D411" s="33"/>
      <c r="E411" s="33"/>
      <c r="F411" s="33"/>
      <c r="G411" s="34"/>
    </row>
    <row r="412" spans="1:7" ht="15.75" x14ac:dyDescent="0.25">
      <c r="A412" s="35" t="s">
        <v>55</v>
      </c>
      <c r="B412" s="36"/>
      <c r="C412" s="37"/>
      <c r="D412" s="37"/>
      <c r="E412" s="38"/>
      <c r="F412" s="38"/>
      <c r="G412" s="39"/>
    </row>
    <row r="413" spans="1:7" ht="15.75" x14ac:dyDescent="0.25">
      <c r="A413" s="40"/>
      <c r="B413" s="41"/>
      <c r="C413" s="38"/>
      <c r="D413" s="38"/>
      <c r="E413" s="38"/>
      <c r="F413" s="38"/>
      <c r="G413" s="39"/>
    </row>
    <row r="414" spans="1:7" ht="15" x14ac:dyDescent="0.2">
      <c r="A414" s="367" t="s">
        <v>21</v>
      </c>
      <c r="B414" s="368"/>
      <c r="C414" s="368"/>
      <c r="D414" s="368"/>
      <c r="E414" s="368"/>
      <c r="F414" s="368"/>
      <c r="G414" s="369"/>
    </row>
    <row r="415" spans="1:7" ht="15" x14ac:dyDescent="0.2">
      <c r="A415" s="42"/>
      <c r="B415" s="38"/>
      <c r="C415" s="38"/>
      <c r="D415" s="38"/>
      <c r="E415" s="38"/>
      <c r="F415" s="38"/>
      <c r="G415" s="39"/>
    </row>
    <row r="416" spans="1:7" ht="15.75" x14ac:dyDescent="0.25">
      <c r="A416" s="42"/>
      <c r="B416" s="38"/>
      <c r="C416" s="43"/>
      <c r="D416" s="43"/>
      <c r="E416" s="43" t="s">
        <v>13</v>
      </c>
      <c r="F416" s="43" t="s">
        <v>3</v>
      </c>
      <c r="G416" s="39"/>
    </row>
    <row r="417" spans="1:7" ht="15.75" x14ac:dyDescent="0.25">
      <c r="A417" s="42"/>
      <c r="B417" s="38"/>
      <c r="C417" s="44" t="s">
        <v>5</v>
      </c>
      <c r="D417" s="44"/>
      <c r="E417" s="44" t="s">
        <v>22</v>
      </c>
      <c r="F417" s="44" t="s">
        <v>6</v>
      </c>
      <c r="G417" s="39"/>
    </row>
    <row r="418" spans="1:7" ht="15.75" x14ac:dyDescent="0.25">
      <c r="A418" s="45" t="s">
        <v>60</v>
      </c>
      <c r="B418" s="36"/>
      <c r="C418" s="46"/>
      <c r="D418" s="46"/>
      <c r="E418" s="46"/>
      <c r="F418" s="46"/>
      <c r="G418" s="39"/>
    </row>
    <row r="419" spans="1:7" ht="15.75" x14ac:dyDescent="0.25">
      <c r="A419" s="42" t="s">
        <v>58</v>
      </c>
      <c r="B419" s="38"/>
      <c r="C419" s="47">
        <v>90954</v>
      </c>
      <c r="D419" s="47"/>
      <c r="E419" s="48">
        <f>+E474</f>
        <v>0.91</v>
      </c>
      <c r="F419" s="47">
        <f>C419*E419</f>
        <v>82768.14</v>
      </c>
      <c r="G419" s="39"/>
    </row>
    <row r="420" spans="1:7" ht="17.25" x14ac:dyDescent="0.35">
      <c r="A420" s="49" t="s">
        <v>59</v>
      </c>
      <c r="B420" s="50"/>
      <c r="C420" s="51">
        <v>454770</v>
      </c>
      <c r="D420" s="51"/>
      <c r="E420" s="48">
        <f>+G489</f>
        <v>1.6641107756753206</v>
      </c>
      <c r="F420" s="51">
        <f>C420*E420</f>
        <v>756787.65745386551</v>
      </c>
      <c r="G420" s="39"/>
    </row>
    <row r="421" spans="1:7" ht="15" x14ac:dyDescent="0.2">
      <c r="A421" s="42" t="s">
        <v>3</v>
      </c>
      <c r="B421" s="38"/>
      <c r="C421" s="47">
        <f>SUM(C419:C420)</f>
        <v>545724</v>
      </c>
      <c r="D421" s="47"/>
      <c r="E421" s="38"/>
      <c r="F421" s="47">
        <f>SUM(F419:F420)</f>
        <v>839555.79745386553</v>
      </c>
      <c r="G421" s="39"/>
    </row>
    <row r="422" spans="1:7" ht="15" x14ac:dyDescent="0.2">
      <c r="A422" s="42"/>
      <c r="B422" s="38"/>
      <c r="C422" s="38"/>
      <c r="D422" s="38"/>
      <c r="E422" s="38"/>
      <c r="F422" s="38"/>
      <c r="G422" s="39"/>
    </row>
    <row r="423" spans="1:7" ht="15.75" x14ac:dyDescent="0.25">
      <c r="A423" s="35" t="s">
        <v>23</v>
      </c>
      <c r="B423" s="38"/>
      <c r="C423" s="38"/>
      <c r="D423" s="38"/>
      <c r="E423" s="38"/>
      <c r="F423" s="47">
        <v>1070318.8014882323</v>
      </c>
      <c r="G423" s="39"/>
    </row>
    <row r="424" spans="1:7" ht="15" x14ac:dyDescent="0.2">
      <c r="A424" s="42"/>
      <c r="B424" s="38"/>
      <c r="C424" s="38"/>
      <c r="D424" s="38"/>
      <c r="E424" s="38"/>
      <c r="F424" s="38"/>
      <c r="G424" s="39"/>
    </row>
    <row r="425" spans="1:7" ht="15" x14ac:dyDescent="0.2">
      <c r="A425" s="42" t="s">
        <v>24</v>
      </c>
      <c r="B425" s="38"/>
      <c r="C425" s="38"/>
      <c r="D425" s="38"/>
      <c r="E425" s="38"/>
      <c r="F425" s="47">
        <f>F423-F421</f>
        <v>230763.00403436681</v>
      </c>
      <c r="G425" s="39"/>
    </row>
    <row r="426" spans="1:7" ht="15" x14ac:dyDescent="0.2">
      <c r="A426" s="42"/>
      <c r="B426" s="38"/>
      <c r="C426" s="38"/>
      <c r="D426" s="38"/>
      <c r="E426" s="38"/>
      <c r="F426" s="38"/>
      <c r="G426" s="39"/>
    </row>
    <row r="427" spans="1:7" ht="15" x14ac:dyDescent="0.2">
      <c r="A427" s="42" t="s">
        <v>25</v>
      </c>
      <c r="B427" s="38"/>
      <c r="C427" s="38"/>
      <c r="D427" s="38"/>
      <c r="E427" s="38"/>
      <c r="F427" s="47">
        <f>+C421</f>
        <v>545724</v>
      </c>
      <c r="G427" s="39"/>
    </row>
    <row r="428" spans="1:7" ht="15" x14ac:dyDescent="0.2">
      <c r="A428" s="42"/>
      <c r="B428" s="38"/>
      <c r="C428" s="38"/>
      <c r="D428" s="38"/>
      <c r="E428" s="38"/>
      <c r="F428" s="38"/>
      <c r="G428" s="39"/>
    </row>
    <row r="429" spans="1:7" ht="15" x14ac:dyDescent="0.2">
      <c r="A429" s="42" t="s">
        <v>26</v>
      </c>
      <c r="B429" s="38"/>
      <c r="C429" s="38"/>
      <c r="D429" s="38"/>
      <c r="E429" s="38"/>
      <c r="F429" s="61"/>
      <c r="G429" s="52">
        <f>ROUND(F425/F427,2)</f>
        <v>0.42</v>
      </c>
    </row>
    <row r="430" spans="1:7" ht="15" x14ac:dyDescent="0.2">
      <c r="A430" s="42"/>
      <c r="B430" s="38"/>
      <c r="C430" s="38"/>
      <c r="D430" s="38"/>
      <c r="E430" s="38"/>
      <c r="F430" s="38"/>
      <c r="G430" s="52"/>
    </row>
    <row r="431" spans="1:7" ht="15" x14ac:dyDescent="0.2">
      <c r="A431" s="42"/>
      <c r="B431" s="38"/>
      <c r="C431" s="38"/>
      <c r="D431" s="38"/>
      <c r="E431" s="38"/>
      <c r="F431" s="38"/>
      <c r="G431" s="52"/>
    </row>
    <row r="432" spans="1:7" ht="15" x14ac:dyDescent="0.2">
      <c r="A432" s="42"/>
      <c r="B432" s="38"/>
      <c r="C432" s="38"/>
      <c r="D432" s="38"/>
      <c r="E432" s="38"/>
      <c r="F432" s="38"/>
      <c r="G432" s="52"/>
    </row>
    <row r="433" spans="1:7" ht="15.75" x14ac:dyDescent="0.25">
      <c r="A433" s="45" t="s">
        <v>61</v>
      </c>
      <c r="B433" s="36"/>
      <c r="C433" s="38"/>
      <c r="D433" s="38"/>
      <c r="E433" s="38"/>
      <c r="F433" s="53">
        <f>+F423</f>
        <v>1070318.8014882323</v>
      </c>
      <c r="G433" s="52"/>
    </row>
    <row r="434" spans="1:7" ht="15" x14ac:dyDescent="0.2">
      <c r="A434" s="42" t="s">
        <v>25</v>
      </c>
      <c r="B434" s="38"/>
      <c r="C434" s="38"/>
      <c r="D434" s="38"/>
      <c r="E434" s="38"/>
      <c r="F434" s="47">
        <f>+C421</f>
        <v>545724</v>
      </c>
      <c r="G434" s="52"/>
    </row>
    <row r="435" spans="1:7" ht="17.25" x14ac:dyDescent="0.35">
      <c r="A435" s="42" t="s">
        <v>27</v>
      </c>
      <c r="B435" s="38"/>
      <c r="C435" s="38"/>
      <c r="D435" s="38"/>
      <c r="E435" s="38"/>
      <c r="F435" s="38"/>
      <c r="G435" s="55">
        <f>ROUND(+F433/F434,2)</f>
        <v>1.96</v>
      </c>
    </row>
    <row r="436" spans="1:7" ht="15" x14ac:dyDescent="0.2">
      <c r="A436" s="42"/>
      <c r="B436" s="38"/>
      <c r="C436" s="38"/>
      <c r="D436" s="38"/>
      <c r="E436" s="38"/>
      <c r="F436" s="38"/>
      <c r="G436" s="52"/>
    </row>
    <row r="437" spans="1:7" ht="15" x14ac:dyDescent="0.2">
      <c r="A437" s="42"/>
      <c r="B437" s="38"/>
      <c r="C437" s="38"/>
      <c r="D437" s="38"/>
      <c r="E437" s="38"/>
      <c r="F437" s="38"/>
      <c r="G437" s="52"/>
    </row>
    <row r="438" spans="1:7" ht="16.5" thickBot="1" x14ac:dyDescent="0.3">
      <c r="A438" s="35" t="s">
        <v>28</v>
      </c>
      <c r="B438" s="36"/>
      <c r="C438" s="38"/>
      <c r="D438" s="38"/>
      <c r="E438" s="38"/>
      <c r="F438" s="38"/>
      <c r="G438" s="58">
        <f>SUM(G429:G435)</f>
        <v>2.38</v>
      </c>
    </row>
    <row r="439" spans="1:7" ht="14.25" thickTop="1" thickBot="1" x14ac:dyDescent="0.25">
      <c r="A439" s="19"/>
      <c r="B439" s="20"/>
      <c r="C439" s="20"/>
      <c r="D439" s="20"/>
      <c r="E439" s="20"/>
      <c r="F439" s="20"/>
      <c r="G439" s="21"/>
    </row>
    <row r="440" spans="1:7" ht="15" x14ac:dyDescent="0.2">
      <c r="A440" s="367" t="s">
        <v>29</v>
      </c>
      <c r="B440" s="368"/>
      <c r="C440" s="368"/>
      <c r="D440" s="368"/>
      <c r="E440" s="368"/>
      <c r="F440" s="368"/>
      <c r="G440" s="369"/>
    </row>
    <row r="441" spans="1:7" ht="15" x14ac:dyDescent="0.2">
      <c r="A441" s="49"/>
      <c r="B441" s="50"/>
      <c r="C441" s="50"/>
      <c r="D441" s="50"/>
      <c r="E441" s="50"/>
      <c r="F441" s="50"/>
      <c r="G441" s="64"/>
    </row>
    <row r="442" spans="1:7" ht="15.75" x14ac:dyDescent="0.25">
      <c r="A442" s="49"/>
      <c r="B442" s="50"/>
      <c r="C442" s="43"/>
      <c r="D442" s="43"/>
      <c r="E442" s="43" t="s">
        <v>13</v>
      </c>
      <c r="F442" s="43" t="s">
        <v>3</v>
      </c>
      <c r="G442" s="64"/>
    </row>
    <row r="443" spans="1:7" ht="15.75" x14ac:dyDescent="0.25">
      <c r="A443" s="49"/>
      <c r="B443" s="50"/>
      <c r="C443" s="65" t="s">
        <v>20</v>
      </c>
      <c r="D443" s="65"/>
      <c r="E443" s="65" t="s">
        <v>22</v>
      </c>
      <c r="F443" s="65" t="s">
        <v>6</v>
      </c>
      <c r="G443" s="64"/>
    </row>
    <row r="444" spans="1:7" ht="15.75" x14ac:dyDescent="0.25">
      <c r="A444" s="45" t="s">
        <v>60</v>
      </c>
      <c r="B444" s="36"/>
      <c r="C444" s="66"/>
      <c r="D444" s="66"/>
      <c r="E444" s="66"/>
      <c r="F444" s="66"/>
      <c r="G444" s="64"/>
    </row>
    <row r="445" spans="1:7" ht="15.75" x14ac:dyDescent="0.25">
      <c r="A445" s="42" t="s">
        <v>58</v>
      </c>
      <c r="B445" s="50"/>
      <c r="C445" s="67">
        <v>15544.573148514854</v>
      </c>
      <c r="D445" s="67"/>
      <c r="E445" s="68">
        <f>+E500</f>
        <v>0.23</v>
      </c>
      <c r="F445" s="67">
        <f>E445*C445</f>
        <v>3575.2518241584166</v>
      </c>
      <c r="G445" s="64"/>
    </row>
    <row r="446" spans="1:7" ht="17.25" x14ac:dyDescent="0.35">
      <c r="A446" s="49" t="s">
        <v>59</v>
      </c>
      <c r="B446" s="50"/>
      <c r="C446" s="51">
        <v>77722.865742574271</v>
      </c>
      <c r="D446" s="51"/>
      <c r="E446" s="68">
        <f>+G515</f>
        <v>0.19</v>
      </c>
      <c r="F446" s="51">
        <f>E446*C446</f>
        <v>14767.344491089112</v>
      </c>
      <c r="G446" s="64"/>
    </row>
    <row r="447" spans="1:7" ht="15" x14ac:dyDescent="0.2">
      <c r="A447" s="42" t="s">
        <v>3</v>
      </c>
      <c r="B447" s="50"/>
      <c r="C447" s="67">
        <f>SUM(C445:C446)</f>
        <v>93267.438891089128</v>
      </c>
      <c r="D447" s="67"/>
      <c r="E447" s="50"/>
      <c r="F447" s="67">
        <f>SUM(F445:F446)</f>
        <v>18342.596315247531</v>
      </c>
      <c r="G447" s="64"/>
    </row>
    <row r="448" spans="1:7" ht="15" x14ac:dyDescent="0.2">
      <c r="A448" s="42"/>
      <c r="B448" s="50"/>
      <c r="C448" s="50"/>
      <c r="D448" s="50"/>
      <c r="E448" s="50"/>
      <c r="F448" s="50"/>
      <c r="G448" s="64"/>
    </row>
    <row r="449" spans="1:8" ht="15.75" x14ac:dyDescent="0.25">
      <c r="A449" s="35" t="s">
        <v>23</v>
      </c>
      <c r="B449" s="50"/>
      <c r="C449" s="50"/>
      <c r="D449" s="50"/>
      <c r="E449" s="50"/>
      <c r="F449" s="69">
        <v>21605.51866847141</v>
      </c>
      <c r="G449" s="64"/>
    </row>
    <row r="450" spans="1:8" ht="15" x14ac:dyDescent="0.2">
      <c r="A450" s="42"/>
      <c r="B450" s="50"/>
      <c r="C450" s="50"/>
      <c r="D450" s="50"/>
      <c r="E450" s="50"/>
      <c r="F450" s="50"/>
      <c r="G450" s="64"/>
    </row>
    <row r="451" spans="1:8" ht="15" x14ac:dyDescent="0.2">
      <c r="A451" s="42" t="s">
        <v>24</v>
      </c>
      <c r="B451" s="50"/>
      <c r="C451" s="50"/>
      <c r="D451" s="50"/>
      <c r="E451" s="50"/>
      <c r="F451" s="67">
        <f>F449-F447</f>
        <v>3262.9223532238793</v>
      </c>
      <c r="G451" s="64"/>
    </row>
    <row r="452" spans="1:8" ht="15" x14ac:dyDescent="0.2">
      <c r="A452" s="42"/>
      <c r="B452" s="50"/>
      <c r="C452" s="50"/>
      <c r="D452" s="50"/>
      <c r="E452" s="50"/>
      <c r="F452" s="50"/>
      <c r="G452" s="64"/>
    </row>
    <row r="453" spans="1:8" ht="15" x14ac:dyDescent="0.2">
      <c r="A453" s="42" t="s">
        <v>25</v>
      </c>
      <c r="B453" s="50"/>
      <c r="C453" s="50"/>
      <c r="D453" s="50"/>
      <c r="E453" s="50"/>
      <c r="F453" s="67">
        <f>+C447</f>
        <v>93267.438891089128</v>
      </c>
      <c r="G453" s="64"/>
    </row>
    <row r="454" spans="1:8" ht="15" x14ac:dyDescent="0.2">
      <c r="A454" s="42"/>
      <c r="B454" s="50"/>
      <c r="C454" s="50"/>
      <c r="D454" s="50"/>
      <c r="E454" s="50"/>
      <c r="F454" s="50"/>
      <c r="G454" s="64"/>
    </row>
    <row r="455" spans="1:8" ht="15" x14ac:dyDescent="0.2">
      <c r="A455" s="42" t="s">
        <v>26</v>
      </c>
      <c r="B455" s="50"/>
      <c r="C455" s="50"/>
      <c r="D455" s="50"/>
      <c r="E455" s="50"/>
      <c r="F455" s="50"/>
      <c r="G455" s="70">
        <f>ROUND(F451/F453,2)</f>
        <v>0.03</v>
      </c>
    </row>
    <row r="456" spans="1:8" ht="15" x14ac:dyDescent="0.2">
      <c r="A456" s="42"/>
      <c r="B456" s="50"/>
      <c r="C456" s="50"/>
      <c r="D456" s="50"/>
      <c r="E456" s="50"/>
      <c r="F456" s="50"/>
      <c r="G456" s="70"/>
    </row>
    <row r="457" spans="1:8" ht="15" x14ac:dyDescent="0.2">
      <c r="A457" s="42"/>
      <c r="B457" s="50"/>
      <c r="C457" s="50"/>
      <c r="D457" s="50"/>
      <c r="E457" s="50"/>
      <c r="F457" s="67"/>
      <c r="G457" s="64"/>
    </row>
    <row r="458" spans="1:8" ht="15.75" x14ac:dyDescent="0.25">
      <c r="A458" s="42"/>
      <c r="B458" s="36"/>
      <c r="C458" s="50"/>
      <c r="D458" s="50"/>
      <c r="E458" s="50"/>
      <c r="F458" s="67"/>
      <c r="G458" s="64"/>
    </row>
    <row r="459" spans="1:8" ht="15.75" x14ac:dyDescent="0.25">
      <c r="A459" s="45" t="s">
        <v>61</v>
      </c>
      <c r="B459" s="50"/>
      <c r="C459" s="50"/>
      <c r="D459" s="50"/>
      <c r="E459" s="50"/>
      <c r="F459" s="54">
        <f>+F449</f>
        <v>21605.51866847141</v>
      </c>
      <c r="G459" s="64"/>
    </row>
    <row r="460" spans="1:8" ht="15" x14ac:dyDescent="0.2">
      <c r="A460" s="42" t="s">
        <v>25</v>
      </c>
      <c r="B460" s="50"/>
      <c r="C460" s="50"/>
      <c r="D460" s="50"/>
      <c r="E460" s="50"/>
      <c r="F460" s="67">
        <f>+C447</f>
        <v>93267.438891089128</v>
      </c>
      <c r="G460" s="64"/>
      <c r="H460" s="119"/>
    </row>
    <row r="461" spans="1:8" ht="17.25" x14ac:dyDescent="0.35">
      <c r="A461" s="42" t="s">
        <v>27</v>
      </c>
      <c r="B461" s="50"/>
      <c r="C461" s="50"/>
      <c r="D461" s="50"/>
      <c r="E461" s="50"/>
      <c r="F461" s="50"/>
      <c r="G461" s="57">
        <f>ROUND(+F459/F460,2)</f>
        <v>0.23</v>
      </c>
    </row>
    <row r="462" spans="1:8" ht="17.25" x14ac:dyDescent="0.35">
      <c r="A462" s="42"/>
      <c r="B462" s="50"/>
      <c r="C462" s="50"/>
      <c r="D462" s="50"/>
      <c r="E462" s="50"/>
      <c r="F462" s="50"/>
      <c r="G462" s="57"/>
    </row>
    <row r="463" spans="1:8" ht="16.5" thickBot="1" x14ac:dyDescent="0.3">
      <c r="A463" s="35" t="s">
        <v>30</v>
      </c>
      <c r="B463" s="36"/>
      <c r="C463" s="50"/>
      <c r="D463" s="50"/>
      <c r="E463" s="50"/>
      <c r="F463" s="50"/>
      <c r="G463" s="71">
        <f>+G461+G455+G456</f>
        <v>0.26</v>
      </c>
    </row>
    <row r="464" spans="1:8" ht="16.5" thickTop="1" thickBot="1" x14ac:dyDescent="0.25">
      <c r="A464" s="72"/>
      <c r="B464" s="73"/>
      <c r="C464" s="73"/>
      <c r="D464" s="73"/>
      <c r="E464" s="73"/>
      <c r="F464" s="73"/>
      <c r="G464" s="74"/>
    </row>
    <row r="465" spans="1:7" ht="23.25" x14ac:dyDescent="0.35">
      <c r="A465" s="31" t="s">
        <v>57</v>
      </c>
      <c r="B465" s="32"/>
      <c r="C465" s="33"/>
      <c r="D465" s="33"/>
      <c r="E465" s="33"/>
      <c r="F465" s="33"/>
      <c r="G465" s="34"/>
    </row>
    <row r="466" spans="1:7" ht="15.75" x14ac:dyDescent="0.25">
      <c r="A466" s="35" t="s">
        <v>56</v>
      </c>
      <c r="B466" s="36"/>
      <c r="C466" s="37"/>
      <c r="D466" s="37"/>
      <c r="E466" s="38"/>
      <c r="F466" s="38"/>
      <c r="G466" s="39"/>
    </row>
    <row r="467" spans="1:7" ht="15.75" x14ac:dyDescent="0.25">
      <c r="A467" s="40"/>
      <c r="B467" s="41"/>
      <c r="C467" s="38"/>
      <c r="D467" s="38"/>
      <c r="E467" s="38"/>
      <c r="F467" s="38"/>
      <c r="G467" s="39"/>
    </row>
    <row r="468" spans="1:7" ht="15" x14ac:dyDescent="0.2">
      <c r="A468" s="367" t="s">
        <v>21</v>
      </c>
      <c r="B468" s="368"/>
      <c r="C468" s="368"/>
      <c r="D468" s="368"/>
      <c r="E468" s="368"/>
      <c r="F468" s="368"/>
      <c r="G468" s="369"/>
    </row>
    <row r="469" spans="1:7" ht="15" x14ac:dyDescent="0.2">
      <c r="A469" s="42"/>
      <c r="B469" s="38"/>
      <c r="C469" s="38"/>
      <c r="D469" s="38"/>
      <c r="E469" s="38"/>
      <c r="F469" s="38"/>
      <c r="G469" s="39"/>
    </row>
    <row r="470" spans="1:7" ht="15.75" x14ac:dyDescent="0.25">
      <c r="A470" s="42"/>
      <c r="B470" s="38"/>
      <c r="C470" s="43"/>
      <c r="D470" s="43"/>
      <c r="E470" s="43" t="s">
        <v>13</v>
      </c>
      <c r="F470" s="43" t="s">
        <v>3</v>
      </c>
      <c r="G470" s="39"/>
    </row>
    <row r="471" spans="1:7" ht="15.75" x14ac:dyDescent="0.25">
      <c r="A471" s="42"/>
      <c r="B471" s="38"/>
      <c r="C471" s="44" t="s">
        <v>5</v>
      </c>
      <c r="D471" s="44"/>
      <c r="E471" s="44" t="s">
        <v>22</v>
      </c>
      <c r="F471" s="44" t="s">
        <v>6</v>
      </c>
      <c r="G471" s="39"/>
    </row>
    <row r="472" spans="1:7" ht="15.75" x14ac:dyDescent="0.25">
      <c r="A472" s="45" t="s">
        <v>60</v>
      </c>
      <c r="B472" s="36"/>
      <c r="C472" s="46"/>
      <c r="D472" s="46"/>
      <c r="E472" s="46"/>
      <c r="F472" s="46"/>
      <c r="G472" s="39"/>
    </row>
    <row r="473" spans="1:7" ht="15.75" x14ac:dyDescent="0.25">
      <c r="A473" s="42" t="s">
        <v>58</v>
      </c>
      <c r="B473" s="38"/>
      <c r="C473" s="47">
        <v>87362</v>
      </c>
      <c r="D473" s="47"/>
      <c r="E473" s="48">
        <v>0.73</v>
      </c>
      <c r="F473" s="47">
        <f>C473*E473</f>
        <v>63774.26</v>
      </c>
      <c r="G473" s="39"/>
    </row>
    <row r="474" spans="1:7" ht="17.25" x14ac:dyDescent="0.35">
      <c r="A474" s="49" t="s">
        <v>59</v>
      </c>
      <c r="B474" s="50"/>
      <c r="C474" s="51">
        <v>443080</v>
      </c>
      <c r="D474" s="51"/>
      <c r="E474" s="48">
        <v>0.91</v>
      </c>
      <c r="F474" s="51">
        <f>C474*E474</f>
        <v>403202.8</v>
      </c>
      <c r="G474" s="39"/>
    </row>
    <row r="475" spans="1:7" ht="15" x14ac:dyDescent="0.2">
      <c r="A475" s="42" t="s">
        <v>3</v>
      </c>
      <c r="B475" s="38"/>
      <c r="C475" s="47">
        <f>SUM(C473:C474)</f>
        <v>530442</v>
      </c>
      <c r="D475" s="47"/>
      <c r="E475" s="38"/>
      <c r="F475" s="47">
        <f>SUM(F473:F474)</f>
        <v>466977.06</v>
      </c>
      <c r="G475" s="39"/>
    </row>
    <row r="476" spans="1:7" ht="15" x14ac:dyDescent="0.2">
      <c r="A476" s="42"/>
      <c r="B476" s="38"/>
      <c r="C476" s="38"/>
      <c r="D476" s="38"/>
      <c r="E476" s="38"/>
      <c r="F476" s="38"/>
      <c r="G476" s="39"/>
    </row>
    <row r="477" spans="1:7" ht="15.75" x14ac:dyDescent="0.25">
      <c r="A477" s="35" t="s">
        <v>23</v>
      </c>
      <c r="B477" s="38"/>
      <c r="C477" s="38"/>
      <c r="D477" s="38"/>
      <c r="E477" s="38"/>
      <c r="F477" s="47">
        <v>894186.62775827409</v>
      </c>
      <c r="G477" s="39"/>
    </row>
    <row r="478" spans="1:7" ht="15" x14ac:dyDescent="0.2">
      <c r="A478" s="42"/>
      <c r="B478" s="38"/>
      <c r="C478" s="38"/>
      <c r="D478" s="38"/>
      <c r="E478" s="38"/>
      <c r="F478" s="38"/>
      <c r="G478" s="39"/>
    </row>
    <row r="479" spans="1:7" ht="15" x14ac:dyDescent="0.2">
      <c r="A479" s="42" t="s">
        <v>24</v>
      </c>
      <c r="B479" s="38"/>
      <c r="C479" s="38"/>
      <c r="D479" s="38"/>
      <c r="E479" s="38"/>
      <c r="F479" s="60">
        <f>F477-F475</f>
        <v>427209.56775827409</v>
      </c>
      <c r="G479" s="39"/>
    </row>
    <row r="480" spans="1:7" ht="15" x14ac:dyDescent="0.2">
      <c r="A480" s="42"/>
      <c r="B480" s="38"/>
      <c r="C480" s="38"/>
      <c r="D480" s="38"/>
      <c r="E480" s="38"/>
      <c r="F480" s="38"/>
      <c r="G480" s="39"/>
    </row>
    <row r="481" spans="1:7" ht="15" x14ac:dyDescent="0.2">
      <c r="A481" s="49" t="s">
        <v>25</v>
      </c>
      <c r="B481" s="38"/>
      <c r="C481" s="38"/>
      <c r="D481" s="38"/>
      <c r="E481" s="38"/>
      <c r="F481" s="47">
        <f>+C475</f>
        <v>530442</v>
      </c>
      <c r="G481" s="39"/>
    </row>
    <row r="482" spans="1:7" ht="15" x14ac:dyDescent="0.2">
      <c r="A482" s="42"/>
      <c r="B482" s="38"/>
      <c r="C482" s="38"/>
      <c r="D482" s="38"/>
      <c r="E482" s="38"/>
      <c r="F482" s="38"/>
      <c r="G482" s="39"/>
    </row>
    <row r="483" spans="1:7" ht="15" x14ac:dyDescent="0.2">
      <c r="A483" s="42" t="s">
        <v>26</v>
      </c>
      <c r="B483" s="38"/>
      <c r="C483" s="38"/>
      <c r="D483" s="38"/>
      <c r="E483" s="38"/>
      <c r="F483" s="38"/>
      <c r="G483" s="52">
        <f>ROUND(F479/F481,2)</f>
        <v>0.81</v>
      </c>
    </row>
    <row r="484" spans="1:7" ht="15" x14ac:dyDescent="0.2">
      <c r="A484" s="42"/>
      <c r="B484" s="38"/>
      <c r="C484" s="38"/>
      <c r="D484" s="38"/>
      <c r="E484" s="38"/>
      <c r="F484" s="38"/>
      <c r="G484" s="52"/>
    </row>
    <row r="485" spans="1:7" ht="15" x14ac:dyDescent="0.2">
      <c r="A485" s="42"/>
      <c r="B485" s="38"/>
      <c r="C485" s="38"/>
      <c r="D485" s="38"/>
      <c r="E485" s="38"/>
      <c r="F485" s="38"/>
      <c r="G485" s="52"/>
    </row>
    <row r="486" spans="1:7" ht="15" x14ac:dyDescent="0.2">
      <c r="A486" s="42"/>
      <c r="B486" s="38"/>
      <c r="C486" s="38"/>
      <c r="D486" s="38"/>
      <c r="E486" s="38"/>
      <c r="F486" s="38"/>
      <c r="G486" s="52"/>
    </row>
    <row r="487" spans="1:7" ht="15.75" x14ac:dyDescent="0.25">
      <c r="A487" s="45" t="s">
        <v>60</v>
      </c>
      <c r="B487" s="36"/>
      <c r="C487" s="38"/>
      <c r="D487" s="38"/>
      <c r="E487" s="38"/>
      <c r="F487" s="54">
        <f>+F477</f>
        <v>894186.62775827409</v>
      </c>
      <c r="G487" s="52"/>
    </row>
    <row r="488" spans="1:7" ht="15" x14ac:dyDescent="0.2">
      <c r="A488" s="42" t="s">
        <v>25</v>
      </c>
      <c r="B488" s="38"/>
      <c r="C488" s="38"/>
      <c r="D488" s="38"/>
      <c r="E488" s="38"/>
      <c r="F488" s="47">
        <v>537336</v>
      </c>
      <c r="G488" s="52"/>
    </row>
    <row r="489" spans="1:7" ht="17.25" x14ac:dyDescent="0.35">
      <c r="A489" s="42" t="s">
        <v>27</v>
      </c>
      <c r="B489" s="38"/>
      <c r="C489" s="38"/>
      <c r="D489" s="38"/>
      <c r="E489" s="38"/>
      <c r="F489" s="38"/>
      <c r="G489" s="56">
        <f>+F487/F488</f>
        <v>1.6641107756753206</v>
      </c>
    </row>
    <row r="490" spans="1:7" ht="17.25" x14ac:dyDescent="0.35">
      <c r="A490" s="42"/>
      <c r="B490" s="38"/>
      <c r="C490" s="38"/>
      <c r="D490" s="38"/>
      <c r="E490" s="38"/>
      <c r="F490" s="38"/>
      <c r="G490" s="57"/>
    </row>
    <row r="491" spans="1:7" ht="15" x14ac:dyDescent="0.2">
      <c r="A491" s="42"/>
      <c r="B491" s="38"/>
      <c r="C491" s="38"/>
      <c r="D491" s="38"/>
      <c r="E491" s="38"/>
      <c r="F491" s="38"/>
      <c r="G491" s="52"/>
    </row>
    <row r="492" spans="1:7" ht="16.5" thickBot="1" x14ac:dyDescent="0.3">
      <c r="A492" s="35" t="s">
        <v>28</v>
      </c>
      <c r="B492" s="36"/>
      <c r="C492" s="38"/>
      <c r="D492" s="38"/>
      <c r="E492" s="38"/>
      <c r="F492" s="38"/>
      <c r="G492" s="59">
        <f>+G489+G483+G484</f>
        <v>2.4741107756753209</v>
      </c>
    </row>
    <row r="493" spans="1:7" ht="14.25" thickTop="1" thickBot="1" x14ac:dyDescent="0.25">
      <c r="A493" s="19"/>
      <c r="B493" s="20"/>
      <c r="C493" s="20"/>
      <c r="D493" s="20"/>
      <c r="E493" s="20"/>
      <c r="F493" s="20"/>
      <c r="G493" s="21"/>
    </row>
    <row r="494" spans="1:7" ht="15" x14ac:dyDescent="0.2">
      <c r="A494" s="367" t="s">
        <v>29</v>
      </c>
      <c r="B494" s="368"/>
      <c r="C494" s="368"/>
      <c r="D494" s="368"/>
      <c r="E494" s="368"/>
      <c r="F494" s="368"/>
      <c r="G494" s="369"/>
    </row>
    <row r="495" spans="1:7" ht="15" x14ac:dyDescent="0.2">
      <c r="A495" s="49"/>
      <c r="B495" s="50"/>
      <c r="C495" s="50"/>
      <c r="D495" s="50"/>
      <c r="E495" s="50"/>
      <c r="F495" s="50"/>
      <c r="G495" s="64"/>
    </row>
    <row r="496" spans="1:7" ht="15.75" x14ac:dyDescent="0.25">
      <c r="A496" s="49"/>
      <c r="B496" s="50"/>
      <c r="C496" s="43"/>
      <c r="D496" s="43"/>
      <c r="E496" s="43" t="s">
        <v>13</v>
      </c>
      <c r="F496" s="43" t="s">
        <v>3</v>
      </c>
      <c r="G496" s="64"/>
    </row>
    <row r="497" spans="1:7" ht="15.75" x14ac:dyDescent="0.25">
      <c r="A497" s="49"/>
      <c r="B497" s="50"/>
      <c r="C497" s="65" t="s">
        <v>5</v>
      </c>
      <c r="D497" s="65"/>
      <c r="E497" s="65" t="s">
        <v>22</v>
      </c>
      <c r="F497" s="65" t="s">
        <v>6</v>
      </c>
      <c r="G497" s="64"/>
    </row>
    <row r="498" spans="1:7" ht="15.75" x14ac:dyDescent="0.25">
      <c r="A498" s="45" t="s">
        <v>60</v>
      </c>
      <c r="B498" s="36"/>
      <c r="C498" s="66"/>
      <c r="D498" s="66"/>
      <c r="E498" s="66"/>
      <c r="F498" s="66"/>
      <c r="G498" s="64"/>
    </row>
    <row r="499" spans="1:7" ht="15.75" x14ac:dyDescent="0.25">
      <c r="A499" s="42" t="s">
        <v>58</v>
      </c>
      <c r="B499" s="50"/>
      <c r="C499" s="67">
        <v>13606</v>
      </c>
      <c r="D499" s="67"/>
      <c r="E499" s="68">
        <v>0.21</v>
      </c>
      <c r="F499" s="67">
        <f>C499*E499</f>
        <v>2857.2599999999998</v>
      </c>
      <c r="G499" s="64"/>
    </row>
    <row r="500" spans="1:7" ht="17.25" x14ac:dyDescent="0.35">
      <c r="A500" s="49" t="s">
        <v>59</v>
      </c>
      <c r="B500" s="50"/>
      <c r="C500" s="51">
        <v>72828</v>
      </c>
      <c r="D500" s="51"/>
      <c r="E500" s="68">
        <v>0.23</v>
      </c>
      <c r="F500" s="51">
        <f>C500*E500</f>
        <v>16750.440000000002</v>
      </c>
      <c r="G500" s="64"/>
    </row>
    <row r="501" spans="1:7" ht="15" x14ac:dyDescent="0.2">
      <c r="A501" s="42" t="s">
        <v>3</v>
      </c>
      <c r="B501" s="50"/>
      <c r="C501" s="67">
        <f>+C500+C499</f>
        <v>86434</v>
      </c>
      <c r="D501" s="67"/>
      <c r="E501" s="50"/>
      <c r="F501" s="67">
        <f>+F500+F499</f>
        <v>19607.7</v>
      </c>
      <c r="G501" s="64"/>
    </row>
    <row r="502" spans="1:7" ht="15" x14ac:dyDescent="0.2">
      <c r="A502" s="42"/>
      <c r="B502" s="50"/>
      <c r="C502" s="50"/>
      <c r="D502" s="50"/>
      <c r="E502" s="50"/>
      <c r="F502" s="50"/>
      <c r="G502" s="64"/>
    </row>
    <row r="503" spans="1:7" ht="15.75" x14ac:dyDescent="0.25">
      <c r="A503" s="35" t="s">
        <v>23</v>
      </c>
      <c r="B503" s="50"/>
      <c r="C503" s="50"/>
      <c r="D503" s="50"/>
      <c r="E503" s="50"/>
      <c r="F503" s="69">
        <v>17896.735447015508</v>
      </c>
      <c r="G503" s="64"/>
    </row>
    <row r="504" spans="1:7" ht="15" x14ac:dyDescent="0.2">
      <c r="A504" s="42"/>
      <c r="B504" s="50"/>
      <c r="C504" s="50"/>
      <c r="D504" s="50"/>
      <c r="E504" s="50"/>
      <c r="F504" s="50"/>
      <c r="G504" s="64"/>
    </row>
    <row r="505" spans="1:7" ht="15" x14ac:dyDescent="0.2">
      <c r="A505" s="42" t="s">
        <v>24</v>
      </c>
      <c r="B505" s="50"/>
      <c r="C505" s="50"/>
      <c r="D505" s="50"/>
      <c r="E505" s="50"/>
      <c r="F505" s="67">
        <v>-1710.9364485785482</v>
      </c>
      <c r="G505" s="64"/>
    </row>
    <row r="506" spans="1:7" ht="15" x14ac:dyDescent="0.2">
      <c r="A506" s="42"/>
      <c r="B506" s="50"/>
      <c r="C506" s="50"/>
      <c r="D506" s="50"/>
      <c r="E506" s="50"/>
      <c r="F506" s="50"/>
      <c r="G506" s="64"/>
    </row>
    <row r="507" spans="1:7" ht="15" x14ac:dyDescent="0.2">
      <c r="A507" s="49" t="s">
        <v>25</v>
      </c>
      <c r="B507" s="50"/>
      <c r="C507" s="50"/>
      <c r="D507" s="50"/>
      <c r="E507" s="50"/>
      <c r="F507" s="67">
        <f>+C501</f>
        <v>86434</v>
      </c>
      <c r="G507" s="64"/>
    </row>
    <row r="508" spans="1:7" ht="15" x14ac:dyDescent="0.2">
      <c r="A508" s="42"/>
      <c r="B508" s="50"/>
      <c r="C508" s="50"/>
      <c r="D508" s="50"/>
      <c r="E508" s="50"/>
      <c r="F508" s="50"/>
      <c r="G508" s="64"/>
    </row>
    <row r="509" spans="1:7" ht="15" x14ac:dyDescent="0.2">
      <c r="A509" s="42" t="s">
        <v>26</v>
      </c>
      <c r="B509" s="50"/>
      <c r="C509" s="50"/>
      <c r="D509" s="50"/>
      <c r="E509" s="50"/>
      <c r="F509" s="50"/>
      <c r="G509" s="70">
        <f>ROUND(F505/F507,2)</f>
        <v>-0.02</v>
      </c>
    </row>
    <row r="510" spans="1:7" ht="15" x14ac:dyDescent="0.2">
      <c r="A510" s="42"/>
      <c r="B510" s="50"/>
      <c r="C510" s="50"/>
      <c r="D510" s="50"/>
      <c r="E510" s="50"/>
      <c r="F510" s="50"/>
      <c r="G510" s="70"/>
    </row>
    <row r="511" spans="1:7" ht="15" x14ac:dyDescent="0.2">
      <c r="A511" s="42"/>
      <c r="B511" s="50"/>
      <c r="C511" s="50"/>
      <c r="D511" s="50"/>
      <c r="E511" s="50"/>
      <c r="F511" s="67"/>
      <c r="G511" s="64"/>
    </row>
    <row r="512" spans="1:7" ht="15.75" x14ac:dyDescent="0.25">
      <c r="A512" s="42"/>
      <c r="B512" s="36"/>
      <c r="C512" s="50"/>
      <c r="D512" s="50"/>
      <c r="E512" s="50"/>
      <c r="F512" s="67"/>
      <c r="G512" s="64"/>
    </row>
    <row r="513" spans="1:7" ht="15.75" x14ac:dyDescent="0.25">
      <c r="A513" s="45" t="s">
        <v>60</v>
      </c>
      <c r="B513" s="50"/>
      <c r="C513" s="50"/>
      <c r="D513" s="50"/>
      <c r="E513" s="50"/>
      <c r="F513" s="54">
        <f>+F503</f>
        <v>17896.735447015508</v>
      </c>
      <c r="G513" s="64"/>
    </row>
    <row r="514" spans="1:7" ht="15" x14ac:dyDescent="0.2">
      <c r="A514" s="42" t="s">
        <v>25</v>
      </c>
      <c r="B514" s="50"/>
      <c r="C514" s="50"/>
      <c r="D514" s="50"/>
      <c r="E514" s="50"/>
      <c r="F514" s="67">
        <v>91907</v>
      </c>
      <c r="G514" s="64"/>
    </row>
    <row r="515" spans="1:7" ht="17.25" x14ac:dyDescent="0.35">
      <c r="A515" s="42" t="s">
        <v>27</v>
      </c>
      <c r="B515" s="50"/>
      <c r="C515" s="50"/>
      <c r="D515" s="50"/>
      <c r="E515" s="50"/>
      <c r="F515" s="50"/>
      <c r="G515" s="57">
        <f>ROUND(+F513/F514,2)</f>
        <v>0.19</v>
      </c>
    </row>
    <row r="516" spans="1:7" ht="17.25" x14ac:dyDescent="0.35">
      <c r="A516" s="42"/>
      <c r="B516" s="50"/>
      <c r="C516" s="50"/>
      <c r="D516" s="50"/>
      <c r="E516" s="50"/>
      <c r="F516" s="50"/>
      <c r="G516" s="57"/>
    </row>
    <row r="517" spans="1:7" ht="16.5" thickBot="1" x14ac:dyDescent="0.3">
      <c r="A517" s="35" t="s">
        <v>30</v>
      </c>
      <c r="B517" s="36"/>
      <c r="C517" s="50"/>
      <c r="D517" s="50"/>
      <c r="E517" s="50"/>
      <c r="F517" s="50"/>
      <c r="G517" s="71">
        <f>+G515+G509</f>
        <v>0.17</v>
      </c>
    </row>
    <row r="518" spans="1:7" ht="16.5" thickTop="1" thickBot="1" x14ac:dyDescent="0.25">
      <c r="A518" s="72"/>
      <c r="B518" s="73"/>
      <c r="C518" s="73"/>
      <c r="D518" s="73"/>
      <c r="E518" s="73"/>
      <c r="F518" s="73"/>
      <c r="G518" s="74"/>
    </row>
  </sheetData>
  <mergeCells count="18">
    <mergeCell ref="A4:G4"/>
    <mergeCell ref="A37:G37"/>
    <mergeCell ref="A71:G71"/>
    <mergeCell ref="A100:G100"/>
    <mergeCell ref="A187:G187"/>
    <mergeCell ref="A216:G216"/>
    <mergeCell ref="A248:G248"/>
    <mergeCell ref="A132:G132"/>
    <mergeCell ref="A158:G158"/>
    <mergeCell ref="A276:G276"/>
    <mergeCell ref="A494:G494"/>
    <mergeCell ref="A360:G360"/>
    <mergeCell ref="A386:G386"/>
    <mergeCell ref="A306:G306"/>
    <mergeCell ref="A332:G332"/>
    <mergeCell ref="A414:G414"/>
    <mergeCell ref="A468:G468"/>
    <mergeCell ref="A440:G440"/>
  </mergeCells>
  <pageMargins left="0.45" right="0.45" top="0.5" bottom="0.5" header="0.3" footer="0.3"/>
  <pageSetup scale="68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22ED7C-EFA2-4514-B291-261AFCED2F50}">
  <dimension ref="A1:J65"/>
  <sheetViews>
    <sheetView topLeftCell="A31" workbookViewId="0">
      <selection activeCell="D54" sqref="D54"/>
    </sheetView>
  </sheetViews>
  <sheetFormatPr defaultColWidth="8.85546875" defaultRowHeight="15" x14ac:dyDescent="0.25"/>
  <cols>
    <col min="1" max="1" width="4.5703125" customWidth="1"/>
    <col min="2" max="2" width="9.140625" style="17" bestFit="1" customWidth="1"/>
    <col min="3" max="3" width="31.42578125" style="314" bestFit="1" customWidth="1"/>
    <col min="4" max="6" width="10.7109375" style="314" customWidth="1"/>
    <col min="9" max="9" width="17.5703125" bestFit="1" customWidth="1"/>
    <col min="10" max="10" width="10" bestFit="1" customWidth="1"/>
    <col min="236" max="236" width="4.5703125" customWidth="1"/>
    <col min="237" max="237" width="16.85546875" customWidth="1"/>
    <col min="238" max="238" width="31.42578125" bestFit="1" customWidth="1"/>
    <col min="239" max="239" width="13" customWidth="1"/>
    <col min="240" max="240" width="13.5703125" customWidth="1"/>
    <col min="241" max="241" width="13.28515625" customWidth="1"/>
    <col min="242" max="242" width="11.28515625" bestFit="1" customWidth="1"/>
    <col min="243" max="243" width="19.5703125" bestFit="1" customWidth="1"/>
    <col min="244" max="244" width="13.28515625" customWidth="1"/>
    <col min="245" max="245" width="14.140625" customWidth="1"/>
    <col min="246" max="246" width="14.28515625" customWidth="1"/>
    <col min="247" max="249" width="10.7109375" customWidth="1"/>
    <col min="250" max="250" width="15" bestFit="1" customWidth="1"/>
    <col min="251" max="251" width="14.85546875" customWidth="1"/>
    <col min="252" max="252" width="13.5703125" bestFit="1" customWidth="1"/>
    <col min="253" max="253" width="12.28515625" bestFit="1" customWidth="1"/>
    <col min="254" max="254" width="11.42578125" customWidth="1"/>
    <col min="492" max="492" width="4.5703125" customWidth="1"/>
    <col min="493" max="493" width="16.85546875" customWidth="1"/>
    <col min="494" max="494" width="31.42578125" bestFit="1" customWidth="1"/>
    <col min="495" max="495" width="13" customWidth="1"/>
    <col min="496" max="496" width="13.5703125" customWidth="1"/>
    <col min="497" max="497" width="13.28515625" customWidth="1"/>
    <col min="498" max="498" width="11.28515625" bestFit="1" customWidth="1"/>
    <col min="499" max="499" width="19.5703125" bestFit="1" customWidth="1"/>
    <col min="500" max="500" width="13.28515625" customWidth="1"/>
    <col min="501" max="501" width="14.140625" customWidth="1"/>
    <col min="502" max="502" width="14.28515625" customWidth="1"/>
    <col min="503" max="505" width="10.7109375" customWidth="1"/>
    <col min="506" max="506" width="15" bestFit="1" customWidth="1"/>
    <col min="507" max="507" width="14.85546875" customWidth="1"/>
    <col min="508" max="508" width="13.5703125" bestFit="1" customWidth="1"/>
    <col min="509" max="509" width="12.28515625" bestFit="1" customWidth="1"/>
    <col min="510" max="510" width="11.42578125" customWidth="1"/>
    <col min="748" max="748" width="4.5703125" customWidth="1"/>
    <col min="749" max="749" width="16.85546875" customWidth="1"/>
    <col min="750" max="750" width="31.42578125" bestFit="1" customWidth="1"/>
    <col min="751" max="751" width="13" customWidth="1"/>
    <col min="752" max="752" width="13.5703125" customWidth="1"/>
    <col min="753" max="753" width="13.28515625" customWidth="1"/>
    <col min="754" max="754" width="11.28515625" bestFit="1" customWidth="1"/>
    <col min="755" max="755" width="19.5703125" bestFit="1" customWidth="1"/>
    <col min="756" max="756" width="13.28515625" customWidth="1"/>
    <col min="757" max="757" width="14.140625" customWidth="1"/>
    <col min="758" max="758" width="14.28515625" customWidth="1"/>
    <col min="759" max="761" width="10.7109375" customWidth="1"/>
    <col min="762" max="762" width="15" bestFit="1" customWidth="1"/>
    <col min="763" max="763" width="14.85546875" customWidth="1"/>
    <col min="764" max="764" width="13.5703125" bestFit="1" customWidth="1"/>
    <col min="765" max="765" width="12.28515625" bestFit="1" customWidth="1"/>
    <col min="766" max="766" width="11.42578125" customWidth="1"/>
    <col min="1004" max="1004" width="4.5703125" customWidth="1"/>
    <col min="1005" max="1005" width="16.85546875" customWidth="1"/>
    <col min="1006" max="1006" width="31.42578125" bestFit="1" customWidth="1"/>
    <col min="1007" max="1007" width="13" customWidth="1"/>
    <col min="1008" max="1008" width="13.5703125" customWidth="1"/>
    <col min="1009" max="1009" width="13.28515625" customWidth="1"/>
    <col min="1010" max="1010" width="11.28515625" bestFit="1" customWidth="1"/>
    <col min="1011" max="1011" width="19.5703125" bestFit="1" customWidth="1"/>
    <col min="1012" max="1012" width="13.28515625" customWidth="1"/>
    <col min="1013" max="1013" width="14.140625" customWidth="1"/>
    <col min="1014" max="1014" width="14.28515625" customWidth="1"/>
    <col min="1015" max="1017" width="10.7109375" customWidth="1"/>
    <col min="1018" max="1018" width="15" bestFit="1" customWidth="1"/>
    <col min="1019" max="1019" width="14.85546875" customWidth="1"/>
    <col min="1020" max="1020" width="13.5703125" bestFit="1" customWidth="1"/>
    <col min="1021" max="1021" width="12.28515625" bestFit="1" customWidth="1"/>
    <col min="1022" max="1022" width="11.42578125" customWidth="1"/>
    <col min="1260" max="1260" width="4.5703125" customWidth="1"/>
    <col min="1261" max="1261" width="16.85546875" customWidth="1"/>
    <col min="1262" max="1262" width="31.42578125" bestFit="1" customWidth="1"/>
    <col min="1263" max="1263" width="13" customWidth="1"/>
    <col min="1264" max="1264" width="13.5703125" customWidth="1"/>
    <col min="1265" max="1265" width="13.28515625" customWidth="1"/>
    <col min="1266" max="1266" width="11.28515625" bestFit="1" customWidth="1"/>
    <col min="1267" max="1267" width="19.5703125" bestFit="1" customWidth="1"/>
    <col min="1268" max="1268" width="13.28515625" customWidth="1"/>
    <col min="1269" max="1269" width="14.140625" customWidth="1"/>
    <col min="1270" max="1270" width="14.28515625" customWidth="1"/>
    <col min="1271" max="1273" width="10.7109375" customWidth="1"/>
    <col min="1274" max="1274" width="15" bestFit="1" customWidth="1"/>
    <col min="1275" max="1275" width="14.85546875" customWidth="1"/>
    <col min="1276" max="1276" width="13.5703125" bestFit="1" customWidth="1"/>
    <col min="1277" max="1277" width="12.28515625" bestFit="1" customWidth="1"/>
    <col min="1278" max="1278" width="11.42578125" customWidth="1"/>
    <col min="1516" max="1516" width="4.5703125" customWidth="1"/>
    <col min="1517" max="1517" width="16.85546875" customWidth="1"/>
    <col min="1518" max="1518" width="31.42578125" bestFit="1" customWidth="1"/>
    <col min="1519" max="1519" width="13" customWidth="1"/>
    <col min="1520" max="1520" width="13.5703125" customWidth="1"/>
    <col min="1521" max="1521" width="13.28515625" customWidth="1"/>
    <col min="1522" max="1522" width="11.28515625" bestFit="1" customWidth="1"/>
    <col min="1523" max="1523" width="19.5703125" bestFit="1" customWidth="1"/>
    <col min="1524" max="1524" width="13.28515625" customWidth="1"/>
    <col min="1525" max="1525" width="14.140625" customWidth="1"/>
    <col min="1526" max="1526" width="14.28515625" customWidth="1"/>
    <col min="1527" max="1529" width="10.7109375" customWidth="1"/>
    <col min="1530" max="1530" width="15" bestFit="1" customWidth="1"/>
    <col min="1531" max="1531" width="14.85546875" customWidth="1"/>
    <col min="1532" max="1532" width="13.5703125" bestFit="1" customWidth="1"/>
    <col min="1533" max="1533" width="12.28515625" bestFit="1" customWidth="1"/>
    <col min="1534" max="1534" width="11.42578125" customWidth="1"/>
    <col min="1772" max="1772" width="4.5703125" customWidth="1"/>
    <col min="1773" max="1773" width="16.85546875" customWidth="1"/>
    <col min="1774" max="1774" width="31.42578125" bestFit="1" customWidth="1"/>
    <col min="1775" max="1775" width="13" customWidth="1"/>
    <col min="1776" max="1776" width="13.5703125" customWidth="1"/>
    <col min="1777" max="1777" width="13.28515625" customWidth="1"/>
    <col min="1778" max="1778" width="11.28515625" bestFit="1" customWidth="1"/>
    <col min="1779" max="1779" width="19.5703125" bestFit="1" customWidth="1"/>
    <col min="1780" max="1780" width="13.28515625" customWidth="1"/>
    <col min="1781" max="1781" width="14.140625" customWidth="1"/>
    <col min="1782" max="1782" width="14.28515625" customWidth="1"/>
    <col min="1783" max="1785" width="10.7109375" customWidth="1"/>
    <col min="1786" max="1786" width="15" bestFit="1" customWidth="1"/>
    <col min="1787" max="1787" width="14.85546875" customWidth="1"/>
    <col min="1788" max="1788" width="13.5703125" bestFit="1" customWidth="1"/>
    <col min="1789" max="1789" width="12.28515625" bestFit="1" customWidth="1"/>
    <col min="1790" max="1790" width="11.42578125" customWidth="1"/>
    <col min="2028" max="2028" width="4.5703125" customWidth="1"/>
    <col min="2029" max="2029" width="16.85546875" customWidth="1"/>
    <col min="2030" max="2030" width="31.42578125" bestFit="1" customWidth="1"/>
    <col min="2031" max="2031" width="13" customWidth="1"/>
    <col min="2032" max="2032" width="13.5703125" customWidth="1"/>
    <col min="2033" max="2033" width="13.28515625" customWidth="1"/>
    <col min="2034" max="2034" width="11.28515625" bestFit="1" customWidth="1"/>
    <col min="2035" max="2035" width="19.5703125" bestFit="1" customWidth="1"/>
    <col min="2036" max="2036" width="13.28515625" customWidth="1"/>
    <col min="2037" max="2037" width="14.140625" customWidth="1"/>
    <col min="2038" max="2038" width="14.28515625" customWidth="1"/>
    <col min="2039" max="2041" width="10.7109375" customWidth="1"/>
    <col min="2042" max="2042" width="15" bestFit="1" customWidth="1"/>
    <col min="2043" max="2043" width="14.85546875" customWidth="1"/>
    <col min="2044" max="2044" width="13.5703125" bestFit="1" customWidth="1"/>
    <col min="2045" max="2045" width="12.28515625" bestFit="1" customWidth="1"/>
    <col min="2046" max="2046" width="11.42578125" customWidth="1"/>
    <col min="2284" max="2284" width="4.5703125" customWidth="1"/>
    <col min="2285" max="2285" width="16.85546875" customWidth="1"/>
    <col min="2286" max="2286" width="31.42578125" bestFit="1" customWidth="1"/>
    <col min="2287" max="2287" width="13" customWidth="1"/>
    <col min="2288" max="2288" width="13.5703125" customWidth="1"/>
    <col min="2289" max="2289" width="13.28515625" customWidth="1"/>
    <col min="2290" max="2290" width="11.28515625" bestFit="1" customWidth="1"/>
    <col min="2291" max="2291" width="19.5703125" bestFit="1" customWidth="1"/>
    <col min="2292" max="2292" width="13.28515625" customWidth="1"/>
    <col min="2293" max="2293" width="14.140625" customWidth="1"/>
    <col min="2294" max="2294" width="14.28515625" customWidth="1"/>
    <col min="2295" max="2297" width="10.7109375" customWidth="1"/>
    <col min="2298" max="2298" width="15" bestFit="1" customWidth="1"/>
    <col min="2299" max="2299" width="14.85546875" customWidth="1"/>
    <col min="2300" max="2300" width="13.5703125" bestFit="1" customWidth="1"/>
    <col min="2301" max="2301" width="12.28515625" bestFit="1" customWidth="1"/>
    <col min="2302" max="2302" width="11.42578125" customWidth="1"/>
    <col min="2540" max="2540" width="4.5703125" customWidth="1"/>
    <col min="2541" max="2541" width="16.85546875" customWidth="1"/>
    <col min="2542" max="2542" width="31.42578125" bestFit="1" customWidth="1"/>
    <col min="2543" max="2543" width="13" customWidth="1"/>
    <col min="2544" max="2544" width="13.5703125" customWidth="1"/>
    <col min="2545" max="2545" width="13.28515625" customWidth="1"/>
    <col min="2546" max="2546" width="11.28515625" bestFit="1" customWidth="1"/>
    <col min="2547" max="2547" width="19.5703125" bestFit="1" customWidth="1"/>
    <col min="2548" max="2548" width="13.28515625" customWidth="1"/>
    <col min="2549" max="2549" width="14.140625" customWidth="1"/>
    <col min="2550" max="2550" width="14.28515625" customWidth="1"/>
    <col min="2551" max="2553" width="10.7109375" customWidth="1"/>
    <col min="2554" max="2554" width="15" bestFit="1" customWidth="1"/>
    <col min="2555" max="2555" width="14.85546875" customWidth="1"/>
    <col min="2556" max="2556" width="13.5703125" bestFit="1" customWidth="1"/>
    <col min="2557" max="2557" width="12.28515625" bestFit="1" customWidth="1"/>
    <col min="2558" max="2558" width="11.42578125" customWidth="1"/>
    <col min="2796" max="2796" width="4.5703125" customWidth="1"/>
    <col min="2797" max="2797" width="16.85546875" customWidth="1"/>
    <col min="2798" max="2798" width="31.42578125" bestFit="1" customWidth="1"/>
    <col min="2799" max="2799" width="13" customWidth="1"/>
    <col min="2800" max="2800" width="13.5703125" customWidth="1"/>
    <col min="2801" max="2801" width="13.28515625" customWidth="1"/>
    <col min="2802" max="2802" width="11.28515625" bestFit="1" customWidth="1"/>
    <col min="2803" max="2803" width="19.5703125" bestFit="1" customWidth="1"/>
    <col min="2804" max="2804" width="13.28515625" customWidth="1"/>
    <col min="2805" max="2805" width="14.140625" customWidth="1"/>
    <col min="2806" max="2806" width="14.28515625" customWidth="1"/>
    <col min="2807" max="2809" width="10.7109375" customWidth="1"/>
    <col min="2810" max="2810" width="15" bestFit="1" customWidth="1"/>
    <col min="2811" max="2811" width="14.85546875" customWidth="1"/>
    <col min="2812" max="2812" width="13.5703125" bestFit="1" customWidth="1"/>
    <col min="2813" max="2813" width="12.28515625" bestFit="1" customWidth="1"/>
    <col min="2814" max="2814" width="11.42578125" customWidth="1"/>
    <col min="3052" max="3052" width="4.5703125" customWidth="1"/>
    <col min="3053" max="3053" width="16.85546875" customWidth="1"/>
    <col min="3054" max="3054" width="31.42578125" bestFit="1" customWidth="1"/>
    <col min="3055" max="3055" width="13" customWidth="1"/>
    <col min="3056" max="3056" width="13.5703125" customWidth="1"/>
    <col min="3057" max="3057" width="13.28515625" customWidth="1"/>
    <col min="3058" max="3058" width="11.28515625" bestFit="1" customWidth="1"/>
    <col min="3059" max="3059" width="19.5703125" bestFit="1" customWidth="1"/>
    <col min="3060" max="3060" width="13.28515625" customWidth="1"/>
    <col min="3061" max="3061" width="14.140625" customWidth="1"/>
    <col min="3062" max="3062" width="14.28515625" customWidth="1"/>
    <col min="3063" max="3065" width="10.7109375" customWidth="1"/>
    <col min="3066" max="3066" width="15" bestFit="1" customWidth="1"/>
    <col min="3067" max="3067" width="14.85546875" customWidth="1"/>
    <col min="3068" max="3068" width="13.5703125" bestFit="1" customWidth="1"/>
    <col min="3069" max="3069" width="12.28515625" bestFit="1" customWidth="1"/>
    <col min="3070" max="3070" width="11.42578125" customWidth="1"/>
    <col min="3308" max="3308" width="4.5703125" customWidth="1"/>
    <col min="3309" max="3309" width="16.85546875" customWidth="1"/>
    <col min="3310" max="3310" width="31.42578125" bestFit="1" customWidth="1"/>
    <col min="3311" max="3311" width="13" customWidth="1"/>
    <col min="3312" max="3312" width="13.5703125" customWidth="1"/>
    <col min="3313" max="3313" width="13.28515625" customWidth="1"/>
    <col min="3314" max="3314" width="11.28515625" bestFit="1" customWidth="1"/>
    <col min="3315" max="3315" width="19.5703125" bestFit="1" customWidth="1"/>
    <col min="3316" max="3316" width="13.28515625" customWidth="1"/>
    <col min="3317" max="3317" width="14.140625" customWidth="1"/>
    <col min="3318" max="3318" width="14.28515625" customWidth="1"/>
    <col min="3319" max="3321" width="10.7109375" customWidth="1"/>
    <col min="3322" max="3322" width="15" bestFit="1" customWidth="1"/>
    <col min="3323" max="3323" width="14.85546875" customWidth="1"/>
    <col min="3324" max="3324" width="13.5703125" bestFit="1" customWidth="1"/>
    <col min="3325" max="3325" width="12.28515625" bestFit="1" customWidth="1"/>
    <col min="3326" max="3326" width="11.42578125" customWidth="1"/>
    <col min="3564" max="3564" width="4.5703125" customWidth="1"/>
    <col min="3565" max="3565" width="16.85546875" customWidth="1"/>
    <col min="3566" max="3566" width="31.42578125" bestFit="1" customWidth="1"/>
    <col min="3567" max="3567" width="13" customWidth="1"/>
    <col min="3568" max="3568" width="13.5703125" customWidth="1"/>
    <col min="3569" max="3569" width="13.28515625" customWidth="1"/>
    <col min="3570" max="3570" width="11.28515625" bestFit="1" customWidth="1"/>
    <col min="3571" max="3571" width="19.5703125" bestFit="1" customWidth="1"/>
    <col min="3572" max="3572" width="13.28515625" customWidth="1"/>
    <col min="3573" max="3573" width="14.140625" customWidth="1"/>
    <col min="3574" max="3574" width="14.28515625" customWidth="1"/>
    <col min="3575" max="3577" width="10.7109375" customWidth="1"/>
    <col min="3578" max="3578" width="15" bestFit="1" customWidth="1"/>
    <col min="3579" max="3579" width="14.85546875" customWidth="1"/>
    <col min="3580" max="3580" width="13.5703125" bestFit="1" customWidth="1"/>
    <col min="3581" max="3581" width="12.28515625" bestFit="1" customWidth="1"/>
    <col min="3582" max="3582" width="11.42578125" customWidth="1"/>
    <col min="3820" max="3820" width="4.5703125" customWidth="1"/>
    <col min="3821" max="3821" width="16.85546875" customWidth="1"/>
    <col min="3822" max="3822" width="31.42578125" bestFit="1" customWidth="1"/>
    <col min="3823" max="3823" width="13" customWidth="1"/>
    <col min="3824" max="3824" width="13.5703125" customWidth="1"/>
    <col min="3825" max="3825" width="13.28515625" customWidth="1"/>
    <col min="3826" max="3826" width="11.28515625" bestFit="1" customWidth="1"/>
    <col min="3827" max="3827" width="19.5703125" bestFit="1" customWidth="1"/>
    <col min="3828" max="3828" width="13.28515625" customWidth="1"/>
    <col min="3829" max="3829" width="14.140625" customWidth="1"/>
    <col min="3830" max="3830" width="14.28515625" customWidth="1"/>
    <col min="3831" max="3833" width="10.7109375" customWidth="1"/>
    <col min="3834" max="3834" width="15" bestFit="1" customWidth="1"/>
    <col min="3835" max="3835" width="14.85546875" customWidth="1"/>
    <col min="3836" max="3836" width="13.5703125" bestFit="1" customWidth="1"/>
    <col min="3837" max="3837" width="12.28515625" bestFit="1" customWidth="1"/>
    <col min="3838" max="3838" width="11.42578125" customWidth="1"/>
    <col min="4076" max="4076" width="4.5703125" customWidth="1"/>
    <col min="4077" max="4077" width="16.85546875" customWidth="1"/>
    <col min="4078" max="4078" width="31.42578125" bestFit="1" customWidth="1"/>
    <col min="4079" max="4079" width="13" customWidth="1"/>
    <col min="4080" max="4080" width="13.5703125" customWidth="1"/>
    <col min="4081" max="4081" width="13.28515625" customWidth="1"/>
    <col min="4082" max="4082" width="11.28515625" bestFit="1" customWidth="1"/>
    <col min="4083" max="4083" width="19.5703125" bestFit="1" customWidth="1"/>
    <col min="4084" max="4084" width="13.28515625" customWidth="1"/>
    <col min="4085" max="4085" width="14.140625" customWidth="1"/>
    <col min="4086" max="4086" width="14.28515625" customWidth="1"/>
    <col min="4087" max="4089" width="10.7109375" customWidth="1"/>
    <col min="4090" max="4090" width="15" bestFit="1" customWidth="1"/>
    <col min="4091" max="4091" width="14.85546875" customWidth="1"/>
    <col min="4092" max="4092" width="13.5703125" bestFit="1" customWidth="1"/>
    <col min="4093" max="4093" width="12.28515625" bestFit="1" customWidth="1"/>
    <col min="4094" max="4094" width="11.42578125" customWidth="1"/>
    <col min="4332" max="4332" width="4.5703125" customWidth="1"/>
    <col min="4333" max="4333" width="16.85546875" customWidth="1"/>
    <col min="4334" max="4334" width="31.42578125" bestFit="1" customWidth="1"/>
    <col min="4335" max="4335" width="13" customWidth="1"/>
    <col min="4336" max="4336" width="13.5703125" customWidth="1"/>
    <col min="4337" max="4337" width="13.28515625" customWidth="1"/>
    <col min="4338" max="4338" width="11.28515625" bestFit="1" customWidth="1"/>
    <col min="4339" max="4339" width="19.5703125" bestFit="1" customWidth="1"/>
    <col min="4340" max="4340" width="13.28515625" customWidth="1"/>
    <col min="4341" max="4341" width="14.140625" customWidth="1"/>
    <col min="4342" max="4342" width="14.28515625" customWidth="1"/>
    <col min="4343" max="4345" width="10.7109375" customWidth="1"/>
    <col min="4346" max="4346" width="15" bestFit="1" customWidth="1"/>
    <col min="4347" max="4347" width="14.85546875" customWidth="1"/>
    <col min="4348" max="4348" width="13.5703125" bestFit="1" customWidth="1"/>
    <col min="4349" max="4349" width="12.28515625" bestFit="1" customWidth="1"/>
    <col min="4350" max="4350" width="11.42578125" customWidth="1"/>
    <col min="4588" max="4588" width="4.5703125" customWidth="1"/>
    <col min="4589" max="4589" width="16.85546875" customWidth="1"/>
    <col min="4590" max="4590" width="31.42578125" bestFit="1" customWidth="1"/>
    <col min="4591" max="4591" width="13" customWidth="1"/>
    <col min="4592" max="4592" width="13.5703125" customWidth="1"/>
    <col min="4593" max="4593" width="13.28515625" customWidth="1"/>
    <col min="4594" max="4594" width="11.28515625" bestFit="1" customWidth="1"/>
    <col min="4595" max="4595" width="19.5703125" bestFit="1" customWidth="1"/>
    <col min="4596" max="4596" width="13.28515625" customWidth="1"/>
    <col min="4597" max="4597" width="14.140625" customWidth="1"/>
    <col min="4598" max="4598" width="14.28515625" customWidth="1"/>
    <col min="4599" max="4601" width="10.7109375" customWidth="1"/>
    <col min="4602" max="4602" width="15" bestFit="1" customWidth="1"/>
    <col min="4603" max="4603" width="14.85546875" customWidth="1"/>
    <col min="4604" max="4604" width="13.5703125" bestFit="1" customWidth="1"/>
    <col min="4605" max="4605" width="12.28515625" bestFit="1" customWidth="1"/>
    <col min="4606" max="4606" width="11.42578125" customWidth="1"/>
    <col min="4844" max="4844" width="4.5703125" customWidth="1"/>
    <col min="4845" max="4845" width="16.85546875" customWidth="1"/>
    <col min="4846" max="4846" width="31.42578125" bestFit="1" customWidth="1"/>
    <col min="4847" max="4847" width="13" customWidth="1"/>
    <col min="4848" max="4848" width="13.5703125" customWidth="1"/>
    <col min="4849" max="4849" width="13.28515625" customWidth="1"/>
    <col min="4850" max="4850" width="11.28515625" bestFit="1" customWidth="1"/>
    <col min="4851" max="4851" width="19.5703125" bestFit="1" customWidth="1"/>
    <col min="4852" max="4852" width="13.28515625" customWidth="1"/>
    <col min="4853" max="4853" width="14.140625" customWidth="1"/>
    <col min="4854" max="4854" width="14.28515625" customWidth="1"/>
    <col min="4855" max="4857" width="10.7109375" customWidth="1"/>
    <col min="4858" max="4858" width="15" bestFit="1" customWidth="1"/>
    <col min="4859" max="4859" width="14.85546875" customWidth="1"/>
    <col min="4860" max="4860" width="13.5703125" bestFit="1" customWidth="1"/>
    <col min="4861" max="4861" width="12.28515625" bestFit="1" customWidth="1"/>
    <col min="4862" max="4862" width="11.42578125" customWidth="1"/>
    <col min="5100" max="5100" width="4.5703125" customWidth="1"/>
    <col min="5101" max="5101" width="16.85546875" customWidth="1"/>
    <col min="5102" max="5102" width="31.42578125" bestFit="1" customWidth="1"/>
    <col min="5103" max="5103" width="13" customWidth="1"/>
    <col min="5104" max="5104" width="13.5703125" customWidth="1"/>
    <col min="5105" max="5105" width="13.28515625" customWidth="1"/>
    <col min="5106" max="5106" width="11.28515625" bestFit="1" customWidth="1"/>
    <col min="5107" max="5107" width="19.5703125" bestFit="1" customWidth="1"/>
    <col min="5108" max="5108" width="13.28515625" customWidth="1"/>
    <col min="5109" max="5109" width="14.140625" customWidth="1"/>
    <col min="5110" max="5110" width="14.28515625" customWidth="1"/>
    <col min="5111" max="5113" width="10.7109375" customWidth="1"/>
    <col min="5114" max="5114" width="15" bestFit="1" customWidth="1"/>
    <col min="5115" max="5115" width="14.85546875" customWidth="1"/>
    <col min="5116" max="5116" width="13.5703125" bestFit="1" customWidth="1"/>
    <col min="5117" max="5117" width="12.28515625" bestFit="1" customWidth="1"/>
    <col min="5118" max="5118" width="11.42578125" customWidth="1"/>
    <col min="5356" max="5356" width="4.5703125" customWidth="1"/>
    <col min="5357" max="5357" width="16.85546875" customWidth="1"/>
    <col min="5358" max="5358" width="31.42578125" bestFit="1" customWidth="1"/>
    <col min="5359" max="5359" width="13" customWidth="1"/>
    <col min="5360" max="5360" width="13.5703125" customWidth="1"/>
    <col min="5361" max="5361" width="13.28515625" customWidth="1"/>
    <col min="5362" max="5362" width="11.28515625" bestFit="1" customWidth="1"/>
    <col min="5363" max="5363" width="19.5703125" bestFit="1" customWidth="1"/>
    <col min="5364" max="5364" width="13.28515625" customWidth="1"/>
    <col min="5365" max="5365" width="14.140625" customWidth="1"/>
    <col min="5366" max="5366" width="14.28515625" customWidth="1"/>
    <col min="5367" max="5369" width="10.7109375" customWidth="1"/>
    <col min="5370" max="5370" width="15" bestFit="1" customWidth="1"/>
    <col min="5371" max="5371" width="14.85546875" customWidth="1"/>
    <col min="5372" max="5372" width="13.5703125" bestFit="1" customWidth="1"/>
    <col min="5373" max="5373" width="12.28515625" bestFit="1" customWidth="1"/>
    <col min="5374" max="5374" width="11.42578125" customWidth="1"/>
    <col min="5612" max="5612" width="4.5703125" customWidth="1"/>
    <col min="5613" max="5613" width="16.85546875" customWidth="1"/>
    <col min="5614" max="5614" width="31.42578125" bestFit="1" customWidth="1"/>
    <col min="5615" max="5615" width="13" customWidth="1"/>
    <col min="5616" max="5616" width="13.5703125" customWidth="1"/>
    <col min="5617" max="5617" width="13.28515625" customWidth="1"/>
    <col min="5618" max="5618" width="11.28515625" bestFit="1" customWidth="1"/>
    <col min="5619" max="5619" width="19.5703125" bestFit="1" customWidth="1"/>
    <col min="5620" max="5620" width="13.28515625" customWidth="1"/>
    <col min="5621" max="5621" width="14.140625" customWidth="1"/>
    <col min="5622" max="5622" width="14.28515625" customWidth="1"/>
    <col min="5623" max="5625" width="10.7109375" customWidth="1"/>
    <col min="5626" max="5626" width="15" bestFit="1" customWidth="1"/>
    <col min="5627" max="5627" width="14.85546875" customWidth="1"/>
    <col min="5628" max="5628" width="13.5703125" bestFit="1" customWidth="1"/>
    <col min="5629" max="5629" width="12.28515625" bestFit="1" customWidth="1"/>
    <col min="5630" max="5630" width="11.42578125" customWidth="1"/>
    <col min="5868" max="5868" width="4.5703125" customWidth="1"/>
    <col min="5869" max="5869" width="16.85546875" customWidth="1"/>
    <col min="5870" max="5870" width="31.42578125" bestFit="1" customWidth="1"/>
    <col min="5871" max="5871" width="13" customWidth="1"/>
    <col min="5872" max="5872" width="13.5703125" customWidth="1"/>
    <col min="5873" max="5873" width="13.28515625" customWidth="1"/>
    <col min="5874" max="5874" width="11.28515625" bestFit="1" customWidth="1"/>
    <col min="5875" max="5875" width="19.5703125" bestFit="1" customWidth="1"/>
    <col min="5876" max="5876" width="13.28515625" customWidth="1"/>
    <col min="5877" max="5877" width="14.140625" customWidth="1"/>
    <col min="5878" max="5878" width="14.28515625" customWidth="1"/>
    <col min="5879" max="5881" width="10.7109375" customWidth="1"/>
    <col min="5882" max="5882" width="15" bestFit="1" customWidth="1"/>
    <col min="5883" max="5883" width="14.85546875" customWidth="1"/>
    <col min="5884" max="5884" width="13.5703125" bestFit="1" customWidth="1"/>
    <col min="5885" max="5885" width="12.28515625" bestFit="1" customWidth="1"/>
    <col min="5886" max="5886" width="11.42578125" customWidth="1"/>
    <col min="6124" max="6124" width="4.5703125" customWidth="1"/>
    <col min="6125" max="6125" width="16.85546875" customWidth="1"/>
    <col min="6126" max="6126" width="31.42578125" bestFit="1" customWidth="1"/>
    <col min="6127" max="6127" width="13" customWidth="1"/>
    <col min="6128" max="6128" width="13.5703125" customWidth="1"/>
    <col min="6129" max="6129" width="13.28515625" customWidth="1"/>
    <col min="6130" max="6130" width="11.28515625" bestFit="1" customWidth="1"/>
    <col min="6131" max="6131" width="19.5703125" bestFit="1" customWidth="1"/>
    <col min="6132" max="6132" width="13.28515625" customWidth="1"/>
    <col min="6133" max="6133" width="14.140625" customWidth="1"/>
    <col min="6134" max="6134" width="14.28515625" customWidth="1"/>
    <col min="6135" max="6137" width="10.7109375" customWidth="1"/>
    <col min="6138" max="6138" width="15" bestFit="1" customWidth="1"/>
    <col min="6139" max="6139" width="14.85546875" customWidth="1"/>
    <col min="6140" max="6140" width="13.5703125" bestFit="1" customWidth="1"/>
    <col min="6141" max="6141" width="12.28515625" bestFit="1" customWidth="1"/>
    <col min="6142" max="6142" width="11.42578125" customWidth="1"/>
    <col min="6380" max="6380" width="4.5703125" customWidth="1"/>
    <col min="6381" max="6381" width="16.85546875" customWidth="1"/>
    <col min="6382" max="6382" width="31.42578125" bestFit="1" customWidth="1"/>
    <col min="6383" max="6383" width="13" customWidth="1"/>
    <col min="6384" max="6384" width="13.5703125" customWidth="1"/>
    <col min="6385" max="6385" width="13.28515625" customWidth="1"/>
    <col min="6386" max="6386" width="11.28515625" bestFit="1" customWidth="1"/>
    <col min="6387" max="6387" width="19.5703125" bestFit="1" customWidth="1"/>
    <col min="6388" max="6388" width="13.28515625" customWidth="1"/>
    <col min="6389" max="6389" width="14.140625" customWidth="1"/>
    <col min="6390" max="6390" width="14.28515625" customWidth="1"/>
    <col min="6391" max="6393" width="10.7109375" customWidth="1"/>
    <col min="6394" max="6394" width="15" bestFit="1" customWidth="1"/>
    <col min="6395" max="6395" width="14.85546875" customWidth="1"/>
    <col min="6396" max="6396" width="13.5703125" bestFit="1" customWidth="1"/>
    <col min="6397" max="6397" width="12.28515625" bestFit="1" customWidth="1"/>
    <col min="6398" max="6398" width="11.42578125" customWidth="1"/>
    <col min="6636" max="6636" width="4.5703125" customWidth="1"/>
    <col min="6637" max="6637" width="16.85546875" customWidth="1"/>
    <col min="6638" max="6638" width="31.42578125" bestFit="1" customWidth="1"/>
    <col min="6639" max="6639" width="13" customWidth="1"/>
    <col min="6640" max="6640" width="13.5703125" customWidth="1"/>
    <col min="6641" max="6641" width="13.28515625" customWidth="1"/>
    <col min="6642" max="6642" width="11.28515625" bestFit="1" customWidth="1"/>
    <col min="6643" max="6643" width="19.5703125" bestFit="1" customWidth="1"/>
    <col min="6644" max="6644" width="13.28515625" customWidth="1"/>
    <col min="6645" max="6645" width="14.140625" customWidth="1"/>
    <col min="6646" max="6646" width="14.28515625" customWidth="1"/>
    <col min="6647" max="6649" width="10.7109375" customWidth="1"/>
    <col min="6650" max="6650" width="15" bestFit="1" customWidth="1"/>
    <col min="6651" max="6651" width="14.85546875" customWidth="1"/>
    <col min="6652" max="6652" width="13.5703125" bestFit="1" customWidth="1"/>
    <col min="6653" max="6653" width="12.28515625" bestFit="1" customWidth="1"/>
    <col min="6654" max="6654" width="11.42578125" customWidth="1"/>
    <col min="6892" max="6892" width="4.5703125" customWidth="1"/>
    <col min="6893" max="6893" width="16.85546875" customWidth="1"/>
    <col min="6894" max="6894" width="31.42578125" bestFit="1" customWidth="1"/>
    <col min="6895" max="6895" width="13" customWidth="1"/>
    <col min="6896" max="6896" width="13.5703125" customWidth="1"/>
    <col min="6897" max="6897" width="13.28515625" customWidth="1"/>
    <col min="6898" max="6898" width="11.28515625" bestFit="1" customWidth="1"/>
    <col min="6899" max="6899" width="19.5703125" bestFit="1" customWidth="1"/>
    <col min="6900" max="6900" width="13.28515625" customWidth="1"/>
    <col min="6901" max="6901" width="14.140625" customWidth="1"/>
    <col min="6902" max="6902" width="14.28515625" customWidth="1"/>
    <col min="6903" max="6905" width="10.7109375" customWidth="1"/>
    <col min="6906" max="6906" width="15" bestFit="1" customWidth="1"/>
    <col min="6907" max="6907" width="14.85546875" customWidth="1"/>
    <col min="6908" max="6908" width="13.5703125" bestFit="1" customWidth="1"/>
    <col min="6909" max="6909" width="12.28515625" bestFit="1" customWidth="1"/>
    <col min="6910" max="6910" width="11.42578125" customWidth="1"/>
    <col min="7148" max="7148" width="4.5703125" customWidth="1"/>
    <col min="7149" max="7149" width="16.85546875" customWidth="1"/>
    <col min="7150" max="7150" width="31.42578125" bestFit="1" customWidth="1"/>
    <col min="7151" max="7151" width="13" customWidth="1"/>
    <col min="7152" max="7152" width="13.5703125" customWidth="1"/>
    <col min="7153" max="7153" width="13.28515625" customWidth="1"/>
    <col min="7154" max="7154" width="11.28515625" bestFit="1" customWidth="1"/>
    <col min="7155" max="7155" width="19.5703125" bestFit="1" customWidth="1"/>
    <col min="7156" max="7156" width="13.28515625" customWidth="1"/>
    <col min="7157" max="7157" width="14.140625" customWidth="1"/>
    <col min="7158" max="7158" width="14.28515625" customWidth="1"/>
    <col min="7159" max="7161" width="10.7109375" customWidth="1"/>
    <col min="7162" max="7162" width="15" bestFit="1" customWidth="1"/>
    <col min="7163" max="7163" width="14.85546875" customWidth="1"/>
    <col min="7164" max="7164" width="13.5703125" bestFit="1" customWidth="1"/>
    <col min="7165" max="7165" width="12.28515625" bestFit="1" customWidth="1"/>
    <col min="7166" max="7166" width="11.42578125" customWidth="1"/>
    <col min="7404" max="7404" width="4.5703125" customWidth="1"/>
    <col min="7405" max="7405" width="16.85546875" customWidth="1"/>
    <col min="7406" max="7406" width="31.42578125" bestFit="1" customWidth="1"/>
    <col min="7407" max="7407" width="13" customWidth="1"/>
    <col min="7408" max="7408" width="13.5703125" customWidth="1"/>
    <col min="7409" max="7409" width="13.28515625" customWidth="1"/>
    <col min="7410" max="7410" width="11.28515625" bestFit="1" customWidth="1"/>
    <col min="7411" max="7411" width="19.5703125" bestFit="1" customWidth="1"/>
    <col min="7412" max="7412" width="13.28515625" customWidth="1"/>
    <col min="7413" max="7413" width="14.140625" customWidth="1"/>
    <col min="7414" max="7414" width="14.28515625" customWidth="1"/>
    <col min="7415" max="7417" width="10.7109375" customWidth="1"/>
    <col min="7418" max="7418" width="15" bestFit="1" customWidth="1"/>
    <col min="7419" max="7419" width="14.85546875" customWidth="1"/>
    <col min="7420" max="7420" width="13.5703125" bestFit="1" customWidth="1"/>
    <col min="7421" max="7421" width="12.28515625" bestFit="1" customWidth="1"/>
    <col min="7422" max="7422" width="11.42578125" customWidth="1"/>
    <col min="7660" max="7660" width="4.5703125" customWidth="1"/>
    <col min="7661" max="7661" width="16.85546875" customWidth="1"/>
    <col min="7662" max="7662" width="31.42578125" bestFit="1" customWidth="1"/>
    <col min="7663" max="7663" width="13" customWidth="1"/>
    <col min="7664" max="7664" width="13.5703125" customWidth="1"/>
    <col min="7665" max="7665" width="13.28515625" customWidth="1"/>
    <col min="7666" max="7666" width="11.28515625" bestFit="1" customWidth="1"/>
    <col min="7667" max="7667" width="19.5703125" bestFit="1" customWidth="1"/>
    <col min="7668" max="7668" width="13.28515625" customWidth="1"/>
    <col min="7669" max="7669" width="14.140625" customWidth="1"/>
    <col min="7670" max="7670" width="14.28515625" customWidth="1"/>
    <col min="7671" max="7673" width="10.7109375" customWidth="1"/>
    <col min="7674" max="7674" width="15" bestFit="1" customWidth="1"/>
    <col min="7675" max="7675" width="14.85546875" customWidth="1"/>
    <col min="7676" max="7676" width="13.5703125" bestFit="1" customWidth="1"/>
    <col min="7677" max="7677" width="12.28515625" bestFit="1" customWidth="1"/>
    <col min="7678" max="7678" width="11.42578125" customWidth="1"/>
    <col min="7916" max="7916" width="4.5703125" customWidth="1"/>
    <col min="7917" max="7917" width="16.85546875" customWidth="1"/>
    <col min="7918" max="7918" width="31.42578125" bestFit="1" customWidth="1"/>
    <col min="7919" max="7919" width="13" customWidth="1"/>
    <col min="7920" max="7920" width="13.5703125" customWidth="1"/>
    <col min="7921" max="7921" width="13.28515625" customWidth="1"/>
    <col min="7922" max="7922" width="11.28515625" bestFit="1" customWidth="1"/>
    <col min="7923" max="7923" width="19.5703125" bestFit="1" customWidth="1"/>
    <col min="7924" max="7924" width="13.28515625" customWidth="1"/>
    <col min="7925" max="7925" width="14.140625" customWidth="1"/>
    <col min="7926" max="7926" width="14.28515625" customWidth="1"/>
    <col min="7927" max="7929" width="10.7109375" customWidth="1"/>
    <col min="7930" max="7930" width="15" bestFit="1" customWidth="1"/>
    <col min="7931" max="7931" width="14.85546875" customWidth="1"/>
    <col min="7932" max="7932" width="13.5703125" bestFit="1" customWidth="1"/>
    <col min="7933" max="7933" width="12.28515625" bestFit="1" customWidth="1"/>
    <col min="7934" max="7934" width="11.42578125" customWidth="1"/>
    <col min="8172" max="8172" width="4.5703125" customWidth="1"/>
    <col min="8173" max="8173" width="16.85546875" customWidth="1"/>
    <col min="8174" max="8174" width="31.42578125" bestFit="1" customWidth="1"/>
    <col min="8175" max="8175" width="13" customWidth="1"/>
    <col min="8176" max="8176" width="13.5703125" customWidth="1"/>
    <col min="8177" max="8177" width="13.28515625" customWidth="1"/>
    <col min="8178" max="8178" width="11.28515625" bestFit="1" customWidth="1"/>
    <col min="8179" max="8179" width="19.5703125" bestFit="1" customWidth="1"/>
    <col min="8180" max="8180" width="13.28515625" customWidth="1"/>
    <col min="8181" max="8181" width="14.140625" customWidth="1"/>
    <col min="8182" max="8182" width="14.28515625" customWidth="1"/>
    <col min="8183" max="8185" width="10.7109375" customWidth="1"/>
    <col min="8186" max="8186" width="15" bestFit="1" customWidth="1"/>
    <col min="8187" max="8187" width="14.85546875" customWidth="1"/>
    <col min="8188" max="8188" width="13.5703125" bestFit="1" customWidth="1"/>
    <col min="8189" max="8189" width="12.28515625" bestFit="1" customWidth="1"/>
    <col min="8190" max="8190" width="11.42578125" customWidth="1"/>
    <col min="8428" max="8428" width="4.5703125" customWidth="1"/>
    <col min="8429" max="8429" width="16.85546875" customWidth="1"/>
    <col min="8430" max="8430" width="31.42578125" bestFit="1" customWidth="1"/>
    <col min="8431" max="8431" width="13" customWidth="1"/>
    <col min="8432" max="8432" width="13.5703125" customWidth="1"/>
    <col min="8433" max="8433" width="13.28515625" customWidth="1"/>
    <col min="8434" max="8434" width="11.28515625" bestFit="1" customWidth="1"/>
    <col min="8435" max="8435" width="19.5703125" bestFit="1" customWidth="1"/>
    <col min="8436" max="8436" width="13.28515625" customWidth="1"/>
    <col min="8437" max="8437" width="14.140625" customWidth="1"/>
    <col min="8438" max="8438" width="14.28515625" customWidth="1"/>
    <col min="8439" max="8441" width="10.7109375" customWidth="1"/>
    <col min="8442" max="8442" width="15" bestFit="1" customWidth="1"/>
    <col min="8443" max="8443" width="14.85546875" customWidth="1"/>
    <col min="8444" max="8444" width="13.5703125" bestFit="1" customWidth="1"/>
    <col min="8445" max="8445" width="12.28515625" bestFit="1" customWidth="1"/>
    <col min="8446" max="8446" width="11.42578125" customWidth="1"/>
    <col min="8684" max="8684" width="4.5703125" customWidth="1"/>
    <col min="8685" max="8685" width="16.85546875" customWidth="1"/>
    <col min="8686" max="8686" width="31.42578125" bestFit="1" customWidth="1"/>
    <col min="8687" max="8687" width="13" customWidth="1"/>
    <col min="8688" max="8688" width="13.5703125" customWidth="1"/>
    <col min="8689" max="8689" width="13.28515625" customWidth="1"/>
    <col min="8690" max="8690" width="11.28515625" bestFit="1" customWidth="1"/>
    <col min="8691" max="8691" width="19.5703125" bestFit="1" customWidth="1"/>
    <col min="8692" max="8692" width="13.28515625" customWidth="1"/>
    <col min="8693" max="8693" width="14.140625" customWidth="1"/>
    <col min="8694" max="8694" width="14.28515625" customWidth="1"/>
    <col min="8695" max="8697" width="10.7109375" customWidth="1"/>
    <col min="8698" max="8698" width="15" bestFit="1" customWidth="1"/>
    <col min="8699" max="8699" width="14.85546875" customWidth="1"/>
    <col min="8700" max="8700" width="13.5703125" bestFit="1" customWidth="1"/>
    <col min="8701" max="8701" width="12.28515625" bestFit="1" customWidth="1"/>
    <col min="8702" max="8702" width="11.42578125" customWidth="1"/>
    <col min="8940" max="8940" width="4.5703125" customWidth="1"/>
    <col min="8941" max="8941" width="16.85546875" customWidth="1"/>
    <col min="8942" max="8942" width="31.42578125" bestFit="1" customWidth="1"/>
    <col min="8943" max="8943" width="13" customWidth="1"/>
    <col min="8944" max="8944" width="13.5703125" customWidth="1"/>
    <col min="8945" max="8945" width="13.28515625" customWidth="1"/>
    <col min="8946" max="8946" width="11.28515625" bestFit="1" customWidth="1"/>
    <col min="8947" max="8947" width="19.5703125" bestFit="1" customWidth="1"/>
    <col min="8948" max="8948" width="13.28515625" customWidth="1"/>
    <col min="8949" max="8949" width="14.140625" customWidth="1"/>
    <col min="8950" max="8950" width="14.28515625" customWidth="1"/>
    <col min="8951" max="8953" width="10.7109375" customWidth="1"/>
    <col min="8954" max="8954" width="15" bestFit="1" customWidth="1"/>
    <col min="8955" max="8955" width="14.85546875" customWidth="1"/>
    <col min="8956" max="8956" width="13.5703125" bestFit="1" customWidth="1"/>
    <col min="8957" max="8957" width="12.28515625" bestFit="1" customWidth="1"/>
    <col min="8958" max="8958" width="11.42578125" customWidth="1"/>
    <col min="9196" max="9196" width="4.5703125" customWidth="1"/>
    <col min="9197" max="9197" width="16.85546875" customWidth="1"/>
    <col min="9198" max="9198" width="31.42578125" bestFit="1" customWidth="1"/>
    <col min="9199" max="9199" width="13" customWidth="1"/>
    <col min="9200" max="9200" width="13.5703125" customWidth="1"/>
    <col min="9201" max="9201" width="13.28515625" customWidth="1"/>
    <col min="9202" max="9202" width="11.28515625" bestFit="1" customWidth="1"/>
    <col min="9203" max="9203" width="19.5703125" bestFit="1" customWidth="1"/>
    <col min="9204" max="9204" width="13.28515625" customWidth="1"/>
    <col min="9205" max="9205" width="14.140625" customWidth="1"/>
    <col min="9206" max="9206" width="14.28515625" customWidth="1"/>
    <col min="9207" max="9209" width="10.7109375" customWidth="1"/>
    <col min="9210" max="9210" width="15" bestFit="1" customWidth="1"/>
    <col min="9211" max="9211" width="14.85546875" customWidth="1"/>
    <col min="9212" max="9212" width="13.5703125" bestFit="1" customWidth="1"/>
    <col min="9213" max="9213" width="12.28515625" bestFit="1" customWidth="1"/>
    <col min="9214" max="9214" width="11.42578125" customWidth="1"/>
    <col min="9452" max="9452" width="4.5703125" customWidth="1"/>
    <col min="9453" max="9453" width="16.85546875" customWidth="1"/>
    <col min="9454" max="9454" width="31.42578125" bestFit="1" customWidth="1"/>
    <col min="9455" max="9455" width="13" customWidth="1"/>
    <col min="9456" max="9456" width="13.5703125" customWidth="1"/>
    <col min="9457" max="9457" width="13.28515625" customWidth="1"/>
    <col min="9458" max="9458" width="11.28515625" bestFit="1" customWidth="1"/>
    <col min="9459" max="9459" width="19.5703125" bestFit="1" customWidth="1"/>
    <col min="9460" max="9460" width="13.28515625" customWidth="1"/>
    <col min="9461" max="9461" width="14.140625" customWidth="1"/>
    <col min="9462" max="9462" width="14.28515625" customWidth="1"/>
    <col min="9463" max="9465" width="10.7109375" customWidth="1"/>
    <col min="9466" max="9466" width="15" bestFit="1" customWidth="1"/>
    <col min="9467" max="9467" width="14.85546875" customWidth="1"/>
    <col min="9468" max="9468" width="13.5703125" bestFit="1" customWidth="1"/>
    <col min="9469" max="9469" width="12.28515625" bestFit="1" customWidth="1"/>
    <col min="9470" max="9470" width="11.42578125" customWidth="1"/>
    <col min="9708" max="9708" width="4.5703125" customWidth="1"/>
    <col min="9709" max="9709" width="16.85546875" customWidth="1"/>
    <col min="9710" max="9710" width="31.42578125" bestFit="1" customWidth="1"/>
    <col min="9711" max="9711" width="13" customWidth="1"/>
    <col min="9712" max="9712" width="13.5703125" customWidth="1"/>
    <col min="9713" max="9713" width="13.28515625" customWidth="1"/>
    <col min="9714" max="9714" width="11.28515625" bestFit="1" customWidth="1"/>
    <col min="9715" max="9715" width="19.5703125" bestFit="1" customWidth="1"/>
    <col min="9716" max="9716" width="13.28515625" customWidth="1"/>
    <col min="9717" max="9717" width="14.140625" customWidth="1"/>
    <col min="9718" max="9718" width="14.28515625" customWidth="1"/>
    <col min="9719" max="9721" width="10.7109375" customWidth="1"/>
    <col min="9722" max="9722" width="15" bestFit="1" customWidth="1"/>
    <col min="9723" max="9723" width="14.85546875" customWidth="1"/>
    <col min="9724" max="9724" width="13.5703125" bestFit="1" customWidth="1"/>
    <col min="9725" max="9725" width="12.28515625" bestFit="1" customWidth="1"/>
    <col min="9726" max="9726" width="11.42578125" customWidth="1"/>
    <col min="9964" max="9964" width="4.5703125" customWidth="1"/>
    <col min="9965" max="9965" width="16.85546875" customWidth="1"/>
    <col min="9966" max="9966" width="31.42578125" bestFit="1" customWidth="1"/>
    <col min="9967" max="9967" width="13" customWidth="1"/>
    <col min="9968" max="9968" width="13.5703125" customWidth="1"/>
    <col min="9969" max="9969" width="13.28515625" customWidth="1"/>
    <col min="9970" max="9970" width="11.28515625" bestFit="1" customWidth="1"/>
    <col min="9971" max="9971" width="19.5703125" bestFit="1" customWidth="1"/>
    <col min="9972" max="9972" width="13.28515625" customWidth="1"/>
    <col min="9973" max="9973" width="14.140625" customWidth="1"/>
    <col min="9974" max="9974" width="14.28515625" customWidth="1"/>
    <col min="9975" max="9977" width="10.7109375" customWidth="1"/>
    <col min="9978" max="9978" width="15" bestFit="1" customWidth="1"/>
    <col min="9979" max="9979" width="14.85546875" customWidth="1"/>
    <col min="9980" max="9980" width="13.5703125" bestFit="1" customWidth="1"/>
    <col min="9981" max="9981" width="12.28515625" bestFit="1" customWidth="1"/>
    <col min="9982" max="9982" width="11.42578125" customWidth="1"/>
    <col min="10220" max="10220" width="4.5703125" customWidth="1"/>
    <col min="10221" max="10221" width="16.85546875" customWidth="1"/>
    <col min="10222" max="10222" width="31.42578125" bestFit="1" customWidth="1"/>
    <col min="10223" max="10223" width="13" customWidth="1"/>
    <col min="10224" max="10224" width="13.5703125" customWidth="1"/>
    <col min="10225" max="10225" width="13.28515625" customWidth="1"/>
    <col min="10226" max="10226" width="11.28515625" bestFit="1" customWidth="1"/>
    <col min="10227" max="10227" width="19.5703125" bestFit="1" customWidth="1"/>
    <col min="10228" max="10228" width="13.28515625" customWidth="1"/>
    <col min="10229" max="10229" width="14.140625" customWidth="1"/>
    <col min="10230" max="10230" width="14.28515625" customWidth="1"/>
    <col min="10231" max="10233" width="10.7109375" customWidth="1"/>
    <col min="10234" max="10234" width="15" bestFit="1" customWidth="1"/>
    <col min="10235" max="10235" width="14.85546875" customWidth="1"/>
    <col min="10236" max="10236" width="13.5703125" bestFit="1" customWidth="1"/>
    <col min="10237" max="10237" width="12.28515625" bestFit="1" customWidth="1"/>
    <col min="10238" max="10238" width="11.42578125" customWidth="1"/>
    <col min="10476" max="10476" width="4.5703125" customWidth="1"/>
    <col min="10477" max="10477" width="16.85546875" customWidth="1"/>
    <col min="10478" max="10478" width="31.42578125" bestFit="1" customWidth="1"/>
    <col min="10479" max="10479" width="13" customWidth="1"/>
    <col min="10480" max="10480" width="13.5703125" customWidth="1"/>
    <col min="10481" max="10481" width="13.28515625" customWidth="1"/>
    <col min="10482" max="10482" width="11.28515625" bestFit="1" customWidth="1"/>
    <col min="10483" max="10483" width="19.5703125" bestFit="1" customWidth="1"/>
    <col min="10484" max="10484" width="13.28515625" customWidth="1"/>
    <col min="10485" max="10485" width="14.140625" customWidth="1"/>
    <col min="10486" max="10486" width="14.28515625" customWidth="1"/>
    <col min="10487" max="10489" width="10.7109375" customWidth="1"/>
    <col min="10490" max="10490" width="15" bestFit="1" customWidth="1"/>
    <col min="10491" max="10491" width="14.85546875" customWidth="1"/>
    <col min="10492" max="10492" width="13.5703125" bestFit="1" customWidth="1"/>
    <col min="10493" max="10493" width="12.28515625" bestFit="1" customWidth="1"/>
    <col min="10494" max="10494" width="11.42578125" customWidth="1"/>
    <col min="10732" max="10732" width="4.5703125" customWidth="1"/>
    <col min="10733" max="10733" width="16.85546875" customWidth="1"/>
    <col min="10734" max="10734" width="31.42578125" bestFit="1" customWidth="1"/>
    <col min="10735" max="10735" width="13" customWidth="1"/>
    <col min="10736" max="10736" width="13.5703125" customWidth="1"/>
    <col min="10737" max="10737" width="13.28515625" customWidth="1"/>
    <col min="10738" max="10738" width="11.28515625" bestFit="1" customWidth="1"/>
    <col min="10739" max="10739" width="19.5703125" bestFit="1" customWidth="1"/>
    <col min="10740" max="10740" width="13.28515625" customWidth="1"/>
    <col min="10741" max="10741" width="14.140625" customWidth="1"/>
    <col min="10742" max="10742" width="14.28515625" customWidth="1"/>
    <col min="10743" max="10745" width="10.7109375" customWidth="1"/>
    <col min="10746" max="10746" width="15" bestFit="1" customWidth="1"/>
    <col min="10747" max="10747" width="14.85546875" customWidth="1"/>
    <col min="10748" max="10748" width="13.5703125" bestFit="1" customWidth="1"/>
    <col min="10749" max="10749" width="12.28515625" bestFit="1" customWidth="1"/>
    <col min="10750" max="10750" width="11.42578125" customWidth="1"/>
    <col min="10988" max="10988" width="4.5703125" customWidth="1"/>
    <col min="10989" max="10989" width="16.85546875" customWidth="1"/>
    <col min="10990" max="10990" width="31.42578125" bestFit="1" customWidth="1"/>
    <col min="10991" max="10991" width="13" customWidth="1"/>
    <col min="10992" max="10992" width="13.5703125" customWidth="1"/>
    <col min="10993" max="10993" width="13.28515625" customWidth="1"/>
    <col min="10994" max="10994" width="11.28515625" bestFit="1" customWidth="1"/>
    <col min="10995" max="10995" width="19.5703125" bestFit="1" customWidth="1"/>
    <col min="10996" max="10996" width="13.28515625" customWidth="1"/>
    <col min="10997" max="10997" width="14.140625" customWidth="1"/>
    <col min="10998" max="10998" width="14.28515625" customWidth="1"/>
    <col min="10999" max="11001" width="10.7109375" customWidth="1"/>
    <col min="11002" max="11002" width="15" bestFit="1" customWidth="1"/>
    <col min="11003" max="11003" width="14.85546875" customWidth="1"/>
    <col min="11004" max="11004" width="13.5703125" bestFit="1" customWidth="1"/>
    <col min="11005" max="11005" width="12.28515625" bestFit="1" customWidth="1"/>
    <col min="11006" max="11006" width="11.42578125" customWidth="1"/>
    <col min="11244" max="11244" width="4.5703125" customWidth="1"/>
    <col min="11245" max="11245" width="16.85546875" customWidth="1"/>
    <col min="11246" max="11246" width="31.42578125" bestFit="1" customWidth="1"/>
    <col min="11247" max="11247" width="13" customWidth="1"/>
    <col min="11248" max="11248" width="13.5703125" customWidth="1"/>
    <col min="11249" max="11249" width="13.28515625" customWidth="1"/>
    <col min="11250" max="11250" width="11.28515625" bestFit="1" customWidth="1"/>
    <col min="11251" max="11251" width="19.5703125" bestFit="1" customWidth="1"/>
    <col min="11252" max="11252" width="13.28515625" customWidth="1"/>
    <col min="11253" max="11253" width="14.140625" customWidth="1"/>
    <col min="11254" max="11254" width="14.28515625" customWidth="1"/>
    <col min="11255" max="11257" width="10.7109375" customWidth="1"/>
    <col min="11258" max="11258" width="15" bestFit="1" customWidth="1"/>
    <col min="11259" max="11259" width="14.85546875" customWidth="1"/>
    <col min="11260" max="11260" width="13.5703125" bestFit="1" customWidth="1"/>
    <col min="11261" max="11261" width="12.28515625" bestFit="1" customWidth="1"/>
    <col min="11262" max="11262" width="11.42578125" customWidth="1"/>
    <col min="11500" max="11500" width="4.5703125" customWidth="1"/>
    <col min="11501" max="11501" width="16.85546875" customWidth="1"/>
    <col min="11502" max="11502" width="31.42578125" bestFit="1" customWidth="1"/>
    <col min="11503" max="11503" width="13" customWidth="1"/>
    <col min="11504" max="11504" width="13.5703125" customWidth="1"/>
    <col min="11505" max="11505" width="13.28515625" customWidth="1"/>
    <col min="11506" max="11506" width="11.28515625" bestFit="1" customWidth="1"/>
    <col min="11507" max="11507" width="19.5703125" bestFit="1" customWidth="1"/>
    <col min="11508" max="11508" width="13.28515625" customWidth="1"/>
    <col min="11509" max="11509" width="14.140625" customWidth="1"/>
    <col min="11510" max="11510" width="14.28515625" customWidth="1"/>
    <col min="11511" max="11513" width="10.7109375" customWidth="1"/>
    <col min="11514" max="11514" width="15" bestFit="1" customWidth="1"/>
    <col min="11515" max="11515" width="14.85546875" customWidth="1"/>
    <col min="11516" max="11516" width="13.5703125" bestFit="1" customWidth="1"/>
    <col min="11517" max="11517" width="12.28515625" bestFit="1" customWidth="1"/>
    <col min="11518" max="11518" width="11.42578125" customWidth="1"/>
    <col min="11756" max="11756" width="4.5703125" customWidth="1"/>
    <col min="11757" max="11757" width="16.85546875" customWidth="1"/>
    <col min="11758" max="11758" width="31.42578125" bestFit="1" customWidth="1"/>
    <col min="11759" max="11759" width="13" customWidth="1"/>
    <col min="11760" max="11760" width="13.5703125" customWidth="1"/>
    <col min="11761" max="11761" width="13.28515625" customWidth="1"/>
    <col min="11762" max="11762" width="11.28515625" bestFit="1" customWidth="1"/>
    <col min="11763" max="11763" width="19.5703125" bestFit="1" customWidth="1"/>
    <col min="11764" max="11764" width="13.28515625" customWidth="1"/>
    <col min="11765" max="11765" width="14.140625" customWidth="1"/>
    <col min="11766" max="11766" width="14.28515625" customWidth="1"/>
    <col min="11767" max="11769" width="10.7109375" customWidth="1"/>
    <col min="11770" max="11770" width="15" bestFit="1" customWidth="1"/>
    <col min="11771" max="11771" width="14.85546875" customWidth="1"/>
    <col min="11772" max="11772" width="13.5703125" bestFit="1" customWidth="1"/>
    <col min="11773" max="11773" width="12.28515625" bestFit="1" customWidth="1"/>
    <col min="11774" max="11774" width="11.42578125" customWidth="1"/>
    <col min="12012" max="12012" width="4.5703125" customWidth="1"/>
    <col min="12013" max="12013" width="16.85546875" customWidth="1"/>
    <col min="12014" max="12014" width="31.42578125" bestFit="1" customWidth="1"/>
    <col min="12015" max="12015" width="13" customWidth="1"/>
    <col min="12016" max="12016" width="13.5703125" customWidth="1"/>
    <col min="12017" max="12017" width="13.28515625" customWidth="1"/>
    <col min="12018" max="12018" width="11.28515625" bestFit="1" customWidth="1"/>
    <col min="12019" max="12019" width="19.5703125" bestFit="1" customWidth="1"/>
    <col min="12020" max="12020" width="13.28515625" customWidth="1"/>
    <col min="12021" max="12021" width="14.140625" customWidth="1"/>
    <col min="12022" max="12022" width="14.28515625" customWidth="1"/>
    <col min="12023" max="12025" width="10.7109375" customWidth="1"/>
    <col min="12026" max="12026" width="15" bestFit="1" customWidth="1"/>
    <col min="12027" max="12027" width="14.85546875" customWidth="1"/>
    <col min="12028" max="12028" width="13.5703125" bestFit="1" customWidth="1"/>
    <col min="12029" max="12029" width="12.28515625" bestFit="1" customWidth="1"/>
    <col min="12030" max="12030" width="11.42578125" customWidth="1"/>
    <col min="12268" max="12268" width="4.5703125" customWidth="1"/>
    <col min="12269" max="12269" width="16.85546875" customWidth="1"/>
    <col min="12270" max="12270" width="31.42578125" bestFit="1" customWidth="1"/>
    <col min="12271" max="12271" width="13" customWidth="1"/>
    <col min="12272" max="12272" width="13.5703125" customWidth="1"/>
    <col min="12273" max="12273" width="13.28515625" customWidth="1"/>
    <col min="12274" max="12274" width="11.28515625" bestFit="1" customWidth="1"/>
    <col min="12275" max="12275" width="19.5703125" bestFit="1" customWidth="1"/>
    <col min="12276" max="12276" width="13.28515625" customWidth="1"/>
    <col min="12277" max="12277" width="14.140625" customWidth="1"/>
    <col min="12278" max="12278" width="14.28515625" customWidth="1"/>
    <col min="12279" max="12281" width="10.7109375" customWidth="1"/>
    <col min="12282" max="12282" width="15" bestFit="1" customWidth="1"/>
    <col min="12283" max="12283" width="14.85546875" customWidth="1"/>
    <col min="12284" max="12284" width="13.5703125" bestFit="1" customWidth="1"/>
    <col min="12285" max="12285" width="12.28515625" bestFit="1" customWidth="1"/>
    <col min="12286" max="12286" width="11.42578125" customWidth="1"/>
    <col min="12524" max="12524" width="4.5703125" customWidth="1"/>
    <col min="12525" max="12525" width="16.85546875" customWidth="1"/>
    <col min="12526" max="12526" width="31.42578125" bestFit="1" customWidth="1"/>
    <col min="12527" max="12527" width="13" customWidth="1"/>
    <col min="12528" max="12528" width="13.5703125" customWidth="1"/>
    <col min="12529" max="12529" width="13.28515625" customWidth="1"/>
    <col min="12530" max="12530" width="11.28515625" bestFit="1" customWidth="1"/>
    <col min="12531" max="12531" width="19.5703125" bestFit="1" customWidth="1"/>
    <col min="12532" max="12532" width="13.28515625" customWidth="1"/>
    <col min="12533" max="12533" width="14.140625" customWidth="1"/>
    <col min="12534" max="12534" width="14.28515625" customWidth="1"/>
    <col min="12535" max="12537" width="10.7109375" customWidth="1"/>
    <col min="12538" max="12538" width="15" bestFit="1" customWidth="1"/>
    <col min="12539" max="12539" width="14.85546875" customWidth="1"/>
    <col min="12540" max="12540" width="13.5703125" bestFit="1" customWidth="1"/>
    <col min="12541" max="12541" width="12.28515625" bestFit="1" customWidth="1"/>
    <col min="12542" max="12542" width="11.42578125" customWidth="1"/>
    <col min="12780" max="12780" width="4.5703125" customWidth="1"/>
    <col min="12781" max="12781" width="16.85546875" customWidth="1"/>
    <col min="12782" max="12782" width="31.42578125" bestFit="1" customWidth="1"/>
    <col min="12783" max="12783" width="13" customWidth="1"/>
    <col min="12784" max="12784" width="13.5703125" customWidth="1"/>
    <col min="12785" max="12785" width="13.28515625" customWidth="1"/>
    <col min="12786" max="12786" width="11.28515625" bestFit="1" customWidth="1"/>
    <col min="12787" max="12787" width="19.5703125" bestFit="1" customWidth="1"/>
    <col min="12788" max="12788" width="13.28515625" customWidth="1"/>
    <col min="12789" max="12789" width="14.140625" customWidth="1"/>
    <col min="12790" max="12790" width="14.28515625" customWidth="1"/>
    <col min="12791" max="12793" width="10.7109375" customWidth="1"/>
    <col min="12794" max="12794" width="15" bestFit="1" customWidth="1"/>
    <col min="12795" max="12795" width="14.85546875" customWidth="1"/>
    <col min="12796" max="12796" width="13.5703125" bestFit="1" customWidth="1"/>
    <col min="12797" max="12797" width="12.28515625" bestFit="1" customWidth="1"/>
    <col min="12798" max="12798" width="11.42578125" customWidth="1"/>
    <col min="13036" max="13036" width="4.5703125" customWidth="1"/>
    <col min="13037" max="13037" width="16.85546875" customWidth="1"/>
    <col min="13038" max="13038" width="31.42578125" bestFit="1" customWidth="1"/>
    <col min="13039" max="13039" width="13" customWidth="1"/>
    <col min="13040" max="13040" width="13.5703125" customWidth="1"/>
    <col min="13041" max="13041" width="13.28515625" customWidth="1"/>
    <col min="13042" max="13042" width="11.28515625" bestFit="1" customWidth="1"/>
    <col min="13043" max="13043" width="19.5703125" bestFit="1" customWidth="1"/>
    <col min="13044" max="13044" width="13.28515625" customWidth="1"/>
    <col min="13045" max="13045" width="14.140625" customWidth="1"/>
    <col min="13046" max="13046" width="14.28515625" customWidth="1"/>
    <col min="13047" max="13049" width="10.7109375" customWidth="1"/>
    <col min="13050" max="13050" width="15" bestFit="1" customWidth="1"/>
    <col min="13051" max="13051" width="14.85546875" customWidth="1"/>
    <col min="13052" max="13052" width="13.5703125" bestFit="1" customWidth="1"/>
    <col min="13053" max="13053" width="12.28515625" bestFit="1" customWidth="1"/>
    <col min="13054" max="13054" width="11.42578125" customWidth="1"/>
    <col min="13292" max="13292" width="4.5703125" customWidth="1"/>
    <col min="13293" max="13293" width="16.85546875" customWidth="1"/>
    <col min="13294" max="13294" width="31.42578125" bestFit="1" customWidth="1"/>
    <col min="13295" max="13295" width="13" customWidth="1"/>
    <col min="13296" max="13296" width="13.5703125" customWidth="1"/>
    <col min="13297" max="13297" width="13.28515625" customWidth="1"/>
    <col min="13298" max="13298" width="11.28515625" bestFit="1" customWidth="1"/>
    <col min="13299" max="13299" width="19.5703125" bestFit="1" customWidth="1"/>
    <col min="13300" max="13300" width="13.28515625" customWidth="1"/>
    <col min="13301" max="13301" width="14.140625" customWidth="1"/>
    <col min="13302" max="13302" width="14.28515625" customWidth="1"/>
    <col min="13303" max="13305" width="10.7109375" customWidth="1"/>
    <col min="13306" max="13306" width="15" bestFit="1" customWidth="1"/>
    <col min="13307" max="13307" width="14.85546875" customWidth="1"/>
    <col min="13308" max="13308" width="13.5703125" bestFit="1" customWidth="1"/>
    <col min="13309" max="13309" width="12.28515625" bestFit="1" customWidth="1"/>
    <col min="13310" max="13310" width="11.42578125" customWidth="1"/>
    <col min="13548" max="13548" width="4.5703125" customWidth="1"/>
    <col min="13549" max="13549" width="16.85546875" customWidth="1"/>
    <col min="13550" max="13550" width="31.42578125" bestFit="1" customWidth="1"/>
    <col min="13551" max="13551" width="13" customWidth="1"/>
    <col min="13552" max="13552" width="13.5703125" customWidth="1"/>
    <col min="13553" max="13553" width="13.28515625" customWidth="1"/>
    <col min="13554" max="13554" width="11.28515625" bestFit="1" customWidth="1"/>
    <col min="13555" max="13555" width="19.5703125" bestFit="1" customWidth="1"/>
    <col min="13556" max="13556" width="13.28515625" customWidth="1"/>
    <col min="13557" max="13557" width="14.140625" customWidth="1"/>
    <col min="13558" max="13558" width="14.28515625" customWidth="1"/>
    <col min="13559" max="13561" width="10.7109375" customWidth="1"/>
    <col min="13562" max="13562" width="15" bestFit="1" customWidth="1"/>
    <col min="13563" max="13563" width="14.85546875" customWidth="1"/>
    <col min="13564" max="13564" width="13.5703125" bestFit="1" customWidth="1"/>
    <col min="13565" max="13565" width="12.28515625" bestFit="1" customWidth="1"/>
    <col min="13566" max="13566" width="11.42578125" customWidth="1"/>
    <col min="13804" max="13804" width="4.5703125" customWidth="1"/>
    <col min="13805" max="13805" width="16.85546875" customWidth="1"/>
    <col min="13806" max="13806" width="31.42578125" bestFit="1" customWidth="1"/>
    <col min="13807" max="13807" width="13" customWidth="1"/>
    <col min="13808" max="13808" width="13.5703125" customWidth="1"/>
    <col min="13809" max="13809" width="13.28515625" customWidth="1"/>
    <col min="13810" max="13810" width="11.28515625" bestFit="1" customWidth="1"/>
    <col min="13811" max="13811" width="19.5703125" bestFit="1" customWidth="1"/>
    <col min="13812" max="13812" width="13.28515625" customWidth="1"/>
    <col min="13813" max="13813" width="14.140625" customWidth="1"/>
    <col min="13814" max="13814" width="14.28515625" customWidth="1"/>
    <col min="13815" max="13817" width="10.7109375" customWidth="1"/>
    <col min="13818" max="13818" width="15" bestFit="1" customWidth="1"/>
    <col min="13819" max="13819" width="14.85546875" customWidth="1"/>
    <col min="13820" max="13820" width="13.5703125" bestFit="1" customWidth="1"/>
    <col min="13821" max="13821" width="12.28515625" bestFit="1" customWidth="1"/>
    <col min="13822" max="13822" width="11.42578125" customWidth="1"/>
    <col min="14060" max="14060" width="4.5703125" customWidth="1"/>
    <col min="14061" max="14061" width="16.85546875" customWidth="1"/>
    <col min="14062" max="14062" width="31.42578125" bestFit="1" customWidth="1"/>
    <col min="14063" max="14063" width="13" customWidth="1"/>
    <col min="14064" max="14064" width="13.5703125" customWidth="1"/>
    <col min="14065" max="14065" width="13.28515625" customWidth="1"/>
    <col min="14066" max="14066" width="11.28515625" bestFit="1" customWidth="1"/>
    <col min="14067" max="14067" width="19.5703125" bestFit="1" customWidth="1"/>
    <col min="14068" max="14068" width="13.28515625" customWidth="1"/>
    <col min="14069" max="14069" width="14.140625" customWidth="1"/>
    <col min="14070" max="14070" width="14.28515625" customWidth="1"/>
    <col min="14071" max="14073" width="10.7109375" customWidth="1"/>
    <col min="14074" max="14074" width="15" bestFit="1" customWidth="1"/>
    <col min="14075" max="14075" width="14.85546875" customWidth="1"/>
    <col min="14076" max="14076" width="13.5703125" bestFit="1" customWidth="1"/>
    <col min="14077" max="14077" width="12.28515625" bestFit="1" customWidth="1"/>
    <col min="14078" max="14078" width="11.42578125" customWidth="1"/>
    <col min="14316" max="14316" width="4.5703125" customWidth="1"/>
    <col min="14317" max="14317" width="16.85546875" customWidth="1"/>
    <col min="14318" max="14318" width="31.42578125" bestFit="1" customWidth="1"/>
    <col min="14319" max="14319" width="13" customWidth="1"/>
    <col min="14320" max="14320" width="13.5703125" customWidth="1"/>
    <col min="14321" max="14321" width="13.28515625" customWidth="1"/>
    <col min="14322" max="14322" width="11.28515625" bestFit="1" customWidth="1"/>
    <col min="14323" max="14323" width="19.5703125" bestFit="1" customWidth="1"/>
    <col min="14324" max="14324" width="13.28515625" customWidth="1"/>
    <col min="14325" max="14325" width="14.140625" customWidth="1"/>
    <col min="14326" max="14326" width="14.28515625" customWidth="1"/>
    <col min="14327" max="14329" width="10.7109375" customWidth="1"/>
    <col min="14330" max="14330" width="15" bestFit="1" customWidth="1"/>
    <col min="14331" max="14331" width="14.85546875" customWidth="1"/>
    <col min="14332" max="14332" width="13.5703125" bestFit="1" customWidth="1"/>
    <col min="14333" max="14333" width="12.28515625" bestFit="1" customWidth="1"/>
    <col min="14334" max="14334" width="11.42578125" customWidth="1"/>
    <col min="14572" max="14572" width="4.5703125" customWidth="1"/>
    <col min="14573" max="14573" width="16.85546875" customWidth="1"/>
    <col min="14574" max="14574" width="31.42578125" bestFit="1" customWidth="1"/>
    <col min="14575" max="14575" width="13" customWidth="1"/>
    <col min="14576" max="14576" width="13.5703125" customWidth="1"/>
    <col min="14577" max="14577" width="13.28515625" customWidth="1"/>
    <col min="14578" max="14578" width="11.28515625" bestFit="1" customWidth="1"/>
    <col min="14579" max="14579" width="19.5703125" bestFit="1" customWidth="1"/>
    <col min="14580" max="14580" width="13.28515625" customWidth="1"/>
    <col min="14581" max="14581" width="14.140625" customWidth="1"/>
    <col min="14582" max="14582" width="14.28515625" customWidth="1"/>
    <col min="14583" max="14585" width="10.7109375" customWidth="1"/>
    <col min="14586" max="14586" width="15" bestFit="1" customWidth="1"/>
    <col min="14587" max="14587" width="14.85546875" customWidth="1"/>
    <col min="14588" max="14588" width="13.5703125" bestFit="1" customWidth="1"/>
    <col min="14589" max="14589" width="12.28515625" bestFit="1" customWidth="1"/>
    <col min="14590" max="14590" width="11.42578125" customWidth="1"/>
    <col min="14828" max="14828" width="4.5703125" customWidth="1"/>
    <col min="14829" max="14829" width="16.85546875" customWidth="1"/>
    <col min="14830" max="14830" width="31.42578125" bestFit="1" customWidth="1"/>
    <col min="14831" max="14831" width="13" customWidth="1"/>
    <col min="14832" max="14832" width="13.5703125" customWidth="1"/>
    <col min="14833" max="14833" width="13.28515625" customWidth="1"/>
    <col min="14834" max="14834" width="11.28515625" bestFit="1" customWidth="1"/>
    <col min="14835" max="14835" width="19.5703125" bestFit="1" customWidth="1"/>
    <col min="14836" max="14836" width="13.28515625" customWidth="1"/>
    <col min="14837" max="14837" width="14.140625" customWidth="1"/>
    <col min="14838" max="14838" width="14.28515625" customWidth="1"/>
    <col min="14839" max="14841" width="10.7109375" customWidth="1"/>
    <col min="14842" max="14842" width="15" bestFit="1" customWidth="1"/>
    <col min="14843" max="14843" width="14.85546875" customWidth="1"/>
    <col min="14844" max="14844" width="13.5703125" bestFit="1" customWidth="1"/>
    <col min="14845" max="14845" width="12.28515625" bestFit="1" customWidth="1"/>
    <col min="14846" max="14846" width="11.42578125" customWidth="1"/>
    <col min="15084" max="15084" width="4.5703125" customWidth="1"/>
    <col min="15085" max="15085" width="16.85546875" customWidth="1"/>
    <col min="15086" max="15086" width="31.42578125" bestFit="1" customWidth="1"/>
    <col min="15087" max="15087" width="13" customWidth="1"/>
    <col min="15088" max="15088" width="13.5703125" customWidth="1"/>
    <col min="15089" max="15089" width="13.28515625" customWidth="1"/>
    <col min="15090" max="15090" width="11.28515625" bestFit="1" customWidth="1"/>
    <col min="15091" max="15091" width="19.5703125" bestFit="1" customWidth="1"/>
    <col min="15092" max="15092" width="13.28515625" customWidth="1"/>
    <col min="15093" max="15093" width="14.140625" customWidth="1"/>
    <col min="15094" max="15094" width="14.28515625" customWidth="1"/>
    <col min="15095" max="15097" width="10.7109375" customWidth="1"/>
    <col min="15098" max="15098" width="15" bestFit="1" customWidth="1"/>
    <col min="15099" max="15099" width="14.85546875" customWidth="1"/>
    <col min="15100" max="15100" width="13.5703125" bestFit="1" customWidth="1"/>
    <col min="15101" max="15101" width="12.28515625" bestFit="1" customWidth="1"/>
    <col min="15102" max="15102" width="11.42578125" customWidth="1"/>
    <col min="15340" max="15340" width="4.5703125" customWidth="1"/>
    <col min="15341" max="15341" width="16.85546875" customWidth="1"/>
    <col min="15342" max="15342" width="31.42578125" bestFit="1" customWidth="1"/>
    <col min="15343" max="15343" width="13" customWidth="1"/>
    <col min="15344" max="15344" width="13.5703125" customWidth="1"/>
    <col min="15345" max="15345" width="13.28515625" customWidth="1"/>
    <col min="15346" max="15346" width="11.28515625" bestFit="1" customWidth="1"/>
    <col min="15347" max="15347" width="19.5703125" bestFit="1" customWidth="1"/>
    <col min="15348" max="15348" width="13.28515625" customWidth="1"/>
    <col min="15349" max="15349" width="14.140625" customWidth="1"/>
    <col min="15350" max="15350" width="14.28515625" customWidth="1"/>
    <col min="15351" max="15353" width="10.7109375" customWidth="1"/>
    <col min="15354" max="15354" width="15" bestFit="1" customWidth="1"/>
    <col min="15355" max="15355" width="14.85546875" customWidth="1"/>
    <col min="15356" max="15356" width="13.5703125" bestFit="1" customWidth="1"/>
    <col min="15357" max="15357" width="12.28515625" bestFit="1" customWidth="1"/>
    <col min="15358" max="15358" width="11.42578125" customWidth="1"/>
    <col min="15596" max="15596" width="4.5703125" customWidth="1"/>
    <col min="15597" max="15597" width="16.85546875" customWidth="1"/>
    <col min="15598" max="15598" width="31.42578125" bestFit="1" customWidth="1"/>
    <col min="15599" max="15599" width="13" customWidth="1"/>
    <col min="15600" max="15600" width="13.5703125" customWidth="1"/>
    <col min="15601" max="15601" width="13.28515625" customWidth="1"/>
    <col min="15602" max="15602" width="11.28515625" bestFit="1" customWidth="1"/>
    <col min="15603" max="15603" width="19.5703125" bestFit="1" customWidth="1"/>
    <col min="15604" max="15604" width="13.28515625" customWidth="1"/>
    <col min="15605" max="15605" width="14.140625" customWidth="1"/>
    <col min="15606" max="15606" width="14.28515625" customWidth="1"/>
    <col min="15607" max="15609" width="10.7109375" customWidth="1"/>
    <col min="15610" max="15610" width="15" bestFit="1" customWidth="1"/>
    <col min="15611" max="15611" width="14.85546875" customWidth="1"/>
    <col min="15612" max="15612" width="13.5703125" bestFit="1" customWidth="1"/>
    <col min="15613" max="15613" width="12.28515625" bestFit="1" customWidth="1"/>
    <col min="15614" max="15614" width="11.42578125" customWidth="1"/>
    <col min="15852" max="15852" width="4.5703125" customWidth="1"/>
    <col min="15853" max="15853" width="16.85546875" customWidth="1"/>
    <col min="15854" max="15854" width="31.42578125" bestFit="1" customWidth="1"/>
    <col min="15855" max="15855" width="13" customWidth="1"/>
    <col min="15856" max="15856" width="13.5703125" customWidth="1"/>
    <col min="15857" max="15857" width="13.28515625" customWidth="1"/>
    <col min="15858" max="15858" width="11.28515625" bestFit="1" customWidth="1"/>
    <col min="15859" max="15859" width="19.5703125" bestFit="1" customWidth="1"/>
    <col min="15860" max="15860" width="13.28515625" customWidth="1"/>
    <col min="15861" max="15861" width="14.140625" customWidth="1"/>
    <col min="15862" max="15862" width="14.28515625" customWidth="1"/>
    <col min="15863" max="15865" width="10.7109375" customWidth="1"/>
    <col min="15866" max="15866" width="15" bestFit="1" customWidth="1"/>
    <col min="15867" max="15867" width="14.85546875" customWidth="1"/>
    <col min="15868" max="15868" width="13.5703125" bestFit="1" customWidth="1"/>
    <col min="15869" max="15869" width="12.28515625" bestFit="1" customWidth="1"/>
    <col min="15870" max="15870" width="11.42578125" customWidth="1"/>
    <col min="16108" max="16108" width="4.5703125" customWidth="1"/>
    <col min="16109" max="16109" width="16.85546875" customWidth="1"/>
    <col min="16110" max="16110" width="31.42578125" bestFit="1" customWidth="1"/>
    <col min="16111" max="16111" width="13" customWidth="1"/>
    <col min="16112" max="16112" width="13.5703125" customWidth="1"/>
    <col min="16113" max="16113" width="13.28515625" customWidth="1"/>
    <col min="16114" max="16114" width="11.28515625" bestFit="1" customWidth="1"/>
    <col min="16115" max="16115" width="19.5703125" bestFit="1" customWidth="1"/>
    <col min="16116" max="16116" width="13.28515625" customWidth="1"/>
    <col min="16117" max="16117" width="14.140625" customWidth="1"/>
    <col min="16118" max="16118" width="14.28515625" customWidth="1"/>
    <col min="16119" max="16121" width="10.7109375" customWidth="1"/>
    <col min="16122" max="16122" width="15" bestFit="1" customWidth="1"/>
    <col min="16123" max="16123" width="14.85546875" customWidth="1"/>
    <col min="16124" max="16124" width="13.5703125" bestFit="1" customWidth="1"/>
    <col min="16125" max="16125" width="12.28515625" bestFit="1" customWidth="1"/>
    <col min="16126" max="16126" width="11.42578125" customWidth="1"/>
  </cols>
  <sheetData>
    <row r="1" spans="1:10" ht="45" x14ac:dyDescent="0.25">
      <c r="A1" s="280"/>
      <c r="B1" s="281" t="s">
        <v>187</v>
      </c>
      <c r="C1" s="282" t="s">
        <v>188</v>
      </c>
      <c r="D1" s="283" t="s">
        <v>189</v>
      </c>
      <c r="E1" s="284" t="s">
        <v>190</v>
      </c>
      <c r="F1" s="285" t="s">
        <v>191</v>
      </c>
    </row>
    <row r="2" spans="1:10" x14ac:dyDescent="0.25">
      <c r="A2" s="286"/>
      <c r="B2" s="287"/>
      <c r="C2" s="288"/>
      <c r="D2" s="289"/>
      <c r="E2" s="317">
        <f>+J13</f>
        <v>2.5775853180740283E-3</v>
      </c>
      <c r="F2" s="290"/>
      <c r="I2" s="384" t="s">
        <v>243</v>
      </c>
      <c r="J2" s="384"/>
    </row>
    <row r="3" spans="1:10" ht="15" customHeight="1" x14ac:dyDescent="0.25">
      <c r="A3" s="378" t="s">
        <v>21</v>
      </c>
      <c r="B3" s="291" t="s">
        <v>192</v>
      </c>
      <c r="C3" s="292" t="s">
        <v>193</v>
      </c>
      <c r="D3" s="293">
        <v>7.13</v>
      </c>
      <c r="E3" s="294">
        <f t="shared" ref="E3:E65" si="0">ROUND(+$E$2*D3,2)</f>
        <v>0.02</v>
      </c>
      <c r="F3" s="295">
        <f t="shared" ref="F3:F65" si="1">+E3+D3</f>
        <v>7.1499999999999995</v>
      </c>
      <c r="I3" t="s">
        <v>244</v>
      </c>
      <c r="J3" s="320">
        <v>1.7500000000000002E-2</v>
      </c>
    </row>
    <row r="4" spans="1:10" x14ac:dyDescent="0.25">
      <c r="A4" s="379"/>
      <c r="B4" s="296" t="s">
        <v>192</v>
      </c>
      <c r="C4" s="297" t="s">
        <v>194</v>
      </c>
      <c r="D4" s="298">
        <v>8.34</v>
      </c>
      <c r="E4" s="299">
        <f t="shared" si="0"/>
        <v>0.02</v>
      </c>
      <c r="F4" s="300">
        <f t="shared" si="1"/>
        <v>8.36</v>
      </c>
      <c r="I4" t="s">
        <v>245</v>
      </c>
      <c r="J4" s="321">
        <v>5.1000000000000004E-3</v>
      </c>
    </row>
    <row r="5" spans="1:10" x14ac:dyDescent="0.25">
      <c r="A5" s="379"/>
      <c r="B5" s="296" t="s">
        <v>192</v>
      </c>
      <c r="C5" s="297" t="s">
        <v>195</v>
      </c>
      <c r="D5" s="298">
        <v>10.95</v>
      </c>
      <c r="E5" s="299">
        <f t="shared" si="0"/>
        <v>0.03</v>
      </c>
      <c r="F5" s="300">
        <f t="shared" si="1"/>
        <v>10.979999999999999</v>
      </c>
      <c r="I5" t="s">
        <v>249</v>
      </c>
      <c r="J5" s="322">
        <v>7.4999999999999997E-3</v>
      </c>
    </row>
    <row r="6" spans="1:10" x14ac:dyDescent="0.25">
      <c r="A6" s="379"/>
      <c r="B6" s="296" t="s">
        <v>192</v>
      </c>
      <c r="C6" s="297" t="s">
        <v>196</v>
      </c>
      <c r="D6" s="298">
        <v>11.95</v>
      </c>
      <c r="E6" s="299">
        <f t="shared" si="0"/>
        <v>0.03</v>
      </c>
      <c r="F6" s="300">
        <f t="shared" si="1"/>
        <v>11.979999999999999</v>
      </c>
      <c r="J6" s="323">
        <f>SUM(J3:J5)</f>
        <v>3.0100000000000002E-2</v>
      </c>
    </row>
    <row r="7" spans="1:10" x14ac:dyDescent="0.25">
      <c r="A7" s="379"/>
      <c r="B7" s="296" t="s">
        <v>192</v>
      </c>
      <c r="C7" s="297" t="s">
        <v>197</v>
      </c>
      <c r="D7" s="298">
        <v>14.35</v>
      </c>
      <c r="E7" s="299">
        <f t="shared" si="0"/>
        <v>0.04</v>
      </c>
      <c r="F7" s="300">
        <f t="shared" si="1"/>
        <v>14.389999999999999</v>
      </c>
      <c r="J7" s="319"/>
    </row>
    <row r="8" spans="1:10" x14ac:dyDescent="0.25">
      <c r="A8" s="379"/>
      <c r="B8" s="296" t="s">
        <v>192</v>
      </c>
      <c r="C8" s="297" t="s">
        <v>198</v>
      </c>
      <c r="D8" s="298">
        <v>22.42</v>
      </c>
      <c r="E8" s="299">
        <f t="shared" si="0"/>
        <v>0.06</v>
      </c>
      <c r="F8" s="300">
        <f t="shared" si="1"/>
        <v>22.48</v>
      </c>
      <c r="I8" t="s">
        <v>246</v>
      </c>
      <c r="J8" s="324">
        <f>1-J6</f>
        <v>0.96989999999999998</v>
      </c>
    </row>
    <row r="9" spans="1:10" x14ac:dyDescent="0.25">
      <c r="A9" s="379"/>
      <c r="B9" s="296" t="s">
        <v>192</v>
      </c>
      <c r="C9" s="297" t="s">
        <v>199</v>
      </c>
      <c r="D9" s="298">
        <v>30.49</v>
      </c>
      <c r="E9" s="299">
        <f t="shared" si="0"/>
        <v>0.08</v>
      </c>
      <c r="F9" s="300">
        <f t="shared" si="1"/>
        <v>30.569999999999997</v>
      </c>
    </row>
    <row r="10" spans="1:10" x14ac:dyDescent="0.25">
      <c r="A10" s="379"/>
      <c r="B10" s="296" t="s">
        <v>192</v>
      </c>
      <c r="C10" s="297" t="s">
        <v>200</v>
      </c>
      <c r="D10" s="298">
        <v>38.56</v>
      </c>
      <c r="E10" s="299">
        <f t="shared" si="0"/>
        <v>0.1</v>
      </c>
      <c r="F10" s="300">
        <f t="shared" si="1"/>
        <v>38.660000000000004</v>
      </c>
      <c r="I10" t="s">
        <v>247</v>
      </c>
      <c r="J10" s="315">
        <v>2.5000000000000001E-3</v>
      </c>
    </row>
    <row r="11" spans="1:10" x14ac:dyDescent="0.25">
      <c r="A11" s="379"/>
      <c r="B11" s="296" t="s">
        <v>192</v>
      </c>
      <c r="C11" s="297" t="s">
        <v>201</v>
      </c>
      <c r="D11" s="298">
        <v>46.64</v>
      </c>
      <c r="E11" s="299">
        <f t="shared" si="0"/>
        <v>0.12</v>
      </c>
      <c r="F11" s="300">
        <f t="shared" si="1"/>
        <v>46.76</v>
      </c>
    </row>
    <row r="12" spans="1:10" x14ac:dyDescent="0.25">
      <c r="A12" s="379"/>
      <c r="B12" s="296" t="s">
        <v>192</v>
      </c>
      <c r="C12" s="297" t="s">
        <v>286</v>
      </c>
      <c r="D12" s="298">
        <v>54.66</v>
      </c>
      <c r="E12" s="299">
        <f t="shared" ref="E12" si="2">ROUND(+$E$2*D12,2)</f>
        <v>0.14000000000000001</v>
      </c>
      <c r="F12" s="300">
        <f t="shared" ref="F12" si="3">+E12+D12</f>
        <v>54.8</v>
      </c>
    </row>
    <row r="13" spans="1:10" x14ac:dyDescent="0.25">
      <c r="A13" s="379"/>
      <c r="B13" s="296" t="s">
        <v>192</v>
      </c>
      <c r="C13" s="297" t="s">
        <v>202</v>
      </c>
      <c r="D13" s="298">
        <v>15.48</v>
      </c>
      <c r="E13" s="299">
        <f t="shared" si="0"/>
        <v>0.04</v>
      </c>
      <c r="F13" s="300">
        <f t="shared" si="1"/>
        <v>15.52</v>
      </c>
      <c r="I13" s="316" t="s">
        <v>248</v>
      </c>
      <c r="J13" s="318">
        <f>+J10/J8</f>
        <v>2.5775853180740283E-3</v>
      </c>
    </row>
    <row r="14" spans="1:10" x14ac:dyDescent="0.25">
      <c r="A14" s="379"/>
      <c r="B14" s="296" t="s">
        <v>192</v>
      </c>
      <c r="C14" s="297" t="s">
        <v>203</v>
      </c>
      <c r="D14" s="298">
        <v>23.26</v>
      </c>
      <c r="E14" s="299">
        <f t="shared" si="0"/>
        <v>0.06</v>
      </c>
      <c r="F14" s="300">
        <f t="shared" si="1"/>
        <v>23.32</v>
      </c>
    </row>
    <row r="15" spans="1:10" x14ac:dyDescent="0.25">
      <c r="A15" s="379"/>
      <c r="B15" s="296" t="s">
        <v>192</v>
      </c>
      <c r="C15" s="297" t="s">
        <v>204</v>
      </c>
      <c r="D15" s="298">
        <v>31.16</v>
      </c>
      <c r="E15" s="299">
        <f t="shared" si="0"/>
        <v>0.08</v>
      </c>
      <c r="F15" s="300">
        <f t="shared" si="1"/>
        <v>31.24</v>
      </c>
    </row>
    <row r="16" spans="1:10" x14ac:dyDescent="0.25">
      <c r="A16" s="379"/>
      <c r="B16" s="296" t="s">
        <v>192</v>
      </c>
      <c r="C16" s="297" t="s">
        <v>205</v>
      </c>
      <c r="D16" s="298">
        <v>3.91</v>
      </c>
      <c r="E16" s="299">
        <f t="shared" si="0"/>
        <v>0.01</v>
      </c>
      <c r="F16" s="300">
        <f t="shared" si="1"/>
        <v>3.92</v>
      </c>
    </row>
    <row r="17" spans="1:10" x14ac:dyDescent="0.25">
      <c r="A17" s="379"/>
      <c r="B17" s="296">
        <v>22</v>
      </c>
      <c r="C17" s="301" t="s">
        <v>206</v>
      </c>
      <c r="D17" s="298">
        <v>9.35</v>
      </c>
      <c r="E17" s="299">
        <f t="shared" si="0"/>
        <v>0.02</v>
      </c>
      <c r="F17" s="300">
        <f t="shared" si="1"/>
        <v>9.3699999999999992</v>
      </c>
    </row>
    <row r="18" spans="1:10" x14ac:dyDescent="0.25">
      <c r="A18" s="380"/>
      <c r="B18" s="302">
        <v>22</v>
      </c>
      <c r="C18" s="303" t="s">
        <v>207</v>
      </c>
      <c r="D18" s="304">
        <v>13.58</v>
      </c>
      <c r="E18" s="305">
        <f t="shared" si="0"/>
        <v>0.04</v>
      </c>
      <c r="F18" s="306">
        <f t="shared" si="1"/>
        <v>13.62</v>
      </c>
      <c r="H18" s="63" t="s">
        <v>289</v>
      </c>
      <c r="J18" s="76">
        <v>3</v>
      </c>
    </row>
    <row r="19" spans="1:10" ht="15" customHeight="1" x14ac:dyDescent="0.25">
      <c r="A19" s="381" t="s">
        <v>208</v>
      </c>
      <c r="B19" s="291">
        <v>35</v>
      </c>
      <c r="C19" s="307" t="s">
        <v>209</v>
      </c>
      <c r="D19" s="293">
        <v>3.73</v>
      </c>
      <c r="E19" s="294">
        <f t="shared" si="0"/>
        <v>0.01</v>
      </c>
      <c r="F19" s="295">
        <f t="shared" si="1"/>
        <v>3.7399999999999998</v>
      </c>
      <c r="H19" s="63"/>
      <c r="J19" s="76"/>
    </row>
    <row r="20" spans="1:10" ht="15" customHeight="1" x14ac:dyDescent="0.25">
      <c r="A20" s="382"/>
      <c r="B20" s="362">
        <v>35</v>
      </c>
      <c r="C20" s="308" t="s">
        <v>299</v>
      </c>
      <c r="D20" s="363">
        <v>22.37</v>
      </c>
      <c r="E20" s="364">
        <f t="shared" si="0"/>
        <v>0.06</v>
      </c>
      <c r="F20" s="300">
        <f t="shared" si="1"/>
        <v>22.43</v>
      </c>
      <c r="H20" s="63"/>
      <c r="J20" s="76"/>
    </row>
    <row r="21" spans="1:10" x14ac:dyDescent="0.25">
      <c r="A21" s="382"/>
      <c r="B21" s="296">
        <v>34</v>
      </c>
      <c r="C21" s="308" t="s">
        <v>210</v>
      </c>
      <c r="D21" s="298">
        <v>3.94</v>
      </c>
      <c r="E21" s="299">
        <f t="shared" si="0"/>
        <v>0.01</v>
      </c>
      <c r="F21" s="300">
        <f t="shared" si="1"/>
        <v>3.9499999999999997</v>
      </c>
      <c r="H21" s="18">
        <f>+F21+J$18</f>
        <v>6.9499999999999993</v>
      </c>
      <c r="I21" s="18"/>
    </row>
    <row r="22" spans="1:10" x14ac:dyDescent="0.25">
      <c r="A22" s="382"/>
      <c r="B22" s="296">
        <v>34</v>
      </c>
      <c r="C22" s="308" t="s">
        <v>211</v>
      </c>
      <c r="D22" s="298">
        <v>6.98</v>
      </c>
      <c r="E22" s="299">
        <f t="shared" si="0"/>
        <v>0.02</v>
      </c>
      <c r="F22" s="300">
        <f t="shared" si="1"/>
        <v>7</v>
      </c>
      <c r="H22" s="18">
        <f t="shared" ref="H22:H30" si="4">+F22+J$18</f>
        <v>10</v>
      </c>
      <c r="I22" s="18"/>
    </row>
    <row r="23" spans="1:10" x14ac:dyDescent="0.25">
      <c r="A23" s="382"/>
      <c r="B23" s="296">
        <v>34</v>
      </c>
      <c r="C23" s="308" t="s">
        <v>212</v>
      </c>
      <c r="D23" s="298">
        <v>10.07</v>
      </c>
      <c r="E23" s="299">
        <f t="shared" si="0"/>
        <v>0.03</v>
      </c>
      <c r="F23" s="300">
        <f t="shared" si="1"/>
        <v>10.1</v>
      </c>
      <c r="H23" s="18">
        <f t="shared" si="4"/>
        <v>13.1</v>
      </c>
      <c r="I23" s="18"/>
    </row>
    <row r="24" spans="1:10" x14ac:dyDescent="0.25">
      <c r="A24" s="382"/>
      <c r="B24" s="296">
        <v>34</v>
      </c>
      <c r="C24" s="301" t="s">
        <v>290</v>
      </c>
      <c r="D24" s="298">
        <v>16.350000000000001</v>
      </c>
      <c r="E24" s="299">
        <f t="shared" si="0"/>
        <v>0.04</v>
      </c>
      <c r="F24" s="300">
        <f t="shared" si="1"/>
        <v>16.39</v>
      </c>
      <c r="H24" s="18">
        <f t="shared" si="4"/>
        <v>19.39</v>
      </c>
      <c r="I24" s="18"/>
    </row>
    <row r="25" spans="1:10" x14ac:dyDescent="0.25">
      <c r="A25" s="382"/>
      <c r="B25" s="296">
        <v>34</v>
      </c>
      <c r="C25" s="308" t="s">
        <v>213</v>
      </c>
      <c r="D25" s="298">
        <v>23.46</v>
      </c>
      <c r="E25" s="299">
        <f t="shared" si="0"/>
        <v>0.06</v>
      </c>
      <c r="F25" s="300">
        <f t="shared" si="1"/>
        <v>23.52</v>
      </c>
      <c r="H25" s="18">
        <f t="shared" si="4"/>
        <v>26.52</v>
      </c>
      <c r="I25" s="18"/>
    </row>
    <row r="26" spans="1:10" x14ac:dyDescent="0.25">
      <c r="A26" s="382"/>
      <c r="B26" s="296">
        <v>34</v>
      </c>
      <c r="C26" s="308" t="s">
        <v>214</v>
      </c>
      <c r="D26" s="298">
        <v>29.34</v>
      </c>
      <c r="E26" s="299">
        <f t="shared" si="0"/>
        <v>0.08</v>
      </c>
      <c r="F26" s="300">
        <f t="shared" si="1"/>
        <v>29.419999999999998</v>
      </c>
      <c r="H26" s="18">
        <f t="shared" si="4"/>
        <v>32.42</v>
      </c>
      <c r="I26" s="18"/>
    </row>
    <row r="27" spans="1:10" x14ac:dyDescent="0.25">
      <c r="A27" s="382"/>
      <c r="B27" s="296">
        <v>34</v>
      </c>
      <c r="C27" s="308" t="s">
        <v>215</v>
      </c>
      <c r="D27" s="298">
        <v>40.619999999999997</v>
      </c>
      <c r="E27" s="299">
        <f t="shared" si="0"/>
        <v>0.1</v>
      </c>
      <c r="F27" s="300">
        <f t="shared" si="1"/>
        <v>40.72</v>
      </c>
      <c r="H27" s="18">
        <f t="shared" si="4"/>
        <v>43.72</v>
      </c>
      <c r="I27" s="18"/>
    </row>
    <row r="28" spans="1:10" x14ac:dyDescent="0.25">
      <c r="A28" s="382"/>
      <c r="B28" s="296">
        <v>34</v>
      </c>
      <c r="C28" s="308" t="s">
        <v>216</v>
      </c>
      <c r="D28" s="298">
        <v>49.6</v>
      </c>
      <c r="E28" s="299">
        <f t="shared" si="0"/>
        <v>0.13</v>
      </c>
      <c r="F28" s="300">
        <f t="shared" si="1"/>
        <v>49.730000000000004</v>
      </c>
      <c r="H28" s="18">
        <f t="shared" si="4"/>
        <v>52.730000000000004</v>
      </c>
      <c r="I28" s="18"/>
    </row>
    <row r="29" spans="1:10" x14ac:dyDescent="0.25">
      <c r="A29" s="382"/>
      <c r="B29" s="296">
        <v>34</v>
      </c>
      <c r="C29" s="308" t="s">
        <v>217</v>
      </c>
      <c r="D29" s="298">
        <v>67.459999999999994</v>
      </c>
      <c r="E29" s="299">
        <f t="shared" si="0"/>
        <v>0.17</v>
      </c>
      <c r="F29" s="300">
        <f t="shared" si="1"/>
        <v>67.63</v>
      </c>
      <c r="H29" s="18">
        <f t="shared" si="4"/>
        <v>70.63</v>
      </c>
      <c r="I29" s="18"/>
    </row>
    <row r="30" spans="1:10" x14ac:dyDescent="0.25">
      <c r="A30" s="382"/>
      <c r="B30" s="296">
        <v>34</v>
      </c>
      <c r="C30" s="308" t="s">
        <v>218</v>
      </c>
      <c r="D30" s="298">
        <v>81.19</v>
      </c>
      <c r="E30" s="299">
        <f t="shared" si="0"/>
        <v>0.21</v>
      </c>
      <c r="F30" s="300">
        <f t="shared" si="1"/>
        <v>81.399999999999991</v>
      </c>
      <c r="H30" s="18">
        <f t="shared" si="4"/>
        <v>84.399999999999991</v>
      </c>
      <c r="I30" s="18"/>
    </row>
    <row r="31" spans="1:10" x14ac:dyDescent="0.25">
      <c r="A31" s="382"/>
      <c r="B31" s="296">
        <v>34</v>
      </c>
      <c r="C31" s="301" t="s">
        <v>291</v>
      </c>
      <c r="D31" s="298">
        <v>29.67</v>
      </c>
      <c r="E31" s="299">
        <f t="shared" si="0"/>
        <v>0.08</v>
      </c>
      <c r="F31" s="300">
        <f t="shared" si="1"/>
        <v>29.75</v>
      </c>
      <c r="H31" s="18"/>
      <c r="I31" s="18"/>
    </row>
    <row r="32" spans="1:10" x14ac:dyDescent="0.25">
      <c r="A32" s="382"/>
      <c r="B32" s="296">
        <v>34</v>
      </c>
      <c r="C32" s="308" t="s">
        <v>292</v>
      </c>
      <c r="D32" s="298">
        <v>36.83</v>
      </c>
      <c r="E32" s="299">
        <f t="shared" si="0"/>
        <v>0.09</v>
      </c>
      <c r="F32" s="300">
        <f t="shared" si="1"/>
        <v>36.92</v>
      </c>
      <c r="H32" s="18"/>
      <c r="I32" s="18"/>
    </row>
    <row r="33" spans="1:9" x14ac:dyDescent="0.25">
      <c r="A33" s="382"/>
      <c r="B33" s="296">
        <v>34</v>
      </c>
      <c r="C33" s="308" t="s">
        <v>293</v>
      </c>
      <c r="D33" s="298">
        <v>42.73</v>
      </c>
      <c r="E33" s="299">
        <f t="shared" si="0"/>
        <v>0.11</v>
      </c>
      <c r="F33" s="300">
        <f t="shared" si="1"/>
        <v>42.839999999999996</v>
      </c>
      <c r="H33" s="18"/>
      <c r="I33" s="18"/>
    </row>
    <row r="34" spans="1:9" x14ac:dyDescent="0.25">
      <c r="A34" s="382"/>
      <c r="B34" s="296">
        <v>34</v>
      </c>
      <c r="C34" s="308" t="s">
        <v>294</v>
      </c>
      <c r="D34" s="298">
        <v>54.06</v>
      </c>
      <c r="E34" s="299">
        <f t="shared" si="0"/>
        <v>0.14000000000000001</v>
      </c>
      <c r="F34" s="300">
        <f t="shared" si="1"/>
        <v>54.2</v>
      </c>
      <c r="H34" s="18"/>
      <c r="I34" s="18"/>
    </row>
    <row r="35" spans="1:9" x14ac:dyDescent="0.25">
      <c r="A35" s="382"/>
      <c r="B35" s="296">
        <v>34</v>
      </c>
      <c r="C35" s="308" t="s">
        <v>295</v>
      </c>
      <c r="D35" s="298">
        <v>63.06</v>
      </c>
      <c r="E35" s="299">
        <f t="shared" si="0"/>
        <v>0.16</v>
      </c>
      <c r="F35" s="300">
        <f t="shared" si="1"/>
        <v>63.22</v>
      </c>
      <c r="H35" s="18"/>
      <c r="I35" s="18"/>
    </row>
    <row r="36" spans="1:9" x14ac:dyDescent="0.25">
      <c r="A36" s="382"/>
      <c r="B36" s="296">
        <v>34</v>
      </c>
      <c r="C36" s="308" t="s">
        <v>296</v>
      </c>
      <c r="D36" s="298">
        <v>81.010000000000005</v>
      </c>
      <c r="E36" s="299">
        <f t="shared" si="0"/>
        <v>0.21</v>
      </c>
      <c r="F36" s="300">
        <f t="shared" si="1"/>
        <v>81.22</v>
      </c>
      <c r="H36" s="18"/>
      <c r="I36" s="18"/>
    </row>
    <row r="37" spans="1:9" x14ac:dyDescent="0.25">
      <c r="A37" s="382"/>
      <c r="B37" s="296">
        <v>34</v>
      </c>
      <c r="C37" s="308" t="s">
        <v>297</v>
      </c>
      <c r="D37" s="298">
        <v>94.85</v>
      </c>
      <c r="E37" s="299">
        <f t="shared" si="0"/>
        <v>0.24</v>
      </c>
      <c r="F37" s="300">
        <f t="shared" si="1"/>
        <v>95.089999999999989</v>
      </c>
      <c r="H37" s="18"/>
      <c r="I37" s="18"/>
    </row>
    <row r="38" spans="1:9" x14ac:dyDescent="0.25">
      <c r="A38" s="382"/>
      <c r="B38" s="296">
        <v>34</v>
      </c>
      <c r="C38" s="308" t="s">
        <v>219</v>
      </c>
      <c r="D38" s="298">
        <v>46.2</v>
      </c>
      <c r="E38" s="299">
        <f t="shared" si="0"/>
        <v>0.12</v>
      </c>
      <c r="F38" s="300">
        <f t="shared" si="1"/>
        <v>46.32</v>
      </c>
    </row>
    <row r="39" spans="1:9" x14ac:dyDescent="0.25">
      <c r="A39" s="382"/>
      <c r="B39" s="296">
        <v>36</v>
      </c>
      <c r="C39" s="308" t="s">
        <v>220</v>
      </c>
      <c r="D39" s="298">
        <v>84.48</v>
      </c>
      <c r="E39" s="299">
        <f t="shared" si="0"/>
        <v>0.22</v>
      </c>
      <c r="F39" s="300">
        <f t="shared" si="1"/>
        <v>84.7</v>
      </c>
    </row>
    <row r="40" spans="1:9" x14ac:dyDescent="0.25">
      <c r="A40" s="382"/>
      <c r="B40" s="296">
        <v>36</v>
      </c>
      <c r="C40" s="308" t="s">
        <v>221</v>
      </c>
      <c r="D40" s="298">
        <v>122.22</v>
      </c>
      <c r="E40" s="299">
        <f t="shared" si="0"/>
        <v>0.32</v>
      </c>
      <c r="F40" s="300">
        <f t="shared" si="1"/>
        <v>122.53999999999999</v>
      </c>
    </row>
    <row r="41" spans="1:9" x14ac:dyDescent="0.25">
      <c r="A41" s="382"/>
      <c r="B41" s="296">
        <v>36</v>
      </c>
      <c r="C41" s="308" t="s">
        <v>222</v>
      </c>
      <c r="D41" s="298">
        <v>158.08000000000001</v>
      </c>
      <c r="E41" s="299">
        <f t="shared" si="0"/>
        <v>0.41</v>
      </c>
      <c r="F41" s="300">
        <f t="shared" si="1"/>
        <v>158.49</v>
      </c>
    </row>
    <row r="42" spans="1:9" x14ac:dyDescent="0.25">
      <c r="A42" s="382"/>
      <c r="B42" s="296">
        <v>36</v>
      </c>
      <c r="C42" s="308" t="s">
        <v>223</v>
      </c>
      <c r="D42" s="298">
        <v>190.6</v>
      </c>
      <c r="E42" s="299">
        <f t="shared" si="0"/>
        <v>0.49</v>
      </c>
      <c r="F42" s="300">
        <f t="shared" si="1"/>
        <v>191.09</v>
      </c>
    </row>
    <row r="43" spans="1:9" x14ac:dyDescent="0.25">
      <c r="A43" s="382"/>
      <c r="B43" s="296">
        <v>36</v>
      </c>
      <c r="C43" s="308" t="s">
        <v>224</v>
      </c>
      <c r="D43" s="298">
        <v>229.85</v>
      </c>
      <c r="E43" s="299">
        <f t="shared" si="0"/>
        <v>0.59</v>
      </c>
      <c r="F43" s="300">
        <f t="shared" si="1"/>
        <v>230.44</v>
      </c>
    </row>
    <row r="44" spans="1:9" x14ac:dyDescent="0.25">
      <c r="A44" s="382"/>
      <c r="B44" s="296">
        <v>28</v>
      </c>
      <c r="C44" s="308" t="s">
        <v>287</v>
      </c>
      <c r="D44" s="298">
        <v>16.2</v>
      </c>
      <c r="E44" s="299">
        <f t="shared" si="0"/>
        <v>0.04</v>
      </c>
      <c r="F44" s="300">
        <f t="shared" si="1"/>
        <v>16.239999999999998</v>
      </c>
    </row>
    <row r="45" spans="1:9" x14ac:dyDescent="0.25">
      <c r="A45" s="382"/>
      <c r="B45" s="296">
        <v>28</v>
      </c>
      <c r="C45" s="308" t="s">
        <v>288</v>
      </c>
      <c r="D45" s="298">
        <v>19.8</v>
      </c>
      <c r="E45" s="299">
        <f t="shared" si="0"/>
        <v>0.05</v>
      </c>
      <c r="F45" s="300">
        <f t="shared" si="1"/>
        <v>19.850000000000001</v>
      </c>
    </row>
    <row r="46" spans="1:9" x14ac:dyDescent="0.25">
      <c r="A46" s="382"/>
      <c r="B46" s="296">
        <v>28</v>
      </c>
      <c r="C46" s="308" t="s">
        <v>225</v>
      </c>
      <c r="D46" s="298">
        <v>16.2</v>
      </c>
      <c r="E46" s="299">
        <f t="shared" si="0"/>
        <v>0.04</v>
      </c>
      <c r="F46" s="300">
        <f t="shared" si="1"/>
        <v>16.239999999999998</v>
      </c>
    </row>
    <row r="47" spans="1:9" x14ac:dyDescent="0.25">
      <c r="A47" s="383"/>
      <c r="B47" s="309">
        <v>29</v>
      </c>
      <c r="C47" s="310" t="s">
        <v>123</v>
      </c>
      <c r="D47" s="304">
        <v>71.45</v>
      </c>
      <c r="E47" s="305">
        <f t="shared" si="0"/>
        <v>0.18</v>
      </c>
      <c r="F47" s="306">
        <f t="shared" si="1"/>
        <v>71.63000000000001</v>
      </c>
    </row>
    <row r="48" spans="1:9" ht="15" customHeight="1" x14ac:dyDescent="0.25">
      <c r="A48" s="381" t="s">
        <v>226</v>
      </c>
      <c r="B48" s="311">
        <v>37</v>
      </c>
      <c r="C48" s="307" t="s">
        <v>227</v>
      </c>
      <c r="D48" s="293">
        <v>67.900000000000006</v>
      </c>
      <c r="E48" s="294">
        <f t="shared" si="0"/>
        <v>0.18</v>
      </c>
      <c r="F48" s="295">
        <f t="shared" si="1"/>
        <v>68.080000000000013</v>
      </c>
    </row>
    <row r="49" spans="1:6" ht="15" customHeight="1" x14ac:dyDescent="0.25">
      <c r="A49" s="382"/>
      <c r="B49" s="312">
        <v>37</v>
      </c>
      <c r="C49" s="308" t="s">
        <v>228</v>
      </c>
      <c r="D49" s="298">
        <v>88.8</v>
      </c>
      <c r="E49" s="299">
        <f t="shared" si="0"/>
        <v>0.23</v>
      </c>
      <c r="F49" s="300">
        <f t="shared" si="1"/>
        <v>89.03</v>
      </c>
    </row>
    <row r="50" spans="1:6" ht="15" customHeight="1" x14ac:dyDescent="0.25">
      <c r="A50" s="382"/>
      <c r="B50" s="312">
        <v>37</v>
      </c>
      <c r="C50" s="308" t="s">
        <v>300</v>
      </c>
      <c r="D50" s="298">
        <v>72.099999999999994</v>
      </c>
      <c r="E50" s="299">
        <f t="shared" si="0"/>
        <v>0.19</v>
      </c>
      <c r="F50" s="300">
        <f t="shared" si="1"/>
        <v>72.289999999999992</v>
      </c>
    </row>
    <row r="51" spans="1:6" x14ac:dyDescent="0.25">
      <c r="A51" s="382"/>
      <c r="B51" s="312">
        <v>37</v>
      </c>
      <c r="C51" s="308" t="s">
        <v>229</v>
      </c>
      <c r="D51" s="298">
        <v>78.3</v>
      </c>
      <c r="E51" s="299">
        <f t="shared" si="0"/>
        <v>0.2</v>
      </c>
      <c r="F51" s="300">
        <f t="shared" si="1"/>
        <v>78.5</v>
      </c>
    </row>
    <row r="52" spans="1:6" x14ac:dyDescent="0.25">
      <c r="A52" s="382"/>
      <c r="B52" s="312">
        <v>37</v>
      </c>
      <c r="C52" s="308" t="s">
        <v>230</v>
      </c>
      <c r="D52" s="298">
        <v>99.3</v>
      </c>
      <c r="E52" s="299">
        <f t="shared" si="0"/>
        <v>0.26</v>
      </c>
      <c r="F52" s="300">
        <f t="shared" si="1"/>
        <v>99.56</v>
      </c>
    </row>
    <row r="53" spans="1:6" x14ac:dyDescent="0.25">
      <c r="A53" s="382"/>
      <c r="B53" s="312">
        <v>37</v>
      </c>
      <c r="C53" s="308" t="s">
        <v>301</v>
      </c>
      <c r="D53" s="298">
        <v>82.5</v>
      </c>
      <c r="E53" s="299">
        <f t="shared" si="0"/>
        <v>0.21</v>
      </c>
      <c r="F53" s="300">
        <f t="shared" si="1"/>
        <v>82.71</v>
      </c>
    </row>
    <row r="54" spans="1:6" x14ac:dyDescent="0.25">
      <c r="A54" s="382"/>
      <c r="B54" s="312">
        <v>37</v>
      </c>
      <c r="C54" s="308" t="s">
        <v>231</v>
      </c>
      <c r="D54" s="298">
        <v>35.450000000000003</v>
      </c>
      <c r="E54" s="299">
        <f t="shared" si="0"/>
        <v>0.09</v>
      </c>
      <c r="F54" s="300">
        <f t="shared" si="1"/>
        <v>35.540000000000006</v>
      </c>
    </row>
    <row r="55" spans="1:6" x14ac:dyDescent="0.25">
      <c r="A55" s="382"/>
      <c r="B55" s="312">
        <v>37</v>
      </c>
      <c r="C55" s="308" t="s">
        <v>232</v>
      </c>
      <c r="D55" s="298">
        <v>57.4</v>
      </c>
      <c r="E55" s="299">
        <f t="shared" si="0"/>
        <v>0.15</v>
      </c>
      <c r="F55" s="300">
        <f t="shared" si="1"/>
        <v>57.55</v>
      </c>
    </row>
    <row r="56" spans="1:6" x14ac:dyDescent="0.25">
      <c r="A56" s="382"/>
      <c r="B56" s="312">
        <v>37</v>
      </c>
      <c r="C56" s="308" t="s">
        <v>233</v>
      </c>
      <c r="D56" s="298">
        <v>63.5</v>
      </c>
      <c r="E56" s="299">
        <f t="shared" si="0"/>
        <v>0.16</v>
      </c>
      <c r="F56" s="300">
        <f t="shared" si="1"/>
        <v>63.66</v>
      </c>
    </row>
    <row r="57" spans="1:6" x14ac:dyDescent="0.25">
      <c r="A57" s="382"/>
      <c r="B57" s="312">
        <v>37</v>
      </c>
      <c r="C57" s="308" t="s">
        <v>234</v>
      </c>
      <c r="D57" s="298">
        <v>77.3</v>
      </c>
      <c r="E57" s="299">
        <f t="shared" si="0"/>
        <v>0.2</v>
      </c>
      <c r="F57" s="300">
        <f t="shared" si="1"/>
        <v>77.5</v>
      </c>
    </row>
    <row r="58" spans="1:6" x14ac:dyDescent="0.25">
      <c r="A58" s="382"/>
      <c r="B58" s="312">
        <v>37</v>
      </c>
      <c r="C58" s="308" t="s">
        <v>235</v>
      </c>
      <c r="D58" s="298">
        <v>22</v>
      </c>
      <c r="E58" s="299">
        <f t="shared" si="0"/>
        <v>0.06</v>
      </c>
      <c r="F58" s="300">
        <f t="shared" si="1"/>
        <v>22.06</v>
      </c>
    </row>
    <row r="59" spans="1:6" x14ac:dyDescent="0.25">
      <c r="A59" s="382"/>
      <c r="B59" s="361" t="s">
        <v>298</v>
      </c>
      <c r="C59" s="308" t="s">
        <v>236</v>
      </c>
      <c r="D59" s="298">
        <v>12.2</v>
      </c>
      <c r="E59" s="299">
        <f t="shared" si="0"/>
        <v>0.03</v>
      </c>
      <c r="F59" s="300">
        <f t="shared" si="1"/>
        <v>12.229999999999999</v>
      </c>
    </row>
    <row r="60" spans="1:6" x14ac:dyDescent="0.25">
      <c r="A60" s="382"/>
      <c r="B60" s="312">
        <v>37</v>
      </c>
      <c r="C60" s="308" t="s">
        <v>237</v>
      </c>
      <c r="D60" s="298">
        <v>15.05</v>
      </c>
      <c r="E60" s="299">
        <f t="shared" si="0"/>
        <v>0.04</v>
      </c>
      <c r="F60" s="300">
        <f t="shared" si="1"/>
        <v>15.09</v>
      </c>
    </row>
    <row r="61" spans="1:6" x14ac:dyDescent="0.25">
      <c r="A61" s="382"/>
      <c r="B61" s="312">
        <v>38</v>
      </c>
      <c r="C61" s="308" t="s">
        <v>238</v>
      </c>
      <c r="D61" s="298">
        <v>96.2</v>
      </c>
      <c r="E61" s="299">
        <f t="shared" si="0"/>
        <v>0.25</v>
      </c>
      <c r="F61" s="300">
        <f t="shared" si="1"/>
        <v>96.45</v>
      </c>
    </row>
    <row r="62" spans="1:6" x14ac:dyDescent="0.25">
      <c r="A62" s="382"/>
      <c r="B62" s="312">
        <v>38</v>
      </c>
      <c r="C62" s="308" t="s">
        <v>239</v>
      </c>
      <c r="D62" s="298">
        <v>117</v>
      </c>
      <c r="E62" s="299">
        <f t="shared" si="0"/>
        <v>0.3</v>
      </c>
      <c r="F62" s="300">
        <f t="shared" si="1"/>
        <v>117.3</v>
      </c>
    </row>
    <row r="63" spans="1:6" x14ac:dyDescent="0.25">
      <c r="A63" s="382"/>
      <c r="B63" s="312">
        <v>38</v>
      </c>
      <c r="C63" s="308" t="s">
        <v>240</v>
      </c>
      <c r="D63" s="298">
        <v>141.1</v>
      </c>
      <c r="E63" s="299">
        <f t="shared" si="0"/>
        <v>0.36</v>
      </c>
      <c r="F63" s="300">
        <f t="shared" si="1"/>
        <v>141.46</v>
      </c>
    </row>
    <row r="64" spans="1:6" x14ac:dyDescent="0.25">
      <c r="A64" s="382"/>
      <c r="B64" s="312">
        <v>38</v>
      </c>
      <c r="C64" s="308" t="s">
        <v>241</v>
      </c>
      <c r="D64" s="298">
        <v>4.2</v>
      </c>
      <c r="E64" s="299">
        <f t="shared" si="0"/>
        <v>0.01</v>
      </c>
      <c r="F64" s="300">
        <f t="shared" si="1"/>
        <v>4.21</v>
      </c>
    </row>
    <row r="65" spans="1:6" x14ac:dyDescent="0.25">
      <c r="A65" s="383"/>
      <c r="B65" s="313">
        <v>38</v>
      </c>
      <c r="C65" s="310" t="s">
        <v>242</v>
      </c>
      <c r="D65" s="304">
        <v>26.1</v>
      </c>
      <c r="E65" s="305">
        <f t="shared" si="0"/>
        <v>7.0000000000000007E-2</v>
      </c>
      <c r="F65" s="306">
        <f t="shared" si="1"/>
        <v>26.17</v>
      </c>
    </row>
  </sheetData>
  <mergeCells count="4">
    <mergeCell ref="A3:A18"/>
    <mergeCell ref="A19:A47"/>
    <mergeCell ref="A48:A65"/>
    <mergeCell ref="I2:J2"/>
  </mergeCells>
  <phoneticPr fontId="83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B143"/>
  <sheetViews>
    <sheetView topLeftCell="A121" zoomScaleNormal="100" workbookViewId="0">
      <selection activeCell="O138" sqref="O138"/>
    </sheetView>
  </sheetViews>
  <sheetFormatPr defaultRowHeight="12.75" x14ac:dyDescent="0.2"/>
  <cols>
    <col min="1" max="1" width="26.140625" customWidth="1"/>
    <col min="2" max="2" width="8.28515625" bestFit="1" customWidth="1"/>
    <col min="3" max="3" width="11.42578125" style="2" bestFit="1" customWidth="1"/>
    <col min="4" max="4" width="9.85546875" bestFit="1" customWidth="1"/>
    <col min="5" max="5" width="10.42578125" bestFit="1" customWidth="1"/>
    <col min="6" max="7" width="10.85546875" bestFit="1" customWidth="1"/>
    <col min="8" max="8" width="10.42578125" bestFit="1" customWidth="1"/>
    <col min="9" max="9" width="11.28515625" bestFit="1" customWidth="1"/>
    <col min="10" max="11" width="10.28515625" bestFit="1" customWidth="1"/>
    <col min="12" max="12" width="9.42578125" bestFit="1" customWidth="1"/>
    <col min="13" max="13" width="12.42578125" bestFit="1" customWidth="1"/>
    <col min="14" max="15" width="12.28515625" bestFit="1" customWidth="1"/>
    <col min="16" max="16" width="10.28515625" bestFit="1" customWidth="1"/>
    <col min="19" max="19" width="10.28515625" bestFit="1" customWidth="1"/>
  </cols>
  <sheetData>
    <row r="1" spans="1:14" s="4" customFormat="1" ht="23.25" x14ac:dyDescent="0.35">
      <c r="A1" s="22" t="s">
        <v>31</v>
      </c>
      <c r="C1" s="27"/>
    </row>
    <row r="2" spans="1:14" s="4" customFormat="1" x14ac:dyDescent="0.2">
      <c r="A2" s="1" t="s">
        <v>64</v>
      </c>
      <c r="C2" s="27"/>
    </row>
    <row r="3" spans="1:14" s="4" customFormat="1" x14ac:dyDescent="0.2">
      <c r="C3" s="27"/>
    </row>
    <row r="4" spans="1:14" s="4" customFormat="1" x14ac:dyDescent="0.2">
      <c r="C4" s="27"/>
    </row>
    <row r="5" spans="1:14" s="4" customFormat="1" x14ac:dyDescent="0.2">
      <c r="C5" s="27" t="s">
        <v>63</v>
      </c>
    </row>
    <row r="6" spans="1:14" s="4" customFormat="1" x14ac:dyDescent="0.2">
      <c r="C6" s="27" t="s">
        <v>34</v>
      </c>
      <c r="G6" s="4" t="s">
        <v>14</v>
      </c>
      <c r="H6" s="4" t="s">
        <v>16</v>
      </c>
      <c r="J6" s="4" t="s">
        <v>131</v>
      </c>
    </row>
    <row r="7" spans="1:14" s="4" customFormat="1" x14ac:dyDescent="0.2">
      <c r="C7" s="27" t="s">
        <v>33</v>
      </c>
      <c r="D7" s="4" t="s">
        <v>14</v>
      </c>
      <c r="E7" s="4" t="s">
        <v>47</v>
      </c>
      <c r="F7" s="4" t="s">
        <v>4</v>
      </c>
      <c r="G7" s="4" t="s">
        <v>15</v>
      </c>
      <c r="H7" s="27" t="s">
        <v>34</v>
      </c>
      <c r="I7" s="4" t="s">
        <v>33</v>
      </c>
      <c r="J7" s="4" t="s">
        <v>132</v>
      </c>
    </row>
    <row r="8" spans="1:14" s="5" customFormat="1" x14ac:dyDescent="0.2">
      <c r="A8" s="5" t="s">
        <v>62</v>
      </c>
      <c r="C8" s="16" t="s">
        <v>12</v>
      </c>
      <c r="D8" s="4" t="s">
        <v>46</v>
      </c>
      <c r="E8" s="5" t="s">
        <v>34</v>
      </c>
      <c r="F8" s="5" t="s">
        <v>15</v>
      </c>
      <c r="G8" s="101" t="s">
        <v>12</v>
      </c>
      <c r="H8" s="5" t="s">
        <v>12</v>
      </c>
      <c r="I8" s="5" t="s">
        <v>5</v>
      </c>
      <c r="J8" s="5" t="s">
        <v>133</v>
      </c>
      <c r="K8" s="101"/>
      <c r="L8" s="4"/>
      <c r="M8" s="4"/>
      <c r="N8" s="4"/>
    </row>
    <row r="9" spans="1:14" x14ac:dyDescent="0.2">
      <c r="A9" t="s">
        <v>171</v>
      </c>
      <c r="C9" s="2">
        <f>+Composition!B39</f>
        <v>1054.3999999999999</v>
      </c>
      <c r="D9" s="6">
        <f>-Composition!B37</f>
        <v>-149.22</v>
      </c>
      <c r="E9" s="6">
        <f t="shared" ref="E9:E20" si="0">+D9+C9</f>
        <v>905.17999999999984</v>
      </c>
      <c r="F9" s="113">
        <f>+'Res''l &amp; MF Customers'!C18</f>
        <v>0.55075845974329063</v>
      </c>
      <c r="G9" s="6">
        <f t="shared" ref="G9:G20" si="1">-F9*E9</f>
        <v>-498.5355425904317</v>
      </c>
      <c r="H9" s="6">
        <f t="shared" ref="H9:H20" si="2">+G9+E9</f>
        <v>406.64445740956813</v>
      </c>
      <c r="I9" s="155">
        <f>+'Res''l &amp; MF Customers'!C12</f>
        <v>24640</v>
      </c>
      <c r="J9" s="6">
        <f t="shared" ref="J9:J20" si="3">+H9*2000/I9/4.3333</f>
        <v>7.6170252023211393</v>
      </c>
      <c r="K9" s="4"/>
      <c r="L9" s="4"/>
      <c r="M9" s="4"/>
      <c r="N9" s="4"/>
    </row>
    <row r="10" spans="1:14" x14ac:dyDescent="0.2">
      <c r="A10" t="s">
        <v>172</v>
      </c>
      <c r="C10" s="2">
        <f>+Composition!D39</f>
        <v>1110.6200000000001</v>
      </c>
      <c r="D10" s="6">
        <f>-Composition!D37</f>
        <v>-172.81</v>
      </c>
      <c r="E10" s="6">
        <f t="shared" si="0"/>
        <v>937.81000000000017</v>
      </c>
      <c r="F10" s="146">
        <f>+'Res''l &amp; MF Customers'!D18</f>
        <v>0.55042713247481834</v>
      </c>
      <c r="G10" s="6">
        <f t="shared" si="1"/>
        <v>-516.19606910620951</v>
      </c>
      <c r="H10" s="6">
        <f t="shared" si="2"/>
        <v>421.61393089379067</v>
      </c>
      <c r="I10" s="155">
        <f>+'Res''l &amp; MF Customers'!D$12</f>
        <v>24682</v>
      </c>
      <c r="J10" s="6">
        <f t="shared" si="3"/>
        <v>7.8839859773766401</v>
      </c>
      <c r="K10" s="4"/>
      <c r="L10" s="4"/>
      <c r="M10" s="4"/>
      <c r="N10" s="4"/>
    </row>
    <row r="11" spans="1:14" x14ac:dyDescent="0.2">
      <c r="A11" t="s">
        <v>173</v>
      </c>
      <c r="C11" s="2">
        <f>+Composition!F$39</f>
        <v>1100.0600000000002</v>
      </c>
      <c r="D11" s="6">
        <f>-Composition!F37</f>
        <v>-187.13000000000002</v>
      </c>
      <c r="E11" s="6">
        <f t="shared" si="0"/>
        <v>912.93000000000018</v>
      </c>
      <c r="F11" s="146">
        <f>+'Res''l &amp; MF Customers'!E$18</f>
        <v>0.55089440903823872</v>
      </c>
      <c r="G11" s="6">
        <f t="shared" si="1"/>
        <v>-502.92803284327937</v>
      </c>
      <c r="H11" s="6">
        <f t="shared" si="2"/>
        <v>410.00196715672081</v>
      </c>
      <c r="I11" s="155">
        <f>+'Res''l &amp; MF Customers'!E$12</f>
        <v>24805</v>
      </c>
      <c r="J11" s="6">
        <f t="shared" si="3"/>
        <v>7.6288301870082122</v>
      </c>
      <c r="K11" s="4"/>
      <c r="L11" s="4"/>
      <c r="M11" s="4"/>
      <c r="N11" s="4"/>
    </row>
    <row r="12" spans="1:14" x14ac:dyDescent="0.2">
      <c r="A12" t="s">
        <v>174</v>
      </c>
      <c r="C12" s="2">
        <f>+Composition!H$39</f>
        <v>1019.05</v>
      </c>
      <c r="D12" s="6">
        <f>-Composition!H37</f>
        <v>-179.65</v>
      </c>
      <c r="E12" s="6">
        <f t="shared" si="0"/>
        <v>839.4</v>
      </c>
      <c r="F12" s="146">
        <f>+'Res''l &amp; MF Customers'!F$18</f>
        <v>0.55051874344792684</v>
      </c>
      <c r="G12" s="6">
        <f t="shared" si="1"/>
        <v>-462.10543325018978</v>
      </c>
      <c r="H12" s="6">
        <f t="shared" si="2"/>
        <v>377.2945667498102</v>
      </c>
      <c r="I12" s="155">
        <f>+'Res''l &amp; MF Customers'!F$12</f>
        <v>24868</v>
      </c>
      <c r="J12" s="6">
        <f t="shared" si="3"/>
        <v>7.0024647499665971</v>
      </c>
      <c r="K12" s="4"/>
      <c r="L12" s="4"/>
      <c r="M12" s="4"/>
      <c r="N12" s="4"/>
    </row>
    <row r="13" spans="1:14" x14ac:dyDescent="0.2">
      <c r="A13" t="s">
        <v>175</v>
      </c>
      <c r="C13" s="2">
        <f>+Composition!J39</f>
        <v>1058.27</v>
      </c>
      <c r="D13" s="6">
        <f>-Composition!J37</f>
        <v>-181.7</v>
      </c>
      <c r="E13" s="6">
        <f t="shared" si="0"/>
        <v>876.56999999999994</v>
      </c>
      <c r="F13" s="146">
        <f>+'Res''l &amp; MF Customers'!G$18</f>
        <v>0.54960270774131659</v>
      </c>
      <c r="G13" s="6">
        <f t="shared" si="1"/>
        <v>-481.76524552480583</v>
      </c>
      <c r="H13" s="6">
        <f t="shared" si="2"/>
        <v>394.8047544751941</v>
      </c>
      <c r="I13" s="155">
        <f>+'Res''l &amp; MF Customers'!G$12</f>
        <v>24884</v>
      </c>
      <c r="J13" s="6">
        <f t="shared" si="3"/>
        <v>7.3227367253262265</v>
      </c>
      <c r="K13" s="4"/>
      <c r="L13" s="4"/>
      <c r="M13" s="4"/>
      <c r="N13" s="4"/>
    </row>
    <row r="14" spans="1:14" x14ac:dyDescent="0.2">
      <c r="A14" t="s">
        <v>176</v>
      </c>
      <c r="C14" s="2">
        <f>+Composition!L39</f>
        <v>1017.22</v>
      </c>
      <c r="D14" s="6">
        <f>-Composition!L37</f>
        <v>-161.32</v>
      </c>
      <c r="E14" s="6">
        <f t="shared" si="0"/>
        <v>855.90000000000009</v>
      </c>
      <c r="F14" s="146">
        <f>+'Res''l &amp; MF Customers'!H$18</f>
        <v>0.54941907886389596</v>
      </c>
      <c r="G14" s="6">
        <f t="shared" si="1"/>
        <v>-470.24778959960861</v>
      </c>
      <c r="H14" s="6">
        <f t="shared" si="2"/>
        <v>385.65221040039148</v>
      </c>
      <c r="I14" s="155">
        <f>+'Res''l &amp; MF Customers'!H$12</f>
        <v>24859</v>
      </c>
      <c r="J14" s="6">
        <f t="shared" si="3"/>
        <v>7.1601712485249278</v>
      </c>
      <c r="K14" s="4"/>
      <c r="L14" s="4"/>
      <c r="M14" s="4"/>
      <c r="N14" s="4"/>
    </row>
    <row r="15" spans="1:14" x14ac:dyDescent="0.2">
      <c r="A15" t="s">
        <v>7</v>
      </c>
      <c r="C15" s="2">
        <f>+Composition!N39</f>
        <v>1186.0700000000002</v>
      </c>
      <c r="D15" s="6">
        <f>-Composition!N37</f>
        <v>-194</v>
      </c>
      <c r="E15" s="6">
        <f t="shared" si="0"/>
        <v>992.07000000000016</v>
      </c>
      <c r="F15" s="146">
        <f>+'Res''l &amp; MF Customers'!I$18</f>
        <v>0.54890397038542504</v>
      </c>
      <c r="G15" s="6">
        <f t="shared" si="1"/>
        <v>-544.55116190026877</v>
      </c>
      <c r="H15" s="6">
        <f t="shared" si="2"/>
        <v>447.5188380997314</v>
      </c>
      <c r="I15" s="155">
        <f>+'Res''l &amp; MF Customers'!I$12</f>
        <v>24859</v>
      </c>
      <c r="J15" s="6">
        <f t="shared" si="3"/>
        <v>8.3088114921166962</v>
      </c>
      <c r="K15" s="4"/>
      <c r="L15" s="4"/>
      <c r="M15" s="4"/>
      <c r="N15" s="4"/>
    </row>
    <row r="16" spans="1:14" x14ac:dyDescent="0.2">
      <c r="A16" t="s">
        <v>32</v>
      </c>
      <c r="C16" s="2">
        <f>+Composition!P39</f>
        <v>1236.9699999999998</v>
      </c>
      <c r="D16" s="6">
        <f>-Composition!P37</f>
        <v>-200.87</v>
      </c>
      <c r="E16" s="6">
        <f t="shared" si="0"/>
        <v>1036.0999999999999</v>
      </c>
      <c r="F16" s="146">
        <f>+'Res''l &amp; MF Customers'!J$18</f>
        <v>0.5478764969923855</v>
      </c>
      <c r="G16" s="6">
        <f t="shared" si="1"/>
        <v>-567.65483853381056</v>
      </c>
      <c r="H16" s="6">
        <f t="shared" si="2"/>
        <v>468.44516146618935</v>
      </c>
      <c r="I16" s="155">
        <f>+'Res''l &amp; MF Customers'!J$12</f>
        <v>24879</v>
      </c>
      <c r="J16" s="6">
        <f t="shared" si="3"/>
        <v>8.6903461662426533</v>
      </c>
      <c r="K16" s="4"/>
      <c r="L16" s="4"/>
      <c r="M16" s="4"/>
      <c r="N16" s="4"/>
    </row>
    <row r="17" spans="1:28" x14ac:dyDescent="0.2">
      <c r="A17" t="s">
        <v>10</v>
      </c>
      <c r="C17" s="2">
        <f>+Composition!R39</f>
        <v>910.75000000000011</v>
      </c>
      <c r="D17" s="6">
        <f>-Composition!R37</f>
        <v>-138.87</v>
      </c>
      <c r="E17" s="6">
        <f t="shared" si="0"/>
        <v>771.88000000000011</v>
      </c>
      <c r="F17" s="146">
        <f>+'Res''l &amp; MF Customers'!K$18</f>
        <v>0.54784940392071602</v>
      </c>
      <c r="G17" s="6">
        <f t="shared" si="1"/>
        <v>-422.87399789832233</v>
      </c>
      <c r="H17" s="6">
        <f t="shared" si="2"/>
        <v>349.00600210167778</v>
      </c>
      <c r="I17" s="155">
        <f>+'Res''l &amp; MF Customers'!K$12</f>
        <v>24956</v>
      </c>
      <c r="J17" s="6">
        <f t="shared" si="3"/>
        <v>6.4545973858708328</v>
      </c>
      <c r="K17" s="4"/>
      <c r="L17" s="4"/>
      <c r="M17" s="4"/>
      <c r="N17" s="4"/>
    </row>
    <row r="18" spans="1:28" x14ac:dyDescent="0.2">
      <c r="A18" t="s">
        <v>8</v>
      </c>
      <c r="C18" s="2">
        <f>+Composition!T39</f>
        <v>1033.24</v>
      </c>
      <c r="D18" s="6">
        <f>-Composition!T37</f>
        <v>-163.66</v>
      </c>
      <c r="E18" s="6">
        <f t="shared" si="0"/>
        <v>869.58</v>
      </c>
      <c r="F18" s="146">
        <f>+'Res''l &amp; MF Customers'!L$18</f>
        <v>0.54791185804962494</v>
      </c>
      <c r="G18" s="6">
        <f t="shared" si="1"/>
        <v>-476.4531935227929</v>
      </c>
      <c r="H18" s="6">
        <f t="shared" si="2"/>
        <v>393.12680647720714</v>
      </c>
      <c r="I18" s="155">
        <f>+'Res''l &amp; MF Customers'!L$12</f>
        <v>25071</v>
      </c>
      <c r="J18" s="6">
        <f t="shared" si="3"/>
        <v>7.237227760289886</v>
      </c>
      <c r="K18" s="4"/>
      <c r="L18" s="4"/>
      <c r="M18" s="4"/>
      <c r="N18" s="4"/>
    </row>
    <row r="19" spans="1:28" x14ac:dyDescent="0.2">
      <c r="A19" t="s">
        <v>9</v>
      </c>
      <c r="C19" s="2">
        <f>+Composition!V39</f>
        <v>1186.1500000000001</v>
      </c>
      <c r="D19" s="6">
        <f>-Composition!V37</f>
        <v>-196.69</v>
      </c>
      <c r="E19" s="6">
        <f t="shared" si="0"/>
        <v>989.46</v>
      </c>
      <c r="F19" s="146">
        <f>+'Res''l &amp; MF Customers'!M$18</f>
        <v>0.54812967581047389</v>
      </c>
      <c r="G19" s="6">
        <f t="shared" si="1"/>
        <v>-542.35238902743151</v>
      </c>
      <c r="H19" s="6">
        <f t="shared" si="2"/>
        <v>447.10761097256852</v>
      </c>
      <c r="I19" s="155">
        <f>+'Res''l &amp; MF Customers'!M$12</f>
        <v>25368</v>
      </c>
      <c r="J19" s="6">
        <f t="shared" si="3"/>
        <v>8.1346162995477016</v>
      </c>
      <c r="K19" s="4"/>
      <c r="L19" s="4"/>
      <c r="M19" s="4"/>
      <c r="N19" s="4"/>
    </row>
    <row r="20" spans="1:28" ht="15" x14ac:dyDescent="0.35">
      <c r="A20" t="s">
        <v>2</v>
      </c>
      <c r="C20" s="12">
        <f>+Composition!X39</f>
        <v>910.75000000000011</v>
      </c>
      <c r="D20" s="7">
        <f>-Composition!X37</f>
        <v>-155.1</v>
      </c>
      <c r="E20" s="7">
        <f t="shared" si="0"/>
        <v>755.65000000000009</v>
      </c>
      <c r="F20" s="149">
        <f>+'Res''l &amp; MF Customers'!N$18</f>
        <v>0.54816999929343602</v>
      </c>
      <c r="G20" s="7">
        <f t="shared" si="1"/>
        <v>-414.22465996608497</v>
      </c>
      <c r="H20" s="7">
        <f t="shared" si="2"/>
        <v>341.42534003391512</v>
      </c>
      <c r="I20" s="156">
        <f>+'Res''l &amp; MF Customers'!N$12</f>
        <v>25579</v>
      </c>
      <c r="J20" s="7">
        <f t="shared" si="3"/>
        <v>6.1606059009263143</v>
      </c>
      <c r="K20" s="4"/>
      <c r="L20" s="4"/>
      <c r="M20" s="4"/>
      <c r="N20" s="4"/>
    </row>
    <row r="21" spans="1:28" ht="15" x14ac:dyDescent="0.35">
      <c r="C21" s="15">
        <f>SUM(C9:C20)</f>
        <v>12823.55</v>
      </c>
      <c r="D21" s="15">
        <f>SUM(D9:D20)</f>
        <v>-2081.02</v>
      </c>
      <c r="E21" s="15">
        <f>SUM(E9:E20)</f>
        <v>10742.53</v>
      </c>
      <c r="F21" s="100">
        <f>-G21/E21</f>
        <v>0.54920845962387221</v>
      </c>
      <c r="G21" s="15">
        <f>SUM(G9:G20)</f>
        <v>-5899.8883537632364</v>
      </c>
      <c r="H21" s="15">
        <f>SUM(H9:H20)</f>
        <v>4842.6416462367642</v>
      </c>
      <c r="I21" s="157">
        <f>SUM(I9:I20)</f>
        <v>299450</v>
      </c>
      <c r="J21" s="8">
        <f t="shared" ref="J21" si="4">+H21*2000/I21/4.3333</f>
        <v>7.4639591522091528</v>
      </c>
      <c r="K21" s="4"/>
      <c r="L21" s="4"/>
      <c r="M21" s="4"/>
      <c r="N21" s="4"/>
    </row>
    <row r="22" spans="1:28" x14ac:dyDescent="0.2">
      <c r="I22" s="6"/>
    </row>
    <row r="23" spans="1:28" x14ac:dyDescent="0.2">
      <c r="C23" s="373" t="s">
        <v>35</v>
      </c>
      <c r="D23" s="373"/>
      <c r="E23" s="373"/>
      <c r="F23" s="373"/>
      <c r="G23" s="373"/>
      <c r="H23" s="373"/>
      <c r="I23" s="373"/>
      <c r="J23" s="373"/>
      <c r="K23" s="373"/>
      <c r="L23" s="373"/>
    </row>
    <row r="24" spans="1:28" x14ac:dyDescent="0.2">
      <c r="C24" s="23"/>
      <c r="D24" s="23"/>
      <c r="E24" s="23"/>
      <c r="F24" s="23"/>
      <c r="G24" s="23"/>
      <c r="H24" s="23"/>
      <c r="I24" s="23"/>
      <c r="J24" s="23"/>
      <c r="K24" s="23"/>
      <c r="L24" s="23"/>
    </row>
    <row r="25" spans="1:28" x14ac:dyDescent="0.2">
      <c r="C25" s="24" t="s">
        <v>36</v>
      </c>
      <c r="D25" s="24" t="s">
        <v>37</v>
      </c>
      <c r="E25" s="24"/>
      <c r="F25" s="24" t="s">
        <v>38</v>
      </c>
      <c r="G25" s="24" t="s">
        <v>39</v>
      </c>
      <c r="H25" s="24"/>
      <c r="I25" s="24"/>
      <c r="J25" s="24" t="s">
        <v>0</v>
      </c>
      <c r="K25" s="24" t="s">
        <v>0</v>
      </c>
      <c r="L25" s="24" t="s">
        <v>40</v>
      </c>
      <c r="N25" s="99"/>
    </row>
    <row r="26" spans="1:28" x14ac:dyDescent="0.2">
      <c r="C26" s="25" t="s">
        <v>41</v>
      </c>
      <c r="D26" s="25" t="s">
        <v>42</v>
      </c>
      <c r="E26" s="25" t="s">
        <v>19</v>
      </c>
      <c r="F26" s="25" t="s">
        <v>17</v>
      </c>
      <c r="G26" s="25" t="s">
        <v>18</v>
      </c>
      <c r="H26" s="25" t="s">
        <v>11</v>
      </c>
      <c r="I26" s="25" t="s">
        <v>1</v>
      </c>
      <c r="J26" s="25" t="s">
        <v>43</v>
      </c>
      <c r="K26" s="25" t="s">
        <v>44</v>
      </c>
      <c r="L26" s="25" t="s">
        <v>45</v>
      </c>
      <c r="M26" s="30"/>
      <c r="N26" s="30"/>
    </row>
    <row r="27" spans="1:28" x14ac:dyDescent="0.2">
      <c r="A27" s="3" t="s">
        <v>48</v>
      </c>
      <c r="B27" s="3"/>
      <c r="C27"/>
    </row>
    <row r="28" spans="1:28" x14ac:dyDescent="0.2">
      <c r="A28" t="s">
        <v>171</v>
      </c>
      <c r="C28" s="26">
        <f>+Composition!$C$25</f>
        <v>0.32226739433040941</v>
      </c>
      <c r="D28" s="26">
        <f>+Composition!$C$26</f>
        <v>0</v>
      </c>
      <c r="E28" s="26">
        <f>+Composition!$C$27</f>
        <v>0.40941028303762789</v>
      </c>
      <c r="F28" s="26">
        <f>+Composition!$C$28</f>
        <v>1.6781192690956494E-2</v>
      </c>
      <c r="G28" s="26">
        <f>+Composition!$C$30</f>
        <v>2.2249718288075301E-2</v>
      </c>
      <c r="H28" s="26">
        <f>+Composition!$C$29</f>
        <v>0.17347930798294264</v>
      </c>
      <c r="I28" s="26">
        <f>+Composition!$C$31</f>
        <v>3.8566914867761107E-2</v>
      </c>
      <c r="J28" s="26">
        <f>+Composition!$C$32</f>
        <v>9.0921142756136917E-3</v>
      </c>
      <c r="K28" s="26">
        <f>+Composition!$C$33</f>
        <v>7.335557568660377E-3</v>
      </c>
      <c r="L28" s="26">
        <f>+Composition!$C$34</f>
        <v>8.1751695795311431E-4</v>
      </c>
      <c r="M28" s="26">
        <f t="shared" ref="M28" si="5">SUM(C28:L28)</f>
        <v>1</v>
      </c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</row>
    <row r="29" spans="1:28" x14ac:dyDescent="0.2">
      <c r="A29" t="s">
        <v>172</v>
      </c>
      <c r="C29" s="26">
        <f>+Composition!$E$25</f>
        <v>0.27131295251703436</v>
      </c>
      <c r="D29" s="26">
        <f>+Composition!$E$26</f>
        <v>0</v>
      </c>
      <c r="E29" s="26">
        <f>+Composition!$E$27</f>
        <v>0.41153325300433985</v>
      </c>
      <c r="F29" s="26">
        <f>+Composition!$E$28</f>
        <v>2.7596208187159445E-2</v>
      </c>
      <c r="G29" s="26">
        <f>+Composition!$E$30</f>
        <v>2.131561830221473E-2</v>
      </c>
      <c r="H29" s="26">
        <f>+Composition!$E$29</f>
        <v>0.20333543041767521</v>
      </c>
      <c r="I29" s="26">
        <f>+Composition!$E$31</f>
        <v>4.5361000629125299E-2</v>
      </c>
      <c r="J29" s="26">
        <f>+Composition!$E$32</f>
        <v>1.0897729817340399E-2</v>
      </c>
      <c r="K29" s="26">
        <f>+Composition!$E$33</f>
        <v>7.5814930529638199E-3</v>
      </c>
      <c r="L29" s="26">
        <f>+Composition!$E$34</f>
        <v>1.0663140721468101E-3</v>
      </c>
      <c r="M29" s="26">
        <f t="shared" ref="M29:M39" si="6">SUM(C29:L29)</f>
        <v>1</v>
      </c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</row>
    <row r="30" spans="1:28" x14ac:dyDescent="0.2">
      <c r="A30" t="s">
        <v>173</v>
      </c>
      <c r="C30" s="26">
        <f>+Composition!$G$25</f>
        <v>0.26641692134117617</v>
      </c>
      <c r="D30" s="26">
        <f>+Composition!$G$26</f>
        <v>0</v>
      </c>
      <c r="E30" s="26">
        <f>+Composition!$G$27</f>
        <v>0.44294743299048117</v>
      </c>
      <c r="F30" s="26">
        <f>+Composition!$G$28</f>
        <v>1.7230236710372097E-2</v>
      </c>
      <c r="G30" s="26">
        <f>+Composition!$G$30</f>
        <v>2.6387565311688736E-2</v>
      </c>
      <c r="H30" s="26">
        <f>+Composition!$G$29</f>
        <v>0.18231408760803128</v>
      </c>
      <c r="I30" s="26">
        <f>+Composition!$G$31</f>
        <v>4.5184187177549205E-2</v>
      </c>
      <c r="J30" s="26">
        <f>+Composition!$G$32</f>
        <v>1.0482731425191415E-2</v>
      </c>
      <c r="K30" s="26">
        <f>+Composition!$G$33</f>
        <v>7.9524169432486601E-3</v>
      </c>
      <c r="L30" s="26">
        <f>+Composition!$G$34</f>
        <v>1.084420492261181E-3</v>
      </c>
      <c r="M30" s="26">
        <f t="shared" si="6"/>
        <v>0.99999999999999989</v>
      </c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</row>
    <row r="31" spans="1:28" x14ac:dyDescent="0.2">
      <c r="A31" t="s">
        <v>174</v>
      </c>
      <c r="C31" s="26">
        <f>+Composition!$I$25</f>
        <v>0.28538241601143677</v>
      </c>
      <c r="D31" s="26">
        <f>+Composition!$I$26</f>
        <v>0</v>
      </c>
      <c r="E31" s="26">
        <f>+Composition!$I$27</f>
        <v>0.45253752680486065</v>
      </c>
      <c r="F31" s="26">
        <f>+Composition!$I$28</f>
        <v>1.590421729807005E-2</v>
      </c>
      <c r="G31" s="26">
        <f>+Composition!$I$30</f>
        <v>2.6578508458422682E-2</v>
      </c>
      <c r="H31" s="26">
        <f>+Composition!$I$29</f>
        <v>0.16096020967357638</v>
      </c>
      <c r="I31" s="26">
        <f>+Composition!$I$31</f>
        <v>4.0421729807005001E-2</v>
      </c>
      <c r="J31" s="26">
        <f>+Composition!$I$32</f>
        <v>1.0686204431736956E-2</v>
      </c>
      <c r="K31" s="26">
        <f>+Composition!$I$33</f>
        <v>6.9216106742911601E-3</v>
      </c>
      <c r="L31" s="26">
        <f>+Composition!$I$34</f>
        <v>6.0757684060042886E-4</v>
      </c>
      <c r="M31" s="26">
        <f t="shared" si="6"/>
        <v>1.0000000000000002</v>
      </c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</row>
    <row r="32" spans="1:28" x14ac:dyDescent="0.2">
      <c r="A32" t="s">
        <v>175</v>
      </c>
      <c r="C32" s="26">
        <f>+Composition!$K$25</f>
        <v>0.27523186967384239</v>
      </c>
      <c r="D32" s="26">
        <f>+Composition!$K$26</f>
        <v>0</v>
      </c>
      <c r="E32" s="26">
        <f>+Composition!$K$27</f>
        <v>0.46741275653969455</v>
      </c>
      <c r="F32" s="26">
        <f>+Composition!$K$28</f>
        <v>1.5697548398872881E-2</v>
      </c>
      <c r="G32" s="26">
        <f>+Composition!$K$30</f>
        <v>2.8725600921774647E-2</v>
      </c>
      <c r="H32" s="26">
        <f>+Composition!$K$29</f>
        <v>0.15740899186602325</v>
      </c>
      <c r="I32" s="26">
        <f>+Composition!$K$31</f>
        <v>3.5855664693065017E-2</v>
      </c>
      <c r="J32" s="26">
        <f>+Composition!$K$32</f>
        <v>1.1590631666609627E-2</v>
      </c>
      <c r="K32" s="26">
        <f>+Composition!$K$33</f>
        <v>7.358225811971663E-3</v>
      </c>
      <c r="L32" s="26">
        <f>+Composition!$K$34</f>
        <v>7.1871042814606939E-4</v>
      </c>
      <c r="M32" s="26">
        <f t="shared" si="6"/>
        <v>1</v>
      </c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</row>
    <row r="33" spans="1:28" x14ac:dyDescent="0.2">
      <c r="A33" t="s">
        <v>176</v>
      </c>
      <c r="C33" s="26">
        <f>+Composition!$M$25</f>
        <v>0.30733730576001866</v>
      </c>
      <c r="D33" s="26">
        <f>+Composition!$M$26</f>
        <v>0</v>
      </c>
      <c r="E33" s="26">
        <f>+Composition!$M$27</f>
        <v>0.43676831405538025</v>
      </c>
      <c r="F33" s="26">
        <f>+Composition!$M$28</f>
        <v>1.62869494099778E-2</v>
      </c>
      <c r="G33" s="26">
        <f>+Composition!$M$30</f>
        <v>2.8169178642364758E-2</v>
      </c>
      <c r="H33" s="26">
        <f>+Composition!$M$29</f>
        <v>0.15450403084472483</v>
      </c>
      <c r="I33" s="26">
        <f>+Composition!$M$31</f>
        <v>3.8392335553218832E-2</v>
      </c>
      <c r="J33" s="26">
        <f>+Composition!$M$32</f>
        <v>1.2244421077228647E-2</v>
      </c>
      <c r="K33" s="26">
        <f>+Composition!$M$33</f>
        <v>5.818436733263232E-3</v>
      </c>
      <c r="L33" s="26">
        <f>+Composition!$M$34</f>
        <v>4.7902792382287641E-4</v>
      </c>
      <c r="M33" s="26">
        <f t="shared" si="6"/>
        <v>1</v>
      </c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</row>
    <row r="34" spans="1:28" x14ac:dyDescent="0.2">
      <c r="A34" t="s">
        <v>7</v>
      </c>
      <c r="C34" s="26">
        <f>+Composition!$O$25</f>
        <v>0.31344562379670787</v>
      </c>
      <c r="D34" s="26">
        <f>+Composition!$O$26</f>
        <v>0</v>
      </c>
      <c r="E34" s="26">
        <f>+Composition!$O$27</f>
        <v>0.45103672119910887</v>
      </c>
      <c r="F34" s="26">
        <f>+Composition!$O$28</f>
        <v>1.3869989012872074E-2</v>
      </c>
      <c r="G34" s="26">
        <f>+Composition!$O$30</f>
        <v>2.4151521566018526E-2</v>
      </c>
      <c r="H34" s="26">
        <f>+Composition!$O$29</f>
        <v>0.14142147227514187</v>
      </c>
      <c r="I34" s="26">
        <f>+Composition!$O$31</f>
        <v>3.7537673752860184E-2</v>
      </c>
      <c r="J34" s="26">
        <f>+Composition!$O$32</f>
        <v>1.148104468434687E-2</v>
      </c>
      <c r="K34" s="26">
        <f>+Composition!$O$33</f>
        <v>6.9349945064360371E-3</v>
      </c>
      <c r="L34" s="26">
        <f>+Composition!$O$34</f>
        <v>1.2095920650760531E-4</v>
      </c>
      <c r="M34" s="26">
        <f t="shared" si="6"/>
        <v>0.99999999999999989</v>
      </c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</row>
    <row r="35" spans="1:28" x14ac:dyDescent="0.2">
      <c r="A35" t="s">
        <v>32</v>
      </c>
      <c r="C35" s="26">
        <f>+Composition!$Q$25</f>
        <v>0.27542708232796065</v>
      </c>
      <c r="D35" s="26">
        <f>+Composition!$Q$26</f>
        <v>0</v>
      </c>
      <c r="E35" s="26">
        <f>+Composition!$Q$27</f>
        <v>0.43958112151336748</v>
      </c>
      <c r="F35" s="26">
        <f>+Composition!$Q$28</f>
        <v>1.5046810153460093E-2</v>
      </c>
      <c r="G35" s="26">
        <f>+Composition!$Q$30</f>
        <v>2.4717691342534508E-2</v>
      </c>
      <c r="H35" s="26">
        <f>+Composition!$Q$29</f>
        <v>0.19054145352765178</v>
      </c>
      <c r="I35" s="26">
        <f>+Composition!$Q$31</f>
        <v>3.7969307981855042E-2</v>
      </c>
      <c r="J35" s="26">
        <f>+Composition!$Q$32</f>
        <v>1.0510568477946146E-2</v>
      </c>
      <c r="K35" s="26">
        <f>+Composition!$Q$33</f>
        <v>6.0901457388282988E-3</v>
      </c>
      <c r="L35" s="26">
        <f>+Composition!$Q$34</f>
        <v>1.1581893639610076E-4</v>
      </c>
      <c r="M35" s="26">
        <f t="shared" si="6"/>
        <v>1</v>
      </c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</row>
    <row r="36" spans="1:28" x14ac:dyDescent="0.2">
      <c r="A36" t="s">
        <v>10</v>
      </c>
      <c r="C36" s="26">
        <f>+Composition!$S$25</f>
        <v>0.27654557703269933</v>
      </c>
      <c r="D36" s="26">
        <f>+Composition!$S$26</f>
        <v>0</v>
      </c>
      <c r="E36" s="26">
        <f>+Composition!$S$27</f>
        <v>0.43451054568067565</v>
      </c>
      <c r="F36" s="26">
        <f>+Composition!$S$28</f>
        <v>1.6168316318598743E-2</v>
      </c>
      <c r="G36" s="26">
        <f>+Composition!$S$30</f>
        <v>2.5833031041094467E-2</v>
      </c>
      <c r="H36" s="26">
        <f>+Composition!$S$29</f>
        <v>0.18900606311861942</v>
      </c>
      <c r="I36" s="26">
        <f>+Composition!$S$31</f>
        <v>3.941027102658444E-2</v>
      </c>
      <c r="J36" s="26">
        <f>+Composition!$S$32</f>
        <v>1.0623412965745968E-2</v>
      </c>
      <c r="K36" s="26">
        <f>+Composition!$S$33</f>
        <v>7.5529875110120735E-3</v>
      </c>
      <c r="L36" s="26">
        <f>+Composition!$S$34</f>
        <v>3.497953049696844E-4</v>
      </c>
      <c r="M36" s="26">
        <f t="shared" si="6"/>
        <v>0.99999999999999978</v>
      </c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</row>
    <row r="37" spans="1:28" x14ac:dyDescent="0.2">
      <c r="A37" t="s">
        <v>8</v>
      </c>
      <c r="C37" s="26">
        <f>+Composition!$U$25</f>
        <v>0.27993974102440261</v>
      </c>
      <c r="D37" s="26">
        <f>+Composition!$U$26</f>
        <v>0</v>
      </c>
      <c r="E37" s="26">
        <f>+Composition!$U$27</f>
        <v>0.44616941511994301</v>
      </c>
      <c r="F37" s="26">
        <f>+Composition!$U$28</f>
        <v>1.7709698935118104E-2</v>
      </c>
      <c r="G37" s="26">
        <f>+Composition!$U$30</f>
        <v>2.1274638331148371E-2</v>
      </c>
      <c r="H37" s="26">
        <f>+Composition!$U$29</f>
        <v>0.17810897214747351</v>
      </c>
      <c r="I37" s="26">
        <f>+Composition!$U$31</f>
        <v>3.885783941672992E-2</v>
      </c>
      <c r="J37" s="26">
        <f>+Composition!$U$32</f>
        <v>1.0694818188090803E-2</v>
      </c>
      <c r="K37" s="26">
        <f>+Composition!$U$33</f>
        <v>6.7733848524575086E-3</v>
      </c>
      <c r="L37" s="26">
        <f>+Composition!$U$34</f>
        <v>4.7149198463626119E-4</v>
      </c>
      <c r="M37" s="26">
        <f t="shared" si="6"/>
        <v>1</v>
      </c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</row>
    <row r="38" spans="1:28" x14ac:dyDescent="0.2">
      <c r="A38" t="s">
        <v>9</v>
      </c>
      <c r="C38" s="26">
        <f>+Composition!$W$25</f>
        <v>0.25401734279303861</v>
      </c>
      <c r="D38" s="26">
        <f>+Composition!$W$26</f>
        <v>0</v>
      </c>
      <c r="E38" s="26">
        <f>+Composition!$W$27</f>
        <v>0.45481373678572146</v>
      </c>
      <c r="F38" s="26">
        <f>+Composition!$W$28</f>
        <v>2.3012552301255228E-2</v>
      </c>
      <c r="G38" s="26">
        <f>+Composition!$W$30</f>
        <v>3.260364239079902E-2</v>
      </c>
      <c r="H38" s="26">
        <f>+Composition!$W$29</f>
        <v>0.16938532128635819</v>
      </c>
      <c r="I38" s="26">
        <f>+Composition!$W$31</f>
        <v>4.6752774240494809E-2</v>
      </c>
      <c r="J38" s="26">
        <f>+Composition!$W$32</f>
        <v>1.1743779435247508E-2</v>
      </c>
      <c r="K38" s="26">
        <f>+Composition!$W$33</f>
        <v>7.6708507670850759E-3</v>
      </c>
      <c r="L38" s="26">
        <f>+Composition!$W$34</f>
        <v>0</v>
      </c>
      <c r="M38" s="26">
        <f t="shared" si="6"/>
        <v>0.99999999999999989</v>
      </c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</row>
    <row r="39" spans="1:28" x14ac:dyDescent="0.2">
      <c r="A39" t="s">
        <v>2</v>
      </c>
      <c r="C39" s="26">
        <f>+Composition!$Y$25</f>
        <v>0.21018990273274663</v>
      </c>
      <c r="D39" s="26">
        <f>+Composition!$Y$26</f>
        <v>0</v>
      </c>
      <c r="E39" s="26">
        <f>+Composition!$Y$27</f>
        <v>0.47197776748494663</v>
      </c>
      <c r="F39" s="26">
        <f>+Composition!$Y$28</f>
        <v>2.2655991530470456E-2</v>
      </c>
      <c r="G39" s="26">
        <f>+Composition!$Y$30</f>
        <v>2.8809634089856411E-2</v>
      </c>
      <c r="H39" s="26">
        <f>+Composition!$Y$29</f>
        <v>0.19694302918017598</v>
      </c>
      <c r="I39" s="26">
        <f>+Composition!$Y$31</f>
        <v>4.9176205915437032E-2</v>
      </c>
      <c r="J39" s="26">
        <f>+Composition!$Y$32</f>
        <v>1.2174948719645336E-2</v>
      </c>
      <c r="K39" s="26">
        <f>+Composition!$Y$33</f>
        <v>8.0725203467213649E-3</v>
      </c>
      <c r="L39" s="26">
        <f>+Composition!$Y$34</f>
        <v>0</v>
      </c>
      <c r="M39" s="26">
        <f t="shared" si="6"/>
        <v>0.99999999999999989</v>
      </c>
      <c r="N39" s="26"/>
      <c r="O39" s="26"/>
      <c r="P39" s="26"/>
      <c r="Q39" s="26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</row>
    <row r="40" spans="1:28" x14ac:dyDescent="0.2">
      <c r="C40"/>
      <c r="N40" s="26"/>
      <c r="R40" s="28"/>
    </row>
    <row r="41" spans="1:28" x14ac:dyDescent="0.2">
      <c r="A41" s="3" t="s">
        <v>49</v>
      </c>
      <c r="B41" s="3"/>
      <c r="C41"/>
      <c r="R41" s="28"/>
    </row>
    <row r="42" spans="1:28" x14ac:dyDescent="0.2">
      <c r="A42" t="s">
        <v>171</v>
      </c>
      <c r="C42" s="18">
        <f>+Prices!B5</f>
        <v>6.94</v>
      </c>
      <c r="D42" s="18">
        <f>+Prices!C5</f>
        <v>-55.5</v>
      </c>
      <c r="E42" s="18">
        <f>+Prices!D5</f>
        <v>64.709999999999994</v>
      </c>
      <c r="F42" s="18">
        <f>+Prices!E5</f>
        <v>944.93</v>
      </c>
      <c r="G42" s="18">
        <f>+Prices!F5</f>
        <v>125.54</v>
      </c>
      <c r="H42" s="18">
        <f>+Prices!G5</f>
        <v>-53.34</v>
      </c>
      <c r="I42" s="18">
        <f>+Prices!H5</f>
        <v>175</v>
      </c>
      <c r="J42" s="18">
        <f>+Prices!I5</f>
        <v>420</v>
      </c>
      <c r="K42" s="18">
        <f>+Prices!J5</f>
        <v>230</v>
      </c>
      <c r="L42" s="18">
        <f>+Prices!K5</f>
        <v>-140</v>
      </c>
      <c r="O42" s="18"/>
      <c r="P42" s="18"/>
      <c r="R42" s="28"/>
      <c r="S42" s="18"/>
      <c r="T42" s="18"/>
      <c r="U42" s="18"/>
      <c r="V42" s="18"/>
      <c r="W42" s="18"/>
      <c r="X42" s="18"/>
      <c r="Y42" s="18"/>
      <c r="Z42" s="18"/>
    </row>
    <row r="43" spans="1:28" x14ac:dyDescent="0.2">
      <c r="A43" t="s">
        <v>172</v>
      </c>
      <c r="C43" s="18">
        <f>+Prices!B6</f>
        <v>2.93</v>
      </c>
      <c r="D43" s="18">
        <f>+Prices!C6</f>
        <v>-55.5</v>
      </c>
      <c r="E43" s="18">
        <f>+Prices!D6</f>
        <v>58.45</v>
      </c>
      <c r="F43" s="18">
        <f>+Prices!E6</f>
        <v>957.28</v>
      </c>
      <c r="G43" s="18">
        <f>+Prices!F6</f>
        <v>119.81</v>
      </c>
      <c r="H43" s="18">
        <f>+Prices!G6</f>
        <v>-53.34</v>
      </c>
      <c r="I43" s="18">
        <f>+Prices!H6</f>
        <v>175</v>
      </c>
      <c r="J43" s="18">
        <f>+Prices!I6</f>
        <v>420</v>
      </c>
      <c r="K43" s="18">
        <f>+Prices!J6</f>
        <v>210</v>
      </c>
      <c r="L43" s="18">
        <f>+Prices!K6</f>
        <v>-140</v>
      </c>
      <c r="O43" s="18"/>
      <c r="P43" s="18"/>
      <c r="R43" s="28"/>
      <c r="S43" s="18"/>
      <c r="T43" s="18"/>
      <c r="U43" s="18"/>
      <c r="V43" s="18"/>
      <c r="W43" s="18"/>
      <c r="X43" s="18"/>
      <c r="Y43" s="18"/>
      <c r="Z43" s="18"/>
    </row>
    <row r="44" spans="1:28" x14ac:dyDescent="0.2">
      <c r="A44" t="s">
        <v>173</v>
      </c>
      <c r="C44" s="18">
        <f>+Prices!B7</f>
        <v>-0.55000000000000004</v>
      </c>
      <c r="D44" s="18">
        <f>+Prices!C7</f>
        <v>-55.5</v>
      </c>
      <c r="E44" s="18">
        <f>+Prices!D7</f>
        <v>63.21</v>
      </c>
      <c r="F44" s="18">
        <f>+Prices!E7</f>
        <v>916.77</v>
      </c>
      <c r="G44" s="18">
        <f>+Prices!F7</f>
        <v>123.04</v>
      </c>
      <c r="H44" s="18">
        <f>+Prices!G7</f>
        <v>-53.34</v>
      </c>
      <c r="I44" s="18">
        <f>+Prices!H7</f>
        <v>145</v>
      </c>
      <c r="J44" s="18">
        <f>+Prices!I7</f>
        <v>410</v>
      </c>
      <c r="K44" s="18">
        <f>+Prices!J7</f>
        <v>200</v>
      </c>
      <c r="L44" s="18">
        <f>+Prices!K7</f>
        <v>-140</v>
      </c>
      <c r="O44" s="18"/>
      <c r="P44" s="18"/>
      <c r="R44" s="28"/>
      <c r="S44" s="18"/>
      <c r="T44" s="18"/>
      <c r="U44" s="18"/>
      <c r="V44" s="18"/>
      <c r="W44" s="18"/>
      <c r="X44" s="18"/>
      <c r="Y44" s="18"/>
      <c r="Z44" s="18"/>
    </row>
    <row r="45" spans="1:28" x14ac:dyDescent="0.2">
      <c r="A45" t="s">
        <v>174</v>
      </c>
      <c r="C45" s="18">
        <f>+Prices!B8</f>
        <v>5.51</v>
      </c>
      <c r="D45" s="18">
        <f>+Prices!C8</f>
        <v>-55.5</v>
      </c>
      <c r="E45" s="18">
        <f>+Prices!D8</f>
        <v>66.56</v>
      </c>
      <c r="F45" s="18">
        <f>+Prices!E8</f>
        <v>894.97</v>
      </c>
      <c r="G45" s="18">
        <f>+Prices!F8</f>
        <v>109.2</v>
      </c>
      <c r="H45" s="18">
        <f>+Prices!G8</f>
        <v>-53.34</v>
      </c>
      <c r="I45" s="18">
        <f>+Prices!H8</f>
        <v>71.2</v>
      </c>
      <c r="J45" s="18">
        <f>+Prices!I8</f>
        <v>480</v>
      </c>
      <c r="K45" s="18">
        <f>+Prices!J8</f>
        <v>200</v>
      </c>
      <c r="L45" s="18">
        <f>+Prices!K8</f>
        <v>-197.5</v>
      </c>
      <c r="O45" s="18"/>
      <c r="P45" s="18"/>
      <c r="R45" s="28"/>
      <c r="S45" s="18"/>
      <c r="T45" s="18"/>
      <c r="U45" s="18"/>
      <c r="V45" s="18"/>
      <c r="W45" s="18"/>
      <c r="X45" s="18"/>
      <c r="Y45" s="18"/>
      <c r="Z45" s="18"/>
    </row>
    <row r="46" spans="1:28" x14ac:dyDescent="0.2">
      <c r="A46" t="s">
        <v>175</v>
      </c>
      <c r="C46" s="18">
        <f>+Prices!B9</f>
        <v>11.29</v>
      </c>
      <c r="D46" s="18">
        <f>+Prices!C9</f>
        <v>-55.5</v>
      </c>
      <c r="E46" s="18">
        <f>+Prices!D9</f>
        <v>66.459999999999994</v>
      </c>
      <c r="F46" s="18">
        <f>+Prices!E9</f>
        <v>907.91</v>
      </c>
      <c r="G46" s="18">
        <f>+Prices!F9</f>
        <v>81.25</v>
      </c>
      <c r="H46" s="18">
        <f>+Prices!G9</f>
        <v>-53.34</v>
      </c>
      <c r="I46" s="18">
        <f>+Prices!H9</f>
        <v>45.23</v>
      </c>
      <c r="J46" s="18">
        <f>+Prices!I9</f>
        <v>562</v>
      </c>
      <c r="K46" s="18">
        <f>+Prices!J9</f>
        <v>260</v>
      </c>
      <c r="L46" s="18">
        <f>+Prices!K9</f>
        <v>-197.5</v>
      </c>
      <c r="O46" s="18"/>
      <c r="P46" s="18"/>
      <c r="R46" s="28"/>
      <c r="S46" s="18"/>
      <c r="T46" s="18"/>
      <c r="U46" s="18"/>
      <c r="V46" s="18"/>
      <c r="W46" s="18"/>
      <c r="X46" s="18"/>
      <c r="Y46" s="18"/>
      <c r="Z46" s="18"/>
    </row>
    <row r="47" spans="1:28" x14ac:dyDescent="0.2">
      <c r="A47" t="s">
        <v>176</v>
      </c>
      <c r="C47" s="18">
        <f>+Prices!B10</f>
        <v>21.67</v>
      </c>
      <c r="D47" s="18">
        <f>+Prices!C10</f>
        <v>-55.5</v>
      </c>
      <c r="E47" s="18">
        <f>+Prices!D10</f>
        <v>66.099999999999994</v>
      </c>
      <c r="F47" s="18">
        <f>+Prices!E10</f>
        <v>899.35</v>
      </c>
      <c r="G47" s="18">
        <f>+Prices!F10</f>
        <v>90.13</v>
      </c>
      <c r="H47" s="18">
        <f>+Prices!G10</f>
        <v>-53.34</v>
      </c>
      <c r="I47" s="18">
        <f>+Prices!H10</f>
        <v>27.29</v>
      </c>
      <c r="J47" s="18">
        <f>+Prices!I10</f>
        <v>820</v>
      </c>
      <c r="K47" s="18">
        <f>+Prices!J10</f>
        <v>310</v>
      </c>
      <c r="L47" s="18">
        <f>+Prices!K10</f>
        <v>-197.5</v>
      </c>
      <c r="O47" s="18"/>
      <c r="P47" s="18"/>
      <c r="R47" s="28"/>
      <c r="S47" s="18"/>
      <c r="T47" s="18"/>
      <c r="U47" s="18"/>
      <c r="V47" s="18"/>
      <c r="W47" s="18"/>
      <c r="X47" s="18"/>
      <c r="Y47" s="18"/>
      <c r="Z47" s="18"/>
    </row>
    <row r="48" spans="1:28" x14ac:dyDescent="0.2">
      <c r="A48" t="s">
        <v>7</v>
      </c>
      <c r="C48" s="18">
        <f>+Prices!B11</f>
        <v>9.86</v>
      </c>
      <c r="D48" s="18">
        <f>+Prices!C11</f>
        <v>-55.5</v>
      </c>
      <c r="E48" s="18">
        <f>+Prices!D11</f>
        <v>66.069999999999993</v>
      </c>
      <c r="F48" s="18">
        <f>+Prices!E11</f>
        <v>831.93</v>
      </c>
      <c r="G48" s="18">
        <f>+Prices!F11</f>
        <v>84.48</v>
      </c>
      <c r="H48" s="18">
        <f>+Prices!G11</f>
        <v>-53.34</v>
      </c>
      <c r="I48" s="18">
        <f>+Prices!H11</f>
        <v>69.56</v>
      </c>
      <c r="J48" s="18">
        <f>+Prices!I11</f>
        <v>1020</v>
      </c>
      <c r="K48" s="18">
        <f>+Prices!J11</f>
        <v>260</v>
      </c>
      <c r="L48" s="18">
        <f>+Prices!K11</f>
        <v>-197.5</v>
      </c>
      <c r="O48" s="18"/>
      <c r="P48" s="18"/>
      <c r="R48" s="28"/>
      <c r="S48" s="18"/>
      <c r="T48" s="18"/>
      <c r="U48" s="18"/>
      <c r="V48" s="18"/>
      <c r="W48" s="18"/>
      <c r="X48" s="18"/>
      <c r="Y48" s="18"/>
      <c r="Z48" s="18"/>
    </row>
    <row r="49" spans="1:26" x14ac:dyDescent="0.2">
      <c r="A49" t="s">
        <v>32</v>
      </c>
      <c r="C49" s="18">
        <f>+Prices!B12</f>
        <v>39.22</v>
      </c>
      <c r="D49" s="18">
        <f>+Prices!C12</f>
        <v>-55.5</v>
      </c>
      <c r="E49" s="18">
        <f>+Prices!D12</f>
        <v>68.53</v>
      </c>
      <c r="F49" s="18">
        <f>+Prices!E12</f>
        <v>853.22</v>
      </c>
      <c r="G49" s="18">
        <f>+Prices!F12</f>
        <v>109.66</v>
      </c>
      <c r="H49" s="18">
        <f>+Prices!G12</f>
        <v>-53.34</v>
      </c>
      <c r="I49" s="18">
        <f>+Prices!H12</f>
        <v>140</v>
      </c>
      <c r="J49" s="18">
        <f>+Prices!I12</f>
        <v>1060</v>
      </c>
      <c r="K49" s="18">
        <f>+Prices!J12</f>
        <v>260</v>
      </c>
      <c r="L49" s="18">
        <f>+Prices!K12</f>
        <v>-197.5</v>
      </c>
      <c r="O49" s="18"/>
      <c r="P49" s="18"/>
      <c r="R49" s="28"/>
      <c r="S49" s="18"/>
      <c r="T49" s="18"/>
      <c r="U49" s="18"/>
      <c r="V49" s="18"/>
      <c r="W49" s="18"/>
      <c r="X49" s="18"/>
      <c r="Y49" s="18"/>
      <c r="Z49" s="18"/>
    </row>
    <row r="50" spans="1:26" x14ac:dyDescent="0.2">
      <c r="A50" t="s">
        <v>10</v>
      </c>
      <c r="C50" s="18">
        <f>+Prices!B13</f>
        <v>39.24</v>
      </c>
      <c r="D50" s="18">
        <f>+Prices!C13</f>
        <v>-55.5</v>
      </c>
      <c r="E50" s="18">
        <f>+Prices!D13</f>
        <v>68.77</v>
      </c>
      <c r="F50" s="18">
        <f>+Prices!E13</f>
        <v>831.09</v>
      </c>
      <c r="G50" s="18">
        <f>+Prices!F13</f>
        <v>97.48</v>
      </c>
      <c r="H50" s="18">
        <f>+Prices!G13</f>
        <v>-53.34</v>
      </c>
      <c r="I50" s="18">
        <f>+Prices!H13</f>
        <v>170</v>
      </c>
      <c r="J50" s="18">
        <f>+Prices!I13</f>
        <v>1049.03</v>
      </c>
      <c r="K50" s="18">
        <f>+Prices!J13</f>
        <v>160</v>
      </c>
      <c r="L50" s="18">
        <f>+Prices!K13</f>
        <v>-197.5</v>
      </c>
      <c r="O50" s="18"/>
      <c r="P50" s="18"/>
      <c r="R50" s="28"/>
      <c r="S50" s="18"/>
      <c r="T50" s="18"/>
      <c r="U50" s="18"/>
      <c r="V50" s="18"/>
      <c r="W50" s="18"/>
      <c r="X50" s="18"/>
      <c r="Y50" s="18"/>
      <c r="Z50" s="18"/>
    </row>
    <row r="51" spans="1:26" x14ac:dyDescent="0.2">
      <c r="A51" t="s">
        <v>8</v>
      </c>
      <c r="C51" s="18">
        <f>+Prices!B14</f>
        <v>15.48</v>
      </c>
      <c r="D51" s="18">
        <f>+Prices!C14</f>
        <v>-55.5</v>
      </c>
      <c r="E51" s="18">
        <f>+Prices!D14</f>
        <v>69.7</v>
      </c>
      <c r="F51" s="18">
        <f>+Prices!E14</f>
        <v>830.12</v>
      </c>
      <c r="G51" s="18">
        <f>+Prices!F14</f>
        <v>105.81</v>
      </c>
      <c r="H51" s="18">
        <f>+Prices!G14</f>
        <v>-53.34</v>
      </c>
      <c r="I51" s="18">
        <f>+Prices!H14</f>
        <v>170</v>
      </c>
      <c r="J51" s="18">
        <f>+Prices!I14</f>
        <v>659.41</v>
      </c>
      <c r="K51" s="18">
        <f>+Prices!J14</f>
        <v>150</v>
      </c>
      <c r="L51" s="18">
        <f>+Prices!K14</f>
        <v>-197.5</v>
      </c>
      <c r="O51" s="18"/>
      <c r="P51" s="18"/>
      <c r="R51" s="28"/>
      <c r="S51" s="18"/>
      <c r="T51" s="18"/>
      <c r="U51" s="18"/>
      <c r="V51" s="18"/>
      <c r="W51" s="18"/>
      <c r="X51" s="18"/>
      <c r="Y51" s="18"/>
      <c r="Z51" s="18"/>
    </row>
    <row r="52" spans="1:26" x14ac:dyDescent="0.2">
      <c r="A52" t="s">
        <v>9</v>
      </c>
      <c r="C52" s="18">
        <f>+Prices!B15</f>
        <v>21.2</v>
      </c>
      <c r="D52" s="18">
        <f>+Prices!C15</f>
        <v>-55.5</v>
      </c>
      <c r="E52" s="18">
        <f>+Prices!D15</f>
        <v>80.5</v>
      </c>
      <c r="F52" s="18">
        <f>+Prices!E15</f>
        <v>850.05</v>
      </c>
      <c r="G52" s="18">
        <f>+Prices!F15</f>
        <v>65.66</v>
      </c>
      <c r="H52" s="18">
        <f>+Prices!G15</f>
        <v>-53.34</v>
      </c>
      <c r="I52" s="18">
        <f>+Prices!H15</f>
        <v>150</v>
      </c>
      <c r="J52" s="18">
        <f>+Prices!I15</f>
        <v>680</v>
      </c>
      <c r="K52" s="18">
        <f>+Prices!J15</f>
        <v>60</v>
      </c>
      <c r="L52" s="18">
        <f>+Prices!K15</f>
        <v>-197.5</v>
      </c>
      <c r="O52" s="18"/>
      <c r="P52" s="18"/>
      <c r="R52" s="28"/>
      <c r="S52" s="18"/>
      <c r="T52" s="18"/>
      <c r="U52" s="18"/>
      <c r="V52" s="18"/>
      <c r="W52" s="18"/>
      <c r="X52" s="18"/>
      <c r="Y52" s="18"/>
      <c r="Z52" s="18"/>
    </row>
    <row r="53" spans="1:26" x14ac:dyDescent="0.2">
      <c r="A53" t="s">
        <v>2</v>
      </c>
      <c r="C53" s="18">
        <f>+Prices!B16</f>
        <v>44.81</v>
      </c>
      <c r="D53" s="18">
        <f>+Prices!C16</f>
        <v>-55.5</v>
      </c>
      <c r="E53" s="18">
        <f>+Prices!D16</f>
        <v>112.37</v>
      </c>
      <c r="F53" s="18">
        <f>+Prices!E16</f>
        <v>853.92</v>
      </c>
      <c r="G53" s="18">
        <f>+Prices!F16</f>
        <v>80.13</v>
      </c>
      <c r="H53" s="18">
        <f>+Prices!G16</f>
        <v>-53.34</v>
      </c>
      <c r="I53" s="18">
        <f>+Prices!H16</f>
        <v>110</v>
      </c>
      <c r="J53" s="18">
        <f>+Prices!I16</f>
        <v>630.04</v>
      </c>
      <c r="K53" s="18">
        <f>+Prices!J16</f>
        <v>60</v>
      </c>
      <c r="L53" s="18">
        <f>+Prices!K16</f>
        <v>-197.5</v>
      </c>
      <c r="O53" s="62"/>
      <c r="P53" s="18"/>
      <c r="R53" s="28"/>
      <c r="S53" s="29"/>
      <c r="T53" s="29"/>
      <c r="U53" s="18"/>
      <c r="V53" s="29"/>
      <c r="W53" s="29"/>
      <c r="X53" s="29"/>
      <c r="Y53" s="29"/>
      <c r="Z53" s="29"/>
    </row>
    <row r="54" spans="1:26" x14ac:dyDescent="0.2">
      <c r="C54" s="63"/>
      <c r="D54" s="63"/>
      <c r="E54" s="63"/>
      <c r="F54" s="63"/>
      <c r="G54" s="63"/>
      <c r="H54" s="63"/>
      <c r="I54" s="63"/>
      <c r="J54" s="63"/>
      <c r="K54" s="63"/>
      <c r="L54" s="63"/>
      <c r="P54" s="4"/>
      <c r="Q54" s="4"/>
      <c r="R54" s="4"/>
      <c r="S54" s="4"/>
      <c r="T54" s="4"/>
    </row>
    <row r="55" spans="1:26" x14ac:dyDescent="0.2">
      <c r="C55"/>
      <c r="P55" s="4"/>
      <c r="Q55" s="4"/>
      <c r="R55" s="4"/>
      <c r="S55" s="4"/>
      <c r="T55" s="4"/>
      <c r="U55" s="4"/>
    </row>
    <row r="56" spans="1:26" x14ac:dyDescent="0.2">
      <c r="C56" s="373" t="s">
        <v>35</v>
      </c>
      <c r="D56" s="373"/>
      <c r="E56" s="373"/>
      <c r="F56" s="373"/>
      <c r="G56" s="373"/>
      <c r="H56" s="373"/>
      <c r="I56" s="373"/>
      <c r="J56" s="373"/>
      <c r="K56" s="373"/>
      <c r="L56" s="373"/>
      <c r="P56" s="4"/>
      <c r="Q56" s="4"/>
      <c r="R56" s="4"/>
      <c r="S56" s="4"/>
      <c r="T56" s="4"/>
      <c r="U56" s="4"/>
    </row>
    <row r="57" spans="1:26" x14ac:dyDescent="0.2">
      <c r="C57" s="24" t="s">
        <v>36</v>
      </c>
      <c r="D57" s="24" t="s">
        <v>37</v>
      </c>
      <c r="E57" s="24"/>
      <c r="F57" s="24" t="s">
        <v>38</v>
      </c>
      <c r="G57" s="24" t="s">
        <v>39</v>
      </c>
      <c r="H57" s="24"/>
      <c r="I57" s="24"/>
      <c r="J57" s="24" t="s">
        <v>0</v>
      </c>
      <c r="K57" s="24" t="s">
        <v>0</v>
      </c>
      <c r="L57" s="24" t="s">
        <v>40</v>
      </c>
      <c r="N57" s="99"/>
      <c r="P57" s="4"/>
      <c r="Q57" s="4"/>
      <c r="R57" s="4"/>
      <c r="S57" s="4"/>
      <c r="T57" s="4"/>
      <c r="U57" s="4"/>
    </row>
    <row r="58" spans="1:26" x14ac:dyDescent="0.2">
      <c r="C58" s="25" t="s">
        <v>41</v>
      </c>
      <c r="D58" s="25" t="s">
        <v>42</v>
      </c>
      <c r="E58" s="25" t="s">
        <v>19</v>
      </c>
      <c r="F58" s="25" t="s">
        <v>17</v>
      </c>
      <c r="G58" s="25" t="s">
        <v>18</v>
      </c>
      <c r="H58" s="25" t="s">
        <v>11</v>
      </c>
      <c r="I58" s="25" t="s">
        <v>1</v>
      </c>
      <c r="J58" s="25" t="s">
        <v>43</v>
      </c>
      <c r="K58" s="25" t="s">
        <v>44</v>
      </c>
      <c r="L58" s="25" t="s">
        <v>45</v>
      </c>
      <c r="M58" s="30" t="s">
        <v>3</v>
      </c>
      <c r="N58" s="30"/>
      <c r="P58" s="4"/>
      <c r="Q58" s="4"/>
      <c r="R58" s="4"/>
      <c r="S58" s="4"/>
      <c r="T58" s="4"/>
      <c r="U58" s="4"/>
    </row>
    <row r="59" spans="1:26" x14ac:dyDescent="0.2">
      <c r="A59" s="3" t="s">
        <v>50</v>
      </c>
      <c r="B59" s="3"/>
      <c r="P59" s="5"/>
      <c r="Q59" s="5"/>
      <c r="R59" s="5"/>
      <c r="S59" s="5"/>
      <c r="T59" s="5"/>
      <c r="U59" s="5"/>
      <c r="V59" s="5"/>
    </row>
    <row r="60" spans="1:26" x14ac:dyDescent="0.2">
      <c r="A60" t="s">
        <v>171</v>
      </c>
      <c r="C60" s="2">
        <f t="shared" ref="C60:L60" si="7">+$H9*C28</f>
        <v>131.04824970828466</v>
      </c>
      <c r="D60" s="2">
        <f t="shared" si="7"/>
        <v>0</v>
      </c>
      <c r="E60" s="2">
        <f t="shared" si="7"/>
        <v>166.4844224037339</v>
      </c>
      <c r="F60" s="2">
        <f t="shared" si="7"/>
        <v>6.823978996499414</v>
      </c>
      <c r="G60" s="2">
        <f t="shared" si="7"/>
        <v>9.0477246207701256</v>
      </c>
      <c r="H60" s="2">
        <f t="shared" si="7"/>
        <v>70.544399066511076</v>
      </c>
      <c r="I60" s="2">
        <f t="shared" si="7"/>
        <v>15.683022170361721</v>
      </c>
      <c r="J60" s="2">
        <f t="shared" si="7"/>
        <v>3.6972578763127184</v>
      </c>
      <c r="K60" s="2">
        <f t="shared" si="7"/>
        <v>2.98296382730455</v>
      </c>
      <c r="L60" s="2">
        <f t="shared" si="7"/>
        <v>0.33243873978996491</v>
      </c>
      <c r="M60" s="6">
        <f t="shared" ref="M60" si="8">SUM(C60:L60)</f>
        <v>406.64445740956808</v>
      </c>
      <c r="N60" s="2"/>
      <c r="O60" s="6"/>
      <c r="P60" s="79"/>
      <c r="Q60" s="17"/>
      <c r="R60" s="76"/>
      <c r="S60" s="9"/>
      <c r="T60" s="76"/>
      <c r="U60" s="76"/>
      <c r="V60" s="18"/>
    </row>
    <row r="61" spans="1:26" x14ac:dyDescent="0.2">
      <c r="A61" t="s">
        <v>172</v>
      </c>
      <c r="C61" s="2">
        <f t="shared" ref="C61:L61" si="9">+$H10*C29</f>
        <v>114.38932041310723</v>
      </c>
      <c r="D61" s="2">
        <f t="shared" si="9"/>
        <v>0</v>
      </c>
      <c r="E61" s="2">
        <f t="shared" si="9"/>
        <v>173.50815249266861</v>
      </c>
      <c r="F61" s="2">
        <f t="shared" si="9"/>
        <v>11.634945811551702</v>
      </c>
      <c r="G61" s="2">
        <f t="shared" si="9"/>
        <v>8.9869616218283817</v>
      </c>
      <c r="H61" s="2">
        <f t="shared" si="9"/>
        <v>85.729050108376896</v>
      </c>
      <c r="I61" s="2">
        <f t="shared" si="9"/>
        <v>19.124829784521229</v>
      </c>
      <c r="J61" s="2">
        <f t="shared" si="9"/>
        <v>4.5946347061073567</v>
      </c>
      <c r="K61" s="2">
        <f t="shared" si="9"/>
        <v>3.1964630881040419</v>
      </c>
      <c r="L61" s="2">
        <f t="shared" si="9"/>
        <v>0.44957286752518172</v>
      </c>
      <c r="M61" s="6">
        <f t="shared" ref="M61:M67" si="10">SUM(C61:L61)</f>
        <v>421.61393089379061</v>
      </c>
      <c r="N61" s="2">
        <f>+M61+M60</f>
        <v>828.25838830335874</v>
      </c>
      <c r="O61" s="6"/>
      <c r="P61" s="79"/>
      <c r="Q61" s="17"/>
      <c r="R61" s="76"/>
      <c r="S61" s="9"/>
      <c r="T61" s="76"/>
      <c r="U61" s="76"/>
      <c r="V61" s="18"/>
    </row>
    <row r="62" spans="1:26" x14ac:dyDescent="0.2">
      <c r="A62" t="s">
        <v>173</v>
      </c>
      <c r="C62" s="2">
        <f t="shared" ref="C62:L62" si="11">+$H11*C30</f>
        <v>109.23146183371958</v>
      </c>
      <c r="D62" s="2">
        <f t="shared" si="11"/>
        <v>0</v>
      </c>
      <c r="E62" s="2">
        <f t="shared" si="11"/>
        <v>181.60931887311705</v>
      </c>
      <c r="F62" s="2">
        <f t="shared" si="11"/>
        <v>7.0644309458285059</v>
      </c>
      <c r="G62" s="2">
        <f t="shared" si="11"/>
        <v>10.818953686268831</v>
      </c>
      <c r="H62" s="2">
        <f t="shared" si="11"/>
        <v>74.749134559675554</v>
      </c>
      <c r="I62" s="2">
        <f t="shared" si="11"/>
        <v>18.525605627172656</v>
      </c>
      <c r="J62" s="2">
        <f t="shared" si="11"/>
        <v>4.297940505504056</v>
      </c>
      <c r="K62" s="2">
        <f t="shared" si="11"/>
        <v>3.2605065903823873</v>
      </c>
      <c r="L62" s="2">
        <f t="shared" si="11"/>
        <v>0.44461453505214377</v>
      </c>
      <c r="M62" s="6">
        <f t="shared" si="10"/>
        <v>410.00196715672081</v>
      </c>
      <c r="N62" s="2">
        <f>+N61+M62</f>
        <v>1238.2603554600796</v>
      </c>
      <c r="O62" s="6"/>
      <c r="P62" s="79"/>
      <c r="Q62" s="17"/>
      <c r="R62" s="76"/>
      <c r="S62" s="9"/>
      <c r="T62" s="76"/>
      <c r="U62" s="76"/>
      <c r="V62" s="18"/>
    </row>
    <row r="63" spans="1:26" x14ac:dyDescent="0.2">
      <c r="A63" t="s">
        <v>174</v>
      </c>
      <c r="C63" s="2">
        <f t="shared" ref="C63:L63" si="12">+$H12*C31</f>
        <v>107.67323500704913</v>
      </c>
      <c r="D63" s="2">
        <f t="shared" si="12"/>
        <v>0</v>
      </c>
      <c r="E63" s="2">
        <f t="shared" si="12"/>
        <v>170.73995011387052</v>
      </c>
      <c r="F63" s="2">
        <f t="shared" si="12"/>
        <v>6.0005747749701763</v>
      </c>
      <c r="G63" s="2">
        <f t="shared" si="12"/>
        <v>10.027926833676752</v>
      </c>
      <c r="H63" s="2">
        <f t="shared" si="12"/>
        <v>60.729412572750611</v>
      </c>
      <c r="I63" s="2">
        <f t="shared" si="12"/>
        <v>15.250899034811841</v>
      </c>
      <c r="J63" s="2">
        <f t="shared" si="12"/>
        <v>4.031846871272097</v>
      </c>
      <c r="K63" s="2">
        <f t="shared" si="12"/>
        <v>2.6114861005675447</v>
      </c>
      <c r="L63" s="2">
        <f t="shared" si="12"/>
        <v>0.22923544084155731</v>
      </c>
      <c r="M63" s="6">
        <f t="shared" si="10"/>
        <v>377.2945667498102</v>
      </c>
      <c r="N63" s="2">
        <f t="shared" ref="N63:N71" si="13">+N62+M63</f>
        <v>1615.5549222098898</v>
      </c>
      <c r="O63" s="6"/>
      <c r="P63" s="79"/>
      <c r="Q63" s="17"/>
      <c r="R63" s="76"/>
      <c r="S63" s="9"/>
      <c r="T63" s="76"/>
      <c r="U63" s="76"/>
      <c r="V63" s="18"/>
    </row>
    <row r="64" spans="1:26" x14ac:dyDescent="0.2">
      <c r="A64" t="s">
        <v>175</v>
      </c>
      <c r="C64" s="2">
        <f t="shared" ref="C64:L64" si="14">+$H13*C32</f>
        <v>108.66285073032996</v>
      </c>
      <c r="D64" s="2">
        <f t="shared" si="14"/>
        <v>0</v>
      </c>
      <c r="E64" s="2">
        <f t="shared" si="14"/>
        <v>184.53677858422779</v>
      </c>
      <c r="F64" s="2">
        <f t="shared" si="14"/>
        <v>6.1974667414794844</v>
      </c>
      <c r="G64" s="2">
        <f t="shared" si="14"/>
        <v>11.341003819073649</v>
      </c>
      <c r="H64" s="2">
        <f t="shared" si="14"/>
        <v>62.145818385853133</v>
      </c>
      <c r="I64" s="2">
        <f t="shared" si="14"/>
        <v>14.15598689569042</v>
      </c>
      <c r="J64" s="2">
        <f t="shared" si="14"/>
        <v>4.5760364893482235</v>
      </c>
      <c r="K64" s="2">
        <f t="shared" si="14"/>
        <v>2.9050625350685082</v>
      </c>
      <c r="L64" s="2">
        <f t="shared" si="14"/>
        <v>0.28375029412297054</v>
      </c>
      <c r="M64" s="6">
        <f t="shared" si="10"/>
        <v>394.80475447519416</v>
      </c>
      <c r="N64" s="2">
        <f t="shared" si="13"/>
        <v>2010.359676685084</v>
      </c>
      <c r="O64" s="6"/>
      <c r="P64" s="79"/>
      <c r="Q64" s="17"/>
      <c r="R64" s="76"/>
      <c r="S64" s="9"/>
      <c r="T64" s="76"/>
      <c r="U64" s="76"/>
      <c r="V64" s="18"/>
    </row>
    <row r="65" spans="1:22" x14ac:dyDescent="0.2">
      <c r="A65" t="s">
        <v>176</v>
      </c>
      <c r="C65" s="2">
        <f t="shared" ref="C65:L65" si="15">+$H14*C33</f>
        <v>118.52531130485217</v>
      </c>
      <c r="D65" s="2">
        <f t="shared" si="15"/>
        <v>0</v>
      </c>
      <c r="E65" s="2">
        <f t="shared" si="15"/>
        <v>168.44066574830975</v>
      </c>
      <c r="F65" s="2">
        <f t="shared" si="15"/>
        <v>6.2810980406372909</v>
      </c>
      <c r="G65" s="2">
        <f t="shared" si="15"/>
        <v>10.863506008591468</v>
      </c>
      <c r="H65" s="2">
        <f t="shared" si="15"/>
        <v>59.584821011038393</v>
      </c>
      <c r="I65" s="2">
        <f t="shared" si="15"/>
        <v>14.80608906853238</v>
      </c>
      <c r="J65" s="2">
        <f t="shared" si="15"/>
        <v>4.7220880535063703</v>
      </c>
      <c r="K65" s="2">
        <f t="shared" si="15"/>
        <v>2.2438929872577984</v>
      </c>
      <c r="L65" s="2">
        <f t="shared" si="15"/>
        <v>0.18473817766580264</v>
      </c>
      <c r="M65" s="6">
        <f t="shared" si="10"/>
        <v>385.65221040039143</v>
      </c>
      <c r="N65" s="2">
        <f t="shared" si="13"/>
        <v>2396.0118870854753</v>
      </c>
      <c r="O65" s="6"/>
      <c r="P65" s="79"/>
      <c r="Q65" s="17"/>
      <c r="R65" s="76"/>
      <c r="S65" s="9"/>
      <c r="T65" s="76"/>
      <c r="U65" s="76"/>
      <c r="V65" s="18"/>
    </row>
    <row r="66" spans="1:22" x14ac:dyDescent="0.2">
      <c r="A66" t="s">
        <v>7</v>
      </c>
      <c r="C66" s="2">
        <f t="shared" ref="C66:L66" si="16">+$H15*C34</f>
        <v>140.27282136894823</v>
      </c>
      <c r="D66" s="2">
        <f t="shared" si="16"/>
        <v>0</v>
      </c>
      <c r="E66" s="2">
        <f t="shared" si="16"/>
        <v>201.84742941133769</v>
      </c>
      <c r="F66" s="2">
        <f t="shared" si="16"/>
        <v>6.207081367496551</v>
      </c>
      <c r="G66" s="2">
        <f t="shared" si="16"/>
        <v>10.808260869565215</v>
      </c>
      <c r="H66" s="2">
        <f t="shared" si="16"/>
        <v>63.288772954924866</v>
      </c>
      <c r="I66" s="2">
        <f t="shared" si="16"/>
        <v>16.798816142846775</v>
      </c>
      <c r="J66" s="2">
        <f t="shared" si="16"/>
        <v>5.1379837773100085</v>
      </c>
      <c r="K66" s="2">
        <f t="shared" si="16"/>
        <v>3.1035406837482755</v>
      </c>
      <c r="L66" s="2">
        <f t="shared" si="16"/>
        <v>5.4131523553748992E-2</v>
      </c>
      <c r="M66" s="6">
        <f t="shared" si="10"/>
        <v>447.51883809973134</v>
      </c>
      <c r="N66" s="2">
        <f t="shared" si="13"/>
        <v>2843.5307251852068</v>
      </c>
      <c r="O66" s="6"/>
      <c r="P66" s="79"/>
      <c r="Q66" s="17"/>
      <c r="R66" s="76"/>
      <c r="S66" s="9"/>
      <c r="T66" s="76"/>
      <c r="U66" s="76"/>
      <c r="V66" s="18"/>
    </row>
    <row r="67" spans="1:22" x14ac:dyDescent="0.2">
      <c r="A67" t="s">
        <v>32</v>
      </c>
      <c r="C67" s="2">
        <f t="shared" ref="C67:L71" si="17">+$H16*C35</f>
        <v>129.02248405328297</v>
      </c>
      <c r="D67" s="2">
        <f t="shared" si="17"/>
        <v>0</v>
      </c>
      <c r="E67" s="2">
        <f t="shared" si="17"/>
        <v>205.91964944481802</v>
      </c>
      <c r="F67" s="2">
        <f t="shared" si="17"/>
        <v>7.04860541188871</v>
      </c>
      <c r="G67" s="2">
        <f t="shared" si="17"/>
        <v>11.578882912025009</v>
      </c>
      <c r="H67" s="2">
        <f t="shared" si="17"/>
        <v>89.258221963763248</v>
      </c>
      <c r="I67" s="2">
        <f t="shared" si="17"/>
        <v>17.786538608319557</v>
      </c>
      <c r="J67" s="2">
        <f t="shared" si="17"/>
        <v>4.9236249477529226</v>
      </c>
      <c r="K67" s="2">
        <f t="shared" si="17"/>
        <v>2.8528993039780475</v>
      </c>
      <c r="L67" s="2">
        <f t="shared" si="17"/>
        <v>5.4254820360913739E-2</v>
      </c>
      <c r="M67" s="6">
        <f t="shared" si="10"/>
        <v>468.44516146618946</v>
      </c>
      <c r="N67" s="2">
        <f t="shared" si="13"/>
        <v>3311.9758866513962</v>
      </c>
      <c r="O67" s="6"/>
      <c r="P67" s="79"/>
      <c r="Q67" s="17"/>
      <c r="R67" s="76"/>
      <c r="S67" s="9"/>
      <c r="T67" s="76"/>
      <c r="U67" s="76"/>
      <c r="V67" s="18"/>
    </row>
    <row r="68" spans="1:22" x14ac:dyDescent="0.2">
      <c r="A68" t="s">
        <v>10</v>
      </c>
      <c r="C68" s="2">
        <f t="shared" si="17"/>
        <v>96.516066239083955</v>
      </c>
      <c r="D68" s="2">
        <f t="shared" si="17"/>
        <v>0</v>
      </c>
      <c r="E68" s="2">
        <f t="shared" si="17"/>
        <v>151.64678841903105</v>
      </c>
      <c r="F68" s="2">
        <f t="shared" si="17"/>
        <v>5.6428394390694638</v>
      </c>
      <c r="G68" s="2">
        <f t="shared" si="17"/>
        <v>9.0158828858209237</v>
      </c>
      <c r="H68" s="2">
        <f t="shared" si="17"/>
        <v>65.964250462006731</v>
      </c>
      <c r="I68" s="2">
        <f t="shared" si="17"/>
        <v>13.754421132731819</v>
      </c>
      <c r="J68" s="2">
        <f t="shared" si="17"/>
        <v>3.7076348878501282</v>
      </c>
      <c r="K68" s="2">
        <f t="shared" si="17"/>
        <v>2.6360379751422256</v>
      </c>
      <c r="L68" s="2">
        <f t="shared" si="17"/>
        <v>0.1220806609414067</v>
      </c>
      <c r="M68" s="6">
        <f t="shared" ref="M68" si="18">SUM(C68:L68)</f>
        <v>349.00600210167772</v>
      </c>
      <c r="N68" s="2">
        <f t="shared" si="13"/>
        <v>3660.9818887530737</v>
      </c>
      <c r="O68" s="6"/>
      <c r="P68" s="79"/>
      <c r="Q68" s="17"/>
      <c r="R68" s="76"/>
      <c r="S68" s="9"/>
      <c r="T68" s="76"/>
      <c r="U68" s="76"/>
      <c r="V68" s="18"/>
    </row>
    <row r="69" spans="1:22" x14ac:dyDescent="0.2">
      <c r="A69" t="s">
        <v>8</v>
      </c>
      <c r="C69" s="2">
        <f t="shared" si="17"/>
        <v>110.05181639497981</v>
      </c>
      <c r="D69" s="2">
        <f t="shared" si="17"/>
        <v>0</v>
      </c>
      <c r="E69" s="2">
        <f t="shared" si="17"/>
        <v>175.40115731390654</v>
      </c>
      <c r="F69" s="2">
        <f t="shared" si="17"/>
        <v>6.9621573860357762</v>
      </c>
      <c r="G69" s="2">
        <f t="shared" si="17"/>
        <v>8.3636306260819389</v>
      </c>
      <c r="H69" s="2">
        <f t="shared" si="17"/>
        <v>70.0194114252741</v>
      </c>
      <c r="I69" s="2">
        <f t="shared" si="17"/>
        <v>15.276058316503175</v>
      </c>
      <c r="J69" s="2">
        <f t="shared" si="17"/>
        <v>4.2044197201384881</v>
      </c>
      <c r="K69" s="2">
        <f t="shared" si="17"/>
        <v>2.6627991560877091</v>
      </c>
      <c r="L69" s="2">
        <f t="shared" si="17"/>
        <v>0.18535613819965377</v>
      </c>
      <c r="M69" s="6">
        <f t="shared" ref="M69" si="19">SUM(C69:L69)</f>
        <v>393.1268064772072</v>
      </c>
      <c r="N69" s="2">
        <f t="shared" si="13"/>
        <v>4054.1086952302808</v>
      </c>
      <c r="O69" s="6"/>
      <c r="P69" s="79"/>
      <c r="Q69" s="17"/>
      <c r="R69" s="76"/>
      <c r="S69" s="9"/>
      <c r="T69" s="76"/>
      <c r="U69" s="76"/>
      <c r="V69" s="18"/>
    </row>
    <row r="70" spans="1:22" x14ac:dyDescent="0.2">
      <c r="A70" t="s">
        <v>9</v>
      </c>
      <c r="C70" s="2">
        <f t="shared" si="17"/>
        <v>113.57308728179549</v>
      </c>
      <c r="D70" s="2">
        <f t="shared" si="17"/>
        <v>0</v>
      </c>
      <c r="E70" s="2">
        <f t="shared" si="17"/>
        <v>203.35068329177054</v>
      </c>
      <c r="F70" s="2">
        <f t="shared" si="17"/>
        <v>10.289087281795508</v>
      </c>
      <c r="G70" s="2">
        <f t="shared" si="17"/>
        <v>14.577336658354112</v>
      </c>
      <c r="H70" s="2">
        <f t="shared" si="17"/>
        <v>75.733466334164575</v>
      </c>
      <c r="I70" s="2">
        <f t="shared" si="17"/>
        <v>20.903521197007475</v>
      </c>
      <c r="J70" s="2">
        <f t="shared" si="17"/>
        <v>5.2507331670822932</v>
      </c>
      <c r="K70" s="2">
        <f t="shared" si="17"/>
        <v>3.429695760598503</v>
      </c>
      <c r="L70" s="2">
        <f t="shared" si="17"/>
        <v>0</v>
      </c>
      <c r="M70" s="6">
        <f t="shared" ref="M70" si="20">SUM(C70:L70)</f>
        <v>447.10761097256847</v>
      </c>
      <c r="N70" s="2">
        <f t="shared" si="13"/>
        <v>4501.2163062028494</v>
      </c>
      <c r="O70" s="6"/>
      <c r="P70" s="79"/>
      <c r="Q70" s="17"/>
      <c r="R70" s="76"/>
      <c r="S70" s="9"/>
      <c r="T70" s="76"/>
      <c r="U70" s="76"/>
      <c r="V70" s="18"/>
    </row>
    <row r="71" spans="1:22" ht="15" x14ac:dyDescent="0.35">
      <c r="A71" t="s">
        <v>2</v>
      </c>
      <c r="C71" s="12">
        <f t="shared" si="17"/>
        <v>71.764159012223558</v>
      </c>
      <c r="D71" s="12">
        <f t="shared" si="17"/>
        <v>0</v>
      </c>
      <c r="E71" s="12">
        <f t="shared" si="17"/>
        <v>161.14516975199604</v>
      </c>
      <c r="F71" s="12">
        <f t="shared" si="17"/>
        <v>7.7353296120963764</v>
      </c>
      <c r="G71" s="12">
        <f t="shared" si="17"/>
        <v>9.8363391153818984</v>
      </c>
      <c r="H71" s="12">
        <f t="shared" si="17"/>
        <v>67.241340705150847</v>
      </c>
      <c r="I71" s="12">
        <f t="shared" si="17"/>
        <v>16.790002826255918</v>
      </c>
      <c r="J71" s="12">
        <f t="shared" si="17"/>
        <v>4.156836006500388</v>
      </c>
      <c r="K71" s="12">
        <f t="shared" si="17"/>
        <v>2.7561630043100402</v>
      </c>
      <c r="L71" s="12">
        <f t="shared" si="17"/>
        <v>0</v>
      </c>
      <c r="M71" s="7">
        <f t="shared" ref="M71" si="21">SUM(C71:L71)</f>
        <v>341.42534003391506</v>
      </c>
      <c r="N71" s="2">
        <f t="shared" si="13"/>
        <v>4842.6416462367642</v>
      </c>
      <c r="O71" s="7"/>
      <c r="P71" s="79"/>
      <c r="Q71" s="78"/>
      <c r="R71" s="76"/>
      <c r="S71" s="9"/>
      <c r="T71" s="76"/>
      <c r="U71" s="76"/>
      <c r="V71" s="18"/>
    </row>
    <row r="72" spans="1:22" ht="15" x14ac:dyDescent="0.35">
      <c r="C72" s="15">
        <f t="shared" ref="C72:M72" si="22">SUM(C60:C71)</f>
        <v>1350.7308633476569</v>
      </c>
      <c r="D72" s="15">
        <f t="shared" si="22"/>
        <v>0</v>
      </c>
      <c r="E72" s="15">
        <f t="shared" si="22"/>
        <v>2144.6301658487878</v>
      </c>
      <c r="F72" s="15">
        <f t="shared" si="22"/>
        <v>87.887595809348937</v>
      </c>
      <c r="G72" s="15">
        <f t="shared" si="22"/>
        <v>125.26640965743832</v>
      </c>
      <c r="H72" s="15">
        <f t="shared" si="22"/>
        <v>844.98809954949002</v>
      </c>
      <c r="I72" s="15">
        <f t="shared" si="22"/>
        <v>198.85579080475495</v>
      </c>
      <c r="J72" s="15">
        <f t="shared" si="22"/>
        <v>53.301037008685057</v>
      </c>
      <c r="K72" s="15">
        <f t="shared" si="22"/>
        <v>34.641511012549628</v>
      </c>
      <c r="L72" s="15">
        <f t="shared" si="22"/>
        <v>2.340173198053344</v>
      </c>
      <c r="M72" s="8">
        <f t="shared" si="22"/>
        <v>4842.6416462367642</v>
      </c>
      <c r="N72" s="8"/>
      <c r="O72" s="8"/>
      <c r="Q72" s="17"/>
    </row>
    <row r="73" spans="1:22" x14ac:dyDescent="0.2">
      <c r="C73" s="80">
        <f t="shared" ref="C73:M73" si="23">+C72/$M72</f>
        <v>0.27892438921168472</v>
      </c>
      <c r="D73" s="80">
        <f t="shared" si="23"/>
        <v>0</v>
      </c>
      <c r="E73" s="80">
        <f t="shared" si="23"/>
        <v>0.44286369352053712</v>
      </c>
      <c r="F73" s="80">
        <f t="shared" si="23"/>
        <v>1.8148688717788304E-2</v>
      </c>
      <c r="G73" s="80">
        <f t="shared" si="23"/>
        <v>2.5867371325066627E-2</v>
      </c>
      <c r="H73" s="80">
        <f t="shared" si="23"/>
        <v>0.17448908287610618</v>
      </c>
      <c r="I73" s="80">
        <f t="shared" si="23"/>
        <v>4.1063494954099396E-2</v>
      </c>
      <c r="J73" s="80">
        <f t="shared" si="23"/>
        <v>1.1006603606547162E-2</v>
      </c>
      <c r="K73" s="80">
        <f t="shared" si="23"/>
        <v>7.1534326805845075E-3</v>
      </c>
      <c r="L73" s="80">
        <f t="shared" si="23"/>
        <v>4.8324310758610475E-4</v>
      </c>
      <c r="M73" s="80">
        <f t="shared" si="23"/>
        <v>1</v>
      </c>
    </row>
    <row r="75" spans="1:22" x14ac:dyDescent="0.2">
      <c r="A75" s="3" t="s">
        <v>51</v>
      </c>
      <c r="B75" s="77">
        <v>1.35E-2</v>
      </c>
    </row>
    <row r="76" spans="1:22" x14ac:dyDescent="0.2">
      <c r="A76" t="s">
        <v>171</v>
      </c>
      <c r="C76" s="2">
        <f t="shared" ref="C76:L76" si="24">+$B$75*C60</f>
        <v>1.7691513710618429</v>
      </c>
      <c r="D76" s="2">
        <f t="shared" si="24"/>
        <v>0</v>
      </c>
      <c r="E76" s="2">
        <f t="shared" si="24"/>
        <v>2.2475397024504078</v>
      </c>
      <c r="F76" s="2">
        <f t="shared" si="24"/>
        <v>9.2123716452742088E-2</v>
      </c>
      <c r="G76" s="2">
        <f t="shared" si="24"/>
        <v>0.12214428238039669</v>
      </c>
      <c r="H76" s="2">
        <f t="shared" si="24"/>
        <v>0.95234938739789954</v>
      </c>
      <c r="I76" s="2">
        <f t="shared" si="24"/>
        <v>0.21172079929988322</v>
      </c>
      <c r="J76" s="2">
        <f t="shared" si="24"/>
        <v>4.9912981330221699E-2</v>
      </c>
      <c r="K76" s="2">
        <f t="shared" si="24"/>
        <v>4.0270011668611425E-2</v>
      </c>
      <c r="L76" s="2">
        <f t="shared" si="24"/>
        <v>4.4879229871645264E-3</v>
      </c>
      <c r="M76" s="6">
        <f t="shared" ref="M76" si="25">SUM(C76:L76)</f>
        <v>5.489700175029169</v>
      </c>
      <c r="N76" s="2"/>
      <c r="O76" s="6"/>
    </row>
    <row r="77" spans="1:22" x14ac:dyDescent="0.2">
      <c r="A77" t="s">
        <v>172</v>
      </c>
      <c r="C77" s="2">
        <f t="shared" ref="C77:L77" si="26">+$B$75*C61</f>
        <v>1.5442558255769476</v>
      </c>
      <c r="D77" s="2">
        <f t="shared" si="26"/>
        <v>0</v>
      </c>
      <c r="E77" s="2">
        <f t="shared" si="26"/>
        <v>2.3423600586510265</v>
      </c>
      <c r="F77" s="2">
        <f t="shared" si="26"/>
        <v>0.15707176845594797</v>
      </c>
      <c r="G77" s="2">
        <f t="shared" si="26"/>
        <v>0.12132398189468314</v>
      </c>
      <c r="H77" s="2">
        <f t="shared" si="26"/>
        <v>1.157342176463088</v>
      </c>
      <c r="I77" s="2">
        <f t="shared" si="26"/>
        <v>0.25818520209103657</v>
      </c>
      <c r="J77" s="2">
        <f t="shared" si="26"/>
        <v>6.2027568532449312E-2</v>
      </c>
      <c r="K77" s="2">
        <f t="shared" si="26"/>
        <v>4.3152251689404564E-2</v>
      </c>
      <c r="L77" s="2">
        <f t="shared" si="26"/>
        <v>6.069233711589953E-3</v>
      </c>
      <c r="M77" s="6">
        <f t="shared" ref="M77:M87" si="27">SUM(C77:L77)</f>
        <v>5.6917880670661738</v>
      </c>
      <c r="N77" s="2">
        <f>+M77+M76</f>
        <v>11.181488242095343</v>
      </c>
      <c r="O77" s="6"/>
    </row>
    <row r="78" spans="1:22" x14ac:dyDescent="0.2">
      <c r="A78" t="s">
        <v>173</v>
      </c>
      <c r="C78" s="2">
        <f t="shared" ref="C78:L78" si="28">+$B$75*C62</f>
        <v>1.4746247347552144</v>
      </c>
      <c r="D78" s="2">
        <f t="shared" si="28"/>
        <v>0</v>
      </c>
      <c r="E78" s="2">
        <f t="shared" si="28"/>
        <v>2.4517258047870802</v>
      </c>
      <c r="F78" s="2">
        <f t="shared" si="28"/>
        <v>9.5369817768684834E-2</v>
      </c>
      <c r="G78" s="2">
        <f t="shared" si="28"/>
        <v>0.14605587476462922</v>
      </c>
      <c r="H78" s="2">
        <f t="shared" si="28"/>
        <v>1.0091133165556199</v>
      </c>
      <c r="I78" s="2">
        <f t="shared" si="28"/>
        <v>0.25009567596683085</v>
      </c>
      <c r="J78" s="2">
        <f t="shared" si="28"/>
        <v>5.8022196824304755E-2</v>
      </c>
      <c r="K78" s="2">
        <f t="shared" si="28"/>
        <v>4.4016838970162231E-2</v>
      </c>
      <c r="L78" s="2">
        <f t="shared" si="28"/>
        <v>6.0022962232039404E-3</v>
      </c>
      <c r="M78" s="6">
        <f t="shared" si="27"/>
        <v>5.5350265566157297</v>
      </c>
      <c r="N78" s="2">
        <f>+M78+N77</f>
        <v>16.716514798711074</v>
      </c>
      <c r="O78" s="6"/>
    </row>
    <row r="79" spans="1:22" x14ac:dyDescent="0.2">
      <c r="A79" t="s">
        <v>174</v>
      </c>
      <c r="C79" s="2">
        <f t="shared" ref="C79:L79" si="29">+$B$75*C63</f>
        <v>1.4535886725951632</v>
      </c>
      <c r="D79" s="2">
        <f t="shared" si="29"/>
        <v>0</v>
      </c>
      <c r="E79" s="2">
        <f t="shared" si="29"/>
        <v>2.3049893265372519</v>
      </c>
      <c r="F79" s="2">
        <f t="shared" si="29"/>
        <v>8.1007759462097373E-2</v>
      </c>
      <c r="G79" s="2">
        <f t="shared" si="29"/>
        <v>0.13537701225463614</v>
      </c>
      <c r="H79" s="2">
        <f t="shared" si="29"/>
        <v>0.81984706973213328</v>
      </c>
      <c r="I79" s="2">
        <f t="shared" si="29"/>
        <v>0.20588713696995986</v>
      </c>
      <c r="J79" s="2">
        <f t="shared" si="29"/>
        <v>5.4429932762173311E-2</v>
      </c>
      <c r="K79" s="2">
        <f t="shared" si="29"/>
        <v>3.5255062357661855E-2</v>
      </c>
      <c r="L79" s="2">
        <f t="shared" si="29"/>
        <v>3.0946784513610237E-3</v>
      </c>
      <c r="M79" s="6">
        <f t="shared" si="27"/>
        <v>5.0934766511224367</v>
      </c>
      <c r="N79" s="2">
        <f t="shared" ref="N79:N87" si="30">+M79+N78</f>
        <v>21.809991449833511</v>
      </c>
      <c r="O79" s="6"/>
    </row>
    <row r="80" spans="1:22" x14ac:dyDescent="0.2">
      <c r="A80" t="s">
        <v>175</v>
      </c>
      <c r="C80" s="2">
        <f t="shared" ref="C80:L80" si="31">+$B$75*C64</f>
        <v>1.4669484848594545</v>
      </c>
      <c r="D80" s="2">
        <f t="shared" si="31"/>
        <v>0</v>
      </c>
      <c r="E80" s="2">
        <f t="shared" si="31"/>
        <v>2.4912465108870752</v>
      </c>
      <c r="F80" s="2">
        <f t="shared" si="31"/>
        <v>8.3665801009973034E-2</v>
      </c>
      <c r="G80" s="2">
        <f t="shared" si="31"/>
        <v>0.15310355155749425</v>
      </c>
      <c r="H80" s="2">
        <f t="shared" si="31"/>
        <v>0.83896854820901723</v>
      </c>
      <c r="I80" s="2">
        <f t="shared" si="31"/>
        <v>0.19110582309182067</v>
      </c>
      <c r="J80" s="2">
        <f t="shared" si="31"/>
        <v>6.1776492606201015E-2</v>
      </c>
      <c r="K80" s="2">
        <f t="shared" si="31"/>
        <v>3.9218344223424857E-2</v>
      </c>
      <c r="L80" s="2">
        <f t="shared" si="31"/>
        <v>3.8306289706601022E-3</v>
      </c>
      <c r="M80" s="6">
        <f t="shared" si="27"/>
        <v>5.3298641854151212</v>
      </c>
      <c r="N80" s="2">
        <f t="shared" si="30"/>
        <v>27.139855635248633</v>
      </c>
      <c r="O80" s="6"/>
    </row>
    <row r="81" spans="1:17" x14ac:dyDescent="0.2">
      <c r="A81" t="s">
        <v>176</v>
      </c>
      <c r="C81" s="2">
        <f t="shared" ref="C81:L81" si="32">+$B$75*C65</f>
        <v>1.6000917026155042</v>
      </c>
      <c r="D81" s="2">
        <f t="shared" si="32"/>
        <v>0</v>
      </c>
      <c r="E81" s="2">
        <f t="shared" si="32"/>
        <v>2.2739489876021817</v>
      </c>
      <c r="F81" s="2">
        <f t="shared" si="32"/>
        <v>8.4794823548603432E-2</v>
      </c>
      <c r="G81" s="2">
        <f t="shared" si="32"/>
        <v>0.14665733111598481</v>
      </c>
      <c r="H81" s="2">
        <f t="shared" si="32"/>
        <v>0.80439508364901835</v>
      </c>
      <c r="I81" s="2">
        <f t="shared" si="32"/>
        <v>0.19988220242518712</v>
      </c>
      <c r="J81" s="2">
        <f t="shared" si="32"/>
        <v>6.3748188722335994E-2</v>
      </c>
      <c r="K81" s="2">
        <f t="shared" si="32"/>
        <v>3.0292555327980277E-2</v>
      </c>
      <c r="L81" s="2">
        <f t="shared" si="32"/>
        <v>2.4939653984883355E-3</v>
      </c>
      <c r="M81" s="6">
        <f t="shared" si="27"/>
        <v>5.2063048404052843</v>
      </c>
      <c r="N81" s="2">
        <f t="shared" si="30"/>
        <v>32.346160475653917</v>
      </c>
      <c r="O81" s="6"/>
    </row>
    <row r="82" spans="1:17" x14ac:dyDescent="0.2">
      <c r="A82" t="s">
        <v>7</v>
      </c>
      <c r="C82" s="2">
        <f t="shared" ref="C82:L82" si="33">+$B$75*C66</f>
        <v>1.8936830884808011</v>
      </c>
      <c r="D82" s="2">
        <f t="shared" si="33"/>
        <v>0</v>
      </c>
      <c r="E82" s="2">
        <f t="shared" si="33"/>
        <v>2.7249402970530587</v>
      </c>
      <c r="F82" s="2">
        <f t="shared" si="33"/>
        <v>8.3795598461203435E-2</v>
      </c>
      <c r="G82" s="2">
        <f t="shared" si="33"/>
        <v>0.14591152173913041</v>
      </c>
      <c r="H82" s="2">
        <f t="shared" si="33"/>
        <v>0.8543984348914857</v>
      </c>
      <c r="I82" s="2">
        <f t="shared" si="33"/>
        <v>0.22678401792843145</v>
      </c>
      <c r="J82" s="2">
        <f t="shared" si="33"/>
        <v>6.9362780993685119E-2</v>
      </c>
      <c r="K82" s="2">
        <f t="shared" si="33"/>
        <v>4.1897799230601718E-2</v>
      </c>
      <c r="L82" s="2">
        <f t="shared" si="33"/>
        <v>7.3077556797561134E-4</v>
      </c>
      <c r="M82" s="6">
        <f t="shared" si="27"/>
        <v>6.0415043143463727</v>
      </c>
      <c r="N82" s="2">
        <f t="shared" si="30"/>
        <v>38.387664790000287</v>
      </c>
      <c r="O82" s="6"/>
    </row>
    <row r="83" spans="1:17" x14ac:dyDescent="0.2">
      <c r="A83" t="s">
        <v>32</v>
      </c>
      <c r="C83" s="2">
        <f t="shared" ref="C83:L83" si="34">+$B$75*C67</f>
        <v>1.7418035347193199</v>
      </c>
      <c r="D83" s="2">
        <f t="shared" si="34"/>
        <v>0</v>
      </c>
      <c r="E83" s="2">
        <f t="shared" si="34"/>
        <v>2.7799152675050434</v>
      </c>
      <c r="F83" s="2">
        <f t="shared" si="34"/>
        <v>9.515617306049759E-2</v>
      </c>
      <c r="G83" s="2">
        <f t="shared" si="34"/>
        <v>0.15631491931233762</v>
      </c>
      <c r="H83" s="2">
        <f t="shared" si="34"/>
        <v>1.2049859965108038</v>
      </c>
      <c r="I83" s="2">
        <f t="shared" si="34"/>
        <v>0.24011827121231402</v>
      </c>
      <c r="J83" s="2">
        <f t="shared" si="34"/>
        <v>6.6468936794664452E-2</v>
      </c>
      <c r="K83" s="2">
        <f t="shared" si="34"/>
        <v>3.8514140603703638E-2</v>
      </c>
      <c r="L83" s="2">
        <f t="shared" si="34"/>
        <v>7.3244007487233544E-4</v>
      </c>
      <c r="M83" s="6">
        <f t="shared" si="27"/>
        <v>6.3240096797935568</v>
      </c>
      <c r="N83" s="2">
        <f t="shared" si="30"/>
        <v>44.711674469793842</v>
      </c>
      <c r="O83" s="6"/>
    </row>
    <row r="84" spans="1:17" x14ac:dyDescent="0.2">
      <c r="A84" t="s">
        <v>10</v>
      </c>
      <c r="C84" s="2">
        <f t="shared" ref="C84:L84" si="35">+$B$75*C68</f>
        <v>1.3029668942276333</v>
      </c>
      <c r="D84" s="2">
        <f t="shared" si="35"/>
        <v>0</v>
      </c>
      <c r="E84" s="2">
        <f t="shared" si="35"/>
        <v>2.0472316436569193</v>
      </c>
      <c r="F84" s="2">
        <f t="shared" si="35"/>
        <v>7.6178332427437767E-2</v>
      </c>
      <c r="G84" s="2">
        <f t="shared" si="35"/>
        <v>0.12171441895858247</v>
      </c>
      <c r="H84" s="2">
        <f t="shared" si="35"/>
        <v>0.8905173812370909</v>
      </c>
      <c r="I84" s="2">
        <f t="shared" si="35"/>
        <v>0.18568468529187956</v>
      </c>
      <c r="J84" s="2">
        <f t="shared" si="35"/>
        <v>5.0053070985976729E-2</v>
      </c>
      <c r="K84" s="2">
        <f t="shared" si="35"/>
        <v>3.5586512664420047E-2</v>
      </c>
      <c r="L84" s="2">
        <f t="shared" si="35"/>
        <v>1.6480889227089904E-3</v>
      </c>
      <c r="M84" s="6">
        <f t="shared" si="27"/>
        <v>4.711581028372648</v>
      </c>
      <c r="N84" s="2">
        <f t="shared" si="30"/>
        <v>49.42325549816649</v>
      </c>
      <c r="O84" s="6"/>
    </row>
    <row r="85" spans="1:17" x14ac:dyDescent="0.2">
      <c r="A85" t="s">
        <v>8</v>
      </c>
      <c r="C85" s="2">
        <f t="shared" ref="C85:L85" si="36">+$B$75*C69</f>
        <v>1.4856995213322275</v>
      </c>
      <c r="D85" s="2">
        <f t="shared" si="36"/>
        <v>0</v>
      </c>
      <c r="E85" s="2">
        <f t="shared" si="36"/>
        <v>2.3679156237377383</v>
      </c>
      <c r="F85" s="2">
        <f t="shared" si="36"/>
        <v>9.3989124711482977E-2</v>
      </c>
      <c r="G85" s="2">
        <f t="shared" si="36"/>
        <v>0.11290901345210617</v>
      </c>
      <c r="H85" s="2">
        <f t="shared" si="36"/>
        <v>0.94526205424120036</v>
      </c>
      <c r="I85" s="2">
        <f t="shared" si="36"/>
        <v>0.20622678727279287</v>
      </c>
      <c r="J85" s="2">
        <f t="shared" si="36"/>
        <v>5.6759666221869585E-2</v>
      </c>
      <c r="K85" s="2">
        <f t="shared" si="36"/>
        <v>3.5947788607184075E-2</v>
      </c>
      <c r="L85" s="2">
        <f t="shared" si="36"/>
        <v>2.5023078656953258E-3</v>
      </c>
      <c r="M85" s="6">
        <f t="shared" si="27"/>
        <v>5.3072118874422971</v>
      </c>
      <c r="N85" s="2">
        <f t="shared" si="30"/>
        <v>54.73046738560879</v>
      </c>
      <c r="O85" s="6"/>
    </row>
    <row r="86" spans="1:17" x14ac:dyDescent="0.2">
      <c r="A86" t="s">
        <v>9</v>
      </c>
      <c r="C86" s="2">
        <f t="shared" ref="C86:L86" si="37">+$B$75*C70</f>
        <v>1.5332366783042393</v>
      </c>
      <c r="D86" s="2">
        <f t="shared" si="37"/>
        <v>0</v>
      </c>
      <c r="E86" s="2">
        <f t="shared" si="37"/>
        <v>2.7452342244389021</v>
      </c>
      <c r="F86" s="2">
        <f t="shared" si="37"/>
        <v>0.13890267830423936</v>
      </c>
      <c r="G86" s="2">
        <f t="shared" si="37"/>
        <v>0.19679404488778052</v>
      </c>
      <c r="H86" s="2">
        <f t="shared" si="37"/>
        <v>1.0224017955112217</v>
      </c>
      <c r="I86" s="2">
        <f t="shared" si="37"/>
        <v>0.28219753615960091</v>
      </c>
      <c r="J86" s="2">
        <f t="shared" si="37"/>
        <v>7.0884897755610951E-2</v>
      </c>
      <c r="K86" s="2">
        <f t="shared" si="37"/>
        <v>4.630089276807979E-2</v>
      </c>
      <c r="L86" s="2">
        <f t="shared" si="37"/>
        <v>0</v>
      </c>
      <c r="M86" s="6">
        <f t="shared" si="27"/>
        <v>6.0359527481296738</v>
      </c>
      <c r="N86" s="2">
        <f t="shared" si="30"/>
        <v>60.766420133738464</v>
      </c>
      <c r="O86" s="6"/>
    </row>
    <row r="87" spans="1:17" ht="15" x14ac:dyDescent="0.35">
      <c r="A87" t="s">
        <v>2</v>
      </c>
      <c r="C87" s="12">
        <f t="shared" ref="C87:L87" si="38">+$B$75*C71</f>
        <v>0.96881614666501803</v>
      </c>
      <c r="D87" s="12">
        <f t="shared" si="38"/>
        <v>0</v>
      </c>
      <c r="E87" s="12">
        <f t="shared" si="38"/>
        <v>2.1754597916519463</v>
      </c>
      <c r="F87" s="12">
        <f t="shared" si="38"/>
        <v>0.10442694976330108</v>
      </c>
      <c r="G87" s="12">
        <f t="shared" si="38"/>
        <v>0.13279057805765562</v>
      </c>
      <c r="H87" s="12">
        <f t="shared" si="38"/>
        <v>0.90775809951953645</v>
      </c>
      <c r="I87" s="12">
        <f t="shared" si="38"/>
        <v>0.22666503815445491</v>
      </c>
      <c r="J87" s="12">
        <f t="shared" si="38"/>
        <v>5.6117286087755236E-2</v>
      </c>
      <c r="K87" s="12">
        <f t="shared" si="38"/>
        <v>3.7208200558185543E-2</v>
      </c>
      <c r="L87" s="12">
        <f t="shared" si="38"/>
        <v>0</v>
      </c>
      <c r="M87" s="7">
        <f t="shared" si="27"/>
        <v>4.6092420904578537</v>
      </c>
      <c r="N87" s="2">
        <f t="shared" si="30"/>
        <v>65.375662224196319</v>
      </c>
      <c r="O87" s="7"/>
    </row>
    <row r="88" spans="1:17" ht="15" x14ac:dyDescent="0.35">
      <c r="C88" s="15">
        <f t="shared" ref="C88:M88" si="39">SUM(C76:C87)</f>
        <v>18.234866655193365</v>
      </c>
      <c r="D88" s="15">
        <f t="shared" si="39"/>
        <v>0</v>
      </c>
      <c r="E88" s="15">
        <f t="shared" si="39"/>
        <v>28.952507238958628</v>
      </c>
      <c r="F88" s="15">
        <f t="shared" si="39"/>
        <v>1.186482543426211</v>
      </c>
      <c r="G88" s="15">
        <f t="shared" si="39"/>
        <v>1.6910965303754171</v>
      </c>
      <c r="H88" s="15">
        <f t="shared" si="39"/>
        <v>11.407339343918114</v>
      </c>
      <c r="I88" s="15">
        <f t="shared" si="39"/>
        <v>2.6845531758641918</v>
      </c>
      <c r="J88" s="15">
        <f t="shared" si="39"/>
        <v>0.71956399961724815</v>
      </c>
      <c r="K88" s="15">
        <f t="shared" si="39"/>
        <v>0.46766039866942</v>
      </c>
      <c r="L88" s="15">
        <f t="shared" si="39"/>
        <v>3.1592338173720147E-2</v>
      </c>
      <c r="M88" s="8">
        <f t="shared" si="39"/>
        <v>65.375662224196319</v>
      </c>
      <c r="N88" s="2"/>
      <c r="O88" s="8"/>
      <c r="P88" s="6"/>
      <c r="Q88" s="6"/>
    </row>
    <row r="89" spans="1:17" x14ac:dyDescent="0.2">
      <c r="C89" s="80"/>
      <c r="D89" s="80"/>
      <c r="E89" s="80"/>
      <c r="F89" s="80"/>
      <c r="G89" s="80"/>
      <c r="H89" s="80"/>
      <c r="I89" s="80"/>
      <c r="J89" s="80"/>
      <c r="K89" s="80"/>
      <c r="L89" s="80"/>
      <c r="M89" s="80"/>
    </row>
    <row r="91" spans="1:17" x14ac:dyDescent="0.2">
      <c r="A91" s="3" t="s">
        <v>52</v>
      </c>
    </row>
    <row r="92" spans="1:17" x14ac:dyDescent="0.2">
      <c r="A92" t="s">
        <v>171</v>
      </c>
      <c r="C92" s="2">
        <f t="shared" ref="C92:L92" si="40">+C60-C76</f>
        <v>129.27909833722282</v>
      </c>
      <c r="D92" s="2">
        <f t="shared" si="40"/>
        <v>0</v>
      </c>
      <c r="E92" s="2">
        <f t="shared" si="40"/>
        <v>164.23688270128349</v>
      </c>
      <c r="F92" s="2">
        <f t="shared" si="40"/>
        <v>6.7318552800466716</v>
      </c>
      <c r="G92" s="2">
        <f t="shared" si="40"/>
        <v>8.9255803383897288</v>
      </c>
      <c r="H92" s="2">
        <f t="shared" si="40"/>
        <v>69.592049679113174</v>
      </c>
      <c r="I92" s="2">
        <f t="shared" si="40"/>
        <v>15.471301371061838</v>
      </c>
      <c r="J92" s="2">
        <f t="shared" si="40"/>
        <v>3.6473448949824969</v>
      </c>
      <c r="K92" s="2">
        <f t="shared" si="40"/>
        <v>2.9426938156359386</v>
      </c>
      <c r="L92" s="2">
        <f t="shared" si="40"/>
        <v>0.32795081680280036</v>
      </c>
      <c r="M92" s="6">
        <f t="shared" ref="M92" si="41">SUM(C92:L92)</f>
        <v>401.15475723453898</v>
      </c>
      <c r="N92" s="2"/>
      <c r="O92" s="76"/>
    </row>
    <row r="93" spans="1:17" x14ac:dyDescent="0.2">
      <c r="A93" t="s">
        <v>172</v>
      </c>
      <c r="C93" s="2">
        <f t="shared" ref="C93:L93" si="42">+C61-C77</f>
        <v>112.84506458753027</v>
      </c>
      <c r="D93" s="2">
        <f t="shared" si="42"/>
        <v>0</v>
      </c>
      <c r="E93" s="2">
        <f t="shared" si="42"/>
        <v>171.16579243401759</v>
      </c>
      <c r="F93" s="2">
        <f t="shared" si="42"/>
        <v>11.477874043095754</v>
      </c>
      <c r="G93" s="2">
        <f t="shared" si="42"/>
        <v>8.8656376399336985</v>
      </c>
      <c r="H93" s="2">
        <f t="shared" si="42"/>
        <v>84.571707931913807</v>
      </c>
      <c r="I93" s="2">
        <f t="shared" si="42"/>
        <v>18.86664458243019</v>
      </c>
      <c r="J93" s="2">
        <f t="shared" si="42"/>
        <v>4.5326071375749075</v>
      </c>
      <c r="K93" s="2">
        <f t="shared" si="42"/>
        <v>3.1533108364146374</v>
      </c>
      <c r="L93" s="2">
        <f t="shared" si="42"/>
        <v>0.44350363381359176</v>
      </c>
      <c r="M93" s="6">
        <f t="shared" ref="M93:M103" si="43">SUM(C93:L93)</f>
        <v>415.92214282672444</v>
      </c>
      <c r="N93" s="2">
        <f>+M93+M92</f>
        <v>817.07690006126336</v>
      </c>
      <c r="O93" s="76"/>
    </row>
    <row r="94" spans="1:17" x14ac:dyDescent="0.2">
      <c r="A94" t="s">
        <v>173</v>
      </c>
      <c r="C94" s="2">
        <f t="shared" ref="C94:L94" si="44">+C62-C78</f>
        <v>107.75683709896437</v>
      </c>
      <c r="D94" s="2">
        <f t="shared" si="44"/>
        <v>0</v>
      </c>
      <c r="E94" s="2">
        <f t="shared" si="44"/>
        <v>179.15759306832996</v>
      </c>
      <c r="F94" s="2">
        <f t="shared" si="44"/>
        <v>6.9690611280598214</v>
      </c>
      <c r="G94" s="2">
        <f t="shared" si="44"/>
        <v>10.672897811504201</v>
      </c>
      <c r="H94" s="2">
        <f t="shared" si="44"/>
        <v>73.740021243119941</v>
      </c>
      <c r="I94" s="2">
        <f t="shared" si="44"/>
        <v>18.275509951205827</v>
      </c>
      <c r="J94" s="2">
        <f t="shared" si="44"/>
        <v>4.2399183086797514</v>
      </c>
      <c r="K94" s="2">
        <f t="shared" si="44"/>
        <v>3.216489751412225</v>
      </c>
      <c r="L94" s="2">
        <f t="shared" si="44"/>
        <v>0.43861223882893985</v>
      </c>
      <c r="M94" s="6">
        <f t="shared" si="43"/>
        <v>404.46694060010503</v>
      </c>
      <c r="N94" s="2">
        <f>+M94+N93</f>
        <v>1221.5438406613684</v>
      </c>
      <c r="O94" s="76"/>
    </row>
    <row r="95" spans="1:17" x14ac:dyDescent="0.2">
      <c r="A95" t="s">
        <v>174</v>
      </c>
      <c r="C95" s="2">
        <f t="shared" ref="C95:L95" si="45">+C63-C79</f>
        <v>106.21964633445397</v>
      </c>
      <c r="D95" s="2">
        <f t="shared" si="45"/>
        <v>0</v>
      </c>
      <c r="E95" s="2">
        <f t="shared" si="45"/>
        <v>168.43496078733327</v>
      </c>
      <c r="F95" s="2">
        <f t="shared" si="45"/>
        <v>5.9195670155080791</v>
      </c>
      <c r="G95" s="2">
        <f t="shared" si="45"/>
        <v>9.892549821422115</v>
      </c>
      <c r="H95" s="2">
        <f t="shared" si="45"/>
        <v>59.909565503018477</v>
      </c>
      <c r="I95" s="2">
        <f t="shared" si="45"/>
        <v>15.045011897841881</v>
      </c>
      <c r="J95" s="2">
        <f t="shared" si="45"/>
        <v>3.9774169385099238</v>
      </c>
      <c r="K95" s="2">
        <f t="shared" si="45"/>
        <v>2.5762310382098828</v>
      </c>
      <c r="L95" s="2">
        <f t="shared" si="45"/>
        <v>0.22614076239019629</v>
      </c>
      <c r="M95" s="6">
        <f t="shared" si="43"/>
        <v>372.20109009868781</v>
      </c>
      <c r="N95" s="2">
        <f t="shared" ref="N95:N103" si="46">+M95+N94</f>
        <v>1593.7449307600564</v>
      </c>
      <c r="O95" s="76"/>
    </row>
    <row r="96" spans="1:17" x14ac:dyDescent="0.2">
      <c r="A96" t="s">
        <v>175</v>
      </c>
      <c r="C96" s="2">
        <f t="shared" ref="C96:L96" si="47">+C64-C80</f>
        <v>107.19590224547051</v>
      </c>
      <c r="D96" s="2">
        <f t="shared" si="47"/>
        <v>0</v>
      </c>
      <c r="E96" s="2">
        <f t="shared" si="47"/>
        <v>182.04553207334072</v>
      </c>
      <c r="F96" s="2">
        <f t="shared" si="47"/>
        <v>6.1138009404695115</v>
      </c>
      <c r="G96" s="2">
        <f t="shared" si="47"/>
        <v>11.187900267516154</v>
      </c>
      <c r="H96" s="2">
        <f t="shared" si="47"/>
        <v>61.306849837644116</v>
      </c>
      <c r="I96" s="2">
        <f t="shared" si="47"/>
        <v>13.964881072598599</v>
      </c>
      <c r="J96" s="2">
        <f t="shared" si="47"/>
        <v>4.5142599967420223</v>
      </c>
      <c r="K96" s="2">
        <f t="shared" si="47"/>
        <v>2.8658441908450834</v>
      </c>
      <c r="L96" s="2">
        <f t="shared" si="47"/>
        <v>0.27991966515231043</v>
      </c>
      <c r="M96" s="6">
        <f t="shared" si="43"/>
        <v>389.47489028977901</v>
      </c>
      <c r="N96" s="2">
        <f t="shared" si="46"/>
        <v>1983.2198210498354</v>
      </c>
      <c r="O96" s="76"/>
    </row>
    <row r="97" spans="1:16" x14ac:dyDescent="0.2">
      <c r="A97" t="s">
        <v>176</v>
      </c>
      <c r="C97" s="2">
        <f t="shared" ref="C97:L97" si="48">+C65-C81</f>
        <v>116.92521960223667</v>
      </c>
      <c r="D97" s="2">
        <f t="shared" si="48"/>
        <v>0</v>
      </c>
      <c r="E97" s="2">
        <f t="shared" si="48"/>
        <v>166.16671676070757</v>
      </c>
      <c r="F97" s="2">
        <f t="shared" si="48"/>
        <v>6.1963032170886878</v>
      </c>
      <c r="G97" s="2">
        <f t="shared" si="48"/>
        <v>10.716848677475483</v>
      </c>
      <c r="H97" s="2">
        <f t="shared" si="48"/>
        <v>58.780425927389373</v>
      </c>
      <c r="I97" s="2">
        <f t="shared" si="48"/>
        <v>14.606206866107193</v>
      </c>
      <c r="J97" s="2">
        <f t="shared" si="48"/>
        <v>4.6583398647840344</v>
      </c>
      <c r="K97" s="2">
        <f t="shared" si="48"/>
        <v>2.2136004319298181</v>
      </c>
      <c r="L97" s="2">
        <f t="shared" si="48"/>
        <v>0.1822442122673143</v>
      </c>
      <c r="M97" s="6">
        <f t="shared" si="43"/>
        <v>380.44590555998616</v>
      </c>
      <c r="N97" s="2">
        <f t="shared" si="46"/>
        <v>2363.6657266098218</v>
      </c>
      <c r="O97" s="76"/>
    </row>
    <row r="98" spans="1:16" x14ac:dyDescent="0.2">
      <c r="A98" t="s">
        <v>7</v>
      </c>
      <c r="C98" s="2">
        <f t="shared" ref="C98:L98" si="49">+C66-C82</f>
        <v>138.37913828046743</v>
      </c>
      <c r="D98" s="2">
        <f t="shared" si="49"/>
        <v>0</v>
      </c>
      <c r="E98" s="2">
        <f t="shared" si="49"/>
        <v>199.12248911428463</v>
      </c>
      <c r="F98" s="2">
        <f t="shared" si="49"/>
        <v>6.1232857690353475</v>
      </c>
      <c r="G98" s="2">
        <f t="shared" si="49"/>
        <v>10.662349347826085</v>
      </c>
      <c r="H98" s="2">
        <f t="shared" si="49"/>
        <v>62.43437452003338</v>
      </c>
      <c r="I98" s="2">
        <f t="shared" si="49"/>
        <v>16.572032124918344</v>
      </c>
      <c r="J98" s="2">
        <f t="shared" si="49"/>
        <v>5.0686209963163238</v>
      </c>
      <c r="K98" s="2">
        <f t="shared" si="49"/>
        <v>3.0616428845176737</v>
      </c>
      <c r="L98" s="2">
        <f t="shared" si="49"/>
        <v>5.3400747985773378E-2</v>
      </c>
      <c r="M98" s="6">
        <f t="shared" si="43"/>
        <v>441.47733378538499</v>
      </c>
      <c r="N98" s="2">
        <f t="shared" si="46"/>
        <v>2805.1430603952067</v>
      </c>
      <c r="O98" s="76"/>
    </row>
    <row r="99" spans="1:16" x14ac:dyDescent="0.2">
      <c r="A99" t="s">
        <v>32</v>
      </c>
      <c r="C99" s="2">
        <f t="shared" ref="C99:L99" si="50">+C67-C83</f>
        <v>127.28068051856364</v>
      </c>
      <c r="D99" s="2">
        <f t="shared" si="50"/>
        <v>0</v>
      </c>
      <c r="E99" s="2">
        <f t="shared" si="50"/>
        <v>203.13973417731299</v>
      </c>
      <c r="F99" s="2">
        <f t="shared" si="50"/>
        <v>6.9534492388282123</v>
      </c>
      <c r="G99" s="2">
        <f t="shared" si="50"/>
        <v>11.42256799271267</v>
      </c>
      <c r="H99" s="2">
        <f t="shared" si="50"/>
        <v>88.053235967252448</v>
      </c>
      <c r="I99" s="2">
        <f t="shared" si="50"/>
        <v>17.546420337107243</v>
      </c>
      <c r="J99" s="2">
        <f t="shared" si="50"/>
        <v>4.8571560109582581</v>
      </c>
      <c r="K99" s="2">
        <f t="shared" si="50"/>
        <v>2.814385163374344</v>
      </c>
      <c r="L99" s="2">
        <f t="shared" si="50"/>
        <v>5.35223802860414E-2</v>
      </c>
      <c r="M99" s="6">
        <f t="shared" si="43"/>
        <v>462.1211517863959</v>
      </c>
      <c r="N99" s="2">
        <f t="shared" si="46"/>
        <v>3267.2642121816025</v>
      </c>
      <c r="O99" s="76"/>
    </row>
    <row r="100" spans="1:16" x14ac:dyDescent="0.2">
      <c r="A100" t="s">
        <v>10</v>
      </c>
      <c r="C100" s="2">
        <f t="shared" ref="C100:L100" si="51">+C68-C84</f>
        <v>95.213099344856317</v>
      </c>
      <c r="D100" s="2">
        <f t="shared" si="51"/>
        <v>0</v>
      </c>
      <c r="E100" s="2">
        <f t="shared" si="51"/>
        <v>149.59955677537414</v>
      </c>
      <c r="F100" s="2">
        <f t="shared" si="51"/>
        <v>5.5666611066420257</v>
      </c>
      <c r="G100" s="2">
        <f t="shared" si="51"/>
        <v>8.8941684668623413</v>
      </c>
      <c r="H100" s="2">
        <f t="shared" si="51"/>
        <v>65.073733080769642</v>
      </c>
      <c r="I100" s="2">
        <f t="shared" si="51"/>
        <v>13.568736447439939</v>
      </c>
      <c r="J100" s="2">
        <f t="shared" si="51"/>
        <v>3.6575818168641514</v>
      </c>
      <c r="K100" s="2">
        <f t="shared" si="51"/>
        <v>2.6004514624778055</v>
      </c>
      <c r="L100" s="2">
        <f t="shared" si="51"/>
        <v>0.12043257201869771</v>
      </c>
      <c r="M100" s="6">
        <f t="shared" si="43"/>
        <v>344.29442107330499</v>
      </c>
      <c r="N100" s="2">
        <f t="shared" si="46"/>
        <v>3611.5586332549074</v>
      </c>
      <c r="O100" s="76"/>
    </row>
    <row r="101" spans="1:16" x14ac:dyDescent="0.2">
      <c r="A101" t="s">
        <v>8</v>
      </c>
      <c r="C101" s="2">
        <f t="shared" ref="C101:L101" si="52">+C69-C85</f>
        <v>108.56611687364759</v>
      </c>
      <c r="D101" s="2">
        <f t="shared" si="52"/>
        <v>0</v>
      </c>
      <c r="E101" s="2">
        <f t="shared" si="52"/>
        <v>173.03324169016881</v>
      </c>
      <c r="F101" s="2">
        <f t="shared" si="52"/>
        <v>6.8681682613242936</v>
      </c>
      <c r="G101" s="2">
        <f t="shared" si="52"/>
        <v>8.2507216126298335</v>
      </c>
      <c r="H101" s="2">
        <f t="shared" si="52"/>
        <v>69.074149371032902</v>
      </c>
      <c r="I101" s="2">
        <f t="shared" si="52"/>
        <v>15.069831529230381</v>
      </c>
      <c r="J101" s="2">
        <f t="shared" si="52"/>
        <v>4.1476600539166188</v>
      </c>
      <c r="K101" s="2">
        <f t="shared" si="52"/>
        <v>2.6268513674805249</v>
      </c>
      <c r="L101" s="2">
        <f t="shared" si="52"/>
        <v>0.18285383033395844</v>
      </c>
      <c r="M101" s="6">
        <f t="shared" si="43"/>
        <v>387.8195945897649</v>
      </c>
      <c r="N101" s="2">
        <f t="shared" si="46"/>
        <v>3999.3782278446724</v>
      </c>
      <c r="O101" s="76"/>
    </row>
    <row r="102" spans="1:16" x14ac:dyDescent="0.2">
      <c r="A102" t="s">
        <v>9</v>
      </c>
      <c r="C102" s="2">
        <f t="shared" ref="C102:L102" si="53">+C70-C86</f>
        <v>112.03985060349126</v>
      </c>
      <c r="D102" s="2">
        <f t="shared" si="53"/>
        <v>0</v>
      </c>
      <c r="E102" s="2">
        <f t="shared" si="53"/>
        <v>200.60544906733165</v>
      </c>
      <c r="F102" s="2">
        <f t="shared" si="53"/>
        <v>10.150184603491269</v>
      </c>
      <c r="G102" s="2">
        <f t="shared" si="53"/>
        <v>14.38054261346633</v>
      </c>
      <c r="H102" s="2">
        <f t="shared" si="53"/>
        <v>74.711064538653346</v>
      </c>
      <c r="I102" s="2">
        <f t="shared" si="53"/>
        <v>20.621323660847874</v>
      </c>
      <c r="J102" s="2">
        <f t="shared" si="53"/>
        <v>5.1798482693266825</v>
      </c>
      <c r="K102" s="2">
        <f t="shared" si="53"/>
        <v>3.3833948678304231</v>
      </c>
      <c r="L102" s="2">
        <f t="shared" si="53"/>
        <v>0</v>
      </c>
      <c r="M102" s="6">
        <f t="shared" si="43"/>
        <v>441.07165822443875</v>
      </c>
      <c r="N102" s="2">
        <f t="shared" si="46"/>
        <v>4440.449886069111</v>
      </c>
      <c r="O102" s="76"/>
    </row>
    <row r="103" spans="1:16" ht="15" x14ac:dyDescent="0.35">
      <c r="A103" t="s">
        <v>2</v>
      </c>
      <c r="C103" s="12">
        <f t="shared" ref="C103:L103" si="54">+C71-C87</f>
        <v>70.795342865558538</v>
      </c>
      <c r="D103" s="12">
        <f t="shared" si="54"/>
        <v>0</v>
      </c>
      <c r="E103" s="12">
        <f t="shared" si="54"/>
        <v>158.96970996034409</v>
      </c>
      <c r="F103" s="12">
        <f t="shared" si="54"/>
        <v>7.6309026623330753</v>
      </c>
      <c r="G103" s="12">
        <f t="shared" si="54"/>
        <v>9.7035485373242434</v>
      </c>
      <c r="H103" s="12">
        <f t="shared" si="54"/>
        <v>66.333582605631307</v>
      </c>
      <c r="I103" s="12">
        <f t="shared" si="54"/>
        <v>16.563337788101464</v>
      </c>
      <c r="J103" s="12">
        <f t="shared" si="54"/>
        <v>4.1007187204126332</v>
      </c>
      <c r="K103" s="12">
        <f t="shared" si="54"/>
        <v>2.7189548037518545</v>
      </c>
      <c r="L103" s="12">
        <f t="shared" si="54"/>
        <v>0</v>
      </c>
      <c r="M103" s="7">
        <f t="shared" si="43"/>
        <v>336.81609794345724</v>
      </c>
      <c r="N103" s="2">
        <f t="shared" si="46"/>
        <v>4777.265984012568</v>
      </c>
      <c r="O103" s="76"/>
    </row>
    <row r="104" spans="1:16" ht="15" x14ac:dyDescent="0.35">
      <c r="C104" s="15">
        <f t="shared" ref="C104:M104" si="55">SUM(C92:C103)</f>
        <v>1332.4959966924632</v>
      </c>
      <c r="D104" s="15">
        <f t="shared" si="55"/>
        <v>0</v>
      </c>
      <c r="E104" s="15">
        <f t="shared" si="55"/>
        <v>2115.677658609829</v>
      </c>
      <c r="F104" s="15">
        <f t="shared" si="55"/>
        <v>86.701113265922743</v>
      </c>
      <c r="G104" s="15">
        <f t="shared" si="55"/>
        <v>123.57531312706288</v>
      </c>
      <c r="H104" s="15">
        <f t="shared" si="55"/>
        <v>833.58076020557201</v>
      </c>
      <c r="I104" s="15">
        <f t="shared" si="55"/>
        <v>196.17123762889076</v>
      </c>
      <c r="J104" s="15">
        <f t="shared" si="55"/>
        <v>52.581473009067807</v>
      </c>
      <c r="K104" s="15">
        <f t="shared" si="55"/>
        <v>34.173850613880212</v>
      </c>
      <c r="L104" s="15">
        <f t="shared" si="55"/>
        <v>2.308580859879624</v>
      </c>
      <c r="M104" s="8">
        <f t="shared" si="55"/>
        <v>4777.265984012568</v>
      </c>
      <c r="N104" s="8"/>
      <c r="O104" s="8"/>
      <c r="P104" s="6"/>
    </row>
    <row r="105" spans="1:16" x14ac:dyDescent="0.2">
      <c r="C105" s="80"/>
      <c r="D105" s="80"/>
      <c r="E105" s="80"/>
      <c r="F105" s="80"/>
      <c r="G105" s="80"/>
      <c r="H105" s="80"/>
      <c r="I105" s="80"/>
      <c r="J105" s="80"/>
      <c r="K105" s="80"/>
      <c r="L105" s="80"/>
      <c r="M105" s="80"/>
    </row>
    <row r="106" spans="1:16" x14ac:dyDescent="0.2">
      <c r="C106" s="82"/>
      <c r="D106" s="82"/>
      <c r="E106" s="82"/>
      <c r="F106" s="82"/>
      <c r="G106" s="82"/>
      <c r="H106" s="82"/>
      <c r="I106" s="82"/>
      <c r="J106" s="82"/>
      <c r="K106" s="82"/>
      <c r="L106" s="82"/>
      <c r="M106" s="82"/>
    </row>
    <row r="107" spans="1:16" x14ac:dyDescent="0.2">
      <c r="C107" s="373" t="s">
        <v>35</v>
      </c>
      <c r="D107" s="373"/>
      <c r="E107" s="373"/>
      <c r="F107" s="373"/>
      <c r="G107" s="373"/>
      <c r="H107" s="373"/>
      <c r="I107" s="373"/>
      <c r="J107" s="373"/>
      <c r="K107" s="373"/>
      <c r="L107" s="373"/>
    </row>
    <row r="108" spans="1:16" x14ac:dyDescent="0.2">
      <c r="C108" s="24" t="s">
        <v>36</v>
      </c>
      <c r="D108" s="24" t="s">
        <v>37</v>
      </c>
      <c r="E108" s="24"/>
      <c r="F108" s="24" t="s">
        <v>38</v>
      </c>
      <c r="G108" s="24" t="s">
        <v>39</v>
      </c>
      <c r="H108" s="24"/>
      <c r="I108" s="24"/>
      <c r="J108" s="24" t="s">
        <v>0</v>
      </c>
      <c r="K108" s="24" t="s">
        <v>0</v>
      </c>
      <c r="L108" s="24" t="s">
        <v>40</v>
      </c>
    </row>
    <row r="109" spans="1:16" x14ac:dyDescent="0.2">
      <c r="C109" s="25" t="s">
        <v>41</v>
      </c>
      <c r="D109" s="25" t="s">
        <v>42</v>
      </c>
      <c r="E109" s="25" t="s">
        <v>19</v>
      </c>
      <c r="F109" s="25" t="s">
        <v>17</v>
      </c>
      <c r="G109" s="25" t="s">
        <v>18</v>
      </c>
      <c r="H109" s="25" t="s">
        <v>11</v>
      </c>
      <c r="I109" s="25" t="s">
        <v>1</v>
      </c>
      <c r="J109" s="25" t="s">
        <v>43</v>
      </c>
      <c r="K109" s="25" t="s">
        <v>44</v>
      </c>
      <c r="L109" s="25" t="s">
        <v>45</v>
      </c>
      <c r="M109" s="30" t="s">
        <v>3</v>
      </c>
    </row>
    <row r="110" spans="1:16" x14ac:dyDescent="0.2">
      <c r="A110" s="3" t="s">
        <v>53</v>
      </c>
    </row>
    <row r="111" spans="1:16" x14ac:dyDescent="0.2">
      <c r="A111" t="s">
        <v>171</v>
      </c>
      <c r="C111" s="9">
        <f t="shared" ref="C111:L111" si="56">+C76*C42</f>
        <v>12.277910515169191</v>
      </c>
      <c r="D111" s="9">
        <f t="shared" si="56"/>
        <v>0</v>
      </c>
      <c r="E111" s="9">
        <f t="shared" si="56"/>
        <v>145.43829414556586</v>
      </c>
      <c r="F111" s="9">
        <f t="shared" si="56"/>
        <v>87.050463387689575</v>
      </c>
      <c r="G111" s="9">
        <f t="shared" si="56"/>
        <v>15.333993210035002</v>
      </c>
      <c r="H111" s="9">
        <f t="shared" si="56"/>
        <v>-50.798316323803967</v>
      </c>
      <c r="I111" s="9">
        <f t="shared" si="56"/>
        <v>37.051139877479564</v>
      </c>
      <c r="J111" s="9">
        <f t="shared" si="56"/>
        <v>20.963452158693112</v>
      </c>
      <c r="K111" s="9">
        <f t="shared" si="56"/>
        <v>9.2621026837806273</v>
      </c>
      <c r="L111" s="9">
        <f t="shared" si="56"/>
        <v>-0.62830921820303365</v>
      </c>
      <c r="M111" s="9">
        <f t="shared" ref="M111" si="57">SUM(C111:L111)</f>
        <v>275.95073043640599</v>
      </c>
    </row>
    <row r="112" spans="1:16" x14ac:dyDescent="0.2">
      <c r="A112" t="s">
        <v>172</v>
      </c>
      <c r="C112" s="9">
        <f t="shared" ref="C112:L112" si="58">+C77*C43</f>
        <v>4.5246695689404568</v>
      </c>
      <c r="D112" s="9">
        <f t="shared" si="58"/>
        <v>0</v>
      </c>
      <c r="E112" s="9">
        <f t="shared" si="58"/>
        <v>136.9109454281525</v>
      </c>
      <c r="F112" s="9">
        <f t="shared" si="58"/>
        <v>150.36166250750986</v>
      </c>
      <c r="G112" s="9">
        <f t="shared" si="58"/>
        <v>14.535826270801987</v>
      </c>
      <c r="H112" s="9">
        <f t="shared" si="58"/>
        <v>-61.732631692541119</v>
      </c>
      <c r="I112" s="9">
        <f t="shared" si="58"/>
        <v>45.182410365931396</v>
      </c>
      <c r="J112" s="9">
        <f t="shared" si="58"/>
        <v>26.05157878362871</v>
      </c>
      <c r="K112" s="9">
        <f t="shared" si="58"/>
        <v>9.0619728547749592</v>
      </c>
      <c r="L112" s="9">
        <f t="shared" si="58"/>
        <v>-0.84969271962259341</v>
      </c>
      <c r="M112" s="9">
        <f t="shared" ref="M112:M122" si="59">SUM(C112:L112)</f>
        <v>324.04674136757615</v>
      </c>
      <c r="N112" s="158">
        <f>+M112+M111</f>
        <v>599.99747180398208</v>
      </c>
    </row>
    <row r="113" spans="1:14" x14ac:dyDescent="0.2">
      <c r="A113" t="s">
        <v>173</v>
      </c>
      <c r="C113" s="9">
        <f t="shared" ref="C113:L113" si="60">+C78*C44</f>
        <v>-0.81104360411536802</v>
      </c>
      <c r="D113" s="9">
        <f t="shared" si="60"/>
        <v>0</v>
      </c>
      <c r="E113" s="9">
        <f t="shared" si="60"/>
        <v>154.97358812059133</v>
      </c>
      <c r="F113" s="9">
        <f t="shared" si="60"/>
        <v>87.432187835797194</v>
      </c>
      <c r="G113" s="9">
        <f t="shared" si="60"/>
        <v>17.970714831039981</v>
      </c>
      <c r="H113" s="9">
        <f t="shared" si="60"/>
        <v>-53.826104305076768</v>
      </c>
      <c r="I113" s="9">
        <f t="shared" si="60"/>
        <v>36.263873015190477</v>
      </c>
      <c r="J113" s="9">
        <f t="shared" si="60"/>
        <v>23.789100697964951</v>
      </c>
      <c r="K113" s="9">
        <f t="shared" si="60"/>
        <v>8.8033677940324466</v>
      </c>
      <c r="L113" s="9">
        <f t="shared" si="60"/>
        <v>-0.84032147124855161</v>
      </c>
      <c r="M113" s="9">
        <f t="shared" si="59"/>
        <v>273.75536291417569</v>
      </c>
      <c r="N113" s="158">
        <f>+M113+N112</f>
        <v>873.75283471815783</v>
      </c>
    </row>
    <row r="114" spans="1:14" x14ac:dyDescent="0.2">
      <c r="A114" t="s">
        <v>174</v>
      </c>
      <c r="C114" s="9">
        <f t="shared" ref="C114:L114" si="61">+C79*C45</f>
        <v>8.0092735859993489</v>
      </c>
      <c r="D114" s="9">
        <f t="shared" si="61"/>
        <v>0</v>
      </c>
      <c r="E114" s="9">
        <f t="shared" si="61"/>
        <v>153.42008957431949</v>
      </c>
      <c r="F114" s="9">
        <f t="shared" si="61"/>
        <v>72.499514485793284</v>
      </c>
      <c r="G114" s="9">
        <f t="shared" si="61"/>
        <v>14.783169738206267</v>
      </c>
      <c r="H114" s="9">
        <f t="shared" si="61"/>
        <v>-43.730642699511989</v>
      </c>
      <c r="I114" s="9">
        <f t="shared" si="61"/>
        <v>14.659164152261143</v>
      </c>
      <c r="J114" s="9">
        <f t="shared" si="61"/>
        <v>26.126367725843188</v>
      </c>
      <c r="K114" s="9">
        <f t="shared" si="61"/>
        <v>7.0510124715323714</v>
      </c>
      <c r="L114" s="9">
        <f t="shared" si="61"/>
        <v>-0.61119899414380219</v>
      </c>
      <c r="M114" s="9">
        <f t="shared" si="59"/>
        <v>252.20675004029934</v>
      </c>
      <c r="N114" s="158">
        <f t="shared" ref="N114:N122" si="62">+M114+N113</f>
        <v>1125.9595847584571</v>
      </c>
    </row>
    <row r="115" spans="1:14" x14ac:dyDescent="0.2">
      <c r="A115" t="s">
        <v>175</v>
      </c>
      <c r="C115" s="9">
        <f t="shared" ref="C115:L115" si="63">+C80*C46</f>
        <v>16.56184839406324</v>
      </c>
      <c r="D115" s="9">
        <f t="shared" si="63"/>
        <v>0</v>
      </c>
      <c r="E115" s="9">
        <f t="shared" si="63"/>
        <v>165.56824311355501</v>
      </c>
      <c r="F115" s="9">
        <f t="shared" si="63"/>
        <v>75.961017394964614</v>
      </c>
      <c r="G115" s="9">
        <f t="shared" si="63"/>
        <v>12.439663564046407</v>
      </c>
      <c r="H115" s="9">
        <f t="shared" si="63"/>
        <v>-44.750582361468979</v>
      </c>
      <c r="I115" s="9">
        <f t="shared" si="63"/>
        <v>8.6437163784430489</v>
      </c>
      <c r="J115" s="9">
        <f t="shared" si="63"/>
        <v>34.718388844684974</v>
      </c>
      <c r="K115" s="9">
        <f t="shared" si="63"/>
        <v>10.196769498090463</v>
      </c>
      <c r="L115" s="9">
        <f t="shared" si="63"/>
        <v>-0.7565492217053702</v>
      </c>
      <c r="M115" s="9">
        <f t="shared" si="59"/>
        <v>278.5825156046734</v>
      </c>
      <c r="N115" s="158">
        <f t="shared" si="62"/>
        <v>1404.5421003631304</v>
      </c>
    </row>
    <row r="116" spans="1:14" x14ac:dyDescent="0.2">
      <c r="A116" t="s">
        <v>176</v>
      </c>
      <c r="C116" s="9">
        <f t="shared" ref="C116:L116" si="64">+C81*C47</f>
        <v>34.673987195677981</v>
      </c>
      <c r="D116" s="9">
        <f t="shared" si="64"/>
        <v>0</v>
      </c>
      <c r="E116" s="9">
        <f t="shared" si="64"/>
        <v>150.30802808050419</v>
      </c>
      <c r="F116" s="9">
        <f t="shared" si="64"/>
        <v>76.260224558436505</v>
      </c>
      <c r="G116" s="9">
        <f t="shared" si="64"/>
        <v>13.218225253483711</v>
      </c>
      <c r="H116" s="9">
        <f t="shared" si="64"/>
        <v>-42.906433761838642</v>
      </c>
      <c r="I116" s="9">
        <f t="shared" si="64"/>
        <v>5.4547853041833561</v>
      </c>
      <c r="J116" s="9">
        <f t="shared" si="64"/>
        <v>52.273514752315513</v>
      </c>
      <c r="K116" s="9">
        <f t="shared" si="64"/>
        <v>9.3906921516738855</v>
      </c>
      <c r="L116" s="9">
        <f t="shared" si="64"/>
        <v>-0.49255816620144627</v>
      </c>
      <c r="M116" s="9">
        <f t="shared" si="59"/>
        <v>298.18046536823505</v>
      </c>
      <c r="N116" s="158">
        <f t="shared" si="62"/>
        <v>1702.7225657313654</v>
      </c>
    </row>
    <row r="117" spans="1:14" x14ac:dyDescent="0.2">
      <c r="A117" t="s">
        <v>7</v>
      </c>
      <c r="C117" s="9">
        <f t="shared" ref="C117:L117" si="65">+C82*C48</f>
        <v>18.671715252420697</v>
      </c>
      <c r="D117" s="9">
        <f t="shared" si="65"/>
        <v>0</v>
      </c>
      <c r="E117" s="9">
        <f t="shared" si="65"/>
        <v>180.03680542629556</v>
      </c>
      <c r="F117" s="9">
        <f t="shared" si="65"/>
        <v>69.712072227828969</v>
      </c>
      <c r="G117" s="9">
        <f t="shared" si="65"/>
        <v>12.326605356521737</v>
      </c>
      <c r="H117" s="9">
        <f t="shared" si="65"/>
        <v>-45.573612517111847</v>
      </c>
      <c r="I117" s="9">
        <f t="shared" si="65"/>
        <v>15.775096287101691</v>
      </c>
      <c r="J117" s="9">
        <f t="shared" si="65"/>
        <v>70.750036613558819</v>
      </c>
      <c r="K117" s="9">
        <f t="shared" si="65"/>
        <v>10.893427799956447</v>
      </c>
      <c r="L117" s="9">
        <f t="shared" si="65"/>
        <v>-0.14432817467518325</v>
      </c>
      <c r="M117" s="9">
        <f t="shared" si="59"/>
        <v>332.44781827189684</v>
      </c>
      <c r="N117" s="158">
        <f t="shared" si="62"/>
        <v>2035.1703840032624</v>
      </c>
    </row>
    <row r="118" spans="1:14" x14ac:dyDescent="0.2">
      <c r="A118" t="s">
        <v>32</v>
      </c>
      <c r="C118" s="9">
        <f t="shared" ref="C118:L118" si="66">+C83*C49</f>
        <v>68.313534631691724</v>
      </c>
      <c r="D118" s="9">
        <f t="shared" si="66"/>
        <v>0</v>
      </c>
      <c r="E118" s="9">
        <f t="shared" si="66"/>
        <v>190.50759328212064</v>
      </c>
      <c r="F118" s="9">
        <f t="shared" si="66"/>
        <v>81.189149978677762</v>
      </c>
      <c r="G118" s="9">
        <f t="shared" si="66"/>
        <v>17.141494051790943</v>
      </c>
      <c r="H118" s="9">
        <f t="shared" si="66"/>
        <v>-64.273953053886288</v>
      </c>
      <c r="I118" s="9">
        <f t="shared" si="66"/>
        <v>33.616557969723964</v>
      </c>
      <c r="J118" s="9">
        <f t="shared" si="66"/>
        <v>70.457073002344316</v>
      </c>
      <c r="K118" s="9">
        <f t="shared" si="66"/>
        <v>10.013676556962945</v>
      </c>
      <c r="L118" s="9">
        <f t="shared" si="66"/>
        <v>-0.14465691478728626</v>
      </c>
      <c r="M118" s="9">
        <f t="shared" si="59"/>
        <v>406.8204695046386</v>
      </c>
      <c r="N118" s="158">
        <f t="shared" si="62"/>
        <v>2441.9908535079012</v>
      </c>
    </row>
    <row r="119" spans="1:14" x14ac:dyDescent="0.2">
      <c r="A119" t="s">
        <v>10</v>
      </c>
      <c r="C119" s="9">
        <f t="shared" ref="C119:L119" si="67">+C84*C50</f>
        <v>51.128420929492336</v>
      </c>
      <c r="D119" s="9">
        <f t="shared" si="67"/>
        <v>0</v>
      </c>
      <c r="E119" s="9">
        <f t="shared" si="67"/>
        <v>140.78812013428634</v>
      </c>
      <c r="F119" s="9">
        <f t="shared" si="67"/>
        <v>63.311050297119259</v>
      </c>
      <c r="G119" s="9">
        <f t="shared" si="67"/>
        <v>11.86472156008262</v>
      </c>
      <c r="H119" s="9">
        <f t="shared" si="67"/>
        <v>-47.500197115186431</v>
      </c>
      <c r="I119" s="9">
        <f t="shared" si="67"/>
        <v>31.566396499619525</v>
      </c>
      <c r="J119" s="9">
        <f t="shared" si="67"/>
        <v>52.50717305641917</v>
      </c>
      <c r="K119" s="9">
        <f t="shared" si="67"/>
        <v>5.6938420263072071</v>
      </c>
      <c r="L119" s="9">
        <f t="shared" si="67"/>
        <v>-0.32549756223502563</v>
      </c>
      <c r="M119" s="9">
        <f t="shared" si="59"/>
        <v>309.03402982590507</v>
      </c>
      <c r="N119" s="158">
        <f t="shared" si="62"/>
        <v>2751.0248833338064</v>
      </c>
    </row>
    <row r="120" spans="1:14" x14ac:dyDescent="0.2">
      <c r="A120" t="s">
        <v>8</v>
      </c>
      <c r="C120" s="9">
        <f t="shared" ref="C120:L120" si="68">+C85*C51</f>
        <v>22.998628590222882</v>
      </c>
      <c r="D120" s="9">
        <f t="shared" si="68"/>
        <v>0</v>
      </c>
      <c r="E120" s="9">
        <f t="shared" si="68"/>
        <v>165.04371897452037</v>
      </c>
      <c r="F120" s="9">
        <f t="shared" si="68"/>
        <v>78.022252205496244</v>
      </c>
      <c r="G120" s="9">
        <f t="shared" si="68"/>
        <v>11.946902713367354</v>
      </c>
      <c r="H120" s="9">
        <f t="shared" si="68"/>
        <v>-50.42027797322563</v>
      </c>
      <c r="I120" s="9">
        <f t="shared" si="68"/>
        <v>35.058553836374784</v>
      </c>
      <c r="J120" s="9">
        <f t="shared" si="68"/>
        <v>37.427891503363021</v>
      </c>
      <c r="K120" s="9">
        <f t="shared" si="68"/>
        <v>5.3921682910776116</v>
      </c>
      <c r="L120" s="9">
        <f t="shared" si="68"/>
        <v>-0.49420580347482684</v>
      </c>
      <c r="M120" s="9">
        <f t="shared" si="59"/>
        <v>304.97563233772183</v>
      </c>
      <c r="N120" s="158">
        <f t="shared" si="62"/>
        <v>3056.0005156715283</v>
      </c>
    </row>
    <row r="121" spans="1:14" x14ac:dyDescent="0.2">
      <c r="A121" t="s">
        <v>9</v>
      </c>
      <c r="C121" s="9">
        <f t="shared" ref="C121:L121" si="69">+C86*C52</f>
        <v>32.504617580049874</v>
      </c>
      <c r="D121" s="9">
        <f t="shared" si="69"/>
        <v>0</v>
      </c>
      <c r="E121" s="9">
        <f t="shared" si="69"/>
        <v>220.99135506733163</v>
      </c>
      <c r="F121" s="9">
        <f t="shared" si="69"/>
        <v>118.07422169251866</v>
      </c>
      <c r="G121" s="9">
        <f t="shared" si="69"/>
        <v>12.921496987331668</v>
      </c>
      <c r="H121" s="9">
        <f t="shared" si="69"/>
        <v>-54.53491177256857</v>
      </c>
      <c r="I121" s="9">
        <f t="shared" si="69"/>
        <v>42.329630423940138</v>
      </c>
      <c r="J121" s="9">
        <f t="shared" si="69"/>
        <v>48.201730473815445</v>
      </c>
      <c r="K121" s="9">
        <f t="shared" si="69"/>
        <v>2.7780535660847874</v>
      </c>
      <c r="L121" s="9">
        <f t="shared" si="69"/>
        <v>0</v>
      </c>
      <c r="M121" s="9">
        <f t="shared" si="59"/>
        <v>423.26619401850365</v>
      </c>
      <c r="N121" s="158">
        <f t="shared" si="62"/>
        <v>3479.2667096900318</v>
      </c>
    </row>
    <row r="122" spans="1:14" ht="15" x14ac:dyDescent="0.35">
      <c r="A122" t="s">
        <v>2</v>
      </c>
      <c r="C122" s="10">
        <f t="shared" ref="C122:L122" si="70">+C87*C53</f>
        <v>43.412651532059463</v>
      </c>
      <c r="D122" s="10">
        <f t="shared" si="70"/>
        <v>0</v>
      </c>
      <c r="E122" s="10">
        <f t="shared" si="70"/>
        <v>244.45641678792921</v>
      </c>
      <c r="F122" s="10">
        <f t="shared" si="70"/>
        <v>89.172260941878051</v>
      </c>
      <c r="G122" s="10">
        <f t="shared" si="70"/>
        <v>10.640509019759945</v>
      </c>
      <c r="H122" s="10">
        <f t="shared" si="70"/>
        <v>-48.41981702837208</v>
      </c>
      <c r="I122" s="10">
        <f t="shared" si="70"/>
        <v>24.933154196990039</v>
      </c>
      <c r="J122" s="10">
        <f t="shared" si="70"/>
        <v>35.356134926729304</v>
      </c>
      <c r="K122" s="10">
        <f t="shared" si="70"/>
        <v>2.2324920334911327</v>
      </c>
      <c r="L122" s="10">
        <f t="shared" si="70"/>
        <v>0</v>
      </c>
      <c r="M122" s="10">
        <f t="shared" si="59"/>
        <v>401.78380241046506</v>
      </c>
      <c r="N122" s="158">
        <f t="shared" si="62"/>
        <v>3881.0505121004967</v>
      </c>
    </row>
    <row r="123" spans="1:14" ht="15" x14ac:dyDescent="0.35">
      <c r="C123" s="11">
        <f t="shared" ref="C123:M123" si="71">SUM(C111:C122)</f>
        <v>312.26621417167183</v>
      </c>
      <c r="D123" s="11">
        <f t="shared" si="71"/>
        <v>0</v>
      </c>
      <c r="E123" s="11">
        <f t="shared" si="71"/>
        <v>2048.4431981351722</v>
      </c>
      <c r="F123" s="11">
        <f t="shared" si="71"/>
        <v>1049.0460775137099</v>
      </c>
      <c r="G123" s="11">
        <f t="shared" si="71"/>
        <v>165.12332255646763</v>
      </c>
      <c r="H123" s="11">
        <f t="shared" si="71"/>
        <v>-608.46748060459231</v>
      </c>
      <c r="I123" s="11">
        <f t="shared" si="71"/>
        <v>330.53447830723911</v>
      </c>
      <c r="J123" s="11">
        <f t="shared" si="71"/>
        <v>498.62244253936046</v>
      </c>
      <c r="K123" s="11">
        <f t="shared" si="71"/>
        <v>90.769577727764883</v>
      </c>
      <c r="L123" s="11">
        <f t="shared" si="71"/>
        <v>-5.2873182462971204</v>
      </c>
      <c r="M123" s="11">
        <f t="shared" si="71"/>
        <v>3881.0505121004967</v>
      </c>
    </row>
    <row r="124" spans="1:14" ht="15" x14ac:dyDescent="0.35">
      <c r="C124" s="15"/>
      <c r="D124" s="15"/>
      <c r="E124" s="15"/>
      <c r="F124" s="15"/>
      <c r="G124" s="15"/>
      <c r="H124" s="15"/>
      <c r="I124" s="15"/>
      <c r="J124" s="15"/>
      <c r="K124" s="15"/>
      <c r="L124" s="15"/>
    </row>
    <row r="126" spans="1:14" x14ac:dyDescent="0.2">
      <c r="A126" s="3" t="s">
        <v>54</v>
      </c>
    </row>
    <row r="127" spans="1:14" x14ac:dyDescent="0.2">
      <c r="A127" t="s">
        <v>171</v>
      </c>
      <c r="C127" s="9">
        <f t="shared" ref="C127:L127" si="72">+C92*C42</f>
        <v>897.19694246032645</v>
      </c>
      <c r="D127" s="9">
        <f t="shared" si="72"/>
        <v>0</v>
      </c>
      <c r="E127" s="9">
        <f t="shared" si="72"/>
        <v>10627.768679600054</v>
      </c>
      <c r="F127" s="9">
        <f t="shared" si="72"/>
        <v>6361.1320097745011</v>
      </c>
      <c r="G127" s="9">
        <f t="shared" si="72"/>
        <v>1120.5173556814466</v>
      </c>
      <c r="H127" s="9">
        <f t="shared" si="72"/>
        <v>-3712.039929883897</v>
      </c>
      <c r="I127" s="9">
        <f t="shared" si="72"/>
        <v>2707.4777399358218</v>
      </c>
      <c r="J127" s="9">
        <f t="shared" si="72"/>
        <v>1531.8848558926486</v>
      </c>
      <c r="K127" s="9">
        <f t="shared" si="72"/>
        <v>676.81957759626584</v>
      </c>
      <c r="L127" s="9">
        <f t="shared" si="72"/>
        <v>-45.91311435239205</v>
      </c>
      <c r="M127" s="9">
        <f t="shared" ref="M127" si="73">SUM(C127:L127)</f>
        <v>20164.844116704779</v>
      </c>
    </row>
    <row r="128" spans="1:14" x14ac:dyDescent="0.2">
      <c r="A128" t="s">
        <v>172</v>
      </c>
      <c r="C128" s="9">
        <f t="shared" ref="C128:L128" si="74">+C93*C43</f>
        <v>330.63603924146372</v>
      </c>
      <c r="D128" s="9">
        <f t="shared" si="74"/>
        <v>0</v>
      </c>
      <c r="E128" s="9">
        <f t="shared" si="74"/>
        <v>10004.640567768329</v>
      </c>
      <c r="F128" s="9">
        <f t="shared" si="74"/>
        <v>10987.539263974704</v>
      </c>
      <c r="G128" s="9">
        <f t="shared" si="74"/>
        <v>1062.1920456404564</v>
      </c>
      <c r="H128" s="9">
        <f t="shared" si="74"/>
        <v>-4511.0549010882823</v>
      </c>
      <c r="I128" s="9">
        <f t="shared" si="74"/>
        <v>3301.6628019252835</v>
      </c>
      <c r="J128" s="9">
        <f t="shared" si="74"/>
        <v>1903.6949977814611</v>
      </c>
      <c r="K128" s="9">
        <f t="shared" si="74"/>
        <v>662.1952756470738</v>
      </c>
      <c r="L128" s="9">
        <f t="shared" si="74"/>
        <v>-62.090508733902844</v>
      </c>
      <c r="M128" s="9">
        <f t="shared" ref="M128:M138" si="75">SUM(C128:L128)</f>
        <v>23679.415582156587</v>
      </c>
      <c r="N128" s="158">
        <f>+M128+M127</f>
        <v>43844.259698861366</v>
      </c>
    </row>
    <row r="129" spans="1:16" x14ac:dyDescent="0.2">
      <c r="A129" t="s">
        <v>173</v>
      </c>
      <c r="C129" s="9">
        <f t="shared" ref="C129:L129" si="76">+C94*C44</f>
        <v>-59.266260404430405</v>
      </c>
      <c r="D129" s="9">
        <f t="shared" si="76"/>
        <v>0</v>
      </c>
      <c r="E129" s="9">
        <f t="shared" si="76"/>
        <v>11324.551457849137</v>
      </c>
      <c r="F129" s="9">
        <f t="shared" si="76"/>
        <v>6389.0261703714023</v>
      </c>
      <c r="G129" s="9">
        <f t="shared" si="76"/>
        <v>1313.1933467274771</v>
      </c>
      <c r="H129" s="9">
        <f t="shared" si="76"/>
        <v>-3933.2927331080177</v>
      </c>
      <c r="I129" s="9">
        <f t="shared" si="76"/>
        <v>2649.9489429248447</v>
      </c>
      <c r="J129" s="9">
        <f t="shared" si="76"/>
        <v>1738.3665065586981</v>
      </c>
      <c r="K129" s="9">
        <f t="shared" si="76"/>
        <v>643.29795028244496</v>
      </c>
      <c r="L129" s="9">
        <f t="shared" si="76"/>
        <v>-61.405713436051578</v>
      </c>
      <c r="M129" s="9">
        <f t="shared" si="75"/>
        <v>20004.419667765505</v>
      </c>
      <c r="N129" s="158">
        <f>+M129+N128</f>
        <v>63848.679366626871</v>
      </c>
    </row>
    <row r="130" spans="1:16" x14ac:dyDescent="0.2">
      <c r="A130" t="s">
        <v>174</v>
      </c>
      <c r="C130" s="9">
        <f t="shared" ref="C130:L130" si="77">+C95*C45</f>
        <v>585.2702513028413</v>
      </c>
      <c r="D130" s="9">
        <f t="shared" si="77"/>
        <v>0</v>
      </c>
      <c r="E130" s="9">
        <f t="shared" si="77"/>
        <v>11211.030990004903</v>
      </c>
      <c r="F130" s="9">
        <f t="shared" si="77"/>
        <v>5297.8348918692654</v>
      </c>
      <c r="G130" s="9">
        <f t="shared" si="77"/>
        <v>1080.266440499295</v>
      </c>
      <c r="H130" s="9">
        <f t="shared" si="77"/>
        <v>-3195.5762239310056</v>
      </c>
      <c r="I130" s="9">
        <f t="shared" si="77"/>
        <v>1071.204847126342</v>
      </c>
      <c r="J130" s="9">
        <f t="shared" si="77"/>
        <v>1909.1601304847634</v>
      </c>
      <c r="K130" s="9">
        <f t="shared" si="77"/>
        <v>515.24620764197653</v>
      </c>
      <c r="L130" s="9">
        <f t="shared" si="77"/>
        <v>-44.662800572063766</v>
      </c>
      <c r="M130" s="9">
        <f t="shared" si="75"/>
        <v>18429.774734426315</v>
      </c>
      <c r="N130" s="158">
        <f t="shared" ref="N130:N138" si="78">+M130+N129</f>
        <v>82278.454101053183</v>
      </c>
    </row>
    <row r="131" spans="1:16" x14ac:dyDescent="0.2">
      <c r="A131" t="s">
        <v>175</v>
      </c>
      <c r="C131" s="9">
        <f t="shared" ref="C131:L131" si="79">+C96*C46</f>
        <v>1210.2417363513619</v>
      </c>
      <c r="D131" s="9">
        <f t="shared" si="79"/>
        <v>0</v>
      </c>
      <c r="E131" s="9">
        <f t="shared" si="79"/>
        <v>12098.746061594224</v>
      </c>
      <c r="F131" s="9">
        <f t="shared" si="79"/>
        <v>5550.7810118616744</v>
      </c>
      <c r="G131" s="9">
        <f t="shared" si="79"/>
        <v>909.01689673568751</v>
      </c>
      <c r="H131" s="9">
        <f t="shared" si="79"/>
        <v>-3270.1073703399375</v>
      </c>
      <c r="I131" s="9">
        <f t="shared" si="79"/>
        <v>631.63157091363462</v>
      </c>
      <c r="J131" s="9">
        <f t="shared" si="79"/>
        <v>2537.0141181690165</v>
      </c>
      <c r="K131" s="9">
        <f t="shared" si="79"/>
        <v>745.11948961972166</v>
      </c>
      <c r="L131" s="9">
        <f t="shared" si="79"/>
        <v>-55.284133867581311</v>
      </c>
      <c r="M131" s="9">
        <f t="shared" si="75"/>
        <v>20357.159381037804</v>
      </c>
      <c r="N131" s="158">
        <f t="shared" si="78"/>
        <v>102635.61348209099</v>
      </c>
    </row>
    <row r="132" spans="1:16" x14ac:dyDescent="0.2">
      <c r="A132" t="s">
        <v>176</v>
      </c>
      <c r="C132" s="9">
        <f t="shared" ref="C132:L132" si="80">+C97*C47</f>
        <v>2533.7695087804686</v>
      </c>
      <c r="D132" s="9">
        <f t="shared" si="80"/>
        <v>0</v>
      </c>
      <c r="E132" s="9">
        <f t="shared" si="80"/>
        <v>10983.61997788277</v>
      </c>
      <c r="F132" s="9">
        <f t="shared" si="80"/>
        <v>5572.6452982887113</v>
      </c>
      <c r="G132" s="9">
        <f t="shared" si="80"/>
        <v>965.9095713008652</v>
      </c>
      <c r="H132" s="9">
        <f t="shared" si="80"/>
        <v>-3135.3479189669492</v>
      </c>
      <c r="I132" s="9">
        <f t="shared" si="80"/>
        <v>398.60338537606532</v>
      </c>
      <c r="J132" s="9">
        <f t="shared" si="80"/>
        <v>3819.8386891229084</v>
      </c>
      <c r="K132" s="9">
        <f t="shared" si="80"/>
        <v>686.21613389824358</v>
      </c>
      <c r="L132" s="9">
        <f t="shared" si="80"/>
        <v>-35.993231922794571</v>
      </c>
      <c r="M132" s="9">
        <f t="shared" si="75"/>
        <v>21789.26141376029</v>
      </c>
      <c r="N132" s="158">
        <f t="shared" si="78"/>
        <v>124424.87489585129</v>
      </c>
    </row>
    <row r="133" spans="1:16" x14ac:dyDescent="0.2">
      <c r="A133" t="s">
        <v>7</v>
      </c>
      <c r="C133" s="9">
        <f t="shared" ref="C133:L133" si="81">+C98*C48</f>
        <v>1364.4183034454088</v>
      </c>
      <c r="D133" s="9">
        <f t="shared" si="81"/>
        <v>0</v>
      </c>
      <c r="E133" s="9">
        <f t="shared" si="81"/>
        <v>13156.022855780784</v>
      </c>
      <c r="F133" s="9">
        <f t="shared" si="81"/>
        <v>5094.145129833576</v>
      </c>
      <c r="G133" s="9">
        <f t="shared" si="81"/>
        <v>900.75527290434775</v>
      </c>
      <c r="H133" s="9">
        <f t="shared" si="81"/>
        <v>-3330.2495368985806</v>
      </c>
      <c r="I133" s="9">
        <f t="shared" si="81"/>
        <v>1152.75055460932</v>
      </c>
      <c r="J133" s="9">
        <f t="shared" si="81"/>
        <v>5169.9934162426507</v>
      </c>
      <c r="K133" s="9">
        <f t="shared" si="81"/>
        <v>796.0271499745952</v>
      </c>
      <c r="L133" s="9">
        <f t="shared" si="81"/>
        <v>-10.546647727190242</v>
      </c>
      <c r="M133" s="9">
        <f t="shared" si="75"/>
        <v>24293.316498164913</v>
      </c>
      <c r="N133" s="158">
        <f t="shared" si="78"/>
        <v>148718.1913940162</v>
      </c>
    </row>
    <row r="134" spans="1:16" x14ac:dyDescent="0.2">
      <c r="A134" t="s">
        <v>32</v>
      </c>
      <c r="C134" s="9">
        <f t="shared" ref="C134:L134" si="82">+C99*C49</f>
        <v>4991.9482899380655</v>
      </c>
      <c r="D134" s="9">
        <f t="shared" si="82"/>
        <v>0</v>
      </c>
      <c r="E134" s="9">
        <f t="shared" si="82"/>
        <v>13921.165983171259</v>
      </c>
      <c r="F134" s="9">
        <f t="shared" si="82"/>
        <v>5932.8219595530072</v>
      </c>
      <c r="G134" s="9">
        <f t="shared" si="82"/>
        <v>1252.5988060808713</v>
      </c>
      <c r="H134" s="9">
        <f t="shared" si="82"/>
        <v>-4696.7596064932459</v>
      </c>
      <c r="I134" s="9">
        <f t="shared" si="82"/>
        <v>2456.4988471950142</v>
      </c>
      <c r="J134" s="9">
        <f t="shared" si="82"/>
        <v>5148.5853716157535</v>
      </c>
      <c r="K134" s="9">
        <f t="shared" si="82"/>
        <v>731.74014247732941</v>
      </c>
      <c r="L134" s="9">
        <f t="shared" si="82"/>
        <v>-10.570670106493177</v>
      </c>
      <c r="M134" s="9">
        <f t="shared" si="75"/>
        <v>29728.029123431559</v>
      </c>
      <c r="N134" s="158">
        <f t="shared" si="78"/>
        <v>178446.22051744777</v>
      </c>
    </row>
    <row r="135" spans="1:16" x14ac:dyDescent="0.2">
      <c r="A135" t="s">
        <v>10</v>
      </c>
      <c r="C135" s="9">
        <f t="shared" ref="C135:L135" si="83">+C100*C50</f>
        <v>3736.162018292162</v>
      </c>
      <c r="D135" s="9">
        <f t="shared" si="83"/>
        <v>0</v>
      </c>
      <c r="E135" s="9">
        <f t="shared" si="83"/>
        <v>10287.961519442479</v>
      </c>
      <c r="F135" s="9">
        <f t="shared" si="83"/>
        <v>4626.3963791191218</v>
      </c>
      <c r="G135" s="9">
        <f t="shared" si="83"/>
        <v>867.00354214974107</v>
      </c>
      <c r="H135" s="9">
        <f t="shared" si="83"/>
        <v>-3471.032922528253</v>
      </c>
      <c r="I135" s="9">
        <f t="shared" si="83"/>
        <v>2306.6851960647896</v>
      </c>
      <c r="J135" s="9">
        <f t="shared" si="83"/>
        <v>3836.9130533450007</v>
      </c>
      <c r="K135" s="9">
        <f t="shared" si="83"/>
        <v>416.07223399644886</v>
      </c>
      <c r="L135" s="9">
        <f t="shared" si="83"/>
        <v>-23.785432973692799</v>
      </c>
      <c r="M135" s="9">
        <f t="shared" si="75"/>
        <v>22582.375586907798</v>
      </c>
      <c r="N135" s="158">
        <f t="shared" si="78"/>
        <v>201028.59610435556</v>
      </c>
    </row>
    <row r="136" spans="1:16" x14ac:dyDescent="0.2">
      <c r="A136" t="s">
        <v>8</v>
      </c>
      <c r="C136" s="9">
        <f t="shared" ref="C136:L136" si="84">+C101*C51</f>
        <v>1680.6034892040648</v>
      </c>
      <c r="D136" s="9">
        <f t="shared" si="84"/>
        <v>0</v>
      </c>
      <c r="E136" s="9">
        <f t="shared" si="84"/>
        <v>12060.416945804767</v>
      </c>
      <c r="F136" s="9">
        <f t="shared" si="84"/>
        <v>5701.4038370905228</v>
      </c>
      <c r="G136" s="9">
        <f t="shared" si="84"/>
        <v>873.00885383236266</v>
      </c>
      <c r="H136" s="9">
        <f t="shared" si="84"/>
        <v>-3684.4151274508954</v>
      </c>
      <c r="I136" s="9">
        <f t="shared" si="84"/>
        <v>2561.8713599691646</v>
      </c>
      <c r="J136" s="9">
        <f t="shared" si="84"/>
        <v>2735.0085161531574</v>
      </c>
      <c r="K136" s="9">
        <f t="shared" si="84"/>
        <v>394.02770512207871</v>
      </c>
      <c r="L136" s="9">
        <f t="shared" si="84"/>
        <v>-36.113631490956791</v>
      </c>
      <c r="M136" s="9">
        <f t="shared" si="75"/>
        <v>22285.811948234266</v>
      </c>
      <c r="N136" s="158">
        <f t="shared" si="78"/>
        <v>223314.40805258983</v>
      </c>
    </row>
    <row r="137" spans="1:16" x14ac:dyDescent="0.2">
      <c r="A137" t="s">
        <v>9</v>
      </c>
      <c r="C137" s="9">
        <f t="shared" ref="C137:L137" si="85">+C102*C52</f>
        <v>2375.2448327940147</v>
      </c>
      <c r="D137" s="9">
        <f t="shared" si="85"/>
        <v>0</v>
      </c>
      <c r="E137" s="9">
        <f t="shared" si="85"/>
        <v>16148.738649920198</v>
      </c>
      <c r="F137" s="9">
        <f t="shared" si="85"/>
        <v>8628.1644221977531</v>
      </c>
      <c r="G137" s="9">
        <f t="shared" si="85"/>
        <v>944.22642800019923</v>
      </c>
      <c r="H137" s="9">
        <f t="shared" si="85"/>
        <v>-3985.0881824917697</v>
      </c>
      <c r="I137" s="9">
        <f t="shared" si="85"/>
        <v>3093.1985491271812</v>
      </c>
      <c r="J137" s="9">
        <f t="shared" si="85"/>
        <v>3522.2968231421441</v>
      </c>
      <c r="K137" s="9">
        <f t="shared" si="85"/>
        <v>203.00369206982538</v>
      </c>
      <c r="L137" s="9">
        <f t="shared" si="85"/>
        <v>0</v>
      </c>
      <c r="M137" s="9">
        <f t="shared" si="75"/>
        <v>30929.785214759544</v>
      </c>
      <c r="N137" s="158">
        <f t="shared" si="78"/>
        <v>254244.19326734939</v>
      </c>
    </row>
    <row r="138" spans="1:16" ht="15" x14ac:dyDescent="0.35">
      <c r="A138" t="s">
        <v>2</v>
      </c>
      <c r="C138" s="10">
        <f t="shared" ref="C138:L138" si="86">+C103*C53</f>
        <v>3172.3393138056781</v>
      </c>
      <c r="D138" s="10">
        <f t="shared" si="86"/>
        <v>0</v>
      </c>
      <c r="E138" s="10">
        <f t="shared" si="86"/>
        <v>17863.426308243867</v>
      </c>
      <c r="F138" s="10">
        <f t="shared" si="86"/>
        <v>6516.1804014194595</v>
      </c>
      <c r="G138" s="10">
        <f t="shared" si="86"/>
        <v>777.54534429579155</v>
      </c>
      <c r="H138" s="10">
        <f t="shared" si="86"/>
        <v>-3538.233296184374</v>
      </c>
      <c r="I138" s="10">
        <f t="shared" si="86"/>
        <v>1821.9671566911611</v>
      </c>
      <c r="J138" s="10">
        <f t="shared" si="86"/>
        <v>2583.6168226087752</v>
      </c>
      <c r="K138" s="10">
        <f t="shared" si="86"/>
        <v>163.13728822511126</v>
      </c>
      <c r="L138" s="10">
        <f t="shared" si="86"/>
        <v>0</v>
      </c>
      <c r="M138" s="10">
        <f t="shared" si="75"/>
        <v>29359.97933910547</v>
      </c>
      <c r="N138" s="158">
        <f t="shared" si="78"/>
        <v>283604.17260645487</v>
      </c>
    </row>
    <row r="139" spans="1:16" ht="15" x14ac:dyDescent="0.35">
      <c r="C139" s="11">
        <f t="shared" ref="C139:M139" si="87">SUM(C127:C138)</f>
        <v>22818.564465211424</v>
      </c>
      <c r="D139" s="11">
        <f t="shared" si="87"/>
        <v>0</v>
      </c>
      <c r="E139" s="11">
        <f t="shared" si="87"/>
        <v>149688.08999706278</v>
      </c>
      <c r="F139" s="11">
        <f t="shared" si="87"/>
        <v>76658.070775353699</v>
      </c>
      <c r="G139" s="11">
        <f t="shared" si="87"/>
        <v>12066.233903848544</v>
      </c>
      <c r="H139" s="11">
        <f t="shared" si="87"/>
        <v>-44463.197749365208</v>
      </c>
      <c r="I139" s="11">
        <f t="shared" si="87"/>
        <v>24153.500951858623</v>
      </c>
      <c r="J139" s="11">
        <f t="shared" si="87"/>
        <v>36436.373301116982</v>
      </c>
      <c r="K139" s="11">
        <f t="shared" si="87"/>
        <v>6632.9028465511155</v>
      </c>
      <c r="L139" s="11">
        <f t="shared" si="87"/>
        <v>-386.36588518311913</v>
      </c>
      <c r="M139" s="11">
        <f t="shared" si="87"/>
        <v>283604.17260645487</v>
      </c>
      <c r="N139" s="11"/>
      <c r="P139" s="63"/>
    </row>
    <row r="140" spans="1:16" ht="15" x14ac:dyDescent="0.35">
      <c r="C140" s="11"/>
      <c r="D140" s="11"/>
      <c r="E140" s="11"/>
      <c r="F140" s="11"/>
      <c r="G140" s="11"/>
      <c r="H140" s="11"/>
      <c r="I140" s="11"/>
      <c r="J140" s="11"/>
      <c r="K140" s="11"/>
      <c r="L140" s="11"/>
      <c r="M140" s="11"/>
    </row>
    <row r="141" spans="1:16" ht="15" x14ac:dyDescent="0.35">
      <c r="A141" s="128" t="s">
        <v>99</v>
      </c>
      <c r="B141" s="129"/>
      <c r="C141" s="81">
        <f t="shared" ref="C141:M141" si="88">+C139/C104</f>
        <v>17.124677688977624</v>
      </c>
      <c r="D141" s="81" t="e">
        <f t="shared" si="88"/>
        <v>#DIV/0!</v>
      </c>
      <c r="E141" s="81">
        <f t="shared" si="88"/>
        <v>70.751841325119415</v>
      </c>
      <c r="F141" s="81">
        <f t="shared" si="88"/>
        <v>884.16478044790699</v>
      </c>
      <c r="G141" s="81">
        <f t="shared" si="88"/>
        <v>97.642754030020342</v>
      </c>
      <c r="H141" s="81">
        <f t="shared" si="88"/>
        <v>-53.339999999999996</v>
      </c>
      <c r="I141" s="81">
        <f t="shared" si="88"/>
        <v>123.12457852537634</v>
      </c>
      <c r="J141" s="81">
        <f t="shared" si="88"/>
        <v>692.95079076300203</v>
      </c>
      <c r="K141" s="81">
        <f t="shared" si="88"/>
        <v>194.09293150760905</v>
      </c>
      <c r="L141" s="81">
        <f t="shared" si="88"/>
        <v>-167.36077643962852</v>
      </c>
      <c r="M141" s="81">
        <f t="shared" si="88"/>
        <v>59.365372067528732</v>
      </c>
    </row>
    <row r="142" spans="1:16" x14ac:dyDescent="0.2">
      <c r="A142" s="129"/>
      <c r="B142" s="129"/>
    </row>
    <row r="143" spans="1:16" x14ac:dyDescent="0.2">
      <c r="C143" s="25"/>
      <c r="D143" s="25"/>
      <c r="E143" s="25"/>
      <c r="F143" s="25"/>
      <c r="G143" s="25"/>
      <c r="H143" s="25"/>
      <c r="I143" s="25"/>
      <c r="J143" s="25"/>
      <c r="K143" s="25"/>
      <c r="L143" s="25"/>
      <c r="M143" s="30"/>
    </row>
  </sheetData>
  <mergeCells count="3">
    <mergeCell ref="C23:L23"/>
    <mergeCell ref="C56:L56"/>
    <mergeCell ref="C107:L107"/>
  </mergeCells>
  <pageMargins left="0.45" right="0.45" top="0.5" bottom="0.5" header="0.3" footer="0"/>
  <pageSetup scale="79" fitToHeight="3" orientation="landscape" r:id="rId1"/>
  <headerFooter>
    <oddFooter>Page &amp;P of &amp;N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BA39"/>
  <sheetViews>
    <sheetView zoomScaleNormal="100" workbookViewId="0">
      <pane xSplit="1" ySplit="2" topLeftCell="B22" activePane="bottomRight" state="frozen"/>
      <selection pane="topRight" activeCell="B1" sqref="B1"/>
      <selection pane="bottomLeft" activeCell="A6" sqref="A6"/>
      <selection pane="bottomRight" activeCell="A25" sqref="A25"/>
    </sheetView>
  </sheetViews>
  <sheetFormatPr defaultRowHeight="12.75" x14ac:dyDescent="0.2"/>
  <cols>
    <col min="1" max="1" width="16.85546875" style="84" customWidth="1"/>
    <col min="2" max="2" width="9.140625" style="84" bestFit="1" customWidth="1"/>
    <col min="3" max="3" width="7" style="84" bestFit="1" customWidth="1"/>
    <col min="4" max="4" width="9" style="84" bestFit="1" customWidth="1"/>
    <col min="5" max="5" width="6.7109375" style="84" bestFit="1" customWidth="1"/>
    <col min="6" max="6" width="9" style="84" bestFit="1" customWidth="1"/>
    <col min="7" max="7" width="6.7109375" style="84" bestFit="1" customWidth="1"/>
    <col min="8" max="8" width="9" style="84" bestFit="1" customWidth="1"/>
    <col min="9" max="9" width="6.7109375" style="84" bestFit="1" customWidth="1"/>
    <col min="10" max="10" width="9.5703125" style="84" bestFit="1" customWidth="1"/>
    <col min="11" max="11" width="6.7109375" style="84" bestFit="1" customWidth="1"/>
    <col min="12" max="12" width="9.5703125" style="84" bestFit="1" customWidth="1"/>
    <col min="13" max="13" width="6.7109375" style="84" bestFit="1" customWidth="1"/>
    <col min="14" max="14" width="9" style="84" bestFit="1" customWidth="1"/>
    <col min="15" max="15" width="6.7109375" style="84" customWidth="1"/>
    <col min="16" max="16" width="9" style="84" bestFit="1" customWidth="1"/>
    <col min="17" max="17" width="6.7109375" style="84" customWidth="1"/>
    <col min="18" max="18" width="7.5703125" style="84" bestFit="1" customWidth="1"/>
    <col min="19" max="19" width="6.7109375" style="84" customWidth="1"/>
    <col min="20" max="20" width="9" style="84" bestFit="1" customWidth="1"/>
    <col min="21" max="21" width="6.7109375" style="84" customWidth="1"/>
    <col min="22" max="22" width="9" style="84" bestFit="1" customWidth="1"/>
    <col min="23" max="23" width="6.7109375" style="84" customWidth="1"/>
    <col min="24" max="24" width="9" style="84" bestFit="1" customWidth="1"/>
    <col min="25" max="25" width="6.7109375" style="84" customWidth="1"/>
    <col min="26" max="26" width="10" bestFit="1" customWidth="1"/>
    <col min="27" max="27" width="6.7109375" bestFit="1" customWidth="1"/>
    <col min="29" max="29" width="10" style="84" bestFit="1" customWidth="1"/>
    <col min="30" max="172" width="9.140625" style="84"/>
    <col min="173" max="173" width="18.42578125" style="84" customWidth="1"/>
    <col min="174" max="183" width="9.140625" style="84"/>
    <col min="184" max="184" width="10.28515625" style="84" bestFit="1" customWidth="1"/>
    <col min="185" max="428" width="9.140625" style="84"/>
    <col min="429" max="429" width="18.42578125" style="84" customWidth="1"/>
    <col min="430" max="439" width="9.140625" style="84"/>
    <col min="440" max="440" width="10.28515625" style="84" bestFit="1" customWidth="1"/>
    <col min="441" max="684" width="9.140625" style="84"/>
    <col min="685" max="685" width="18.42578125" style="84" customWidth="1"/>
    <col min="686" max="695" width="9.140625" style="84"/>
    <col min="696" max="696" width="10.28515625" style="84" bestFit="1" customWidth="1"/>
    <col min="697" max="940" width="9.140625" style="84"/>
    <col min="941" max="941" width="18.42578125" style="84" customWidth="1"/>
    <col min="942" max="951" width="9.140625" style="84"/>
    <col min="952" max="952" width="10.28515625" style="84" bestFit="1" customWidth="1"/>
    <col min="953" max="1196" width="9.140625" style="84"/>
    <col min="1197" max="1197" width="18.42578125" style="84" customWidth="1"/>
    <col min="1198" max="1207" width="9.140625" style="84"/>
    <col min="1208" max="1208" width="10.28515625" style="84" bestFit="1" customWidth="1"/>
    <col min="1209" max="1452" width="9.140625" style="84"/>
    <col min="1453" max="1453" width="18.42578125" style="84" customWidth="1"/>
    <col min="1454" max="1463" width="9.140625" style="84"/>
    <col min="1464" max="1464" width="10.28515625" style="84" bestFit="1" customWidth="1"/>
    <col min="1465" max="1708" width="9.140625" style="84"/>
    <col min="1709" max="1709" width="18.42578125" style="84" customWidth="1"/>
    <col min="1710" max="1719" width="9.140625" style="84"/>
    <col min="1720" max="1720" width="10.28515625" style="84" bestFit="1" customWidth="1"/>
    <col min="1721" max="1964" width="9.140625" style="84"/>
    <col min="1965" max="1965" width="18.42578125" style="84" customWidth="1"/>
    <col min="1966" max="1975" width="9.140625" style="84"/>
    <col min="1976" max="1976" width="10.28515625" style="84" bestFit="1" customWidth="1"/>
    <col min="1977" max="2220" width="9.140625" style="84"/>
    <col min="2221" max="2221" width="18.42578125" style="84" customWidth="1"/>
    <col min="2222" max="2231" width="9.140625" style="84"/>
    <col min="2232" max="2232" width="10.28515625" style="84" bestFit="1" customWidth="1"/>
    <col min="2233" max="2476" width="9.140625" style="84"/>
    <col min="2477" max="2477" width="18.42578125" style="84" customWidth="1"/>
    <col min="2478" max="2487" width="9.140625" style="84"/>
    <col min="2488" max="2488" width="10.28515625" style="84" bestFit="1" customWidth="1"/>
    <col min="2489" max="2732" width="9.140625" style="84"/>
    <col min="2733" max="2733" width="18.42578125" style="84" customWidth="1"/>
    <col min="2734" max="2743" width="9.140625" style="84"/>
    <col min="2744" max="2744" width="10.28515625" style="84" bestFit="1" customWidth="1"/>
    <col min="2745" max="2988" width="9.140625" style="84"/>
    <col min="2989" max="2989" width="18.42578125" style="84" customWidth="1"/>
    <col min="2990" max="2999" width="9.140625" style="84"/>
    <col min="3000" max="3000" width="10.28515625" style="84" bestFit="1" customWidth="1"/>
    <col min="3001" max="3244" width="9.140625" style="84"/>
    <col min="3245" max="3245" width="18.42578125" style="84" customWidth="1"/>
    <col min="3246" max="3255" width="9.140625" style="84"/>
    <col min="3256" max="3256" width="10.28515625" style="84" bestFit="1" customWidth="1"/>
    <col min="3257" max="3500" width="9.140625" style="84"/>
    <col min="3501" max="3501" width="18.42578125" style="84" customWidth="1"/>
    <col min="3502" max="3511" width="9.140625" style="84"/>
    <col min="3512" max="3512" width="10.28515625" style="84" bestFit="1" customWidth="1"/>
    <col min="3513" max="3756" width="9.140625" style="84"/>
    <col min="3757" max="3757" width="18.42578125" style="84" customWidth="1"/>
    <col min="3758" max="3767" width="9.140625" style="84"/>
    <col min="3768" max="3768" width="10.28515625" style="84" bestFit="1" customWidth="1"/>
    <col min="3769" max="4012" width="9.140625" style="84"/>
    <col min="4013" max="4013" width="18.42578125" style="84" customWidth="1"/>
    <col min="4014" max="4023" width="9.140625" style="84"/>
    <col min="4024" max="4024" width="10.28515625" style="84" bestFit="1" customWidth="1"/>
    <col min="4025" max="4268" width="9.140625" style="84"/>
    <col min="4269" max="4269" width="18.42578125" style="84" customWidth="1"/>
    <col min="4270" max="4279" width="9.140625" style="84"/>
    <col min="4280" max="4280" width="10.28515625" style="84" bestFit="1" customWidth="1"/>
    <col min="4281" max="4524" width="9.140625" style="84"/>
    <col min="4525" max="4525" width="18.42578125" style="84" customWidth="1"/>
    <col min="4526" max="4535" width="9.140625" style="84"/>
    <col min="4536" max="4536" width="10.28515625" style="84" bestFit="1" customWidth="1"/>
    <col min="4537" max="4780" width="9.140625" style="84"/>
    <col min="4781" max="4781" width="18.42578125" style="84" customWidth="1"/>
    <col min="4782" max="4791" width="9.140625" style="84"/>
    <col min="4792" max="4792" width="10.28515625" style="84" bestFit="1" customWidth="1"/>
    <col min="4793" max="5036" width="9.140625" style="84"/>
    <col min="5037" max="5037" width="18.42578125" style="84" customWidth="1"/>
    <col min="5038" max="5047" width="9.140625" style="84"/>
    <col min="5048" max="5048" width="10.28515625" style="84" bestFit="1" customWidth="1"/>
    <col min="5049" max="5292" width="9.140625" style="84"/>
    <col min="5293" max="5293" width="18.42578125" style="84" customWidth="1"/>
    <col min="5294" max="5303" width="9.140625" style="84"/>
    <col min="5304" max="5304" width="10.28515625" style="84" bestFit="1" customWidth="1"/>
    <col min="5305" max="5548" width="9.140625" style="84"/>
    <col min="5549" max="5549" width="18.42578125" style="84" customWidth="1"/>
    <col min="5550" max="5559" width="9.140625" style="84"/>
    <col min="5560" max="5560" width="10.28515625" style="84" bestFit="1" customWidth="1"/>
    <col min="5561" max="5804" width="9.140625" style="84"/>
    <col min="5805" max="5805" width="18.42578125" style="84" customWidth="1"/>
    <col min="5806" max="5815" width="9.140625" style="84"/>
    <col min="5816" max="5816" width="10.28515625" style="84" bestFit="1" customWidth="1"/>
    <col min="5817" max="6060" width="9.140625" style="84"/>
    <col min="6061" max="6061" width="18.42578125" style="84" customWidth="1"/>
    <col min="6062" max="6071" width="9.140625" style="84"/>
    <col min="6072" max="6072" width="10.28515625" style="84" bestFit="1" customWidth="1"/>
    <col min="6073" max="6316" width="9.140625" style="84"/>
    <col min="6317" max="6317" width="18.42578125" style="84" customWidth="1"/>
    <col min="6318" max="6327" width="9.140625" style="84"/>
    <col min="6328" max="6328" width="10.28515625" style="84" bestFit="1" customWidth="1"/>
    <col min="6329" max="6572" width="9.140625" style="84"/>
    <col min="6573" max="6573" width="18.42578125" style="84" customWidth="1"/>
    <col min="6574" max="6583" width="9.140625" style="84"/>
    <col min="6584" max="6584" width="10.28515625" style="84" bestFit="1" customWidth="1"/>
    <col min="6585" max="6828" width="9.140625" style="84"/>
    <col min="6829" max="6829" width="18.42578125" style="84" customWidth="1"/>
    <col min="6830" max="6839" width="9.140625" style="84"/>
    <col min="6840" max="6840" width="10.28515625" style="84" bestFit="1" customWidth="1"/>
    <col min="6841" max="7084" width="9.140625" style="84"/>
    <col min="7085" max="7085" width="18.42578125" style="84" customWidth="1"/>
    <col min="7086" max="7095" width="9.140625" style="84"/>
    <col min="7096" max="7096" width="10.28515625" style="84" bestFit="1" customWidth="1"/>
    <col min="7097" max="7340" width="9.140625" style="84"/>
    <col min="7341" max="7341" width="18.42578125" style="84" customWidth="1"/>
    <col min="7342" max="7351" width="9.140625" style="84"/>
    <col min="7352" max="7352" width="10.28515625" style="84" bestFit="1" customWidth="1"/>
    <col min="7353" max="7596" width="9.140625" style="84"/>
    <col min="7597" max="7597" width="18.42578125" style="84" customWidth="1"/>
    <col min="7598" max="7607" width="9.140625" style="84"/>
    <col min="7608" max="7608" width="10.28515625" style="84" bestFit="1" customWidth="1"/>
    <col min="7609" max="7852" width="9.140625" style="84"/>
    <col min="7853" max="7853" width="18.42578125" style="84" customWidth="1"/>
    <col min="7854" max="7863" width="9.140625" style="84"/>
    <col min="7864" max="7864" width="10.28515625" style="84" bestFit="1" customWidth="1"/>
    <col min="7865" max="8108" width="9.140625" style="84"/>
    <col min="8109" max="8109" width="18.42578125" style="84" customWidth="1"/>
    <col min="8110" max="8119" width="9.140625" style="84"/>
    <col min="8120" max="8120" width="10.28515625" style="84" bestFit="1" customWidth="1"/>
    <col min="8121" max="8364" width="9.140625" style="84"/>
    <col min="8365" max="8365" width="18.42578125" style="84" customWidth="1"/>
    <col min="8366" max="8375" width="9.140625" style="84"/>
    <col min="8376" max="8376" width="10.28515625" style="84" bestFit="1" customWidth="1"/>
    <col min="8377" max="8620" width="9.140625" style="84"/>
    <col min="8621" max="8621" width="18.42578125" style="84" customWidth="1"/>
    <col min="8622" max="8631" width="9.140625" style="84"/>
    <col min="8632" max="8632" width="10.28515625" style="84" bestFit="1" customWidth="1"/>
    <col min="8633" max="8876" width="9.140625" style="84"/>
    <col min="8877" max="8877" width="18.42578125" style="84" customWidth="1"/>
    <col min="8878" max="8887" width="9.140625" style="84"/>
    <col min="8888" max="8888" width="10.28515625" style="84" bestFit="1" customWidth="1"/>
    <col min="8889" max="9132" width="9.140625" style="84"/>
    <col min="9133" max="9133" width="18.42578125" style="84" customWidth="1"/>
    <col min="9134" max="9143" width="9.140625" style="84"/>
    <col min="9144" max="9144" width="10.28515625" style="84" bestFit="1" customWidth="1"/>
    <col min="9145" max="9388" width="9.140625" style="84"/>
    <col min="9389" max="9389" width="18.42578125" style="84" customWidth="1"/>
    <col min="9390" max="9399" width="9.140625" style="84"/>
    <col min="9400" max="9400" width="10.28515625" style="84" bestFit="1" customWidth="1"/>
    <col min="9401" max="9644" width="9.140625" style="84"/>
    <col min="9645" max="9645" width="18.42578125" style="84" customWidth="1"/>
    <col min="9646" max="9655" width="9.140625" style="84"/>
    <col min="9656" max="9656" width="10.28515625" style="84" bestFit="1" customWidth="1"/>
    <col min="9657" max="9900" width="9.140625" style="84"/>
    <col min="9901" max="9901" width="18.42578125" style="84" customWidth="1"/>
    <col min="9902" max="9911" width="9.140625" style="84"/>
    <col min="9912" max="9912" width="10.28515625" style="84" bestFit="1" customWidth="1"/>
    <col min="9913" max="10156" width="9.140625" style="84"/>
    <col min="10157" max="10157" width="18.42578125" style="84" customWidth="1"/>
    <col min="10158" max="10167" width="9.140625" style="84"/>
    <col min="10168" max="10168" width="10.28515625" style="84" bestFit="1" customWidth="1"/>
    <col min="10169" max="10412" width="9.140625" style="84"/>
    <col min="10413" max="10413" width="18.42578125" style="84" customWidth="1"/>
    <col min="10414" max="10423" width="9.140625" style="84"/>
    <col min="10424" max="10424" width="10.28515625" style="84" bestFit="1" customWidth="1"/>
    <col min="10425" max="10668" width="9.140625" style="84"/>
    <col min="10669" max="10669" width="18.42578125" style="84" customWidth="1"/>
    <col min="10670" max="10679" width="9.140625" style="84"/>
    <col min="10680" max="10680" width="10.28515625" style="84" bestFit="1" customWidth="1"/>
    <col min="10681" max="10924" width="9.140625" style="84"/>
    <col min="10925" max="10925" width="18.42578125" style="84" customWidth="1"/>
    <col min="10926" max="10935" width="9.140625" style="84"/>
    <col min="10936" max="10936" width="10.28515625" style="84" bestFit="1" customWidth="1"/>
    <col min="10937" max="11180" width="9.140625" style="84"/>
    <col min="11181" max="11181" width="18.42578125" style="84" customWidth="1"/>
    <col min="11182" max="11191" width="9.140625" style="84"/>
    <col min="11192" max="11192" width="10.28515625" style="84" bestFit="1" customWidth="1"/>
    <col min="11193" max="11436" width="9.140625" style="84"/>
    <col min="11437" max="11437" width="18.42578125" style="84" customWidth="1"/>
    <col min="11438" max="11447" width="9.140625" style="84"/>
    <col min="11448" max="11448" width="10.28515625" style="84" bestFit="1" customWidth="1"/>
    <col min="11449" max="11692" width="9.140625" style="84"/>
    <col min="11693" max="11693" width="18.42578125" style="84" customWidth="1"/>
    <col min="11694" max="11703" width="9.140625" style="84"/>
    <col min="11704" max="11704" width="10.28515625" style="84" bestFit="1" customWidth="1"/>
    <col min="11705" max="11948" width="9.140625" style="84"/>
    <col min="11949" max="11949" width="18.42578125" style="84" customWidth="1"/>
    <col min="11950" max="11959" width="9.140625" style="84"/>
    <col min="11960" max="11960" width="10.28515625" style="84" bestFit="1" customWidth="1"/>
    <col min="11961" max="12204" width="9.140625" style="84"/>
    <col min="12205" max="12205" width="18.42578125" style="84" customWidth="1"/>
    <col min="12206" max="12215" width="9.140625" style="84"/>
    <col min="12216" max="12216" width="10.28515625" style="84" bestFit="1" customWidth="1"/>
    <col min="12217" max="12460" width="9.140625" style="84"/>
    <col min="12461" max="12461" width="18.42578125" style="84" customWidth="1"/>
    <col min="12462" max="12471" width="9.140625" style="84"/>
    <col min="12472" max="12472" width="10.28515625" style="84" bestFit="1" customWidth="1"/>
    <col min="12473" max="12716" width="9.140625" style="84"/>
    <col min="12717" max="12717" width="18.42578125" style="84" customWidth="1"/>
    <col min="12718" max="12727" width="9.140625" style="84"/>
    <col min="12728" max="12728" width="10.28515625" style="84" bestFit="1" customWidth="1"/>
    <col min="12729" max="12972" width="9.140625" style="84"/>
    <col min="12973" max="12973" width="18.42578125" style="84" customWidth="1"/>
    <col min="12974" max="12983" width="9.140625" style="84"/>
    <col min="12984" max="12984" width="10.28515625" style="84" bestFit="1" customWidth="1"/>
    <col min="12985" max="13228" width="9.140625" style="84"/>
    <col min="13229" max="13229" width="18.42578125" style="84" customWidth="1"/>
    <col min="13230" max="13239" width="9.140625" style="84"/>
    <col min="13240" max="13240" width="10.28515625" style="84" bestFit="1" customWidth="1"/>
    <col min="13241" max="13484" width="9.140625" style="84"/>
    <col min="13485" max="13485" width="18.42578125" style="84" customWidth="1"/>
    <col min="13486" max="13495" width="9.140625" style="84"/>
    <col min="13496" max="13496" width="10.28515625" style="84" bestFit="1" customWidth="1"/>
    <col min="13497" max="13740" width="9.140625" style="84"/>
    <col min="13741" max="13741" width="18.42578125" style="84" customWidth="1"/>
    <col min="13742" max="13751" width="9.140625" style="84"/>
    <col min="13752" max="13752" width="10.28515625" style="84" bestFit="1" customWidth="1"/>
    <col min="13753" max="13996" width="9.140625" style="84"/>
    <col min="13997" max="13997" width="18.42578125" style="84" customWidth="1"/>
    <col min="13998" max="14007" width="9.140625" style="84"/>
    <col min="14008" max="14008" width="10.28515625" style="84" bestFit="1" customWidth="1"/>
    <col min="14009" max="14252" width="9.140625" style="84"/>
    <col min="14253" max="14253" width="18.42578125" style="84" customWidth="1"/>
    <col min="14254" max="14263" width="9.140625" style="84"/>
    <col min="14264" max="14264" width="10.28515625" style="84" bestFit="1" customWidth="1"/>
    <col min="14265" max="14508" width="9.140625" style="84"/>
    <col min="14509" max="14509" width="18.42578125" style="84" customWidth="1"/>
    <col min="14510" max="14519" width="9.140625" style="84"/>
    <col min="14520" max="14520" width="10.28515625" style="84" bestFit="1" customWidth="1"/>
    <col min="14521" max="14764" width="9.140625" style="84"/>
    <col min="14765" max="14765" width="18.42578125" style="84" customWidth="1"/>
    <col min="14766" max="14775" width="9.140625" style="84"/>
    <col min="14776" max="14776" width="10.28515625" style="84" bestFit="1" customWidth="1"/>
    <col min="14777" max="15020" width="9.140625" style="84"/>
    <col min="15021" max="15021" width="18.42578125" style="84" customWidth="1"/>
    <col min="15022" max="15031" width="9.140625" style="84"/>
    <col min="15032" max="15032" width="10.28515625" style="84" bestFit="1" customWidth="1"/>
    <col min="15033" max="15276" width="9.140625" style="84"/>
    <col min="15277" max="15277" width="18.42578125" style="84" customWidth="1"/>
    <col min="15278" max="15287" width="9.140625" style="84"/>
    <col min="15288" max="15288" width="10.28515625" style="84" bestFit="1" customWidth="1"/>
    <col min="15289" max="15532" width="9.140625" style="84"/>
    <col min="15533" max="15533" width="18.42578125" style="84" customWidth="1"/>
    <col min="15534" max="15543" width="9.140625" style="84"/>
    <col min="15544" max="15544" width="10.28515625" style="84" bestFit="1" customWidth="1"/>
    <col min="15545" max="15788" width="9.140625" style="84"/>
    <col min="15789" max="15789" width="18.42578125" style="84" customWidth="1"/>
    <col min="15790" max="15799" width="9.140625" style="84"/>
    <col min="15800" max="15800" width="10.28515625" style="84" bestFit="1" customWidth="1"/>
    <col min="15801" max="16044" width="9.140625" style="84"/>
    <col min="16045" max="16045" width="18.42578125" style="84" customWidth="1"/>
    <col min="16046" max="16055" width="9.140625" style="84"/>
    <col min="16056" max="16056" width="10.28515625" style="84" bestFit="1" customWidth="1"/>
    <col min="16057" max="16384" width="9.140625" style="84"/>
  </cols>
  <sheetData>
    <row r="1" spans="1:53" ht="12" x14ac:dyDescent="0.2">
      <c r="A1" s="83" t="s">
        <v>65</v>
      </c>
      <c r="Z1" s="84"/>
      <c r="AA1" s="84"/>
      <c r="AB1" s="84"/>
    </row>
    <row r="2" spans="1:53" s="85" customFormat="1" ht="12" hidden="1" x14ac:dyDescent="0.2"/>
    <row r="3" spans="1:53" ht="12" hidden="1" x14ac:dyDescent="0.2">
      <c r="A3" s="86"/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5"/>
      <c r="Y3" s="85"/>
      <c r="Z3" s="84"/>
      <c r="AA3" s="84"/>
      <c r="AB3" s="84"/>
    </row>
    <row r="4" spans="1:53" hidden="1" x14ac:dyDescent="0.2">
      <c r="A4" s="85"/>
      <c r="B4" s="374">
        <v>43070</v>
      </c>
      <c r="C4" s="374"/>
      <c r="D4" s="374">
        <v>43101</v>
      </c>
      <c r="E4" s="374"/>
      <c r="F4" s="374">
        <v>43132</v>
      </c>
      <c r="G4" s="374"/>
      <c r="H4" s="374">
        <v>43160</v>
      </c>
      <c r="I4" s="374"/>
      <c r="J4" s="374">
        <v>43191</v>
      </c>
      <c r="K4" s="374"/>
      <c r="L4" s="374">
        <v>43221</v>
      </c>
      <c r="M4" s="374"/>
      <c r="N4" s="250"/>
      <c r="O4" s="250"/>
      <c r="P4" s="250"/>
      <c r="Q4" s="250"/>
      <c r="R4" s="250"/>
      <c r="S4" s="250"/>
      <c r="T4" s="250"/>
      <c r="U4" s="250"/>
      <c r="V4" s="250"/>
      <c r="W4" s="250"/>
      <c r="X4" s="250"/>
      <c r="Y4" s="250"/>
      <c r="Z4" s="374" t="s">
        <v>3</v>
      </c>
      <c r="AA4" s="374"/>
    </row>
    <row r="5" spans="1:53" hidden="1" x14ac:dyDescent="0.2">
      <c r="A5" s="85"/>
      <c r="B5" s="87" t="s">
        <v>12</v>
      </c>
      <c r="C5" s="87" t="s">
        <v>4</v>
      </c>
      <c r="D5" s="87" t="s">
        <v>12</v>
      </c>
      <c r="E5" s="87" t="s">
        <v>4</v>
      </c>
      <c r="F5" s="87" t="s">
        <v>12</v>
      </c>
      <c r="G5" s="87" t="s">
        <v>4</v>
      </c>
      <c r="H5" s="87" t="s">
        <v>12</v>
      </c>
      <c r="I5" s="87" t="s">
        <v>4</v>
      </c>
      <c r="J5" s="87" t="s">
        <v>12</v>
      </c>
      <c r="K5" s="87" t="s">
        <v>4</v>
      </c>
      <c r="L5" s="87" t="s">
        <v>12</v>
      </c>
      <c r="M5" s="87" t="s">
        <v>4</v>
      </c>
      <c r="N5" s="87"/>
      <c r="O5" s="87"/>
      <c r="P5" s="87"/>
      <c r="Q5" s="87"/>
      <c r="R5" s="87"/>
      <c r="S5" s="87"/>
      <c r="T5" s="87"/>
      <c r="U5" s="87"/>
      <c r="V5" s="87"/>
      <c r="W5" s="87"/>
      <c r="X5" s="87"/>
      <c r="Y5" s="87"/>
      <c r="Z5" s="87" t="s">
        <v>12</v>
      </c>
      <c r="AA5" s="87" t="s">
        <v>4</v>
      </c>
    </row>
    <row r="6" spans="1:53" hidden="1" x14ac:dyDescent="0.2">
      <c r="A6" s="85" t="s">
        <v>36</v>
      </c>
      <c r="B6" s="88">
        <v>464.47</v>
      </c>
      <c r="C6" s="89">
        <f>+B6/B$16</f>
        <v>0.42682411321448271</v>
      </c>
      <c r="D6" s="137">
        <v>429.16</v>
      </c>
      <c r="E6" s="89">
        <f>+D6/D$16</f>
        <v>0.38245463943250274</v>
      </c>
      <c r="F6" s="137">
        <v>324.49</v>
      </c>
      <c r="G6" s="89">
        <f>+F6/F$16</f>
        <v>0.38597138133244524</v>
      </c>
      <c r="H6" s="137">
        <v>325.77</v>
      </c>
      <c r="I6" s="89">
        <f>+H6/H$16</f>
        <v>0.34665602553870706</v>
      </c>
      <c r="J6" s="137">
        <v>299.68</v>
      </c>
      <c r="K6" s="89">
        <f>+J6/J$16</f>
        <v>0.33496523819104462</v>
      </c>
      <c r="L6" s="137">
        <v>319.27</v>
      </c>
      <c r="M6" s="89">
        <f>+L6/L$16</f>
        <v>0.33040121700075542</v>
      </c>
      <c r="N6" s="89"/>
      <c r="O6" s="89"/>
      <c r="P6" s="89"/>
      <c r="Q6" s="89"/>
      <c r="R6" s="89"/>
      <c r="S6" s="89"/>
      <c r="T6" s="89"/>
      <c r="U6" s="89"/>
      <c r="V6" s="89"/>
      <c r="W6" s="89"/>
      <c r="X6" s="89"/>
      <c r="Y6" s="89"/>
      <c r="Z6" s="88" t="e">
        <f>+#REF!+#REF!+#REF!+#REF!+#REF!+#REF!+B6+D6+F6+H6+J6+L6</f>
        <v>#REF!</v>
      </c>
      <c r="AA6" s="89" t="e">
        <f>+Z6/Z$16</f>
        <v>#REF!</v>
      </c>
      <c r="AC6" s="137" t="e">
        <f>+Z6/7*12</f>
        <v>#REF!</v>
      </c>
      <c r="AD6" s="89"/>
      <c r="AE6" s="88"/>
      <c r="AF6" s="89"/>
      <c r="AG6" s="88"/>
      <c r="AH6" s="89"/>
      <c r="AI6" s="88"/>
      <c r="AJ6" s="89"/>
      <c r="AK6" s="88"/>
      <c r="AL6" s="89"/>
      <c r="AM6" s="88"/>
      <c r="AN6" s="121"/>
      <c r="AO6" s="88"/>
      <c r="AP6" s="89"/>
      <c r="AQ6" s="88"/>
      <c r="AR6" s="89"/>
      <c r="AS6" s="88"/>
      <c r="AT6" s="89"/>
      <c r="AU6" s="88"/>
      <c r="AV6" s="89"/>
      <c r="AW6" s="88"/>
      <c r="AX6" s="89"/>
      <c r="AY6" s="88"/>
      <c r="AZ6" s="89"/>
      <c r="BA6" s="88"/>
    </row>
    <row r="7" spans="1:53" hidden="1" x14ac:dyDescent="0.2">
      <c r="A7" s="85" t="s">
        <v>66</v>
      </c>
      <c r="B7" s="88">
        <v>0</v>
      </c>
      <c r="C7" s="89">
        <f t="shared" ref="C7:E7" si="0">+B7/B$16</f>
        <v>0</v>
      </c>
      <c r="D7" s="137">
        <v>0</v>
      </c>
      <c r="E7" s="89">
        <f t="shared" si="0"/>
        <v>0</v>
      </c>
      <c r="F7" s="137">
        <v>0</v>
      </c>
      <c r="G7" s="89">
        <f t="shared" ref="G7" si="1">+F7/F$16</f>
        <v>0</v>
      </c>
      <c r="H7" s="137">
        <v>0</v>
      </c>
      <c r="I7" s="89">
        <f t="shared" ref="I7" si="2">+H7/H$16</f>
        <v>0</v>
      </c>
      <c r="J7" s="137">
        <v>0</v>
      </c>
      <c r="K7" s="89">
        <f t="shared" ref="K7" si="3">+J7/J$16</f>
        <v>0</v>
      </c>
      <c r="L7" s="137">
        <v>0</v>
      </c>
      <c r="M7" s="89">
        <f t="shared" ref="M7" si="4">+L7/L$16</f>
        <v>0</v>
      </c>
      <c r="N7" s="89"/>
      <c r="O7" s="89"/>
      <c r="P7" s="89"/>
      <c r="Q7" s="89"/>
      <c r="R7" s="89"/>
      <c r="S7" s="89"/>
      <c r="T7" s="89"/>
      <c r="U7" s="89"/>
      <c r="V7" s="89"/>
      <c r="W7" s="89"/>
      <c r="X7" s="89"/>
      <c r="Y7" s="89"/>
      <c r="Z7" s="88" t="e">
        <f>+#REF!+#REF!+#REF!+#REF!+#REF!+#REF!+B7+D7+F7+H7+J7+L7</f>
        <v>#REF!</v>
      </c>
      <c r="AA7" s="89" t="e">
        <f t="shared" ref="AA7" si="5">+Z7/Z$16</f>
        <v>#REF!</v>
      </c>
      <c r="AC7" s="137" t="e">
        <f t="shared" ref="AC7:AC15" si="6">+Z7/7*12</f>
        <v>#REF!</v>
      </c>
      <c r="AD7" s="89"/>
      <c r="AE7" s="88"/>
      <c r="AF7" s="89"/>
      <c r="AG7" s="88"/>
      <c r="AH7" s="89"/>
      <c r="AI7" s="88"/>
      <c r="AJ7" s="89"/>
      <c r="AK7" s="88"/>
      <c r="AL7" s="89"/>
      <c r="AM7" s="88"/>
      <c r="AN7" s="121"/>
      <c r="AO7" s="88"/>
      <c r="AP7" s="89"/>
      <c r="AQ7" s="88"/>
      <c r="AR7" s="89"/>
      <c r="AS7" s="88"/>
      <c r="AT7" s="89"/>
      <c r="AU7" s="88"/>
      <c r="AV7" s="89"/>
      <c r="AW7" s="88"/>
      <c r="AX7" s="89"/>
      <c r="AY7" s="88"/>
      <c r="AZ7" s="89"/>
      <c r="BA7" s="88"/>
    </row>
    <row r="8" spans="1:53" hidden="1" x14ac:dyDescent="0.2">
      <c r="A8" s="85" t="s">
        <v>19</v>
      </c>
      <c r="B8" s="88">
        <v>375.59</v>
      </c>
      <c r="C8" s="89">
        <f t="shared" ref="C8:E8" si="7">+B8/B$16</f>
        <v>0.34514795074434851</v>
      </c>
      <c r="D8" s="137">
        <v>415.2</v>
      </c>
      <c r="E8" s="89">
        <f t="shared" si="7"/>
        <v>0.37001390225644309</v>
      </c>
      <c r="F8" s="137">
        <v>281.02</v>
      </c>
      <c r="G8" s="89">
        <f t="shared" ref="G8" si="8">+F8/F$16</f>
        <v>0.33426508546347733</v>
      </c>
      <c r="H8" s="137">
        <v>354.22</v>
      </c>
      <c r="I8" s="89">
        <f t="shared" ref="I8" si="9">+H8/H$16</f>
        <v>0.37693003458366592</v>
      </c>
      <c r="J8" s="137">
        <v>354.01</v>
      </c>
      <c r="K8" s="89">
        <f t="shared" ref="K8" si="10">+J8/J$16</f>
        <v>0.39569221827286338</v>
      </c>
      <c r="L8" s="137">
        <v>400</v>
      </c>
      <c r="M8" s="89">
        <f t="shared" ref="M8" si="11">+L8/L$16</f>
        <v>0.41394583518746569</v>
      </c>
      <c r="N8" s="89"/>
      <c r="O8" s="89"/>
      <c r="P8" s="89"/>
      <c r="Q8" s="89"/>
      <c r="R8" s="89"/>
      <c r="S8" s="89"/>
      <c r="T8" s="89"/>
      <c r="U8" s="89"/>
      <c r="V8" s="89"/>
      <c r="W8" s="89"/>
      <c r="X8" s="89"/>
      <c r="Y8" s="89"/>
      <c r="Z8" s="88" t="e">
        <f>+#REF!+#REF!+#REF!+#REF!+#REF!+#REF!+B8+D8+F8+H8+J8+L8</f>
        <v>#REF!</v>
      </c>
      <c r="AA8" s="89" t="e">
        <f t="shared" ref="AA8" si="12">+Z8/Z$16</f>
        <v>#REF!</v>
      </c>
      <c r="AC8" s="137" t="e">
        <f t="shared" si="6"/>
        <v>#REF!</v>
      </c>
      <c r="AD8" s="89"/>
      <c r="AE8" s="88"/>
      <c r="AF8" s="89"/>
      <c r="AG8" s="88"/>
      <c r="AH8" s="89"/>
      <c r="AI8" s="88"/>
      <c r="AJ8" s="89"/>
      <c r="AK8" s="88"/>
      <c r="AL8" s="89"/>
      <c r="AM8" s="88"/>
      <c r="AN8" s="121"/>
      <c r="AO8" s="88"/>
      <c r="AP8" s="89"/>
      <c r="AQ8" s="88"/>
      <c r="AR8" s="89"/>
      <c r="AS8" s="88"/>
      <c r="AT8" s="89"/>
      <c r="AU8" s="88"/>
      <c r="AV8" s="89"/>
      <c r="AW8" s="88"/>
      <c r="AX8" s="89"/>
      <c r="AY8" s="88"/>
      <c r="AZ8" s="89"/>
      <c r="BA8" s="88"/>
    </row>
    <row r="9" spans="1:53" hidden="1" x14ac:dyDescent="0.2">
      <c r="A9" s="85" t="s">
        <v>17</v>
      </c>
      <c r="B9" s="88">
        <v>13.48</v>
      </c>
      <c r="C9" s="89">
        <f t="shared" ref="C9:E9" si="13">+B9/B$16</f>
        <v>1.2387428781473996E-2</v>
      </c>
      <c r="D9" s="137">
        <v>13.71</v>
      </c>
      <c r="E9" s="89">
        <f t="shared" si="13"/>
        <v>1.2217944604855095E-2</v>
      </c>
      <c r="F9" s="137">
        <v>10.28</v>
      </c>
      <c r="G9" s="89">
        <f t="shared" ref="G9" si="14">+F9/F$16</f>
        <v>1.2227759869634E-2</v>
      </c>
      <c r="H9" s="137">
        <v>12.41</v>
      </c>
      <c r="I9" s="89">
        <f t="shared" ref="I9" si="15">+H9/H$16</f>
        <v>1.3205639797818568E-2</v>
      </c>
      <c r="J9" s="137">
        <v>12.7</v>
      </c>
      <c r="K9" s="89">
        <f t="shared" ref="K9" si="16">+J9/J$16</f>
        <v>1.4195336775981934E-2</v>
      </c>
      <c r="L9" s="137">
        <v>14.34</v>
      </c>
      <c r="M9" s="89">
        <f t="shared" ref="M9" si="17">+L9/L$16</f>
        <v>1.4839958191470645E-2</v>
      </c>
      <c r="N9" s="89"/>
      <c r="O9" s="89"/>
      <c r="P9" s="89"/>
      <c r="Q9" s="89"/>
      <c r="R9" s="89"/>
      <c r="S9" s="89"/>
      <c r="T9" s="89"/>
      <c r="U9" s="89"/>
      <c r="V9" s="89"/>
      <c r="W9" s="89"/>
      <c r="X9" s="89"/>
      <c r="Y9" s="89"/>
      <c r="Z9" s="88" t="e">
        <f>+#REF!+#REF!+#REF!+#REF!+#REF!+#REF!+B9+D9+F9+H9+J9+L9</f>
        <v>#REF!</v>
      </c>
      <c r="AA9" s="89" t="e">
        <f t="shared" ref="AA9" si="18">+Z9/Z$16</f>
        <v>#REF!</v>
      </c>
      <c r="AC9" s="137" t="e">
        <f t="shared" si="6"/>
        <v>#REF!</v>
      </c>
      <c r="AD9" s="89"/>
      <c r="AE9" s="88"/>
      <c r="AF9" s="89"/>
      <c r="AG9" s="88"/>
      <c r="AH9" s="89"/>
      <c r="AI9" s="88"/>
      <c r="AJ9" s="89"/>
      <c r="AK9" s="88"/>
      <c r="AL9" s="89"/>
      <c r="AM9" s="88"/>
      <c r="AN9" s="121"/>
      <c r="AO9" s="88"/>
      <c r="AP9" s="89"/>
      <c r="AQ9" s="88"/>
      <c r="AR9" s="89"/>
      <c r="AS9" s="122"/>
      <c r="AT9" s="89"/>
      <c r="AU9" s="122"/>
      <c r="AV9" s="89"/>
      <c r="AW9" s="88"/>
      <c r="AX9" s="89"/>
      <c r="AY9" s="88"/>
      <c r="AZ9" s="89"/>
      <c r="BA9" s="88"/>
    </row>
    <row r="10" spans="1:53" hidden="1" x14ac:dyDescent="0.2">
      <c r="A10" s="85" t="s">
        <v>11</v>
      </c>
      <c r="B10" s="88">
        <v>154.78</v>
      </c>
      <c r="C10" s="89">
        <f t="shared" ref="C10:E10" si="19">+B10/B$16</f>
        <v>0.14223488329351225</v>
      </c>
      <c r="D10" s="137">
        <v>166.16</v>
      </c>
      <c r="E10" s="89">
        <f t="shared" si="19"/>
        <v>0.14807685452536268</v>
      </c>
      <c r="F10" s="137">
        <v>159.09</v>
      </c>
      <c r="G10" s="89">
        <f t="shared" ref="G10" si="20">+F10/F$16</f>
        <v>0.18923291027821723</v>
      </c>
      <c r="H10" s="137">
        <v>172.66</v>
      </c>
      <c r="I10" s="89">
        <f t="shared" ref="I10" si="21">+H10/H$16</f>
        <v>0.18372971534982707</v>
      </c>
      <c r="J10" s="137">
        <v>153.04</v>
      </c>
      <c r="K10" s="89">
        <f t="shared" ref="K10" si="22">+J10/J$16</f>
        <v>0.17105939686584845</v>
      </c>
      <c r="L10" s="137">
        <v>154.36000000000001</v>
      </c>
      <c r="M10" s="89">
        <f t="shared" ref="M10" si="23">+L10/L$16</f>
        <v>0.15974169779884304</v>
      </c>
      <c r="N10" s="89"/>
      <c r="O10" s="89"/>
      <c r="P10" s="89"/>
      <c r="Q10" s="89"/>
      <c r="R10" s="89"/>
      <c r="S10" s="89"/>
      <c r="T10" s="89"/>
      <c r="U10" s="89"/>
      <c r="V10" s="89"/>
      <c r="W10" s="89"/>
      <c r="X10" s="89"/>
      <c r="Y10" s="89"/>
      <c r="Z10" s="88" t="e">
        <f>+#REF!+#REF!+#REF!+#REF!+#REF!+#REF!+B10+D10+F10+H10+J10+L10</f>
        <v>#REF!</v>
      </c>
      <c r="AA10" s="89" t="e">
        <f t="shared" ref="AA10" si="24">+Z10/Z$16</f>
        <v>#REF!</v>
      </c>
      <c r="AC10" s="137" t="e">
        <f t="shared" si="6"/>
        <v>#REF!</v>
      </c>
      <c r="AD10" s="89"/>
      <c r="AE10" s="88"/>
      <c r="AF10" s="89"/>
      <c r="AG10" s="88"/>
      <c r="AH10" s="89"/>
      <c r="AI10" s="88"/>
      <c r="AJ10" s="89"/>
      <c r="AK10" s="88"/>
      <c r="AL10" s="89"/>
      <c r="AM10" s="88"/>
      <c r="AN10" s="121"/>
      <c r="AO10" s="88"/>
      <c r="AP10" s="89"/>
      <c r="AQ10" s="88"/>
      <c r="AR10" s="89"/>
      <c r="AS10" s="122"/>
      <c r="AT10" s="89"/>
      <c r="AU10" s="122"/>
      <c r="AV10" s="89"/>
      <c r="AW10" s="88"/>
      <c r="AX10" s="89"/>
      <c r="AY10" s="88"/>
      <c r="AZ10" s="89"/>
      <c r="BA10" s="88"/>
    </row>
    <row r="11" spans="1:53" hidden="1" x14ac:dyDescent="0.2">
      <c r="A11" s="85" t="s">
        <v>97</v>
      </c>
      <c r="B11" s="88">
        <v>28.96</v>
      </c>
      <c r="C11" s="89">
        <f t="shared" ref="C11:E11" si="25">+B11/B$16</f>
        <v>2.6612755008270542E-2</v>
      </c>
      <c r="D11" s="137">
        <v>30.9</v>
      </c>
      <c r="E11" s="89">
        <f t="shared" si="25"/>
        <v>2.7537161800876907E-2</v>
      </c>
      <c r="F11" s="137">
        <v>22.92</v>
      </c>
      <c r="G11" s="89">
        <f t="shared" ref="G11" si="26">+F11/F$16</f>
        <v>2.7262670837744293E-2</v>
      </c>
      <c r="H11" s="137">
        <v>23.83</v>
      </c>
      <c r="I11" s="89">
        <f t="shared" ref="I11" si="27">+H11/H$16</f>
        <v>2.5357807927640329E-2</v>
      </c>
      <c r="J11" s="137">
        <v>24.01</v>
      </c>
      <c r="K11" s="89">
        <f t="shared" ref="K11" si="28">+J11/J$16</f>
        <v>2.6837010707978448E-2</v>
      </c>
      <c r="L11" s="137">
        <v>24.89</v>
      </c>
      <c r="M11" s="89">
        <f t="shared" ref="M11" si="29">+L11/L$16</f>
        <v>2.5757779594540054E-2</v>
      </c>
      <c r="N11" s="89"/>
      <c r="O11" s="89"/>
      <c r="P11" s="89"/>
      <c r="Q11" s="89"/>
      <c r="R11" s="89"/>
      <c r="S11" s="89"/>
      <c r="T11" s="89"/>
      <c r="U11" s="89"/>
      <c r="V11" s="89"/>
      <c r="W11" s="89"/>
      <c r="X11" s="89"/>
      <c r="Y11" s="89"/>
      <c r="Z11" s="88" t="e">
        <f>+#REF!+#REF!+#REF!+#REF!+#REF!+#REF!+B11+D11+F11+H11+J11+L11</f>
        <v>#REF!</v>
      </c>
      <c r="AA11" s="89" t="e">
        <f t="shared" ref="AA11" si="30">+Z11/Z$16</f>
        <v>#REF!</v>
      </c>
      <c r="AC11" s="137" t="e">
        <f t="shared" si="6"/>
        <v>#REF!</v>
      </c>
      <c r="AD11" s="89"/>
      <c r="AE11" s="88"/>
      <c r="AF11" s="89"/>
      <c r="AG11" s="88"/>
      <c r="AH11" s="89"/>
      <c r="AI11" s="88"/>
      <c r="AJ11" s="89"/>
      <c r="AK11" s="88"/>
      <c r="AL11" s="89"/>
      <c r="AM11" s="88"/>
      <c r="AN11" s="121"/>
      <c r="AO11" s="88"/>
      <c r="AP11" s="89"/>
      <c r="AQ11" s="88"/>
      <c r="AR11" s="89"/>
      <c r="AS11" s="122"/>
      <c r="AT11" s="89"/>
      <c r="AU11" s="122"/>
      <c r="AV11" s="89"/>
      <c r="AW11" s="88"/>
      <c r="AX11" s="89"/>
      <c r="AY11" s="88"/>
      <c r="AZ11" s="89"/>
      <c r="BA11" s="88"/>
    </row>
    <row r="12" spans="1:53" hidden="1" x14ac:dyDescent="0.2">
      <c r="A12" s="85" t="s">
        <v>1</v>
      </c>
      <c r="B12" s="88">
        <v>33.950000000000003</v>
      </c>
      <c r="C12" s="89">
        <f t="shared" ref="C12:E12" si="31">+B12/B$16</f>
        <v>3.1198309134350313E-2</v>
      </c>
      <c r="D12" s="137">
        <v>46.94</v>
      </c>
      <c r="E12" s="89">
        <f t="shared" si="31"/>
        <v>4.1831533169357997E-2</v>
      </c>
      <c r="F12" s="137">
        <v>25.65</v>
      </c>
      <c r="G12" s="89">
        <f t="shared" ref="G12" si="32">+F12/F$16</f>
        <v>3.0509926133863045E-2</v>
      </c>
      <c r="H12" s="137">
        <v>30.53</v>
      </c>
      <c r="I12" s="89">
        <f t="shared" ref="I12" si="33">+H12/H$16</f>
        <v>3.2487363660548017E-2</v>
      </c>
      <c r="J12" s="137">
        <v>32.119999999999997</v>
      </c>
      <c r="K12" s="89">
        <f t="shared" ref="K12" si="34">+J12/J$16</f>
        <v>3.5901906869648802E-2</v>
      </c>
      <c r="L12" s="137">
        <v>35.21</v>
      </c>
      <c r="M12" s="89">
        <f t="shared" ref="M12" si="35">+L12/L$16</f>
        <v>3.6437582142376669E-2</v>
      </c>
      <c r="N12" s="89"/>
      <c r="O12" s="89"/>
      <c r="P12" s="89"/>
      <c r="Q12" s="89"/>
      <c r="R12" s="89"/>
      <c r="S12" s="89"/>
      <c r="T12" s="89"/>
      <c r="U12" s="89"/>
      <c r="V12" s="89"/>
      <c r="W12" s="89"/>
      <c r="X12" s="89"/>
      <c r="Y12" s="89"/>
      <c r="Z12" s="88" t="e">
        <f>+#REF!+#REF!+#REF!+#REF!+#REF!+#REF!+B12+D12+F12+H12+J12+L12</f>
        <v>#REF!</v>
      </c>
      <c r="AA12" s="89" t="e">
        <f t="shared" ref="AA12" si="36">+Z12/Z$16</f>
        <v>#REF!</v>
      </c>
      <c r="AC12" s="137" t="e">
        <f t="shared" si="6"/>
        <v>#REF!</v>
      </c>
      <c r="AD12" s="89"/>
      <c r="AE12" s="88"/>
      <c r="AF12" s="89"/>
      <c r="AG12" s="88"/>
      <c r="AH12" s="89"/>
      <c r="AI12" s="88"/>
      <c r="AJ12" s="89"/>
      <c r="AK12" s="88"/>
      <c r="AL12" s="89"/>
      <c r="AM12" s="88"/>
      <c r="AN12" s="121"/>
      <c r="AO12" s="88"/>
      <c r="AP12" s="89"/>
      <c r="AQ12" s="88"/>
      <c r="AR12" s="89"/>
      <c r="AS12" s="122"/>
      <c r="AT12" s="89"/>
      <c r="AU12" s="122"/>
      <c r="AV12" s="89"/>
      <c r="AW12" s="88"/>
      <c r="AX12" s="89"/>
      <c r="AY12" s="88"/>
      <c r="AZ12" s="89"/>
      <c r="BA12" s="88"/>
    </row>
    <row r="13" spans="1:53" hidden="1" x14ac:dyDescent="0.2">
      <c r="A13" s="85" t="s">
        <v>67</v>
      </c>
      <c r="B13" s="88">
        <v>9.36</v>
      </c>
      <c r="C13" s="89">
        <f t="shared" ref="C13:E13" si="37">+B13/B$16</f>
        <v>8.6013600441095395E-3</v>
      </c>
      <c r="D13" s="137">
        <v>10.220000000000001</v>
      </c>
      <c r="E13" s="89">
        <f t="shared" si="37"/>
        <v>9.1077603108401951E-3</v>
      </c>
      <c r="F13" s="137">
        <v>8.02</v>
      </c>
      <c r="G13" s="89">
        <f t="shared" ref="G13" si="38">+F13/F$16</f>
        <v>9.5395558516016225E-3</v>
      </c>
      <c r="H13" s="137">
        <v>9.7799999999999994</v>
      </c>
      <c r="I13" s="89">
        <f t="shared" ref="I13" si="39">+H13/H$16</f>
        <v>1.0407023144453312E-2</v>
      </c>
      <c r="J13" s="137">
        <v>8.9600000000000009</v>
      </c>
      <c r="K13" s="89">
        <f t="shared" ref="K13" si="40">+J13/J$16</f>
        <v>1.001497775691324E-2</v>
      </c>
      <c r="L13" s="137">
        <v>9.52</v>
      </c>
      <c r="M13" s="89">
        <f t="shared" ref="M13" si="41">+L13/L$16</f>
        <v>9.8519108774616834E-3</v>
      </c>
      <c r="N13" s="89"/>
      <c r="O13" s="89"/>
      <c r="P13" s="89"/>
      <c r="Q13" s="89"/>
      <c r="R13" s="89"/>
      <c r="S13" s="89"/>
      <c r="T13" s="89"/>
      <c r="U13" s="89"/>
      <c r="V13" s="89"/>
      <c r="W13" s="89"/>
      <c r="X13" s="89"/>
      <c r="Y13" s="89"/>
      <c r="Z13" s="88" t="e">
        <f>+#REF!+#REF!+#REF!+#REF!+#REF!+#REF!+B13+D13+F13+H13+J13+L13</f>
        <v>#REF!</v>
      </c>
      <c r="AA13" s="89" t="e">
        <f t="shared" ref="AA13" si="42">+Z13/Z$16</f>
        <v>#REF!</v>
      </c>
      <c r="AC13" s="137" t="e">
        <f t="shared" si="6"/>
        <v>#REF!</v>
      </c>
      <c r="AD13" s="89"/>
      <c r="AE13" s="88"/>
      <c r="AF13" s="89"/>
      <c r="AG13" s="88"/>
      <c r="AH13" s="89"/>
      <c r="AI13" s="88"/>
      <c r="AJ13" s="89"/>
      <c r="AK13" s="88"/>
      <c r="AL13" s="89"/>
      <c r="AM13" s="88"/>
      <c r="AN13" s="121"/>
      <c r="AO13" s="88"/>
      <c r="AP13" s="89"/>
      <c r="AQ13" s="88"/>
      <c r="AR13" s="89"/>
      <c r="AS13" s="122"/>
      <c r="AT13" s="89"/>
      <c r="AU13" s="122"/>
      <c r="AV13" s="89"/>
      <c r="AW13" s="88"/>
      <c r="AX13" s="89"/>
      <c r="AY13" s="88"/>
      <c r="AZ13" s="89"/>
      <c r="BA13" s="88"/>
    </row>
    <row r="14" spans="1:53" hidden="1" x14ac:dyDescent="0.2">
      <c r="A14" s="85" t="s">
        <v>68</v>
      </c>
      <c r="B14" s="88">
        <v>7.61</v>
      </c>
      <c r="C14" s="89">
        <f t="shared" ref="C14:E14" si="43">+B14/B$16</f>
        <v>6.9931997794523077E-3</v>
      </c>
      <c r="D14" s="137">
        <v>7.76</v>
      </c>
      <c r="E14" s="89">
        <f t="shared" si="43"/>
        <v>6.9154814101878579E-3</v>
      </c>
      <c r="F14" s="137">
        <v>6.32</v>
      </c>
      <c r="G14" s="89">
        <f t="shared" ref="G14" si="44">+F14/F$16</f>
        <v>7.5174554840551451E-3</v>
      </c>
      <c r="H14" s="137">
        <v>7.47</v>
      </c>
      <c r="I14" s="89">
        <f t="shared" ref="I14" si="45">+H14/H$16</f>
        <v>7.9489225857940944E-3</v>
      </c>
      <c r="J14" s="137">
        <v>7.9</v>
      </c>
      <c r="K14" s="89">
        <f t="shared" ref="K14" si="46">+J14/J$16</f>
        <v>8.8301701204927009E-3</v>
      </c>
      <c r="L14" s="137">
        <v>8.49</v>
      </c>
      <c r="M14" s="89">
        <f t="shared" ref="M14" si="47">+L14/L$16</f>
        <v>8.7860003518539596E-3</v>
      </c>
      <c r="N14" s="89"/>
      <c r="O14" s="89"/>
      <c r="P14" s="89"/>
      <c r="Q14" s="89"/>
      <c r="R14" s="89"/>
      <c r="S14" s="89"/>
      <c r="T14" s="89"/>
      <c r="U14" s="89"/>
      <c r="V14" s="89"/>
      <c r="W14" s="89"/>
      <c r="X14" s="89"/>
      <c r="Y14" s="89"/>
      <c r="Z14" s="88" t="e">
        <f>+#REF!+#REF!+#REF!+#REF!+#REF!+#REF!+B14+D14+F14+H14+J14+L14</f>
        <v>#REF!</v>
      </c>
      <c r="AA14" s="89" t="e">
        <f t="shared" ref="AA14" si="48">+Z14/Z$16</f>
        <v>#REF!</v>
      </c>
      <c r="AC14" s="137" t="e">
        <f t="shared" si="6"/>
        <v>#REF!</v>
      </c>
      <c r="AD14" s="89"/>
      <c r="AE14" s="88"/>
      <c r="AF14" s="89"/>
      <c r="AG14" s="88"/>
      <c r="AH14" s="89"/>
      <c r="AI14" s="88"/>
      <c r="AJ14" s="89"/>
      <c r="AK14" s="88"/>
      <c r="AL14" s="89"/>
      <c r="AM14" s="88"/>
      <c r="AN14" s="121"/>
      <c r="AO14" s="88"/>
      <c r="AP14" s="89"/>
      <c r="AQ14" s="88"/>
      <c r="AR14" s="89"/>
      <c r="AS14" s="122"/>
      <c r="AT14" s="89"/>
      <c r="AU14" s="122"/>
      <c r="AV14" s="89"/>
      <c r="AW14" s="88"/>
      <c r="AX14" s="89"/>
      <c r="AY14" s="88"/>
      <c r="AZ14" s="89"/>
      <c r="BA14" s="88"/>
    </row>
    <row r="15" spans="1:53" ht="15" hidden="1" x14ac:dyDescent="0.35">
      <c r="A15" s="85" t="s">
        <v>69</v>
      </c>
      <c r="B15" s="88">
        <v>0</v>
      </c>
      <c r="C15" s="89">
        <f t="shared" ref="C15:E15" si="49">+B15/B$16</f>
        <v>0</v>
      </c>
      <c r="D15" s="137">
        <v>2.0699999999999998</v>
      </c>
      <c r="E15" s="89">
        <f t="shared" si="49"/>
        <v>1.8447224895733073E-3</v>
      </c>
      <c r="F15" s="137">
        <v>2.92</v>
      </c>
      <c r="G15" s="89">
        <f t="shared" ref="G15" si="50">+F15/F$16</f>
        <v>3.4732547489621868E-3</v>
      </c>
      <c r="H15" s="137">
        <v>3.08</v>
      </c>
      <c r="I15" s="89">
        <f t="shared" ref="I15" si="51">+H15/H$16</f>
        <v>3.277467411545624E-3</v>
      </c>
      <c r="J15" s="137">
        <v>2.2400000000000002</v>
      </c>
      <c r="K15" s="89">
        <f t="shared" ref="K15" si="52">+J15/J$16</f>
        <v>2.50374443922831E-3</v>
      </c>
      <c r="L15" s="137">
        <v>0.23</v>
      </c>
      <c r="M15" s="89">
        <f t="shared" ref="M15" si="53">+L15/L$16</f>
        <v>2.3801885523279278E-4</v>
      </c>
      <c r="N15" s="89"/>
      <c r="O15" s="89"/>
      <c r="P15" s="89"/>
      <c r="Q15" s="89"/>
      <c r="R15" s="89"/>
      <c r="S15" s="89"/>
      <c r="T15" s="89"/>
      <c r="U15" s="89"/>
      <c r="V15" s="89"/>
      <c r="W15" s="89"/>
      <c r="X15" s="89"/>
      <c r="Y15" s="89"/>
      <c r="Z15" s="88" t="e">
        <f>+#REF!+#REF!+#REF!+#REF!+#REF!+#REF!+B15+D15+F15+H15+J15+L15</f>
        <v>#REF!</v>
      </c>
      <c r="AA15" s="89" t="e">
        <f t="shared" ref="AA15" si="54">+Z15/Z$16</f>
        <v>#REF!</v>
      </c>
      <c r="AC15" s="148" t="e">
        <f t="shared" si="6"/>
        <v>#REF!</v>
      </c>
      <c r="AD15" s="89"/>
      <c r="AE15" s="88"/>
      <c r="AF15" s="89"/>
      <c r="AG15" s="88"/>
      <c r="AH15" s="89"/>
      <c r="AI15" s="88"/>
      <c r="AJ15" s="89"/>
      <c r="AK15" s="88"/>
      <c r="AL15" s="89"/>
      <c r="AM15" s="88"/>
      <c r="AN15" s="121"/>
      <c r="AO15" s="88"/>
      <c r="AP15" s="89"/>
      <c r="AQ15" s="88"/>
      <c r="AR15" s="89"/>
      <c r="AS15" s="122"/>
      <c r="AT15" s="89"/>
      <c r="AU15" s="122"/>
      <c r="AV15" s="89"/>
      <c r="AW15" s="88"/>
      <c r="AX15" s="89"/>
      <c r="AY15" s="88"/>
      <c r="AZ15" s="89"/>
      <c r="BA15" s="88"/>
    </row>
    <row r="16" spans="1:53" s="123" customFormat="1" ht="13.5" hidden="1" thickBot="1" x14ac:dyDescent="0.25">
      <c r="A16" s="90"/>
      <c r="B16" s="91">
        <f t="shared" ref="B16:AA16" si="55">SUM(B6:B15)</f>
        <v>1088.1999999999998</v>
      </c>
      <c r="C16" s="102">
        <f t="shared" si="55"/>
        <v>1.0000000000000002</v>
      </c>
      <c r="D16" s="91">
        <f t="shared" si="55"/>
        <v>1122.1200000000001</v>
      </c>
      <c r="E16" s="102">
        <f t="shared" si="55"/>
        <v>0.99999999999999989</v>
      </c>
      <c r="F16" s="91">
        <f t="shared" si="55"/>
        <v>840.70999999999992</v>
      </c>
      <c r="G16" s="102">
        <f t="shared" si="55"/>
        <v>1</v>
      </c>
      <c r="H16" s="91">
        <f t="shared" si="55"/>
        <v>939.75</v>
      </c>
      <c r="I16" s="102">
        <f t="shared" si="55"/>
        <v>0.99999999999999989</v>
      </c>
      <c r="J16" s="91">
        <f t="shared" si="55"/>
        <v>894.66000000000008</v>
      </c>
      <c r="K16" s="102">
        <f t="shared" si="55"/>
        <v>0.99999999999999989</v>
      </c>
      <c r="L16" s="91">
        <f t="shared" si="55"/>
        <v>966.31000000000006</v>
      </c>
      <c r="M16" s="102">
        <f t="shared" si="55"/>
        <v>1.0000000000000002</v>
      </c>
      <c r="N16" s="102"/>
      <c r="O16" s="102"/>
      <c r="P16" s="102"/>
      <c r="Q16" s="102"/>
      <c r="R16" s="102"/>
      <c r="S16" s="102"/>
      <c r="T16" s="102"/>
      <c r="U16" s="102"/>
      <c r="V16" s="102"/>
      <c r="W16" s="102"/>
      <c r="X16" s="102"/>
      <c r="Y16" s="102"/>
      <c r="Z16" s="91" t="e">
        <f t="shared" si="55"/>
        <v>#REF!</v>
      </c>
      <c r="AA16" s="102" t="e">
        <f t="shared" si="55"/>
        <v>#REF!</v>
      </c>
      <c r="AB16" s="1"/>
      <c r="AC16" s="138" t="e">
        <f>SUM(AC6:AC15)</f>
        <v>#REF!</v>
      </c>
    </row>
    <row r="17" spans="1:29" hidden="1" x14ac:dyDescent="0.2"/>
    <row r="18" spans="1:29" ht="15" hidden="1" x14ac:dyDescent="0.35">
      <c r="A18" s="85" t="s">
        <v>70</v>
      </c>
      <c r="B18" s="126">
        <v>153.16999999999999</v>
      </c>
      <c r="C18" s="127">
        <f>+B18/B20</f>
        <v>0.12338786985346835</v>
      </c>
      <c r="D18" s="136">
        <v>166.01</v>
      </c>
      <c r="E18" s="127">
        <f>+D18/D20</f>
        <v>0.12887674380691388</v>
      </c>
      <c r="F18" s="136">
        <v>98.34</v>
      </c>
      <c r="G18" s="127">
        <f>+F18/F20</f>
        <v>0.10472285820776317</v>
      </c>
      <c r="H18" s="136">
        <v>153.34</v>
      </c>
      <c r="I18" s="127">
        <f>+H18/H20</f>
        <v>0.14028122112543343</v>
      </c>
      <c r="J18" s="136">
        <v>165.76</v>
      </c>
      <c r="K18" s="127">
        <f>+J18/J20</f>
        <v>0.15631542219120723</v>
      </c>
      <c r="L18" s="148">
        <f>169.25+9.98+1.26</f>
        <v>180.48999999999998</v>
      </c>
      <c r="M18" s="127">
        <f>+L18/L20</f>
        <v>0.15738576909661667</v>
      </c>
      <c r="N18" s="127"/>
      <c r="O18" s="127"/>
      <c r="P18" s="127"/>
      <c r="Q18" s="127"/>
      <c r="R18" s="127"/>
      <c r="S18" s="127"/>
      <c r="T18" s="127"/>
      <c r="U18" s="127"/>
      <c r="V18" s="127"/>
      <c r="W18" s="127"/>
      <c r="X18" s="127"/>
      <c r="Y18" s="127"/>
      <c r="Z18" s="126" t="e">
        <f>+L18+J18+H18+F18+D18+B18+#REF!+#REF!+#REF!+#REF!+#REF!+#REF!</f>
        <v>#REF!</v>
      </c>
      <c r="AA18" s="127" t="e">
        <f>+Z18/Z20</f>
        <v>#REF!</v>
      </c>
      <c r="AC18" s="137" t="e">
        <f t="shared" ref="AC18" si="56">+Z18/7*12</f>
        <v>#REF!</v>
      </c>
    </row>
    <row r="19" spans="1:29" hidden="1" x14ac:dyDescent="0.2"/>
    <row r="20" spans="1:29" ht="15" hidden="1" x14ac:dyDescent="0.35">
      <c r="A20" s="86" t="s">
        <v>95</v>
      </c>
      <c r="B20" s="125">
        <f t="shared" ref="B20" si="57">+B18+B16</f>
        <v>1241.3699999999999</v>
      </c>
      <c r="C20" s="125"/>
      <c r="D20" s="125">
        <f t="shared" ref="D20" si="58">+D18+D16</f>
        <v>1288.1300000000001</v>
      </c>
      <c r="E20" s="125"/>
      <c r="F20" s="125">
        <f t="shared" ref="F20" si="59">+F18+F16</f>
        <v>939.05</v>
      </c>
      <c r="G20" s="125"/>
      <c r="H20" s="125">
        <f t="shared" ref="H20" si="60">+H18+H16</f>
        <v>1093.0899999999999</v>
      </c>
      <c r="I20" s="125"/>
      <c r="J20" s="125">
        <f t="shared" ref="J20" si="61">+J18+J16</f>
        <v>1060.42</v>
      </c>
      <c r="K20" s="125"/>
      <c r="L20" s="125">
        <f t="shared" ref="L20" si="62">+L18+L16</f>
        <v>1146.8</v>
      </c>
      <c r="M20" s="125"/>
      <c r="N20" s="125"/>
      <c r="O20" s="125"/>
      <c r="P20" s="125"/>
      <c r="Q20" s="125"/>
      <c r="R20" s="125"/>
      <c r="S20" s="125"/>
      <c r="T20" s="125"/>
      <c r="U20" s="125"/>
      <c r="V20" s="125"/>
      <c r="W20" s="125"/>
      <c r="X20" s="125"/>
      <c r="Y20" s="125"/>
      <c r="Z20" s="125" t="e">
        <f t="shared" ref="Z20" si="63">+Z18+Z16</f>
        <v>#REF!</v>
      </c>
    </row>
    <row r="21" spans="1:29" hidden="1" x14ac:dyDescent="0.2"/>
    <row r="23" spans="1:29" x14ac:dyDescent="0.2">
      <c r="A23" s="85"/>
      <c r="B23" s="374">
        <v>43617</v>
      </c>
      <c r="C23" s="374"/>
      <c r="D23" s="374">
        <v>43647</v>
      </c>
      <c r="E23" s="374"/>
      <c r="F23" s="374">
        <v>43678</v>
      </c>
      <c r="G23" s="374"/>
      <c r="H23" s="374">
        <v>43709</v>
      </c>
      <c r="I23" s="374"/>
      <c r="J23" s="374">
        <v>43739</v>
      </c>
      <c r="K23" s="374"/>
      <c r="L23" s="374">
        <v>43770</v>
      </c>
      <c r="M23" s="374"/>
      <c r="N23" s="374">
        <v>43800</v>
      </c>
      <c r="O23" s="374"/>
      <c r="P23" s="374">
        <v>43831</v>
      </c>
      <c r="Q23" s="374"/>
      <c r="R23" s="374">
        <v>43862</v>
      </c>
      <c r="S23" s="374"/>
      <c r="T23" s="374">
        <v>43891</v>
      </c>
      <c r="U23" s="374"/>
      <c r="V23" s="374">
        <v>43922</v>
      </c>
      <c r="W23" s="374"/>
      <c r="X23" s="374">
        <v>43952</v>
      </c>
      <c r="Y23" s="374"/>
      <c r="Z23" s="374" t="s">
        <v>3</v>
      </c>
      <c r="AA23" s="374"/>
    </row>
    <row r="24" spans="1:29" x14ac:dyDescent="0.2">
      <c r="A24" s="85"/>
      <c r="B24" s="87" t="s">
        <v>12</v>
      </c>
      <c r="C24" s="87" t="s">
        <v>4</v>
      </c>
      <c r="D24" s="87" t="s">
        <v>12</v>
      </c>
      <c r="E24" s="87" t="s">
        <v>4</v>
      </c>
      <c r="F24" s="87" t="s">
        <v>12</v>
      </c>
      <c r="G24" s="87" t="s">
        <v>4</v>
      </c>
      <c r="H24" s="87" t="s">
        <v>12</v>
      </c>
      <c r="I24" s="87" t="s">
        <v>4</v>
      </c>
      <c r="J24" s="87" t="s">
        <v>12</v>
      </c>
      <c r="K24" s="87" t="s">
        <v>4</v>
      </c>
      <c r="L24" s="87" t="s">
        <v>12</v>
      </c>
      <c r="M24" s="87" t="s">
        <v>4</v>
      </c>
      <c r="N24" s="87"/>
      <c r="O24" s="87"/>
      <c r="P24" s="87"/>
      <c r="Q24" s="87"/>
      <c r="R24" s="87"/>
      <c r="S24" s="87"/>
      <c r="T24" s="87"/>
      <c r="U24" s="87"/>
      <c r="V24" s="87"/>
      <c r="W24" s="87"/>
      <c r="X24" s="87"/>
      <c r="Y24" s="87"/>
      <c r="Z24" s="87" t="s">
        <v>12</v>
      </c>
      <c r="AA24" s="87" t="s">
        <v>4</v>
      </c>
    </row>
    <row r="25" spans="1:29" x14ac:dyDescent="0.2">
      <c r="A25" s="85" t="s">
        <v>36</v>
      </c>
      <c r="B25" s="88">
        <v>291.70999999999998</v>
      </c>
      <c r="C25" s="89">
        <f>+B25/B$35</f>
        <v>0.32226739433040941</v>
      </c>
      <c r="D25" s="137">
        <v>254.44</v>
      </c>
      <c r="E25" s="89">
        <f>+D25/D$35</f>
        <v>0.27131295251703436</v>
      </c>
      <c r="F25" s="137">
        <v>243.22</v>
      </c>
      <c r="G25" s="89">
        <f>+F25/F$35</f>
        <v>0.26641692134117617</v>
      </c>
      <c r="H25" s="137">
        <v>239.55</v>
      </c>
      <c r="I25" s="89">
        <f>+H25/H$35</f>
        <v>0.28538241601143677</v>
      </c>
      <c r="J25" s="137">
        <v>241.26</v>
      </c>
      <c r="K25" s="89">
        <f>+J25/J$35</f>
        <v>0.27523186967384239</v>
      </c>
      <c r="L25" s="175">
        <v>263.05</v>
      </c>
      <c r="M25" s="89">
        <f>+L25/L$35</f>
        <v>0.30733730576001866</v>
      </c>
      <c r="N25" s="175">
        <v>310.95999999999998</v>
      </c>
      <c r="O25" s="89">
        <f>+N25/N$35</f>
        <v>0.31344562379670787</v>
      </c>
      <c r="P25" s="175">
        <v>285.37</v>
      </c>
      <c r="Q25" s="89">
        <f>+P25/P$35</f>
        <v>0.27542708232796065</v>
      </c>
      <c r="R25" s="175">
        <v>213.46</v>
      </c>
      <c r="S25" s="89">
        <f>+R25/R$35</f>
        <v>0.27654557703269933</v>
      </c>
      <c r="T25" s="175">
        <v>243.43</v>
      </c>
      <c r="U25" s="89">
        <f>+T25/T$35</f>
        <v>0.27993974102440261</v>
      </c>
      <c r="V25" s="175">
        <v>251.34</v>
      </c>
      <c r="W25" s="89">
        <f>+V25/V$35</f>
        <v>0.25401734279303861</v>
      </c>
      <c r="X25" s="175">
        <v>158.83000000000001</v>
      </c>
      <c r="Y25" s="89">
        <f>+X25/X$35</f>
        <v>0.21018990273274663</v>
      </c>
      <c r="Z25" s="88">
        <f>+B25+D25+F25+H25+J25+L25+N25+P25+R25+T25+V25+X25</f>
        <v>2996.62</v>
      </c>
      <c r="AA25" s="89">
        <f>+Z25/Z$35</f>
        <v>0.27894918608558689</v>
      </c>
    </row>
    <row r="26" spans="1:29" x14ac:dyDescent="0.2">
      <c r="A26" s="85" t="s">
        <v>66</v>
      </c>
      <c r="B26" s="88">
        <v>0</v>
      </c>
      <c r="C26" s="89">
        <f t="shared" ref="C26" si="64">+B26/B$35</f>
        <v>0</v>
      </c>
      <c r="D26" s="137">
        <v>0</v>
      </c>
      <c r="E26" s="89">
        <f t="shared" ref="E26" si="65">+D26/D$35</f>
        <v>0</v>
      </c>
      <c r="F26" s="137">
        <v>0</v>
      </c>
      <c r="G26" s="89">
        <f t="shared" ref="G26" si="66">+F26/F$35</f>
        <v>0</v>
      </c>
      <c r="H26" s="137">
        <v>0</v>
      </c>
      <c r="I26" s="89">
        <f t="shared" ref="I26" si="67">+H26/H$35</f>
        <v>0</v>
      </c>
      <c r="J26" s="137">
        <v>0</v>
      </c>
      <c r="K26" s="89">
        <f t="shared" ref="K26" si="68">+J26/J$35</f>
        <v>0</v>
      </c>
      <c r="L26" s="175">
        <v>0</v>
      </c>
      <c r="M26" s="89">
        <f t="shared" ref="M26" si="69">+L26/L$35</f>
        <v>0</v>
      </c>
      <c r="N26" s="175">
        <v>0</v>
      </c>
      <c r="O26" s="89">
        <f t="shared" ref="O26:O34" si="70">+N26/N$35</f>
        <v>0</v>
      </c>
      <c r="P26" s="175">
        <v>0</v>
      </c>
      <c r="Q26" s="89">
        <f t="shared" ref="Q26:Q34" si="71">+P26/P$35</f>
        <v>0</v>
      </c>
      <c r="R26" s="175">
        <v>0</v>
      </c>
      <c r="S26" s="89">
        <f t="shared" ref="S26:S34" si="72">+R26/R$35</f>
        <v>0</v>
      </c>
      <c r="T26" s="175">
        <v>0</v>
      </c>
      <c r="U26" s="89">
        <f t="shared" ref="U26:U34" si="73">+T26/T$35</f>
        <v>0</v>
      </c>
      <c r="V26" s="175">
        <v>0</v>
      </c>
      <c r="W26" s="89">
        <f t="shared" ref="W26:W34" si="74">+V26/V$35</f>
        <v>0</v>
      </c>
      <c r="X26" s="175">
        <f t="shared" ref="X26" si="75">+V26</f>
        <v>0</v>
      </c>
      <c r="Y26" s="89">
        <f t="shared" ref="Y26:Y34" si="76">+X26/X$35</f>
        <v>0</v>
      </c>
      <c r="Z26" s="88">
        <f t="shared" ref="Z26:Z34" si="77">+B26+D26+F26+H26+J26+L26+N26+P26+R26+T26+V26+X26</f>
        <v>0</v>
      </c>
      <c r="AA26" s="89">
        <f t="shared" ref="AA26" si="78">+Z26/Z$35</f>
        <v>0</v>
      </c>
    </row>
    <row r="27" spans="1:29" x14ac:dyDescent="0.2">
      <c r="A27" s="85" t="s">
        <v>19</v>
      </c>
      <c r="B27" s="88">
        <v>370.59</v>
      </c>
      <c r="C27" s="89">
        <f t="shared" ref="C27" si="79">+B27/B$35</f>
        <v>0.40941028303762789</v>
      </c>
      <c r="D27" s="137">
        <v>385.94</v>
      </c>
      <c r="E27" s="89">
        <f t="shared" ref="E27" si="80">+D27/D$35</f>
        <v>0.41153325300433985</v>
      </c>
      <c r="F27" s="137">
        <v>404.38</v>
      </c>
      <c r="G27" s="89">
        <f t="shared" ref="G27" si="81">+F27/F$35</f>
        <v>0.44294743299048117</v>
      </c>
      <c r="H27" s="137">
        <v>379.86</v>
      </c>
      <c r="I27" s="89">
        <f t="shared" ref="I27" si="82">+H27/H$35</f>
        <v>0.45253752680486065</v>
      </c>
      <c r="J27" s="137">
        <v>409.72</v>
      </c>
      <c r="K27" s="89">
        <f t="shared" ref="K27" si="83">+J27/J$35</f>
        <v>0.46741275653969455</v>
      </c>
      <c r="L27" s="175">
        <v>373.83</v>
      </c>
      <c r="M27" s="89">
        <f t="shared" ref="M27" si="84">+L27/L$35</f>
        <v>0.43676831405538025</v>
      </c>
      <c r="N27" s="175">
        <v>447.46</v>
      </c>
      <c r="O27" s="89">
        <f t="shared" si="70"/>
        <v>0.45103672119910887</v>
      </c>
      <c r="P27" s="175">
        <v>455.45</v>
      </c>
      <c r="Q27" s="89">
        <f t="shared" si="71"/>
        <v>0.43958112151336748</v>
      </c>
      <c r="R27" s="175">
        <v>335.39</v>
      </c>
      <c r="S27" s="89">
        <f t="shared" si="72"/>
        <v>0.43451054568067565</v>
      </c>
      <c r="T27" s="175">
        <v>387.98</v>
      </c>
      <c r="U27" s="89">
        <f t="shared" si="73"/>
        <v>0.44616941511994301</v>
      </c>
      <c r="V27" s="175">
        <v>450.02</v>
      </c>
      <c r="W27" s="89">
        <f t="shared" si="74"/>
        <v>0.45481373678572146</v>
      </c>
      <c r="X27" s="175">
        <v>356.65</v>
      </c>
      <c r="Y27" s="89">
        <f t="shared" si="76"/>
        <v>0.47197776748494663</v>
      </c>
      <c r="Z27" s="88">
        <f t="shared" si="77"/>
        <v>4757.2699999999995</v>
      </c>
      <c r="AA27" s="89">
        <f t="shared" ref="AA27" si="85">+Z27/Z$35</f>
        <v>0.44284446959887469</v>
      </c>
    </row>
    <row r="28" spans="1:29" x14ac:dyDescent="0.2">
      <c r="A28" s="85" t="s">
        <v>17</v>
      </c>
      <c r="B28" s="88">
        <v>15.19</v>
      </c>
      <c r="C28" s="89">
        <f t="shared" ref="C28" si="86">+B28/B$35</f>
        <v>1.6781192690956494E-2</v>
      </c>
      <c r="D28" s="137">
        <v>25.88</v>
      </c>
      <c r="E28" s="89">
        <f t="shared" ref="E28" si="87">+D28/D$35</f>
        <v>2.7596208187159445E-2</v>
      </c>
      <c r="F28" s="137">
        <v>15.73</v>
      </c>
      <c r="G28" s="89">
        <f t="shared" ref="G28" si="88">+F28/F$35</f>
        <v>1.7230236710372097E-2</v>
      </c>
      <c r="H28" s="137">
        <v>13.35</v>
      </c>
      <c r="I28" s="89">
        <f t="shared" ref="I28" si="89">+H28/H$35</f>
        <v>1.590421729807005E-2</v>
      </c>
      <c r="J28" s="137">
        <v>13.76</v>
      </c>
      <c r="K28" s="89">
        <f t="shared" ref="K28" si="90">+J28/J$35</f>
        <v>1.5697548398872881E-2</v>
      </c>
      <c r="L28" s="175">
        <v>13.94</v>
      </c>
      <c r="M28" s="89">
        <f t="shared" ref="M28" si="91">+L28/L$35</f>
        <v>1.62869494099778E-2</v>
      </c>
      <c r="N28" s="175">
        <v>13.76</v>
      </c>
      <c r="O28" s="89">
        <f t="shared" si="70"/>
        <v>1.3869989012872074E-2</v>
      </c>
      <c r="P28" s="175">
        <v>15.59</v>
      </c>
      <c r="Q28" s="89">
        <f t="shared" si="71"/>
        <v>1.5046810153460093E-2</v>
      </c>
      <c r="R28" s="175">
        <v>12.48</v>
      </c>
      <c r="S28" s="89">
        <f t="shared" si="72"/>
        <v>1.6168316318598743E-2</v>
      </c>
      <c r="T28" s="175">
        <v>15.4</v>
      </c>
      <c r="U28" s="89">
        <f t="shared" si="73"/>
        <v>1.7709698935118104E-2</v>
      </c>
      <c r="V28" s="175">
        <v>22.77</v>
      </c>
      <c r="W28" s="89">
        <f t="shared" si="74"/>
        <v>2.3012552301255228E-2</v>
      </c>
      <c r="X28" s="175">
        <v>17.12</v>
      </c>
      <c r="Y28" s="89">
        <f t="shared" si="76"/>
        <v>2.2655991530470456E-2</v>
      </c>
      <c r="Z28" s="88">
        <f t="shared" si="77"/>
        <v>194.97000000000003</v>
      </c>
      <c r="AA28" s="89">
        <f t="shared" ref="AA28" si="92">+Z28/Z$35</f>
        <v>1.8149355877991498E-2</v>
      </c>
    </row>
    <row r="29" spans="1:29" x14ac:dyDescent="0.2">
      <c r="A29" s="85" t="s">
        <v>11</v>
      </c>
      <c r="B29" s="88">
        <v>157.03</v>
      </c>
      <c r="C29" s="89">
        <f t="shared" ref="C29" si="93">+B29/B$35</f>
        <v>0.17347930798294264</v>
      </c>
      <c r="D29" s="137">
        <v>190.69</v>
      </c>
      <c r="E29" s="89">
        <f t="shared" ref="E29" si="94">+D29/D$35</f>
        <v>0.20333543041767521</v>
      </c>
      <c r="F29" s="137">
        <v>166.44</v>
      </c>
      <c r="G29" s="89">
        <f t="shared" ref="G29" si="95">+F29/F$35</f>
        <v>0.18231408760803128</v>
      </c>
      <c r="H29" s="137">
        <v>135.11000000000001</v>
      </c>
      <c r="I29" s="89">
        <f t="shared" ref="I29" si="96">+H29/H$35</f>
        <v>0.16096020967357638</v>
      </c>
      <c r="J29" s="137">
        <v>137.97999999999999</v>
      </c>
      <c r="K29" s="89">
        <f t="shared" ref="K29" si="97">+J29/J$35</f>
        <v>0.15740899186602325</v>
      </c>
      <c r="L29" s="175">
        <v>132.24</v>
      </c>
      <c r="M29" s="89">
        <f t="shared" ref="M29" si="98">+L29/L$35</f>
        <v>0.15450403084472483</v>
      </c>
      <c r="N29" s="175">
        <v>140.30000000000001</v>
      </c>
      <c r="O29" s="89">
        <f t="shared" si="70"/>
        <v>0.14142147227514187</v>
      </c>
      <c r="P29" s="175">
        <v>197.42</v>
      </c>
      <c r="Q29" s="89">
        <f t="shared" si="71"/>
        <v>0.19054145352765178</v>
      </c>
      <c r="R29" s="175">
        <v>145.88999999999999</v>
      </c>
      <c r="S29" s="89">
        <f t="shared" si="72"/>
        <v>0.18900606311861942</v>
      </c>
      <c r="T29" s="175">
        <v>154.88</v>
      </c>
      <c r="U29" s="89">
        <f t="shared" si="73"/>
        <v>0.17810897214747351</v>
      </c>
      <c r="V29" s="175">
        <v>167.6</v>
      </c>
      <c r="W29" s="89">
        <f t="shared" si="74"/>
        <v>0.16938532128635819</v>
      </c>
      <c r="X29" s="175">
        <v>148.82</v>
      </c>
      <c r="Y29" s="89">
        <f t="shared" si="76"/>
        <v>0.19694302918017598</v>
      </c>
      <c r="Z29" s="88">
        <f t="shared" si="77"/>
        <v>1874.4000000000003</v>
      </c>
      <c r="AA29" s="89">
        <f t="shared" ref="AA29" si="99">+Z29/Z$35</f>
        <v>0.17448403681441896</v>
      </c>
    </row>
    <row r="30" spans="1:29" x14ac:dyDescent="0.2">
      <c r="A30" s="85" t="s">
        <v>97</v>
      </c>
      <c r="B30" s="88">
        <v>20.14</v>
      </c>
      <c r="C30" s="89">
        <f t="shared" ref="C30" si="100">+B30/B$35</f>
        <v>2.2249718288075301E-2</v>
      </c>
      <c r="D30" s="137">
        <v>19.989999999999998</v>
      </c>
      <c r="E30" s="89">
        <f t="shared" ref="E30" si="101">+D30/D$35</f>
        <v>2.131561830221473E-2</v>
      </c>
      <c r="F30" s="137">
        <v>24.09</v>
      </c>
      <c r="G30" s="89">
        <f t="shared" ref="G30" si="102">+F30/F$35</f>
        <v>2.6387565311688736E-2</v>
      </c>
      <c r="H30" s="137">
        <v>22.31</v>
      </c>
      <c r="I30" s="89">
        <f t="shared" ref="I30" si="103">+H30/H$35</f>
        <v>2.6578508458422682E-2</v>
      </c>
      <c r="J30" s="137">
        <v>25.18</v>
      </c>
      <c r="K30" s="89">
        <f t="shared" ref="K30" si="104">+J30/J$35</f>
        <v>2.8725600921774647E-2</v>
      </c>
      <c r="L30" s="175">
        <v>24.11</v>
      </c>
      <c r="M30" s="89">
        <f t="shared" ref="M30" si="105">+L30/L$35</f>
        <v>2.8169178642364758E-2</v>
      </c>
      <c r="N30" s="175">
        <v>23.96</v>
      </c>
      <c r="O30" s="89">
        <f t="shared" si="70"/>
        <v>2.4151521566018526E-2</v>
      </c>
      <c r="P30" s="175">
        <v>25.61</v>
      </c>
      <c r="Q30" s="89">
        <f t="shared" si="71"/>
        <v>2.4717691342534508E-2</v>
      </c>
      <c r="R30" s="175">
        <v>19.940000000000001</v>
      </c>
      <c r="S30" s="89">
        <f t="shared" si="72"/>
        <v>2.5833031041094467E-2</v>
      </c>
      <c r="T30" s="175">
        <v>18.5</v>
      </c>
      <c r="U30" s="89">
        <f t="shared" si="73"/>
        <v>2.1274638331148371E-2</v>
      </c>
      <c r="V30" s="175">
        <v>32.26</v>
      </c>
      <c r="W30" s="89">
        <f t="shared" si="74"/>
        <v>3.260364239079902E-2</v>
      </c>
      <c r="X30" s="175">
        <v>21.77</v>
      </c>
      <c r="Y30" s="89">
        <f t="shared" si="76"/>
        <v>2.8809634089856411E-2</v>
      </c>
      <c r="Z30" s="88">
        <f t="shared" si="77"/>
        <v>277.85999999999996</v>
      </c>
      <c r="AA30" s="89">
        <f t="shared" ref="AA30" si="106">+Z30/Z$35</f>
        <v>2.5865415316503649E-2</v>
      </c>
    </row>
    <row r="31" spans="1:29" x14ac:dyDescent="0.2">
      <c r="A31" s="85" t="s">
        <v>1</v>
      </c>
      <c r="B31" s="88">
        <v>34.909999999999997</v>
      </c>
      <c r="C31" s="89">
        <f t="shared" ref="C31" si="107">+B31/B$35</f>
        <v>3.8566914867761107E-2</v>
      </c>
      <c r="D31" s="137">
        <v>42.54</v>
      </c>
      <c r="E31" s="89">
        <f t="shared" ref="E31" si="108">+D31/D$35</f>
        <v>4.5361000629125299E-2</v>
      </c>
      <c r="F31" s="137">
        <v>41.25</v>
      </c>
      <c r="G31" s="89">
        <f t="shared" ref="G31" si="109">+F31/F$35</f>
        <v>4.5184187177549205E-2</v>
      </c>
      <c r="H31" s="137">
        <v>33.93</v>
      </c>
      <c r="I31" s="89">
        <f t="shared" ref="I31" si="110">+H31/H$35</f>
        <v>4.0421729807005001E-2</v>
      </c>
      <c r="J31" s="137">
        <v>31.43</v>
      </c>
      <c r="K31" s="89">
        <f t="shared" ref="K31" si="111">+J31/J$35</f>
        <v>3.5855664693065017E-2</v>
      </c>
      <c r="L31" s="175">
        <v>32.86</v>
      </c>
      <c r="M31" s="89">
        <f t="shared" ref="M31" si="112">+L31/L$35</f>
        <v>3.8392335553218832E-2</v>
      </c>
      <c r="N31" s="175">
        <v>37.24</v>
      </c>
      <c r="O31" s="89">
        <f t="shared" si="70"/>
        <v>3.7537673752860184E-2</v>
      </c>
      <c r="P31" s="175">
        <v>39.340000000000003</v>
      </c>
      <c r="Q31" s="89">
        <f t="shared" si="71"/>
        <v>3.7969307981855042E-2</v>
      </c>
      <c r="R31" s="175">
        <v>30.42</v>
      </c>
      <c r="S31" s="89">
        <f t="shared" si="72"/>
        <v>3.941027102658444E-2</v>
      </c>
      <c r="T31" s="175">
        <v>33.79</v>
      </c>
      <c r="U31" s="89">
        <f t="shared" si="73"/>
        <v>3.885783941672992E-2</v>
      </c>
      <c r="V31" s="175">
        <v>46.26</v>
      </c>
      <c r="W31" s="89">
        <f t="shared" si="74"/>
        <v>4.6752774240494809E-2</v>
      </c>
      <c r="X31" s="175">
        <v>37.159999999999997</v>
      </c>
      <c r="Y31" s="89">
        <f t="shared" si="76"/>
        <v>4.9176205915437032E-2</v>
      </c>
      <c r="Z31" s="88">
        <f t="shared" si="77"/>
        <v>441.13</v>
      </c>
      <c r="AA31" s="89">
        <f t="shared" ref="AA31" si="113">+Z31/Z$35</f>
        <v>4.1063883461344763E-2</v>
      </c>
    </row>
    <row r="32" spans="1:29" x14ac:dyDescent="0.2">
      <c r="A32" s="85" t="s">
        <v>67</v>
      </c>
      <c r="B32" s="88">
        <v>8.23</v>
      </c>
      <c r="C32" s="89">
        <f t="shared" ref="C32" si="114">+B32/B$35</f>
        <v>9.0921142756136917E-3</v>
      </c>
      <c r="D32" s="137">
        <v>10.220000000000001</v>
      </c>
      <c r="E32" s="89">
        <f t="shared" ref="E32" si="115">+D32/D$35</f>
        <v>1.0897729817340399E-2</v>
      </c>
      <c r="F32" s="137">
        <v>9.57</v>
      </c>
      <c r="G32" s="89">
        <f t="shared" ref="G32" si="116">+F32/F$35</f>
        <v>1.0482731425191415E-2</v>
      </c>
      <c r="H32" s="137">
        <v>8.9700000000000006</v>
      </c>
      <c r="I32" s="89">
        <f t="shared" ref="I32" si="117">+H32/H$35</f>
        <v>1.0686204431736956E-2</v>
      </c>
      <c r="J32" s="137">
        <v>10.16</v>
      </c>
      <c r="K32" s="89">
        <f t="shared" ref="K32" si="118">+J32/J$35</f>
        <v>1.1590631666609627E-2</v>
      </c>
      <c r="L32" s="175">
        <v>10.48</v>
      </c>
      <c r="M32" s="89">
        <f t="shared" ref="M32" si="119">+L32/L$35</f>
        <v>1.2244421077228647E-2</v>
      </c>
      <c r="N32" s="175">
        <v>11.39</v>
      </c>
      <c r="O32" s="89">
        <f t="shared" si="70"/>
        <v>1.148104468434687E-2</v>
      </c>
      <c r="P32" s="175">
        <v>10.89</v>
      </c>
      <c r="Q32" s="89">
        <f t="shared" si="71"/>
        <v>1.0510568477946146E-2</v>
      </c>
      <c r="R32" s="175">
        <v>8.1999999999999993</v>
      </c>
      <c r="S32" s="89">
        <f t="shared" si="72"/>
        <v>1.0623412965745968E-2</v>
      </c>
      <c r="T32" s="175">
        <v>9.3000000000000007</v>
      </c>
      <c r="U32" s="89">
        <f t="shared" si="73"/>
        <v>1.0694818188090803E-2</v>
      </c>
      <c r="V32" s="175">
        <v>11.62</v>
      </c>
      <c r="W32" s="89">
        <f t="shared" si="74"/>
        <v>1.1743779435247508E-2</v>
      </c>
      <c r="X32" s="175">
        <v>9.1999999999999993</v>
      </c>
      <c r="Y32" s="89">
        <f t="shared" si="76"/>
        <v>1.2174948719645336E-2</v>
      </c>
      <c r="Z32" s="88">
        <f t="shared" si="77"/>
        <v>118.23000000000002</v>
      </c>
      <c r="AA32" s="89">
        <f t="shared" ref="AA32" si="120">+Z32/Z$35</f>
        <v>1.1005787277298737E-2</v>
      </c>
    </row>
    <row r="33" spans="1:27" x14ac:dyDescent="0.2">
      <c r="A33" s="85" t="s">
        <v>68</v>
      </c>
      <c r="B33" s="88">
        <v>6.64</v>
      </c>
      <c r="C33" s="89">
        <f t="shared" ref="C33" si="121">+B33/B$35</f>
        <v>7.335557568660377E-3</v>
      </c>
      <c r="D33" s="137">
        <v>7.11</v>
      </c>
      <c r="E33" s="89">
        <f t="shared" ref="E33" si="122">+D33/D$35</f>
        <v>7.5814930529638199E-3</v>
      </c>
      <c r="F33" s="137">
        <v>7.26</v>
      </c>
      <c r="G33" s="89">
        <f t="shared" ref="G33" si="123">+F33/F$35</f>
        <v>7.9524169432486601E-3</v>
      </c>
      <c r="H33" s="137">
        <v>5.81</v>
      </c>
      <c r="I33" s="89">
        <f t="shared" ref="I33" si="124">+H33/H$35</f>
        <v>6.9216106742911601E-3</v>
      </c>
      <c r="J33" s="137">
        <v>6.45</v>
      </c>
      <c r="K33" s="89">
        <f t="shared" ref="K33" si="125">+J33/J$35</f>
        <v>7.358225811971663E-3</v>
      </c>
      <c r="L33" s="175">
        <v>4.9800000000000004</v>
      </c>
      <c r="M33" s="89">
        <f t="shared" ref="M33" si="126">+L33/L$35</f>
        <v>5.818436733263232E-3</v>
      </c>
      <c r="N33" s="175">
        <v>6.88</v>
      </c>
      <c r="O33" s="89">
        <f t="shared" si="70"/>
        <v>6.9349945064360371E-3</v>
      </c>
      <c r="P33" s="175">
        <v>6.31</v>
      </c>
      <c r="Q33" s="89">
        <f t="shared" si="71"/>
        <v>6.0901457388282988E-3</v>
      </c>
      <c r="R33" s="175">
        <v>5.83</v>
      </c>
      <c r="S33" s="89">
        <f t="shared" si="72"/>
        <v>7.5529875110120735E-3</v>
      </c>
      <c r="T33" s="175">
        <v>5.89</v>
      </c>
      <c r="U33" s="89">
        <f t="shared" si="73"/>
        <v>6.7733848524575086E-3</v>
      </c>
      <c r="V33" s="175">
        <v>7.59</v>
      </c>
      <c r="W33" s="89">
        <f t="shared" si="74"/>
        <v>7.6708507670850759E-3</v>
      </c>
      <c r="X33" s="175">
        <v>6.1</v>
      </c>
      <c r="Y33" s="89">
        <f t="shared" si="76"/>
        <v>8.0725203467213649E-3</v>
      </c>
      <c r="Z33" s="88">
        <f t="shared" si="77"/>
        <v>76.849999999999994</v>
      </c>
      <c r="AA33" s="89">
        <f t="shared" ref="AA33" si="127">+Z33/Z$35</f>
        <v>7.1538082742147327E-3</v>
      </c>
    </row>
    <row r="34" spans="1:27" x14ac:dyDescent="0.2">
      <c r="A34" s="85" t="s">
        <v>69</v>
      </c>
      <c r="B34" s="88">
        <v>0.74</v>
      </c>
      <c r="C34" s="89">
        <f t="shared" ref="C34" si="128">+B34/B$35</f>
        <v>8.1751695795311431E-4</v>
      </c>
      <c r="D34" s="137">
        <v>1</v>
      </c>
      <c r="E34" s="89">
        <f t="shared" ref="E34" si="129">+D34/D$35</f>
        <v>1.0663140721468101E-3</v>
      </c>
      <c r="F34" s="137">
        <v>0.99</v>
      </c>
      <c r="G34" s="89">
        <f t="shared" ref="G34" si="130">+F34/F$35</f>
        <v>1.084420492261181E-3</v>
      </c>
      <c r="H34" s="137">
        <v>0.51</v>
      </c>
      <c r="I34" s="89">
        <f t="shared" ref="I34" si="131">+H34/H$35</f>
        <v>6.0757684060042886E-4</v>
      </c>
      <c r="J34" s="137">
        <v>0.63</v>
      </c>
      <c r="K34" s="89">
        <f t="shared" ref="K34" si="132">+J34/J$35</f>
        <v>7.1871042814606939E-4</v>
      </c>
      <c r="L34" s="175">
        <v>0.41</v>
      </c>
      <c r="M34" s="89">
        <f t="shared" ref="M34" si="133">+L34/L$35</f>
        <v>4.7902792382287641E-4</v>
      </c>
      <c r="N34" s="175">
        <v>0.12</v>
      </c>
      <c r="O34" s="89">
        <f t="shared" si="70"/>
        <v>1.2095920650760531E-4</v>
      </c>
      <c r="P34" s="175">
        <v>0.12</v>
      </c>
      <c r="Q34" s="89">
        <f t="shared" si="71"/>
        <v>1.1581893639610076E-4</v>
      </c>
      <c r="R34" s="175">
        <v>0.27</v>
      </c>
      <c r="S34" s="89">
        <f t="shared" si="72"/>
        <v>3.497953049696844E-4</v>
      </c>
      <c r="T34" s="175">
        <v>0.41</v>
      </c>
      <c r="U34" s="89">
        <f t="shared" si="73"/>
        <v>4.7149198463626119E-4</v>
      </c>
      <c r="V34" s="175">
        <v>0</v>
      </c>
      <c r="W34" s="89">
        <f t="shared" si="74"/>
        <v>0</v>
      </c>
      <c r="X34" s="175">
        <v>0</v>
      </c>
      <c r="Y34" s="89">
        <f t="shared" si="76"/>
        <v>0</v>
      </c>
      <c r="Z34" s="88">
        <f t="shared" si="77"/>
        <v>5.2000000000000011</v>
      </c>
      <c r="AA34" s="89">
        <f t="shared" ref="AA34" si="134">+Z34/Z$35</f>
        <v>4.8405729376599377E-4</v>
      </c>
    </row>
    <row r="35" spans="1:27" ht="13.5" thickBot="1" x14ac:dyDescent="0.25">
      <c r="A35" s="90"/>
      <c r="B35" s="91">
        <f t="shared" ref="B35:AA35" si="135">SUM(B25:B34)</f>
        <v>905.18</v>
      </c>
      <c r="C35" s="102">
        <f t="shared" si="135"/>
        <v>1</v>
      </c>
      <c r="D35" s="91">
        <f t="shared" si="135"/>
        <v>937.81000000000006</v>
      </c>
      <c r="E35" s="102">
        <f t="shared" si="135"/>
        <v>1</v>
      </c>
      <c r="F35" s="91">
        <f t="shared" si="135"/>
        <v>912.93000000000006</v>
      </c>
      <c r="G35" s="102">
        <f t="shared" si="135"/>
        <v>0.99999999999999989</v>
      </c>
      <c r="H35" s="91">
        <f t="shared" si="135"/>
        <v>839.4</v>
      </c>
      <c r="I35" s="102">
        <f t="shared" si="135"/>
        <v>1.0000000000000002</v>
      </c>
      <c r="J35" s="91">
        <f t="shared" si="135"/>
        <v>876.56999999999994</v>
      </c>
      <c r="K35" s="102">
        <f t="shared" si="135"/>
        <v>1</v>
      </c>
      <c r="L35" s="91">
        <f t="shared" si="135"/>
        <v>855.90000000000009</v>
      </c>
      <c r="M35" s="102">
        <f t="shared" si="135"/>
        <v>1</v>
      </c>
      <c r="N35" s="91">
        <f t="shared" si="135"/>
        <v>992.07</v>
      </c>
      <c r="O35" s="102">
        <f t="shared" si="135"/>
        <v>0.99999999999999989</v>
      </c>
      <c r="P35" s="91">
        <f t="shared" si="135"/>
        <v>1036.0999999999999</v>
      </c>
      <c r="Q35" s="102">
        <f t="shared" si="135"/>
        <v>1.0000000000000002</v>
      </c>
      <c r="R35" s="91">
        <f t="shared" si="135"/>
        <v>771.88000000000011</v>
      </c>
      <c r="S35" s="102">
        <f t="shared" si="135"/>
        <v>0.99999999999999978</v>
      </c>
      <c r="T35" s="91">
        <f t="shared" si="135"/>
        <v>869.57999999999993</v>
      </c>
      <c r="U35" s="102">
        <f t="shared" si="135"/>
        <v>1</v>
      </c>
      <c r="V35" s="91">
        <f t="shared" si="135"/>
        <v>989.46</v>
      </c>
      <c r="W35" s="102">
        <f t="shared" si="135"/>
        <v>0.99999999999999989</v>
      </c>
      <c r="X35" s="259">
        <f t="shared" si="135"/>
        <v>755.65000000000009</v>
      </c>
      <c r="Y35" s="102">
        <f t="shared" si="135"/>
        <v>0.99999999999999978</v>
      </c>
      <c r="Z35" s="91">
        <f t="shared" si="135"/>
        <v>10742.53</v>
      </c>
      <c r="AA35" s="102">
        <f t="shared" si="135"/>
        <v>0.99999999999999989</v>
      </c>
    </row>
    <row r="36" spans="1:27" ht="13.5" thickTop="1" x14ac:dyDescent="0.2">
      <c r="X36" s="260"/>
    </row>
    <row r="37" spans="1:27" ht="15" x14ac:dyDescent="0.35">
      <c r="A37" s="85" t="s">
        <v>70</v>
      </c>
      <c r="B37" s="126">
        <f>1.27+6.22+141.73</f>
        <v>149.22</v>
      </c>
      <c r="C37" s="127"/>
      <c r="D37" s="148">
        <f>1.89+7.77+163.15</f>
        <v>172.81</v>
      </c>
      <c r="E37" s="127"/>
      <c r="F37" s="136">
        <f>2.09+6.71+178.33</f>
        <v>187.13000000000002</v>
      </c>
      <c r="G37" s="127"/>
      <c r="H37" s="136">
        <f>1.43+5.6+172.62</f>
        <v>179.65</v>
      </c>
      <c r="I37" s="127"/>
      <c r="J37" s="136">
        <f>174.19+1.48+6.03</f>
        <v>181.7</v>
      </c>
      <c r="K37" s="127"/>
      <c r="L37" s="182">
        <f>154.7+5.09+1.53</f>
        <v>161.32</v>
      </c>
      <c r="M37" s="127"/>
      <c r="N37" s="251">
        <f>188.66+3.8+1.54</f>
        <v>194</v>
      </c>
      <c r="O37" s="127"/>
      <c r="P37" s="251">
        <f>194.93+3.96+1.98</f>
        <v>200.87</v>
      </c>
      <c r="Q37" s="127"/>
      <c r="R37" s="251">
        <f>132.77+5.01+1.09</f>
        <v>138.87</v>
      </c>
      <c r="S37" s="127"/>
      <c r="T37" s="251">
        <f>0.83+1.96+160.87</f>
        <v>163.66</v>
      </c>
      <c r="U37" s="127"/>
      <c r="V37" s="251">
        <f>192.42+1.19+3.08</f>
        <v>196.69</v>
      </c>
      <c r="W37" s="127"/>
      <c r="X37" s="261">
        <f>0.91+4.1+150.09</f>
        <v>155.1</v>
      </c>
      <c r="Y37" s="127"/>
      <c r="Z37" s="126">
        <f t="shared" ref="Z37" si="136">+B37+D37+F37+H37+J37+L37+N37+P37+R37+T37+V37+X37</f>
        <v>2081.02</v>
      </c>
      <c r="AA37" s="127"/>
    </row>
    <row r="38" spans="1:27" x14ac:dyDescent="0.2">
      <c r="X38" s="260"/>
    </row>
    <row r="39" spans="1:27" ht="15" x14ac:dyDescent="0.35">
      <c r="A39" s="86" t="s">
        <v>95</v>
      </c>
      <c r="B39" s="125">
        <f t="shared" ref="B39" si="137">+B37+B35</f>
        <v>1054.3999999999999</v>
      </c>
      <c r="C39" s="125"/>
      <c r="D39" s="125">
        <f t="shared" ref="D39" si="138">+D37+D35</f>
        <v>1110.6200000000001</v>
      </c>
      <c r="E39" s="125"/>
      <c r="F39" s="125">
        <f t="shared" ref="F39" si="139">+F37+F35</f>
        <v>1100.0600000000002</v>
      </c>
      <c r="G39" s="125"/>
      <c r="H39" s="125">
        <f t="shared" ref="H39" si="140">+H37+H35</f>
        <v>1019.05</v>
      </c>
      <c r="I39" s="125"/>
      <c r="J39" s="125">
        <f t="shared" ref="J39" si="141">+J37+J35</f>
        <v>1058.27</v>
      </c>
      <c r="K39" s="125"/>
      <c r="L39" s="125">
        <f t="shared" ref="L39" si="142">+L37+L35</f>
        <v>1017.22</v>
      </c>
      <c r="M39" s="125"/>
      <c r="N39" s="125">
        <f t="shared" ref="N39" si="143">+N37+N35</f>
        <v>1186.0700000000002</v>
      </c>
      <c r="O39" s="125"/>
      <c r="P39" s="125">
        <f t="shared" ref="P39" si="144">+P37+P35</f>
        <v>1236.9699999999998</v>
      </c>
      <c r="Q39" s="125"/>
      <c r="R39" s="125">
        <f t="shared" ref="R39" si="145">+R37+R35</f>
        <v>910.75000000000011</v>
      </c>
      <c r="S39" s="125"/>
      <c r="T39" s="125">
        <f t="shared" ref="T39" si="146">+T37+T35</f>
        <v>1033.24</v>
      </c>
      <c r="U39" s="125"/>
      <c r="V39" s="125">
        <f t="shared" ref="V39" si="147">+V37+V35</f>
        <v>1186.1500000000001</v>
      </c>
      <c r="W39" s="125"/>
      <c r="X39" s="125">
        <f t="shared" ref="X39" si="148">+X37+X35</f>
        <v>910.75000000000011</v>
      </c>
      <c r="Y39" s="125"/>
      <c r="Z39" s="125">
        <f t="shared" ref="Z39" si="149">+Z37+Z35</f>
        <v>12823.550000000001</v>
      </c>
    </row>
  </sheetData>
  <mergeCells count="20">
    <mergeCell ref="R23:S23"/>
    <mergeCell ref="T23:U23"/>
    <mergeCell ref="V23:W23"/>
    <mergeCell ref="X23:Y23"/>
    <mergeCell ref="B23:C23"/>
    <mergeCell ref="Z4:AA4"/>
    <mergeCell ref="D4:E4"/>
    <mergeCell ref="F4:G4"/>
    <mergeCell ref="H4:I4"/>
    <mergeCell ref="B4:C4"/>
    <mergeCell ref="J4:K4"/>
    <mergeCell ref="L4:M4"/>
    <mergeCell ref="Z23:AA23"/>
    <mergeCell ref="D23:E23"/>
    <mergeCell ref="F23:G23"/>
    <mergeCell ref="H23:I23"/>
    <mergeCell ref="J23:K23"/>
    <mergeCell ref="L23:M23"/>
    <mergeCell ref="N23:O23"/>
    <mergeCell ref="P23:Q23"/>
  </mergeCells>
  <pageMargins left="0.2" right="0.2" top="0.5" bottom="0.75" header="0.3" footer="0.3"/>
  <pageSetup scale="6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2:M24"/>
  <sheetViews>
    <sheetView topLeftCell="A3" workbookViewId="0">
      <selection activeCell="L18" sqref="L18"/>
    </sheetView>
  </sheetViews>
  <sheetFormatPr defaultRowHeight="12" x14ac:dyDescent="0.2"/>
  <cols>
    <col min="1" max="1" width="9.140625" style="85" customWidth="1"/>
    <col min="2" max="2" width="8.5703125" style="85" bestFit="1" customWidth="1"/>
    <col min="3" max="3" width="11.140625" style="85" bestFit="1" customWidth="1"/>
    <col min="4" max="4" width="8.5703125" style="85" bestFit="1" customWidth="1"/>
    <col min="5" max="5" width="10" style="85" bestFit="1" customWidth="1"/>
    <col min="6" max="6" width="11" style="85" bestFit="1" customWidth="1"/>
    <col min="7" max="7" width="8.140625" style="85" bestFit="1" customWidth="1"/>
    <col min="8" max="8" width="11" style="85" bestFit="1" customWidth="1"/>
    <col min="9" max="9" width="11.7109375" style="85" bestFit="1" customWidth="1"/>
    <col min="10" max="10" width="12.140625" style="85" bestFit="1" customWidth="1"/>
    <col min="11" max="11" width="11" style="85" bestFit="1" customWidth="1"/>
    <col min="12" max="221" width="9.140625" style="85"/>
    <col min="222" max="222" width="12.140625" style="85" customWidth="1"/>
    <col min="223" max="223" width="13.5703125" style="85" customWidth="1"/>
    <col min="224" max="224" width="10.7109375" style="85" customWidth="1"/>
    <col min="225" max="226" width="12.140625" style="85" customWidth="1"/>
    <col min="227" max="227" width="10" style="85" customWidth="1"/>
    <col min="228" max="228" width="10.85546875" style="85" customWidth="1"/>
    <col min="229" max="229" width="9.5703125" style="85" customWidth="1"/>
    <col min="230" max="230" width="10.140625" style="85" customWidth="1"/>
    <col min="231" max="231" width="11.5703125" style="85" customWidth="1"/>
    <col min="232" max="232" width="13.42578125" style="85" customWidth="1"/>
    <col min="233" max="233" width="15.140625" style="85" customWidth="1"/>
    <col min="234" max="234" width="9.140625" style="85"/>
    <col min="235" max="235" width="17.28515625" style="85" customWidth="1"/>
    <col min="236" max="236" width="10.42578125" style="85" bestFit="1" customWidth="1"/>
    <col min="237" max="477" width="9.140625" style="85"/>
    <col min="478" max="478" width="12.140625" style="85" customWidth="1"/>
    <col min="479" max="479" width="13.5703125" style="85" customWidth="1"/>
    <col min="480" max="480" width="10.7109375" style="85" customWidth="1"/>
    <col min="481" max="482" width="12.140625" style="85" customWidth="1"/>
    <col min="483" max="483" width="10" style="85" customWidth="1"/>
    <col min="484" max="484" width="10.85546875" style="85" customWidth="1"/>
    <col min="485" max="485" width="9.5703125" style="85" customWidth="1"/>
    <col min="486" max="486" width="10.140625" style="85" customWidth="1"/>
    <col min="487" max="487" width="11.5703125" style="85" customWidth="1"/>
    <col min="488" max="488" width="13.42578125" style="85" customWidth="1"/>
    <col min="489" max="489" width="15.140625" style="85" customWidth="1"/>
    <col min="490" max="490" width="9.140625" style="85"/>
    <col min="491" max="491" width="17.28515625" style="85" customWidth="1"/>
    <col min="492" max="492" width="10.42578125" style="85" bestFit="1" customWidth="1"/>
    <col min="493" max="733" width="9.140625" style="85"/>
    <col min="734" max="734" width="12.140625" style="85" customWidth="1"/>
    <col min="735" max="735" width="13.5703125" style="85" customWidth="1"/>
    <col min="736" max="736" width="10.7109375" style="85" customWidth="1"/>
    <col min="737" max="738" width="12.140625" style="85" customWidth="1"/>
    <col min="739" max="739" width="10" style="85" customWidth="1"/>
    <col min="740" max="740" width="10.85546875" style="85" customWidth="1"/>
    <col min="741" max="741" width="9.5703125" style="85" customWidth="1"/>
    <col min="742" max="742" width="10.140625" style="85" customWidth="1"/>
    <col min="743" max="743" width="11.5703125" style="85" customWidth="1"/>
    <col min="744" max="744" width="13.42578125" style="85" customWidth="1"/>
    <col min="745" max="745" width="15.140625" style="85" customWidth="1"/>
    <col min="746" max="746" width="9.140625" style="85"/>
    <col min="747" max="747" width="17.28515625" style="85" customWidth="1"/>
    <col min="748" max="748" width="10.42578125" style="85" bestFit="1" customWidth="1"/>
    <col min="749" max="989" width="9.140625" style="85"/>
    <col min="990" max="990" width="12.140625" style="85" customWidth="1"/>
    <col min="991" max="991" width="13.5703125" style="85" customWidth="1"/>
    <col min="992" max="992" width="10.7109375" style="85" customWidth="1"/>
    <col min="993" max="994" width="12.140625" style="85" customWidth="1"/>
    <col min="995" max="995" width="10" style="85" customWidth="1"/>
    <col min="996" max="996" width="10.85546875" style="85" customWidth="1"/>
    <col min="997" max="997" width="9.5703125" style="85" customWidth="1"/>
    <col min="998" max="998" width="10.140625" style="85" customWidth="1"/>
    <col min="999" max="999" width="11.5703125" style="85" customWidth="1"/>
    <col min="1000" max="1000" width="13.42578125" style="85" customWidth="1"/>
    <col min="1001" max="1001" width="15.140625" style="85" customWidth="1"/>
    <col min="1002" max="1002" width="9.140625" style="85"/>
    <col min="1003" max="1003" width="17.28515625" style="85" customWidth="1"/>
    <col min="1004" max="1004" width="10.42578125" style="85" bestFit="1" customWidth="1"/>
    <col min="1005" max="1245" width="9.140625" style="85"/>
    <col min="1246" max="1246" width="12.140625" style="85" customWidth="1"/>
    <col min="1247" max="1247" width="13.5703125" style="85" customWidth="1"/>
    <col min="1248" max="1248" width="10.7109375" style="85" customWidth="1"/>
    <col min="1249" max="1250" width="12.140625" style="85" customWidth="1"/>
    <col min="1251" max="1251" width="10" style="85" customWidth="1"/>
    <col min="1252" max="1252" width="10.85546875" style="85" customWidth="1"/>
    <col min="1253" max="1253" width="9.5703125" style="85" customWidth="1"/>
    <col min="1254" max="1254" width="10.140625" style="85" customWidth="1"/>
    <col min="1255" max="1255" width="11.5703125" style="85" customWidth="1"/>
    <col min="1256" max="1256" width="13.42578125" style="85" customWidth="1"/>
    <col min="1257" max="1257" width="15.140625" style="85" customWidth="1"/>
    <col min="1258" max="1258" width="9.140625" style="85"/>
    <col min="1259" max="1259" width="17.28515625" style="85" customWidth="1"/>
    <col min="1260" max="1260" width="10.42578125" style="85" bestFit="1" customWidth="1"/>
    <col min="1261" max="1501" width="9.140625" style="85"/>
    <col min="1502" max="1502" width="12.140625" style="85" customWidth="1"/>
    <col min="1503" max="1503" width="13.5703125" style="85" customWidth="1"/>
    <col min="1504" max="1504" width="10.7109375" style="85" customWidth="1"/>
    <col min="1505" max="1506" width="12.140625" style="85" customWidth="1"/>
    <col min="1507" max="1507" width="10" style="85" customWidth="1"/>
    <col min="1508" max="1508" width="10.85546875" style="85" customWidth="1"/>
    <col min="1509" max="1509" width="9.5703125" style="85" customWidth="1"/>
    <col min="1510" max="1510" width="10.140625" style="85" customWidth="1"/>
    <col min="1511" max="1511" width="11.5703125" style="85" customWidth="1"/>
    <col min="1512" max="1512" width="13.42578125" style="85" customWidth="1"/>
    <col min="1513" max="1513" width="15.140625" style="85" customWidth="1"/>
    <col min="1514" max="1514" width="9.140625" style="85"/>
    <col min="1515" max="1515" width="17.28515625" style="85" customWidth="1"/>
    <col min="1516" max="1516" width="10.42578125" style="85" bestFit="1" customWidth="1"/>
    <col min="1517" max="1757" width="9.140625" style="85"/>
    <col min="1758" max="1758" width="12.140625" style="85" customWidth="1"/>
    <col min="1759" max="1759" width="13.5703125" style="85" customWidth="1"/>
    <col min="1760" max="1760" width="10.7109375" style="85" customWidth="1"/>
    <col min="1761" max="1762" width="12.140625" style="85" customWidth="1"/>
    <col min="1763" max="1763" width="10" style="85" customWidth="1"/>
    <col min="1764" max="1764" width="10.85546875" style="85" customWidth="1"/>
    <col min="1765" max="1765" width="9.5703125" style="85" customWidth="1"/>
    <col min="1766" max="1766" width="10.140625" style="85" customWidth="1"/>
    <col min="1767" max="1767" width="11.5703125" style="85" customWidth="1"/>
    <col min="1768" max="1768" width="13.42578125" style="85" customWidth="1"/>
    <col min="1769" max="1769" width="15.140625" style="85" customWidth="1"/>
    <col min="1770" max="1770" width="9.140625" style="85"/>
    <col min="1771" max="1771" width="17.28515625" style="85" customWidth="1"/>
    <col min="1772" max="1772" width="10.42578125" style="85" bestFit="1" customWidth="1"/>
    <col min="1773" max="2013" width="9.140625" style="85"/>
    <col min="2014" max="2014" width="12.140625" style="85" customWidth="1"/>
    <col min="2015" max="2015" width="13.5703125" style="85" customWidth="1"/>
    <col min="2016" max="2016" width="10.7109375" style="85" customWidth="1"/>
    <col min="2017" max="2018" width="12.140625" style="85" customWidth="1"/>
    <col min="2019" max="2019" width="10" style="85" customWidth="1"/>
    <col min="2020" max="2020" width="10.85546875" style="85" customWidth="1"/>
    <col min="2021" max="2021" width="9.5703125" style="85" customWidth="1"/>
    <col min="2022" max="2022" width="10.140625" style="85" customWidth="1"/>
    <col min="2023" max="2023" width="11.5703125" style="85" customWidth="1"/>
    <col min="2024" max="2024" width="13.42578125" style="85" customWidth="1"/>
    <col min="2025" max="2025" width="15.140625" style="85" customWidth="1"/>
    <col min="2026" max="2026" width="9.140625" style="85"/>
    <col min="2027" max="2027" width="17.28515625" style="85" customWidth="1"/>
    <col min="2028" max="2028" width="10.42578125" style="85" bestFit="1" customWidth="1"/>
    <col min="2029" max="2269" width="9.140625" style="85"/>
    <col min="2270" max="2270" width="12.140625" style="85" customWidth="1"/>
    <col min="2271" max="2271" width="13.5703125" style="85" customWidth="1"/>
    <col min="2272" max="2272" width="10.7109375" style="85" customWidth="1"/>
    <col min="2273" max="2274" width="12.140625" style="85" customWidth="1"/>
    <col min="2275" max="2275" width="10" style="85" customWidth="1"/>
    <col min="2276" max="2276" width="10.85546875" style="85" customWidth="1"/>
    <col min="2277" max="2277" width="9.5703125" style="85" customWidth="1"/>
    <col min="2278" max="2278" width="10.140625" style="85" customWidth="1"/>
    <col min="2279" max="2279" width="11.5703125" style="85" customWidth="1"/>
    <col min="2280" max="2280" width="13.42578125" style="85" customWidth="1"/>
    <col min="2281" max="2281" width="15.140625" style="85" customWidth="1"/>
    <col min="2282" max="2282" width="9.140625" style="85"/>
    <col min="2283" max="2283" width="17.28515625" style="85" customWidth="1"/>
    <col min="2284" max="2284" width="10.42578125" style="85" bestFit="1" customWidth="1"/>
    <col min="2285" max="2525" width="9.140625" style="85"/>
    <col min="2526" max="2526" width="12.140625" style="85" customWidth="1"/>
    <col min="2527" max="2527" width="13.5703125" style="85" customWidth="1"/>
    <col min="2528" max="2528" width="10.7109375" style="85" customWidth="1"/>
    <col min="2529" max="2530" width="12.140625" style="85" customWidth="1"/>
    <col min="2531" max="2531" width="10" style="85" customWidth="1"/>
    <col min="2532" max="2532" width="10.85546875" style="85" customWidth="1"/>
    <col min="2533" max="2533" width="9.5703125" style="85" customWidth="1"/>
    <col min="2534" max="2534" width="10.140625" style="85" customWidth="1"/>
    <col min="2535" max="2535" width="11.5703125" style="85" customWidth="1"/>
    <col min="2536" max="2536" width="13.42578125" style="85" customWidth="1"/>
    <col min="2537" max="2537" width="15.140625" style="85" customWidth="1"/>
    <col min="2538" max="2538" width="9.140625" style="85"/>
    <col min="2539" max="2539" width="17.28515625" style="85" customWidth="1"/>
    <col min="2540" max="2540" width="10.42578125" style="85" bestFit="1" customWidth="1"/>
    <col min="2541" max="2781" width="9.140625" style="85"/>
    <col min="2782" max="2782" width="12.140625" style="85" customWidth="1"/>
    <col min="2783" max="2783" width="13.5703125" style="85" customWidth="1"/>
    <col min="2784" max="2784" width="10.7109375" style="85" customWidth="1"/>
    <col min="2785" max="2786" width="12.140625" style="85" customWidth="1"/>
    <col min="2787" max="2787" width="10" style="85" customWidth="1"/>
    <col min="2788" max="2788" width="10.85546875" style="85" customWidth="1"/>
    <col min="2789" max="2789" width="9.5703125" style="85" customWidth="1"/>
    <col min="2790" max="2790" width="10.140625" style="85" customWidth="1"/>
    <col min="2791" max="2791" width="11.5703125" style="85" customWidth="1"/>
    <col min="2792" max="2792" width="13.42578125" style="85" customWidth="1"/>
    <col min="2793" max="2793" width="15.140625" style="85" customWidth="1"/>
    <col min="2794" max="2794" width="9.140625" style="85"/>
    <col min="2795" max="2795" width="17.28515625" style="85" customWidth="1"/>
    <col min="2796" max="2796" width="10.42578125" style="85" bestFit="1" customWidth="1"/>
    <col min="2797" max="3037" width="9.140625" style="85"/>
    <col min="3038" max="3038" width="12.140625" style="85" customWidth="1"/>
    <col min="3039" max="3039" width="13.5703125" style="85" customWidth="1"/>
    <col min="3040" max="3040" width="10.7109375" style="85" customWidth="1"/>
    <col min="3041" max="3042" width="12.140625" style="85" customWidth="1"/>
    <col min="3043" max="3043" width="10" style="85" customWidth="1"/>
    <col min="3044" max="3044" width="10.85546875" style="85" customWidth="1"/>
    <col min="3045" max="3045" width="9.5703125" style="85" customWidth="1"/>
    <col min="3046" max="3046" width="10.140625" style="85" customWidth="1"/>
    <col min="3047" max="3047" width="11.5703125" style="85" customWidth="1"/>
    <col min="3048" max="3048" width="13.42578125" style="85" customWidth="1"/>
    <col min="3049" max="3049" width="15.140625" style="85" customWidth="1"/>
    <col min="3050" max="3050" width="9.140625" style="85"/>
    <col min="3051" max="3051" width="17.28515625" style="85" customWidth="1"/>
    <col min="3052" max="3052" width="10.42578125" style="85" bestFit="1" customWidth="1"/>
    <col min="3053" max="3293" width="9.140625" style="85"/>
    <col min="3294" max="3294" width="12.140625" style="85" customWidth="1"/>
    <col min="3295" max="3295" width="13.5703125" style="85" customWidth="1"/>
    <col min="3296" max="3296" width="10.7109375" style="85" customWidth="1"/>
    <col min="3297" max="3298" width="12.140625" style="85" customWidth="1"/>
    <col min="3299" max="3299" width="10" style="85" customWidth="1"/>
    <col min="3300" max="3300" width="10.85546875" style="85" customWidth="1"/>
    <col min="3301" max="3301" width="9.5703125" style="85" customWidth="1"/>
    <col min="3302" max="3302" width="10.140625" style="85" customWidth="1"/>
    <col min="3303" max="3303" width="11.5703125" style="85" customWidth="1"/>
    <col min="3304" max="3304" width="13.42578125" style="85" customWidth="1"/>
    <col min="3305" max="3305" width="15.140625" style="85" customWidth="1"/>
    <col min="3306" max="3306" width="9.140625" style="85"/>
    <col min="3307" max="3307" width="17.28515625" style="85" customWidth="1"/>
    <col min="3308" max="3308" width="10.42578125" style="85" bestFit="1" customWidth="1"/>
    <col min="3309" max="3549" width="9.140625" style="85"/>
    <col min="3550" max="3550" width="12.140625" style="85" customWidth="1"/>
    <col min="3551" max="3551" width="13.5703125" style="85" customWidth="1"/>
    <col min="3552" max="3552" width="10.7109375" style="85" customWidth="1"/>
    <col min="3553" max="3554" width="12.140625" style="85" customWidth="1"/>
    <col min="3555" max="3555" width="10" style="85" customWidth="1"/>
    <col min="3556" max="3556" width="10.85546875" style="85" customWidth="1"/>
    <col min="3557" max="3557" width="9.5703125" style="85" customWidth="1"/>
    <col min="3558" max="3558" width="10.140625" style="85" customWidth="1"/>
    <col min="3559" max="3559" width="11.5703125" style="85" customWidth="1"/>
    <col min="3560" max="3560" width="13.42578125" style="85" customWidth="1"/>
    <col min="3561" max="3561" width="15.140625" style="85" customWidth="1"/>
    <col min="3562" max="3562" width="9.140625" style="85"/>
    <col min="3563" max="3563" width="17.28515625" style="85" customWidth="1"/>
    <col min="3564" max="3564" width="10.42578125" style="85" bestFit="1" customWidth="1"/>
    <col min="3565" max="3805" width="9.140625" style="85"/>
    <col min="3806" max="3806" width="12.140625" style="85" customWidth="1"/>
    <col min="3807" max="3807" width="13.5703125" style="85" customWidth="1"/>
    <col min="3808" max="3808" width="10.7109375" style="85" customWidth="1"/>
    <col min="3809" max="3810" width="12.140625" style="85" customWidth="1"/>
    <col min="3811" max="3811" width="10" style="85" customWidth="1"/>
    <col min="3812" max="3812" width="10.85546875" style="85" customWidth="1"/>
    <col min="3813" max="3813" width="9.5703125" style="85" customWidth="1"/>
    <col min="3814" max="3814" width="10.140625" style="85" customWidth="1"/>
    <col min="3815" max="3815" width="11.5703125" style="85" customWidth="1"/>
    <col min="3816" max="3816" width="13.42578125" style="85" customWidth="1"/>
    <col min="3817" max="3817" width="15.140625" style="85" customWidth="1"/>
    <col min="3818" max="3818" width="9.140625" style="85"/>
    <col min="3819" max="3819" width="17.28515625" style="85" customWidth="1"/>
    <col min="3820" max="3820" width="10.42578125" style="85" bestFit="1" customWidth="1"/>
    <col min="3821" max="4061" width="9.140625" style="85"/>
    <col min="4062" max="4062" width="12.140625" style="85" customWidth="1"/>
    <col min="4063" max="4063" width="13.5703125" style="85" customWidth="1"/>
    <col min="4064" max="4064" width="10.7109375" style="85" customWidth="1"/>
    <col min="4065" max="4066" width="12.140625" style="85" customWidth="1"/>
    <col min="4067" max="4067" width="10" style="85" customWidth="1"/>
    <col min="4068" max="4068" width="10.85546875" style="85" customWidth="1"/>
    <col min="4069" max="4069" width="9.5703125" style="85" customWidth="1"/>
    <col min="4070" max="4070" width="10.140625" style="85" customWidth="1"/>
    <col min="4071" max="4071" width="11.5703125" style="85" customWidth="1"/>
    <col min="4072" max="4072" width="13.42578125" style="85" customWidth="1"/>
    <col min="4073" max="4073" width="15.140625" style="85" customWidth="1"/>
    <col min="4074" max="4074" width="9.140625" style="85"/>
    <col min="4075" max="4075" width="17.28515625" style="85" customWidth="1"/>
    <col min="4076" max="4076" width="10.42578125" style="85" bestFit="1" customWidth="1"/>
    <col min="4077" max="4317" width="9.140625" style="85"/>
    <col min="4318" max="4318" width="12.140625" style="85" customWidth="1"/>
    <col min="4319" max="4319" width="13.5703125" style="85" customWidth="1"/>
    <col min="4320" max="4320" width="10.7109375" style="85" customWidth="1"/>
    <col min="4321" max="4322" width="12.140625" style="85" customWidth="1"/>
    <col min="4323" max="4323" width="10" style="85" customWidth="1"/>
    <col min="4324" max="4324" width="10.85546875" style="85" customWidth="1"/>
    <col min="4325" max="4325" width="9.5703125" style="85" customWidth="1"/>
    <col min="4326" max="4326" width="10.140625" style="85" customWidth="1"/>
    <col min="4327" max="4327" width="11.5703125" style="85" customWidth="1"/>
    <col min="4328" max="4328" width="13.42578125" style="85" customWidth="1"/>
    <col min="4329" max="4329" width="15.140625" style="85" customWidth="1"/>
    <col min="4330" max="4330" width="9.140625" style="85"/>
    <col min="4331" max="4331" width="17.28515625" style="85" customWidth="1"/>
    <col min="4332" max="4332" width="10.42578125" style="85" bestFit="1" customWidth="1"/>
    <col min="4333" max="4573" width="9.140625" style="85"/>
    <col min="4574" max="4574" width="12.140625" style="85" customWidth="1"/>
    <col min="4575" max="4575" width="13.5703125" style="85" customWidth="1"/>
    <col min="4576" max="4576" width="10.7109375" style="85" customWidth="1"/>
    <col min="4577" max="4578" width="12.140625" style="85" customWidth="1"/>
    <col min="4579" max="4579" width="10" style="85" customWidth="1"/>
    <col min="4580" max="4580" width="10.85546875" style="85" customWidth="1"/>
    <col min="4581" max="4581" width="9.5703125" style="85" customWidth="1"/>
    <col min="4582" max="4582" width="10.140625" style="85" customWidth="1"/>
    <col min="4583" max="4583" width="11.5703125" style="85" customWidth="1"/>
    <col min="4584" max="4584" width="13.42578125" style="85" customWidth="1"/>
    <col min="4585" max="4585" width="15.140625" style="85" customWidth="1"/>
    <col min="4586" max="4586" width="9.140625" style="85"/>
    <col min="4587" max="4587" width="17.28515625" style="85" customWidth="1"/>
    <col min="4588" max="4588" width="10.42578125" style="85" bestFit="1" customWidth="1"/>
    <col min="4589" max="4829" width="9.140625" style="85"/>
    <col min="4830" max="4830" width="12.140625" style="85" customWidth="1"/>
    <col min="4831" max="4831" width="13.5703125" style="85" customWidth="1"/>
    <col min="4832" max="4832" width="10.7109375" style="85" customWidth="1"/>
    <col min="4833" max="4834" width="12.140625" style="85" customWidth="1"/>
    <col min="4835" max="4835" width="10" style="85" customWidth="1"/>
    <col min="4836" max="4836" width="10.85546875" style="85" customWidth="1"/>
    <col min="4837" max="4837" width="9.5703125" style="85" customWidth="1"/>
    <col min="4838" max="4838" width="10.140625" style="85" customWidth="1"/>
    <col min="4839" max="4839" width="11.5703125" style="85" customWidth="1"/>
    <col min="4840" max="4840" width="13.42578125" style="85" customWidth="1"/>
    <col min="4841" max="4841" width="15.140625" style="85" customWidth="1"/>
    <col min="4842" max="4842" width="9.140625" style="85"/>
    <col min="4843" max="4843" width="17.28515625" style="85" customWidth="1"/>
    <col min="4844" max="4844" width="10.42578125" style="85" bestFit="1" customWidth="1"/>
    <col min="4845" max="5085" width="9.140625" style="85"/>
    <col min="5086" max="5086" width="12.140625" style="85" customWidth="1"/>
    <col min="5087" max="5087" width="13.5703125" style="85" customWidth="1"/>
    <col min="5088" max="5088" width="10.7109375" style="85" customWidth="1"/>
    <col min="5089" max="5090" width="12.140625" style="85" customWidth="1"/>
    <col min="5091" max="5091" width="10" style="85" customWidth="1"/>
    <col min="5092" max="5092" width="10.85546875" style="85" customWidth="1"/>
    <col min="5093" max="5093" width="9.5703125" style="85" customWidth="1"/>
    <col min="5094" max="5094" width="10.140625" style="85" customWidth="1"/>
    <col min="5095" max="5095" width="11.5703125" style="85" customWidth="1"/>
    <col min="5096" max="5096" width="13.42578125" style="85" customWidth="1"/>
    <col min="5097" max="5097" width="15.140625" style="85" customWidth="1"/>
    <col min="5098" max="5098" width="9.140625" style="85"/>
    <col min="5099" max="5099" width="17.28515625" style="85" customWidth="1"/>
    <col min="5100" max="5100" width="10.42578125" style="85" bestFit="1" customWidth="1"/>
    <col min="5101" max="5341" width="9.140625" style="85"/>
    <col min="5342" max="5342" width="12.140625" style="85" customWidth="1"/>
    <col min="5343" max="5343" width="13.5703125" style="85" customWidth="1"/>
    <col min="5344" max="5344" width="10.7109375" style="85" customWidth="1"/>
    <col min="5345" max="5346" width="12.140625" style="85" customWidth="1"/>
    <col min="5347" max="5347" width="10" style="85" customWidth="1"/>
    <col min="5348" max="5348" width="10.85546875" style="85" customWidth="1"/>
    <col min="5349" max="5349" width="9.5703125" style="85" customWidth="1"/>
    <col min="5350" max="5350" width="10.140625" style="85" customWidth="1"/>
    <col min="5351" max="5351" width="11.5703125" style="85" customWidth="1"/>
    <col min="5352" max="5352" width="13.42578125" style="85" customWidth="1"/>
    <col min="5353" max="5353" width="15.140625" style="85" customWidth="1"/>
    <col min="5354" max="5354" width="9.140625" style="85"/>
    <col min="5355" max="5355" width="17.28515625" style="85" customWidth="1"/>
    <col min="5356" max="5356" width="10.42578125" style="85" bestFit="1" customWidth="1"/>
    <col min="5357" max="5597" width="9.140625" style="85"/>
    <col min="5598" max="5598" width="12.140625" style="85" customWidth="1"/>
    <col min="5599" max="5599" width="13.5703125" style="85" customWidth="1"/>
    <col min="5600" max="5600" width="10.7109375" style="85" customWidth="1"/>
    <col min="5601" max="5602" width="12.140625" style="85" customWidth="1"/>
    <col min="5603" max="5603" width="10" style="85" customWidth="1"/>
    <col min="5604" max="5604" width="10.85546875" style="85" customWidth="1"/>
    <col min="5605" max="5605" width="9.5703125" style="85" customWidth="1"/>
    <col min="5606" max="5606" width="10.140625" style="85" customWidth="1"/>
    <col min="5607" max="5607" width="11.5703125" style="85" customWidth="1"/>
    <col min="5608" max="5608" width="13.42578125" style="85" customWidth="1"/>
    <col min="5609" max="5609" width="15.140625" style="85" customWidth="1"/>
    <col min="5610" max="5610" width="9.140625" style="85"/>
    <col min="5611" max="5611" width="17.28515625" style="85" customWidth="1"/>
    <col min="5612" max="5612" width="10.42578125" style="85" bestFit="1" customWidth="1"/>
    <col min="5613" max="5853" width="9.140625" style="85"/>
    <col min="5854" max="5854" width="12.140625" style="85" customWidth="1"/>
    <col min="5855" max="5855" width="13.5703125" style="85" customWidth="1"/>
    <col min="5856" max="5856" width="10.7109375" style="85" customWidth="1"/>
    <col min="5857" max="5858" width="12.140625" style="85" customWidth="1"/>
    <col min="5859" max="5859" width="10" style="85" customWidth="1"/>
    <col min="5860" max="5860" width="10.85546875" style="85" customWidth="1"/>
    <col min="5861" max="5861" width="9.5703125" style="85" customWidth="1"/>
    <col min="5862" max="5862" width="10.140625" style="85" customWidth="1"/>
    <col min="5863" max="5863" width="11.5703125" style="85" customWidth="1"/>
    <col min="5864" max="5864" width="13.42578125" style="85" customWidth="1"/>
    <col min="5865" max="5865" width="15.140625" style="85" customWidth="1"/>
    <col min="5866" max="5866" width="9.140625" style="85"/>
    <col min="5867" max="5867" width="17.28515625" style="85" customWidth="1"/>
    <col min="5868" max="5868" width="10.42578125" style="85" bestFit="1" customWidth="1"/>
    <col min="5869" max="6109" width="9.140625" style="85"/>
    <col min="6110" max="6110" width="12.140625" style="85" customWidth="1"/>
    <col min="6111" max="6111" width="13.5703125" style="85" customWidth="1"/>
    <col min="6112" max="6112" width="10.7109375" style="85" customWidth="1"/>
    <col min="6113" max="6114" width="12.140625" style="85" customWidth="1"/>
    <col min="6115" max="6115" width="10" style="85" customWidth="1"/>
    <col min="6116" max="6116" width="10.85546875" style="85" customWidth="1"/>
    <col min="6117" max="6117" width="9.5703125" style="85" customWidth="1"/>
    <col min="6118" max="6118" width="10.140625" style="85" customWidth="1"/>
    <col min="6119" max="6119" width="11.5703125" style="85" customWidth="1"/>
    <col min="6120" max="6120" width="13.42578125" style="85" customWidth="1"/>
    <col min="6121" max="6121" width="15.140625" style="85" customWidth="1"/>
    <col min="6122" max="6122" width="9.140625" style="85"/>
    <col min="6123" max="6123" width="17.28515625" style="85" customWidth="1"/>
    <col min="6124" max="6124" width="10.42578125" style="85" bestFit="1" customWidth="1"/>
    <col min="6125" max="6365" width="9.140625" style="85"/>
    <col min="6366" max="6366" width="12.140625" style="85" customWidth="1"/>
    <col min="6367" max="6367" width="13.5703125" style="85" customWidth="1"/>
    <col min="6368" max="6368" width="10.7109375" style="85" customWidth="1"/>
    <col min="6369" max="6370" width="12.140625" style="85" customWidth="1"/>
    <col min="6371" max="6371" width="10" style="85" customWidth="1"/>
    <col min="6372" max="6372" width="10.85546875" style="85" customWidth="1"/>
    <col min="6373" max="6373" width="9.5703125" style="85" customWidth="1"/>
    <col min="6374" max="6374" width="10.140625" style="85" customWidth="1"/>
    <col min="6375" max="6375" width="11.5703125" style="85" customWidth="1"/>
    <col min="6376" max="6376" width="13.42578125" style="85" customWidth="1"/>
    <col min="6377" max="6377" width="15.140625" style="85" customWidth="1"/>
    <col min="6378" max="6378" width="9.140625" style="85"/>
    <col min="6379" max="6379" width="17.28515625" style="85" customWidth="1"/>
    <col min="6380" max="6380" width="10.42578125" style="85" bestFit="1" customWidth="1"/>
    <col min="6381" max="6621" width="9.140625" style="85"/>
    <col min="6622" max="6622" width="12.140625" style="85" customWidth="1"/>
    <col min="6623" max="6623" width="13.5703125" style="85" customWidth="1"/>
    <col min="6624" max="6624" width="10.7109375" style="85" customWidth="1"/>
    <col min="6625" max="6626" width="12.140625" style="85" customWidth="1"/>
    <col min="6627" max="6627" width="10" style="85" customWidth="1"/>
    <col min="6628" max="6628" width="10.85546875" style="85" customWidth="1"/>
    <col min="6629" max="6629" width="9.5703125" style="85" customWidth="1"/>
    <col min="6630" max="6630" width="10.140625" style="85" customWidth="1"/>
    <col min="6631" max="6631" width="11.5703125" style="85" customWidth="1"/>
    <col min="6632" max="6632" width="13.42578125" style="85" customWidth="1"/>
    <col min="6633" max="6633" width="15.140625" style="85" customWidth="1"/>
    <col min="6634" max="6634" width="9.140625" style="85"/>
    <col min="6635" max="6635" width="17.28515625" style="85" customWidth="1"/>
    <col min="6636" max="6636" width="10.42578125" style="85" bestFit="1" customWidth="1"/>
    <col min="6637" max="6877" width="9.140625" style="85"/>
    <col min="6878" max="6878" width="12.140625" style="85" customWidth="1"/>
    <col min="6879" max="6879" width="13.5703125" style="85" customWidth="1"/>
    <col min="6880" max="6880" width="10.7109375" style="85" customWidth="1"/>
    <col min="6881" max="6882" width="12.140625" style="85" customWidth="1"/>
    <col min="6883" max="6883" width="10" style="85" customWidth="1"/>
    <col min="6884" max="6884" width="10.85546875" style="85" customWidth="1"/>
    <col min="6885" max="6885" width="9.5703125" style="85" customWidth="1"/>
    <col min="6886" max="6886" width="10.140625" style="85" customWidth="1"/>
    <col min="6887" max="6887" width="11.5703125" style="85" customWidth="1"/>
    <col min="6888" max="6888" width="13.42578125" style="85" customWidth="1"/>
    <col min="6889" max="6889" width="15.140625" style="85" customWidth="1"/>
    <col min="6890" max="6890" width="9.140625" style="85"/>
    <col min="6891" max="6891" width="17.28515625" style="85" customWidth="1"/>
    <col min="6892" max="6892" width="10.42578125" style="85" bestFit="1" customWidth="1"/>
    <col min="6893" max="7133" width="9.140625" style="85"/>
    <col min="7134" max="7134" width="12.140625" style="85" customWidth="1"/>
    <col min="7135" max="7135" width="13.5703125" style="85" customWidth="1"/>
    <col min="7136" max="7136" width="10.7109375" style="85" customWidth="1"/>
    <col min="7137" max="7138" width="12.140625" style="85" customWidth="1"/>
    <col min="7139" max="7139" width="10" style="85" customWidth="1"/>
    <col min="7140" max="7140" width="10.85546875" style="85" customWidth="1"/>
    <col min="7141" max="7141" width="9.5703125" style="85" customWidth="1"/>
    <col min="7142" max="7142" width="10.140625" style="85" customWidth="1"/>
    <col min="7143" max="7143" width="11.5703125" style="85" customWidth="1"/>
    <col min="7144" max="7144" width="13.42578125" style="85" customWidth="1"/>
    <col min="7145" max="7145" width="15.140625" style="85" customWidth="1"/>
    <col min="7146" max="7146" width="9.140625" style="85"/>
    <col min="7147" max="7147" width="17.28515625" style="85" customWidth="1"/>
    <col min="7148" max="7148" width="10.42578125" style="85" bestFit="1" customWidth="1"/>
    <col min="7149" max="7389" width="9.140625" style="85"/>
    <col min="7390" max="7390" width="12.140625" style="85" customWidth="1"/>
    <col min="7391" max="7391" width="13.5703125" style="85" customWidth="1"/>
    <col min="7392" max="7392" width="10.7109375" style="85" customWidth="1"/>
    <col min="7393" max="7394" width="12.140625" style="85" customWidth="1"/>
    <col min="7395" max="7395" width="10" style="85" customWidth="1"/>
    <col min="7396" max="7396" width="10.85546875" style="85" customWidth="1"/>
    <col min="7397" max="7397" width="9.5703125" style="85" customWidth="1"/>
    <col min="7398" max="7398" width="10.140625" style="85" customWidth="1"/>
    <col min="7399" max="7399" width="11.5703125" style="85" customWidth="1"/>
    <col min="7400" max="7400" width="13.42578125" style="85" customWidth="1"/>
    <col min="7401" max="7401" width="15.140625" style="85" customWidth="1"/>
    <col min="7402" max="7402" width="9.140625" style="85"/>
    <col min="7403" max="7403" width="17.28515625" style="85" customWidth="1"/>
    <col min="7404" max="7404" width="10.42578125" style="85" bestFit="1" customWidth="1"/>
    <col min="7405" max="7645" width="9.140625" style="85"/>
    <col min="7646" max="7646" width="12.140625" style="85" customWidth="1"/>
    <col min="7647" max="7647" width="13.5703125" style="85" customWidth="1"/>
    <col min="7648" max="7648" width="10.7109375" style="85" customWidth="1"/>
    <col min="7649" max="7650" width="12.140625" style="85" customWidth="1"/>
    <col min="7651" max="7651" width="10" style="85" customWidth="1"/>
    <col min="7652" max="7652" width="10.85546875" style="85" customWidth="1"/>
    <col min="7653" max="7653" width="9.5703125" style="85" customWidth="1"/>
    <col min="7654" max="7654" width="10.140625" style="85" customWidth="1"/>
    <col min="7655" max="7655" width="11.5703125" style="85" customWidth="1"/>
    <col min="7656" max="7656" width="13.42578125" style="85" customWidth="1"/>
    <col min="7657" max="7657" width="15.140625" style="85" customWidth="1"/>
    <col min="7658" max="7658" width="9.140625" style="85"/>
    <col min="7659" max="7659" width="17.28515625" style="85" customWidth="1"/>
    <col min="7660" max="7660" width="10.42578125" style="85" bestFit="1" customWidth="1"/>
    <col min="7661" max="7901" width="9.140625" style="85"/>
    <col min="7902" max="7902" width="12.140625" style="85" customWidth="1"/>
    <col min="7903" max="7903" width="13.5703125" style="85" customWidth="1"/>
    <col min="7904" max="7904" width="10.7109375" style="85" customWidth="1"/>
    <col min="7905" max="7906" width="12.140625" style="85" customWidth="1"/>
    <col min="7907" max="7907" width="10" style="85" customWidth="1"/>
    <col min="7908" max="7908" width="10.85546875" style="85" customWidth="1"/>
    <col min="7909" max="7909" width="9.5703125" style="85" customWidth="1"/>
    <col min="7910" max="7910" width="10.140625" style="85" customWidth="1"/>
    <col min="7911" max="7911" width="11.5703125" style="85" customWidth="1"/>
    <col min="7912" max="7912" width="13.42578125" style="85" customWidth="1"/>
    <col min="7913" max="7913" width="15.140625" style="85" customWidth="1"/>
    <col min="7914" max="7914" width="9.140625" style="85"/>
    <col min="7915" max="7915" width="17.28515625" style="85" customWidth="1"/>
    <col min="7916" max="7916" width="10.42578125" style="85" bestFit="1" customWidth="1"/>
    <col min="7917" max="8157" width="9.140625" style="85"/>
    <col min="8158" max="8158" width="12.140625" style="85" customWidth="1"/>
    <col min="8159" max="8159" width="13.5703125" style="85" customWidth="1"/>
    <col min="8160" max="8160" width="10.7109375" style="85" customWidth="1"/>
    <col min="8161" max="8162" width="12.140625" style="85" customWidth="1"/>
    <col min="8163" max="8163" width="10" style="85" customWidth="1"/>
    <col min="8164" max="8164" width="10.85546875" style="85" customWidth="1"/>
    <col min="8165" max="8165" width="9.5703125" style="85" customWidth="1"/>
    <col min="8166" max="8166" width="10.140625" style="85" customWidth="1"/>
    <col min="8167" max="8167" width="11.5703125" style="85" customWidth="1"/>
    <col min="8168" max="8168" width="13.42578125" style="85" customWidth="1"/>
    <col min="8169" max="8169" width="15.140625" style="85" customWidth="1"/>
    <col min="8170" max="8170" width="9.140625" style="85"/>
    <col min="8171" max="8171" width="17.28515625" style="85" customWidth="1"/>
    <col min="8172" max="8172" width="10.42578125" style="85" bestFit="1" customWidth="1"/>
    <col min="8173" max="8413" width="9.140625" style="85"/>
    <col min="8414" max="8414" width="12.140625" style="85" customWidth="1"/>
    <col min="8415" max="8415" width="13.5703125" style="85" customWidth="1"/>
    <col min="8416" max="8416" width="10.7109375" style="85" customWidth="1"/>
    <col min="8417" max="8418" width="12.140625" style="85" customWidth="1"/>
    <col min="8419" max="8419" width="10" style="85" customWidth="1"/>
    <col min="8420" max="8420" width="10.85546875" style="85" customWidth="1"/>
    <col min="8421" max="8421" width="9.5703125" style="85" customWidth="1"/>
    <col min="8422" max="8422" width="10.140625" style="85" customWidth="1"/>
    <col min="8423" max="8423" width="11.5703125" style="85" customWidth="1"/>
    <col min="8424" max="8424" width="13.42578125" style="85" customWidth="1"/>
    <col min="8425" max="8425" width="15.140625" style="85" customWidth="1"/>
    <col min="8426" max="8426" width="9.140625" style="85"/>
    <col min="8427" max="8427" width="17.28515625" style="85" customWidth="1"/>
    <col min="8428" max="8428" width="10.42578125" style="85" bestFit="1" customWidth="1"/>
    <col min="8429" max="8669" width="9.140625" style="85"/>
    <col min="8670" max="8670" width="12.140625" style="85" customWidth="1"/>
    <col min="8671" max="8671" width="13.5703125" style="85" customWidth="1"/>
    <col min="8672" max="8672" width="10.7109375" style="85" customWidth="1"/>
    <col min="8673" max="8674" width="12.140625" style="85" customWidth="1"/>
    <col min="8675" max="8675" width="10" style="85" customWidth="1"/>
    <col min="8676" max="8676" width="10.85546875" style="85" customWidth="1"/>
    <col min="8677" max="8677" width="9.5703125" style="85" customWidth="1"/>
    <col min="8678" max="8678" width="10.140625" style="85" customWidth="1"/>
    <col min="8679" max="8679" width="11.5703125" style="85" customWidth="1"/>
    <col min="8680" max="8680" width="13.42578125" style="85" customWidth="1"/>
    <col min="8681" max="8681" width="15.140625" style="85" customWidth="1"/>
    <col min="8682" max="8682" width="9.140625" style="85"/>
    <col min="8683" max="8683" width="17.28515625" style="85" customWidth="1"/>
    <col min="8684" max="8684" width="10.42578125" style="85" bestFit="1" customWidth="1"/>
    <col min="8685" max="8925" width="9.140625" style="85"/>
    <col min="8926" max="8926" width="12.140625" style="85" customWidth="1"/>
    <col min="8927" max="8927" width="13.5703125" style="85" customWidth="1"/>
    <col min="8928" max="8928" width="10.7109375" style="85" customWidth="1"/>
    <col min="8929" max="8930" width="12.140625" style="85" customWidth="1"/>
    <col min="8931" max="8931" width="10" style="85" customWidth="1"/>
    <col min="8932" max="8932" width="10.85546875" style="85" customWidth="1"/>
    <col min="8933" max="8933" width="9.5703125" style="85" customWidth="1"/>
    <col min="8934" max="8934" width="10.140625" style="85" customWidth="1"/>
    <col min="8935" max="8935" width="11.5703125" style="85" customWidth="1"/>
    <col min="8936" max="8936" width="13.42578125" style="85" customWidth="1"/>
    <col min="8937" max="8937" width="15.140625" style="85" customWidth="1"/>
    <col min="8938" max="8938" width="9.140625" style="85"/>
    <col min="8939" max="8939" width="17.28515625" style="85" customWidth="1"/>
    <col min="8940" max="8940" width="10.42578125" style="85" bestFit="1" customWidth="1"/>
    <col min="8941" max="9181" width="9.140625" style="85"/>
    <col min="9182" max="9182" width="12.140625" style="85" customWidth="1"/>
    <col min="9183" max="9183" width="13.5703125" style="85" customWidth="1"/>
    <col min="9184" max="9184" width="10.7109375" style="85" customWidth="1"/>
    <col min="9185" max="9186" width="12.140625" style="85" customWidth="1"/>
    <col min="9187" max="9187" width="10" style="85" customWidth="1"/>
    <col min="9188" max="9188" width="10.85546875" style="85" customWidth="1"/>
    <col min="9189" max="9189" width="9.5703125" style="85" customWidth="1"/>
    <col min="9190" max="9190" width="10.140625" style="85" customWidth="1"/>
    <col min="9191" max="9191" width="11.5703125" style="85" customWidth="1"/>
    <col min="9192" max="9192" width="13.42578125" style="85" customWidth="1"/>
    <col min="9193" max="9193" width="15.140625" style="85" customWidth="1"/>
    <col min="9194" max="9194" width="9.140625" style="85"/>
    <col min="9195" max="9195" width="17.28515625" style="85" customWidth="1"/>
    <col min="9196" max="9196" width="10.42578125" style="85" bestFit="1" customWidth="1"/>
    <col min="9197" max="9437" width="9.140625" style="85"/>
    <col min="9438" max="9438" width="12.140625" style="85" customWidth="1"/>
    <col min="9439" max="9439" width="13.5703125" style="85" customWidth="1"/>
    <col min="9440" max="9440" width="10.7109375" style="85" customWidth="1"/>
    <col min="9441" max="9442" width="12.140625" style="85" customWidth="1"/>
    <col min="9443" max="9443" width="10" style="85" customWidth="1"/>
    <col min="9444" max="9444" width="10.85546875" style="85" customWidth="1"/>
    <col min="9445" max="9445" width="9.5703125" style="85" customWidth="1"/>
    <col min="9446" max="9446" width="10.140625" style="85" customWidth="1"/>
    <col min="9447" max="9447" width="11.5703125" style="85" customWidth="1"/>
    <col min="9448" max="9448" width="13.42578125" style="85" customWidth="1"/>
    <col min="9449" max="9449" width="15.140625" style="85" customWidth="1"/>
    <col min="9450" max="9450" width="9.140625" style="85"/>
    <col min="9451" max="9451" width="17.28515625" style="85" customWidth="1"/>
    <col min="9452" max="9452" width="10.42578125" style="85" bestFit="1" customWidth="1"/>
    <col min="9453" max="9693" width="9.140625" style="85"/>
    <col min="9694" max="9694" width="12.140625" style="85" customWidth="1"/>
    <col min="9695" max="9695" width="13.5703125" style="85" customWidth="1"/>
    <col min="9696" max="9696" width="10.7109375" style="85" customWidth="1"/>
    <col min="9697" max="9698" width="12.140625" style="85" customWidth="1"/>
    <col min="9699" max="9699" width="10" style="85" customWidth="1"/>
    <col min="9700" max="9700" width="10.85546875" style="85" customWidth="1"/>
    <col min="9701" max="9701" width="9.5703125" style="85" customWidth="1"/>
    <col min="9702" max="9702" width="10.140625" style="85" customWidth="1"/>
    <col min="9703" max="9703" width="11.5703125" style="85" customWidth="1"/>
    <col min="9704" max="9704" width="13.42578125" style="85" customWidth="1"/>
    <col min="9705" max="9705" width="15.140625" style="85" customWidth="1"/>
    <col min="9706" max="9706" width="9.140625" style="85"/>
    <col min="9707" max="9707" width="17.28515625" style="85" customWidth="1"/>
    <col min="9708" max="9708" width="10.42578125" style="85" bestFit="1" customWidth="1"/>
    <col min="9709" max="9949" width="9.140625" style="85"/>
    <col min="9950" max="9950" width="12.140625" style="85" customWidth="1"/>
    <col min="9951" max="9951" width="13.5703125" style="85" customWidth="1"/>
    <col min="9952" max="9952" width="10.7109375" style="85" customWidth="1"/>
    <col min="9953" max="9954" width="12.140625" style="85" customWidth="1"/>
    <col min="9955" max="9955" width="10" style="85" customWidth="1"/>
    <col min="9956" max="9956" width="10.85546875" style="85" customWidth="1"/>
    <col min="9957" max="9957" width="9.5703125" style="85" customWidth="1"/>
    <col min="9958" max="9958" width="10.140625" style="85" customWidth="1"/>
    <col min="9959" max="9959" width="11.5703125" style="85" customWidth="1"/>
    <col min="9960" max="9960" width="13.42578125" style="85" customWidth="1"/>
    <col min="9961" max="9961" width="15.140625" style="85" customWidth="1"/>
    <col min="9962" max="9962" width="9.140625" style="85"/>
    <col min="9963" max="9963" width="17.28515625" style="85" customWidth="1"/>
    <col min="9964" max="9964" width="10.42578125" style="85" bestFit="1" customWidth="1"/>
    <col min="9965" max="10205" width="9.140625" style="85"/>
    <col min="10206" max="10206" width="12.140625" style="85" customWidth="1"/>
    <col min="10207" max="10207" width="13.5703125" style="85" customWidth="1"/>
    <col min="10208" max="10208" width="10.7109375" style="85" customWidth="1"/>
    <col min="10209" max="10210" width="12.140625" style="85" customWidth="1"/>
    <col min="10211" max="10211" width="10" style="85" customWidth="1"/>
    <col min="10212" max="10212" width="10.85546875" style="85" customWidth="1"/>
    <col min="10213" max="10213" width="9.5703125" style="85" customWidth="1"/>
    <col min="10214" max="10214" width="10.140625" style="85" customWidth="1"/>
    <col min="10215" max="10215" width="11.5703125" style="85" customWidth="1"/>
    <col min="10216" max="10216" width="13.42578125" style="85" customWidth="1"/>
    <col min="10217" max="10217" width="15.140625" style="85" customWidth="1"/>
    <col min="10218" max="10218" width="9.140625" style="85"/>
    <col min="10219" max="10219" width="17.28515625" style="85" customWidth="1"/>
    <col min="10220" max="10220" width="10.42578125" style="85" bestFit="1" customWidth="1"/>
    <col min="10221" max="10461" width="9.140625" style="85"/>
    <col min="10462" max="10462" width="12.140625" style="85" customWidth="1"/>
    <col min="10463" max="10463" width="13.5703125" style="85" customWidth="1"/>
    <col min="10464" max="10464" width="10.7109375" style="85" customWidth="1"/>
    <col min="10465" max="10466" width="12.140625" style="85" customWidth="1"/>
    <col min="10467" max="10467" width="10" style="85" customWidth="1"/>
    <col min="10468" max="10468" width="10.85546875" style="85" customWidth="1"/>
    <col min="10469" max="10469" width="9.5703125" style="85" customWidth="1"/>
    <col min="10470" max="10470" width="10.140625" style="85" customWidth="1"/>
    <col min="10471" max="10471" width="11.5703125" style="85" customWidth="1"/>
    <col min="10472" max="10472" width="13.42578125" style="85" customWidth="1"/>
    <col min="10473" max="10473" width="15.140625" style="85" customWidth="1"/>
    <col min="10474" max="10474" width="9.140625" style="85"/>
    <col min="10475" max="10475" width="17.28515625" style="85" customWidth="1"/>
    <col min="10476" max="10476" width="10.42578125" style="85" bestFit="1" customWidth="1"/>
    <col min="10477" max="10717" width="9.140625" style="85"/>
    <col min="10718" max="10718" width="12.140625" style="85" customWidth="1"/>
    <col min="10719" max="10719" width="13.5703125" style="85" customWidth="1"/>
    <col min="10720" max="10720" width="10.7109375" style="85" customWidth="1"/>
    <col min="10721" max="10722" width="12.140625" style="85" customWidth="1"/>
    <col min="10723" max="10723" width="10" style="85" customWidth="1"/>
    <col min="10724" max="10724" width="10.85546875" style="85" customWidth="1"/>
    <col min="10725" max="10725" width="9.5703125" style="85" customWidth="1"/>
    <col min="10726" max="10726" width="10.140625" style="85" customWidth="1"/>
    <col min="10727" max="10727" width="11.5703125" style="85" customWidth="1"/>
    <col min="10728" max="10728" width="13.42578125" style="85" customWidth="1"/>
    <col min="10729" max="10729" width="15.140625" style="85" customWidth="1"/>
    <col min="10730" max="10730" width="9.140625" style="85"/>
    <col min="10731" max="10731" width="17.28515625" style="85" customWidth="1"/>
    <col min="10732" max="10732" width="10.42578125" style="85" bestFit="1" customWidth="1"/>
    <col min="10733" max="10973" width="9.140625" style="85"/>
    <col min="10974" max="10974" width="12.140625" style="85" customWidth="1"/>
    <col min="10975" max="10975" width="13.5703125" style="85" customWidth="1"/>
    <col min="10976" max="10976" width="10.7109375" style="85" customWidth="1"/>
    <col min="10977" max="10978" width="12.140625" style="85" customWidth="1"/>
    <col min="10979" max="10979" width="10" style="85" customWidth="1"/>
    <col min="10980" max="10980" width="10.85546875" style="85" customWidth="1"/>
    <col min="10981" max="10981" width="9.5703125" style="85" customWidth="1"/>
    <col min="10982" max="10982" width="10.140625" style="85" customWidth="1"/>
    <col min="10983" max="10983" width="11.5703125" style="85" customWidth="1"/>
    <col min="10984" max="10984" width="13.42578125" style="85" customWidth="1"/>
    <col min="10985" max="10985" width="15.140625" style="85" customWidth="1"/>
    <col min="10986" max="10986" width="9.140625" style="85"/>
    <col min="10987" max="10987" width="17.28515625" style="85" customWidth="1"/>
    <col min="10988" max="10988" width="10.42578125" style="85" bestFit="1" customWidth="1"/>
    <col min="10989" max="11229" width="9.140625" style="85"/>
    <col min="11230" max="11230" width="12.140625" style="85" customWidth="1"/>
    <col min="11231" max="11231" width="13.5703125" style="85" customWidth="1"/>
    <col min="11232" max="11232" width="10.7109375" style="85" customWidth="1"/>
    <col min="11233" max="11234" width="12.140625" style="85" customWidth="1"/>
    <col min="11235" max="11235" width="10" style="85" customWidth="1"/>
    <col min="11236" max="11236" width="10.85546875" style="85" customWidth="1"/>
    <col min="11237" max="11237" width="9.5703125" style="85" customWidth="1"/>
    <col min="11238" max="11238" width="10.140625" style="85" customWidth="1"/>
    <col min="11239" max="11239" width="11.5703125" style="85" customWidth="1"/>
    <col min="11240" max="11240" width="13.42578125" style="85" customWidth="1"/>
    <col min="11241" max="11241" width="15.140625" style="85" customWidth="1"/>
    <col min="11242" max="11242" width="9.140625" style="85"/>
    <col min="11243" max="11243" width="17.28515625" style="85" customWidth="1"/>
    <col min="11244" max="11244" width="10.42578125" style="85" bestFit="1" customWidth="1"/>
    <col min="11245" max="11485" width="9.140625" style="85"/>
    <col min="11486" max="11486" width="12.140625" style="85" customWidth="1"/>
    <col min="11487" max="11487" width="13.5703125" style="85" customWidth="1"/>
    <col min="11488" max="11488" width="10.7109375" style="85" customWidth="1"/>
    <col min="11489" max="11490" width="12.140625" style="85" customWidth="1"/>
    <col min="11491" max="11491" width="10" style="85" customWidth="1"/>
    <col min="11492" max="11492" width="10.85546875" style="85" customWidth="1"/>
    <col min="11493" max="11493" width="9.5703125" style="85" customWidth="1"/>
    <col min="11494" max="11494" width="10.140625" style="85" customWidth="1"/>
    <col min="11495" max="11495" width="11.5703125" style="85" customWidth="1"/>
    <col min="11496" max="11496" width="13.42578125" style="85" customWidth="1"/>
    <col min="11497" max="11497" width="15.140625" style="85" customWidth="1"/>
    <col min="11498" max="11498" width="9.140625" style="85"/>
    <col min="11499" max="11499" width="17.28515625" style="85" customWidth="1"/>
    <col min="11500" max="11500" width="10.42578125" style="85" bestFit="1" customWidth="1"/>
    <col min="11501" max="11741" width="9.140625" style="85"/>
    <col min="11742" max="11742" width="12.140625" style="85" customWidth="1"/>
    <col min="11743" max="11743" width="13.5703125" style="85" customWidth="1"/>
    <col min="11744" max="11744" width="10.7109375" style="85" customWidth="1"/>
    <col min="11745" max="11746" width="12.140625" style="85" customWidth="1"/>
    <col min="11747" max="11747" width="10" style="85" customWidth="1"/>
    <col min="11748" max="11748" width="10.85546875" style="85" customWidth="1"/>
    <col min="11749" max="11749" width="9.5703125" style="85" customWidth="1"/>
    <col min="11750" max="11750" width="10.140625" style="85" customWidth="1"/>
    <col min="11751" max="11751" width="11.5703125" style="85" customWidth="1"/>
    <col min="11752" max="11752" width="13.42578125" style="85" customWidth="1"/>
    <col min="11753" max="11753" width="15.140625" style="85" customWidth="1"/>
    <col min="11754" max="11754" width="9.140625" style="85"/>
    <col min="11755" max="11755" width="17.28515625" style="85" customWidth="1"/>
    <col min="11756" max="11756" width="10.42578125" style="85" bestFit="1" customWidth="1"/>
    <col min="11757" max="11997" width="9.140625" style="85"/>
    <col min="11998" max="11998" width="12.140625" style="85" customWidth="1"/>
    <col min="11999" max="11999" width="13.5703125" style="85" customWidth="1"/>
    <col min="12000" max="12000" width="10.7109375" style="85" customWidth="1"/>
    <col min="12001" max="12002" width="12.140625" style="85" customWidth="1"/>
    <col min="12003" max="12003" width="10" style="85" customWidth="1"/>
    <col min="12004" max="12004" width="10.85546875" style="85" customWidth="1"/>
    <col min="12005" max="12005" width="9.5703125" style="85" customWidth="1"/>
    <col min="12006" max="12006" width="10.140625" style="85" customWidth="1"/>
    <col min="12007" max="12007" width="11.5703125" style="85" customWidth="1"/>
    <col min="12008" max="12008" width="13.42578125" style="85" customWidth="1"/>
    <col min="12009" max="12009" width="15.140625" style="85" customWidth="1"/>
    <col min="12010" max="12010" width="9.140625" style="85"/>
    <col min="12011" max="12011" width="17.28515625" style="85" customWidth="1"/>
    <col min="12012" max="12012" width="10.42578125" style="85" bestFit="1" customWidth="1"/>
    <col min="12013" max="12253" width="9.140625" style="85"/>
    <col min="12254" max="12254" width="12.140625" style="85" customWidth="1"/>
    <col min="12255" max="12255" width="13.5703125" style="85" customWidth="1"/>
    <col min="12256" max="12256" width="10.7109375" style="85" customWidth="1"/>
    <col min="12257" max="12258" width="12.140625" style="85" customWidth="1"/>
    <col min="12259" max="12259" width="10" style="85" customWidth="1"/>
    <col min="12260" max="12260" width="10.85546875" style="85" customWidth="1"/>
    <col min="12261" max="12261" width="9.5703125" style="85" customWidth="1"/>
    <col min="12262" max="12262" width="10.140625" style="85" customWidth="1"/>
    <col min="12263" max="12263" width="11.5703125" style="85" customWidth="1"/>
    <col min="12264" max="12264" width="13.42578125" style="85" customWidth="1"/>
    <col min="12265" max="12265" width="15.140625" style="85" customWidth="1"/>
    <col min="12266" max="12266" width="9.140625" style="85"/>
    <col min="12267" max="12267" width="17.28515625" style="85" customWidth="1"/>
    <col min="12268" max="12268" width="10.42578125" style="85" bestFit="1" customWidth="1"/>
    <col min="12269" max="12509" width="9.140625" style="85"/>
    <col min="12510" max="12510" width="12.140625" style="85" customWidth="1"/>
    <col min="12511" max="12511" width="13.5703125" style="85" customWidth="1"/>
    <col min="12512" max="12512" width="10.7109375" style="85" customWidth="1"/>
    <col min="12513" max="12514" width="12.140625" style="85" customWidth="1"/>
    <col min="12515" max="12515" width="10" style="85" customWidth="1"/>
    <col min="12516" max="12516" width="10.85546875" style="85" customWidth="1"/>
    <col min="12517" max="12517" width="9.5703125" style="85" customWidth="1"/>
    <col min="12518" max="12518" width="10.140625" style="85" customWidth="1"/>
    <col min="12519" max="12519" width="11.5703125" style="85" customWidth="1"/>
    <col min="12520" max="12520" width="13.42578125" style="85" customWidth="1"/>
    <col min="12521" max="12521" width="15.140625" style="85" customWidth="1"/>
    <col min="12522" max="12522" width="9.140625" style="85"/>
    <col min="12523" max="12523" width="17.28515625" style="85" customWidth="1"/>
    <col min="12524" max="12524" width="10.42578125" style="85" bestFit="1" customWidth="1"/>
    <col min="12525" max="12765" width="9.140625" style="85"/>
    <col min="12766" max="12766" width="12.140625" style="85" customWidth="1"/>
    <col min="12767" max="12767" width="13.5703125" style="85" customWidth="1"/>
    <col min="12768" max="12768" width="10.7109375" style="85" customWidth="1"/>
    <col min="12769" max="12770" width="12.140625" style="85" customWidth="1"/>
    <col min="12771" max="12771" width="10" style="85" customWidth="1"/>
    <col min="12772" max="12772" width="10.85546875" style="85" customWidth="1"/>
    <col min="12773" max="12773" width="9.5703125" style="85" customWidth="1"/>
    <col min="12774" max="12774" width="10.140625" style="85" customWidth="1"/>
    <col min="12775" max="12775" width="11.5703125" style="85" customWidth="1"/>
    <col min="12776" max="12776" width="13.42578125" style="85" customWidth="1"/>
    <col min="12777" max="12777" width="15.140625" style="85" customWidth="1"/>
    <col min="12778" max="12778" width="9.140625" style="85"/>
    <col min="12779" max="12779" width="17.28515625" style="85" customWidth="1"/>
    <col min="12780" max="12780" width="10.42578125" style="85" bestFit="1" customWidth="1"/>
    <col min="12781" max="13021" width="9.140625" style="85"/>
    <col min="13022" max="13022" width="12.140625" style="85" customWidth="1"/>
    <col min="13023" max="13023" width="13.5703125" style="85" customWidth="1"/>
    <col min="13024" max="13024" width="10.7109375" style="85" customWidth="1"/>
    <col min="13025" max="13026" width="12.140625" style="85" customWidth="1"/>
    <col min="13027" max="13027" width="10" style="85" customWidth="1"/>
    <col min="13028" max="13028" width="10.85546875" style="85" customWidth="1"/>
    <col min="13029" max="13029" width="9.5703125" style="85" customWidth="1"/>
    <col min="13030" max="13030" width="10.140625" style="85" customWidth="1"/>
    <col min="13031" max="13031" width="11.5703125" style="85" customWidth="1"/>
    <col min="13032" max="13032" width="13.42578125" style="85" customWidth="1"/>
    <col min="13033" max="13033" width="15.140625" style="85" customWidth="1"/>
    <col min="13034" max="13034" width="9.140625" style="85"/>
    <col min="13035" max="13035" width="17.28515625" style="85" customWidth="1"/>
    <col min="13036" max="13036" width="10.42578125" style="85" bestFit="1" customWidth="1"/>
    <col min="13037" max="13277" width="9.140625" style="85"/>
    <col min="13278" max="13278" width="12.140625" style="85" customWidth="1"/>
    <col min="13279" max="13279" width="13.5703125" style="85" customWidth="1"/>
    <col min="13280" max="13280" width="10.7109375" style="85" customWidth="1"/>
    <col min="13281" max="13282" width="12.140625" style="85" customWidth="1"/>
    <col min="13283" max="13283" width="10" style="85" customWidth="1"/>
    <col min="13284" max="13284" width="10.85546875" style="85" customWidth="1"/>
    <col min="13285" max="13285" width="9.5703125" style="85" customWidth="1"/>
    <col min="13286" max="13286" width="10.140625" style="85" customWidth="1"/>
    <col min="13287" max="13287" width="11.5703125" style="85" customWidth="1"/>
    <col min="13288" max="13288" width="13.42578125" style="85" customWidth="1"/>
    <col min="13289" max="13289" width="15.140625" style="85" customWidth="1"/>
    <col min="13290" max="13290" width="9.140625" style="85"/>
    <col min="13291" max="13291" width="17.28515625" style="85" customWidth="1"/>
    <col min="13292" max="13292" width="10.42578125" style="85" bestFit="1" customWidth="1"/>
    <col min="13293" max="13533" width="9.140625" style="85"/>
    <col min="13534" max="13534" width="12.140625" style="85" customWidth="1"/>
    <col min="13535" max="13535" width="13.5703125" style="85" customWidth="1"/>
    <col min="13536" max="13536" width="10.7109375" style="85" customWidth="1"/>
    <col min="13537" max="13538" width="12.140625" style="85" customWidth="1"/>
    <col min="13539" max="13539" width="10" style="85" customWidth="1"/>
    <col min="13540" max="13540" width="10.85546875" style="85" customWidth="1"/>
    <col min="13541" max="13541" width="9.5703125" style="85" customWidth="1"/>
    <col min="13542" max="13542" width="10.140625" style="85" customWidth="1"/>
    <col min="13543" max="13543" width="11.5703125" style="85" customWidth="1"/>
    <col min="13544" max="13544" width="13.42578125" style="85" customWidth="1"/>
    <col min="13545" max="13545" width="15.140625" style="85" customWidth="1"/>
    <col min="13546" max="13546" width="9.140625" style="85"/>
    <col min="13547" max="13547" width="17.28515625" style="85" customWidth="1"/>
    <col min="13548" max="13548" width="10.42578125" style="85" bestFit="1" customWidth="1"/>
    <col min="13549" max="13789" width="9.140625" style="85"/>
    <col min="13790" max="13790" width="12.140625" style="85" customWidth="1"/>
    <col min="13791" max="13791" width="13.5703125" style="85" customWidth="1"/>
    <col min="13792" max="13792" width="10.7109375" style="85" customWidth="1"/>
    <col min="13793" max="13794" width="12.140625" style="85" customWidth="1"/>
    <col min="13795" max="13795" width="10" style="85" customWidth="1"/>
    <col min="13796" max="13796" width="10.85546875" style="85" customWidth="1"/>
    <col min="13797" max="13797" width="9.5703125" style="85" customWidth="1"/>
    <col min="13798" max="13798" width="10.140625" style="85" customWidth="1"/>
    <col min="13799" max="13799" width="11.5703125" style="85" customWidth="1"/>
    <col min="13800" max="13800" width="13.42578125" style="85" customWidth="1"/>
    <col min="13801" max="13801" width="15.140625" style="85" customWidth="1"/>
    <col min="13802" max="13802" width="9.140625" style="85"/>
    <col min="13803" max="13803" width="17.28515625" style="85" customWidth="1"/>
    <col min="13804" max="13804" width="10.42578125" style="85" bestFit="1" customWidth="1"/>
    <col min="13805" max="14045" width="9.140625" style="85"/>
    <col min="14046" max="14046" width="12.140625" style="85" customWidth="1"/>
    <col min="14047" max="14047" width="13.5703125" style="85" customWidth="1"/>
    <col min="14048" max="14048" width="10.7109375" style="85" customWidth="1"/>
    <col min="14049" max="14050" width="12.140625" style="85" customWidth="1"/>
    <col min="14051" max="14051" width="10" style="85" customWidth="1"/>
    <col min="14052" max="14052" width="10.85546875" style="85" customWidth="1"/>
    <col min="14053" max="14053" width="9.5703125" style="85" customWidth="1"/>
    <col min="14054" max="14054" width="10.140625" style="85" customWidth="1"/>
    <col min="14055" max="14055" width="11.5703125" style="85" customWidth="1"/>
    <col min="14056" max="14056" width="13.42578125" style="85" customWidth="1"/>
    <col min="14057" max="14057" width="15.140625" style="85" customWidth="1"/>
    <col min="14058" max="14058" width="9.140625" style="85"/>
    <col min="14059" max="14059" width="17.28515625" style="85" customWidth="1"/>
    <col min="14060" max="14060" width="10.42578125" style="85" bestFit="1" customWidth="1"/>
    <col min="14061" max="14301" width="9.140625" style="85"/>
    <col min="14302" max="14302" width="12.140625" style="85" customWidth="1"/>
    <col min="14303" max="14303" width="13.5703125" style="85" customWidth="1"/>
    <col min="14304" max="14304" width="10.7109375" style="85" customWidth="1"/>
    <col min="14305" max="14306" width="12.140625" style="85" customWidth="1"/>
    <col min="14307" max="14307" width="10" style="85" customWidth="1"/>
    <col min="14308" max="14308" width="10.85546875" style="85" customWidth="1"/>
    <col min="14309" max="14309" width="9.5703125" style="85" customWidth="1"/>
    <col min="14310" max="14310" width="10.140625" style="85" customWidth="1"/>
    <col min="14311" max="14311" width="11.5703125" style="85" customWidth="1"/>
    <col min="14312" max="14312" width="13.42578125" style="85" customWidth="1"/>
    <col min="14313" max="14313" width="15.140625" style="85" customWidth="1"/>
    <col min="14314" max="14314" width="9.140625" style="85"/>
    <col min="14315" max="14315" width="17.28515625" style="85" customWidth="1"/>
    <col min="14316" max="14316" width="10.42578125" style="85" bestFit="1" customWidth="1"/>
    <col min="14317" max="14557" width="9.140625" style="85"/>
    <col min="14558" max="14558" width="12.140625" style="85" customWidth="1"/>
    <col min="14559" max="14559" width="13.5703125" style="85" customWidth="1"/>
    <col min="14560" max="14560" width="10.7109375" style="85" customWidth="1"/>
    <col min="14561" max="14562" width="12.140625" style="85" customWidth="1"/>
    <col min="14563" max="14563" width="10" style="85" customWidth="1"/>
    <col min="14564" max="14564" width="10.85546875" style="85" customWidth="1"/>
    <col min="14565" max="14565" width="9.5703125" style="85" customWidth="1"/>
    <col min="14566" max="14566" width="10.140625" style="85" customWidth="1"/>
    <col min="14567" max="14567" width="11.5703125" style="85" customWidth="1"/>
    <col min="14568" max="14568" width="13.42578125" style="85" customWidth="1"/>
    <col min="14569" max="14569" width="15.140625" style="85" customWidth="1"/>
    <col min="14570" max="14570" width="9.140625" style="85"/>
    <col min="14571" max="14571" width="17.28515625" style="85" customWidth="1"/>
    <col min="14572" max="14572" width="10.42578125" style="85" bestFit="1" customWidth="1"/>
    <col min="14573" max="14813" width="9.140625" style="85"/>
    <col min="14814" max="14814" width="12.140625" style="85" customWidth="1"/>
    <col min="14815" max="14815" width="13.5703125" style="85" customWidth="1"/>
    <col min="14816" max="14816" width="10.7109375" style="85" customWidth="1"/>
    <col min="14817" max="14818" width="12.140625" style="85" customWidth="1"/>
    <col min="14819" max="14819" width="10" style="85" customWidth="1"/>
    <col min="14820" max="14820" width="10.85546875" style="85" customWidth="1"/>
    <col min="14821" max="14821" width="9.5703125" style="85" customWidth="1"/>
    <col min="14822" max="14822" width="10.140625" style="85" customWidth="1"/>
    <col min="14823" max="14823" width="11.5703125" style="85" customWidth="1"/>
    <col min="14824" max="14824" width="13.42578125" style="85" customWidth="1"/>
    <col min="14825" max="14825" width="15.140625" style="85" customWidth="1"/>
    <col min="14826" max="14826" width="9.140625" style="85"/>
    <col min="14827" max="14827" width="17.28515625" style="85" customWidth="1"/>
    <col min="14828" max="14828" width="10.42578125" style="85" bestFit="1" customWidth="1"/>
    <col min="14829" max="15069" width="9.140625" style="85"/>
    <col min="15070" max="15070" width="12.140625" style="85" customWidth="1"/>
    <col min="15071" max="15071" width="13.5703125" style="85" customWidth="1"/>
    <col min="15072" max="15072" width="10.7109375" style="85" customWidth="1"/>
    <col min="15073" max="15074" width="12.140625" style="85" customWidth="1"/>
    <col min="15075" max="15075" width="10" style="85" customWidth="1"/>
    <col min="15076" max="15076" width="10.85546875" style="85" customWidth="1"/>
    <col min="15077" max="15077" width="9.5703125" style="85" customWidth="1"/>
    <col min="15078" max="15078" width="10.140625" style="85" customWidth="1"/>
    <col min="15079" max="15079" width="11.5703125" style="85" customWidth="1"/>
    <col min="15080" max="15080" width="13.42578125" style="85" customWidth="1"/>
    <col min="15081" max="15081" width="15.140625" style="85" customWidth="1"/>
    <col min="15082" max="15082" width="9.140625" style="85"/>
    <col min="15083" max="15083" width="17.28515625" style="85" customWidth="1"/>
    <col min="15084" max="15084" width="10.42578125" style="85" bestFit="1" customWidth="1"/>
    <col min="15085" max="15325" width="9.140625" style="85"/>
    <col min="15326" max="15326" width="12.140625" style="85" customWidth="1"/>
    <col min="15327" max="15327" width="13.5703125" style="85" customWidth="1"/>
    <col min="15328" max="15328" width="10.7109375" style="85" customWidth="1"/>
    <col min="15329" max="15330" width="12.140625" style="85" customWidth="1"/>
    <col min="15331" max="15331" width="10" style="85" customWidth="1"/>
    <col min="15332" max="15332" width="10.85546875" style="85" customWidth="1"/>
    <col min="15333" max="15333" width="9.5703125" style="85" customWidth="1"/>
    <col min="15334" max="15334" width="10.140625" style="85" customWidth="1"/>
    <col min="15335" max="15335" width="11.5703125" style="85" customWidth="1"/>
    <col min="15336" max="15336" width="13.42578125" style="85" customWidth="1"/>
    <col min="15337" max="15337" width="15.140625" style="85" customWidth="1"/>
    <col min="15338" max="15338" width="9.140625" style="85"/>
    <col min="15339" max="15339" width="17.28515625" style="85" customWidth="1"/>
    <col min="15340" max="15340" width="10.42578125" style="85" bestFit="1" customWidth="1"/>
    <col min="15341" max="15581" width="9.140625" style="85"/>
    <col min="15582" max="15582" width="12.140625" style="85" customWidth="1"/>
    <col min="15583" max="15583" width="13.5703125" style="85" customWidth="1"/>
    <col min="15584" max="15584" width="10.7109375" style="85" customWidth="1"/>
    <col min="15585" max="15586" width="12.140625" style="85" customWidth="1"/>
    <col min="15587" max="15587" width="10" style="85" customWidth="1"/>
    <col min="15588" max="15588" width="10.85546875" style="85" customWidth="1"/>
    <col min="15589" max="15589" width="9.5703125" style="85" customWidth="1"/>
    <col min="15590" max="15590" width="10.140625" style="85" customWidth="1"/>
    <col min="15591" max="15591" width="11.5703125" style="85" customWidth="1"/>
    <col min="15592" max="15592" width="13.42578125" style="85" customWidth="1"/>
    <col min="15593" max="15593" width="15.140625" style="85" customWidth="1"/>
    <col min="15594" max="15594" width="9.140625" style="85"/>
    <col min="15595" max="15595" width="17.28515625" style="85" customWidth="1"/>
    <col min="15596" max="15596" width="10.42578125" style="85" bestFit="1" customWidth="1"/>
    <col min="15597" max="15837" width="9.140625" style="85"/>
    <col min="15838" max="15838" width="12.140625" style="85" customWidth="1"/>
    <col min="15839" max="15839" width="13.5703125" style="85" customWidth="1"/>
    <col min="15840" max="15840" width="10.7109375" style="85" customWidth="1"/>
    <col min="15841" max="15842" width="12.140625" style="85" customWidth="1"/>
    <col min="15843" max="15843" width="10" style="85" customWidth="1"/>
    <col min="15844" max="15844" width="10.85546875" style="85" customWidth="1"/>
    <col min="15845" max="15845" width="9.5703125" style="85" customWidth="1"/>
    <col min="15846" max="15846" width="10.140625" style="85" customWidth="1"/>
    <col min="15847" max="15847" width="11.5703125" style="85" customWidth="1"/>
    <col min="15848" max="15848" width="13.42578125" style="85" customWidth="1"/>
    <col min="15849" max="15849" width="15.140625" style="85" customWidth="1"/>
    <col min="15850" max="15850" width="9.140625" style="85"/>
    <col min="15851" max="15851" width="17.28515625" style="85" customWidth="1"/>
    <col min="15852" max="15852" width="10.42578125" style="85" bestFit="1" customWidth="1"/>
    <col min="15853" max="16093" width="9.140625" style="85"/>
    <col min="16094" max="16094" width="12.140625" style="85" customWidth="1"/>
    <col min="16095" max="16095" width="13.5703125" style="85" customWidth="1"/>
    <col min="16096" max="16096" width="10.7109375" style="85" customWidth="1"/>
    <col min="16097" max="16098" width="12.140625" style="85" customWidth="1"/>
    <col min="16099" max="16099" width="10" style="85" customWidth="1"/>
    <col min="16100" max="16100" width="10.85546875" style="85" customWidth="1"/>
    <col min="16101" max="16101" width="9.5703125" style="85" customWidth="1"/>
    <col min="16102" max="16102" width="10.140625" style="85" customWidth="1"/>
    <col min="16103" max="16103" width="11.5703125" style="85" customWidth="1"/>
    <col min="16104" max="16104" width="13.42578125" style="85" customWidth="1"/>
    <col min="16105" max="16105" width="15.140625" style="85" customWidth="1"/>
    <col min="16106" max="16106" width="9.140625" style="85"/>
    <col min="16107" max="16107" width="17.28515625" style="85" customWidth="1"/>
    <col min="16108" max="16108" width="10.42578125" style="85" bestFit="1" customWidth="1"/>
    <col min="16109" max="16384" width="9.140625" style="85"/>
  </cols>
  <sheetData>
    <row r="2" spans="1:11" x14ac:dyDescent="0.2">
      <c r="A2" s="92" t="s">
        <v>71</v>
      </c>
      <c r="C2" s="93"/>
      <c r="D2" s="93"/>
      <c r="E2" s="94"/>
      <c r="F2" s="93"/>
      <c r="G2" s="93"/>
      <c r="H2" s="93"/>
      <c r="J2" s="94"/>
      <c r="K2" s="94"/>
    </row>
    <row r="3" spans="1:11" x14ac:dyDescent="0.2">
      <c r="A3" s="86"/>
      <c r="C3" s="93"/>
      <c r="D3" s="93"/>
      <c r="E3" s="93"/>
      <c r="F3" s="93"/>
      <c r="G3" s="93"/>
      <c r="H3" s="93"/>
      <c r="J3" s="93"/>
      <c r="K3" s="93"/>
    </row>
    <row r="4" spans="1:11" x14ac:dyDescent="0.2">
      <c r="A4" s="93"/>
      <c r="B4" s="95" t="s">
        <v>72</v>
      </c>
      <c r="C4" s="95" t="s">
        <v>73</v>
      </c>
      <c r="D4" s="95" t="s">
        <v>19</v>
      </c>
      <c r="E4" s="95" t="s">
        <v>74</v>
      </c>
      <c r="F4" s="95" t="s">
        <v>18</v>
      </c>
      <c r="G4" s="95" t="s">
        <v>11</v>
      </c>
      <c r="H4" s="95" t="s">
        <v>1</v>
      </c>
      <c r="I4" s="95" t="s">
        <v>75</v>
      </c>
      <c r="J4" s="95" t="s">
        <v>76</v>
      </c>
      <c r="K4" s="96" t="s">
        <v>77</v>
      </c>
    </row>
    <row r="5" spans="1:11" x14ac:dyDescent="0.2">
      <c r="A5" s="97">
        <v>43617</v>
      </c>
      <c r="B5" s="98">
        <v>6.94</v>
      </c>
      <c r="C5" s="98">
        <v>-55.5</v>
      </c>
      <c r="D5" s="98">
        <v>64.709999999999994</v>
      </c>
      <c r="E5" s="98">
        <v>944.93</v>
      </c>
      <c r="F5" s="98">
        <v>125.54</v>
      </c>
      <c r="G5" s="98">
        <v>-53.34</v>
      </c>
      <c r="H5" s="98">
        <v>175</v>
      </c>
      <c r="I5" s="98">
        <v>420</v>
      </c>
      <c r="J5" s="98">
        <v>230</v>
      </c>
      <c r="K5" s="98">
        <v>-140</v>
      </c>
    </row>
    <row r="6" spans="1:11" x14ac:dyDescent="0.2">
      <c r="A6" s="97">
        <v>43647</v>
      </c>
      <c r="B6" s="98">
        <v>2.93</v>
      </c>
      <c r="C6" s="98">
        <v>-55.5</v>
      </c>
      <c r="D6" s="98">
        <v>58.45</v>
      </c>
      <c r="E6" s="98">
        <v>957.28</v>
      </c>
      <c r="F6" s="98">
        <v>119.81</v>
      </c>
      <c r="G6" s="98">
        <v>-53.34</v>
      </c>
      <c r="H6" s="98">
        <v>175</v>
      </c>
      <c r="I6" s="98">
        <v>420</v>
      </c>
      <c r="J6" s="98">
        <v>210</v>
      </c>
      <c r="K6" s="98">
        <v>-140</v>
      </c>
    </row>
    <row r="7" spans="1:11" x14ac:dyDescent="0.2">
      <c r="A7" s="97">
        <v>43678</v>
      </c>
      <c r="B7" s="98">
        <v>-0.55000000000000004</v>
      </c>
      <c r="C7" s="98">
        <v>-55.5</v>
      </c>
      <c r="D7" s="98">
        <v>63.21</v>
      </c>
      <c r="E7" s="98">
        <v>916.77</v>
      </c>
      <c r="F7" s="98">
        <v>123.04</v>
      </c>
      <c r="G7" s="98">
        <v>-53.34</v>
      </c>
      <c r="H7" s="98">
        <v>145</v>
      </c>
      <c r="I7" s="98">
        <v>410</v>
      </c>
      <c r="J7" s="98">
        <v>200</v>
      </c>
      <c r="K7" s="98">
        <v>-140</v>
      </c>
    </row>
    <row r="8" spans="1:11" x14ac:dyDescent="0.2">
      <c r="A8" s="97">
        <v>43709</v>
      </c>
      <c r="B8" s="98">
        <v>5.51</v>
      </c>
      <c r="C8" s="98">
        <v>-55.5</v>
      </c>
      <c r="D8" s="98">
        <v>66.56</v>
      </c>
      <c r="E8" s="98">
        <v>894.97</v>
      </c>
      <c r="F8" s="98">
        <v>109.2</v>
      </c>
      <c r="G8" s="98">
        <v>-53.34</v>
      </c>
      <c r="H8" s="98">
        <v>71.2</v>
      </c>
      <c r="I8" s="98">
        <v>480</v>
      </c>
      <c r="J8" s="98">
        <v>200</v>
      </c>
      <c r="K8" s="98">
        <v>-197.5</v>
      </c>
    </row>
    <row r="9" spans="1:11" x14ac:dyDescent="0.2">
      <c r="A9" s="97">
        <v>43739</v>
      </c>
      <c r="B9" s="98">
        <v>11.29</v>
      </c>
      <c r="C9" s="98">
        <v>-55.5</v>
      </c>
      <c r="D9" s="98">
        <v>66.459999999999994</v>
      </c>
      <c r="E9" s="98">
        <v>907.91</v>
      </c>
      <c r="F9" s="98">
        <v>81.25</v>
      </c>
      <c r="G9" s="98">
        <v>-53.34</v>
      </c>
      <c r="H9" s="98">
        <v>45.23</v>
      </c>
      <c r="I9" s="98">
        <v>562</v>
      </c>
      <c r="J9" s="98">
        <v>260</v>
      </c>
      <c r="K9" s="98">
        <v>-197.5</v>
      </c>
    </row>
    <row r="10" spans="1:11" x14ac:dyDescent="0.2">
      <c r="A10" s="97">
        <v>43770</v>
      </c>
      <c r="B10" s="98">
        <v>21.67</v>
      </c>
      <c r="C10" s="98">
        <v>-55.5</v>
      </c>
      <c r="D10" s="98">
        <v>66.099999999999994</v>
      </c>
      <c r="E10" s="98">
        <v>899.35</v>
      </c>
      <c r="F10" s="98">
        <v>90.13</v>
      </c>
      <c r="G10" s="98">
        <v>-53.34</v>
      </c>
      <c r="H10" s="98">
        <v>27.29</v>
      </c>
      <c r="I10" s="98">
        <v>820</v>
      </c>
      <c r="J10" s="98">
        <v>310</v>
      </c>
      <c r="K10" s="98">
        <v>-197.5</v>
      </c>
    </row>
    <row r="11" spans="1:11" ht="11.25" customHeight="1" x14ac:dyDescent="0.2">
      <c r="A11" s="97">
        <v>43800</v>
      </c>
      <c r="B11" s="98">
        <v>9.86</v>
      </c>
      <c r="C11" s="98">
        <v>-55.5</v>
      </c>
      <c r="D11" s="98">
        <v>66.069999999999993</v>
      </c>
      <c r="E11" s="98">
        <v>831.93</v>
      </c>
      <c r="F11" s="98">
        <v>84.48</v>
      </c>
      <c r="G11" s="98">
        <v>-53.34</v>
      </c>
      <c r="H11" s="98">
        <v>69.56</v>
      </c>
      <c r="I11" s="98">
        <v>1020</v>
      </c>
      <c r="J11" s="98">
        <v>260</v>
      </c>
      <c r="K11" s="98">
        <v>-197.5</v>
      </c>
    </row>
    <row r="12" spans="1:11" ht="11.25" customHeight="1" x14ac:dyDescent="0.2">
      <c r="A12" s="97">
        <v>43831</v>
      </c>
      <c r="B12" s="98">
        <v>39.22</v>
      </c>
      <c r="C12" s="98">
        <v>-55.5</v>
      </c>
      <c r="D12" s="98">
        <v>68.53</v>
      </c>
      <c r="E12" s="98">
        <v>853.22</v>
      </c>
      <c r="F12" s="98">
        <v>109.66</v>
      </c>
      <c r="G12" s="98">
        <v>-53.34</v>
      </c>
      <c r="H12" s="98">
        <v>140</v>
      </c>
      <c r="I12" s="98">
        <v>1060</v>
      </c>
      <c r="J12" s="98">
        <v>260</v>
      </c>
      <c r="K12" s="98">
        <v>-197.5</v>
      </c>
    </row>
    <row r="13" spans="1:11" ht="11.25" customHeight="1" x14ac:dyDescent="0.2">
      <c r="A13" s="97">
        <v>43862</v>
      </c>
      <c r="B13" s="98">
        <v>39.24</v>
      </c>
      <c r="C13" s="98">
        <v>-55.5</v>
      </c>
      <c r="D13" s="98">
        <v>68.77</v>
      </c>
      <c r="E13" s="98">
        <v>831.09</v>
      </c>
      <c r="F13" s="98">
        <v>97.48</v>
      </c>
      <c r="G13" s="98">
        <v>-53.34</v>
      </c>
      <c r="H13" s="98">
        <v>170</v>
      </c>
      <c r="I13" s="98">
        <v>1049.03</v>
      </c>
      <c r="J13" s="98">
        <v>160</v>
      </c>
      <c r="K13" s="98">
        <v>-197.5</v>
      </c>
    </row>
    <row r="14" spans="1:11" ht="11.25" customHeight="1" x14ac:dyDescent="0.2">
      <c r="A14" s="97">
        <v>43891</v>
      </c>
      <c r="B14" s="98">
        <v>15.48</v>
      </c>
      <c r="C14" s="98">
        <v>-55.5</v>
      </c>
      <c r="D14" s="98">
        <v>69.7</v>
      </c>
      <c r="E14" s="98">
        <v>830.12</v>
      </c>
      <c r="F14" s="98">
        <v>105.81</v>
      </c>
      <c r="G14" s="98">
        <v>-53.34</v>
      </c>
      <c r="H14" s="98">
        <v>170</v>
      </c>
      <c r="I14" s="98">
        <v>659.41</v>
      </c>
      <c r="J14" s="98">
        <v>150</v>
      </c>
      <c r="K14" s="98">
        <v>-197.5</v>
      </c>
    </row>
    <row r="15" spans="1:11" ht="11.25" customHeight="1" x14ac:dyDescent="0.2">
      <c r="A15" s="97">
        <v>43922</v>
      </c>
      <c r="B15" s="98">
        <v>21.2</v>
      </c>
      <c r="C15" s="98">
        <v>-55.5</v>
      </c>
      <c r="D15" s="98">
        <v>80.5</v>
      </c>
      <c r="E15" s="98">
        <v>850.05</v>
      </c>
      <c r="F15" s="98">
        <v>65.66</v>
      </c>
      <c r="G15" s="98">
        <v>-53.34</v>
      </c>
      <c r="H15" s="98">
        <v>150</v>
      </c>
      <c r="I15" s="98">
        <v>680</v>
      </c>
      <c r="J15" s="98">
        <v>60</v>
      </c>
      <c r="K15" s="98">
        <v>-197.5</v>
      </c>
    </row>
    <row r="16" spans="1:11" ht="14.25" x14ac:dyDescent="0.35">
      <c r="A16" s="97">
        <v>43952</v>
      </c>
      <c r="B16" s="262">
        <v>44.81</v>
      </c>
      <c r="C16" s="262">
        <f t="shared" ref="C16:K16" si="0">+C15</f>
        <v>-55.5</v>
      </c>
      <c r="D16" s="262">
        <v>112.37</v>
      </c>
      <c r="E16" s="262">
        <v>853.92</v>
      </c>
      <c r="F16" s="262">
        <v>80.13</v>
      </c>
      <c r="G16" s="262">
        <f t="shared" si="0"/>
        <v>-53.34</v>
      </c>
      <c r="H16" s="262">
        <v>110</v>
      </c>
      <c r="I16" s="262">
        <v>630.04</v>
      </c>
      <c r="J16" s="262">
        <v>60</v>
      </c>
      <c r="K16" s="262">
        <f t="shared" si="0"/>
        <v>-197.5</v>
      </c>
    </row>
    <row r="17" spans="1:13" x14ac:dyDescent="0.2">
      <c r="A17" s="90" t="s">
        <v>130</v>
      </c>
      <c r="B17" s="154">
        <f t="shared" ref="B17:K17" si="1">AVERAGE(B5:B15)</f>
        <v>15.708181818181817</v>
      </c>
      <c r="C17" s="154">
        <f t="shared" si="1"/>
        <v>-55.5</v>
      </c>
      <c r="D17" s="154">
        <f t="shared" si="1"/>
        <v>67.187272727272727</v>
      </c>
      <c r="E17" s="154">
        <f t="shared" si="1"/>
        <v>883.42000000000007</v>
      </c>
      <c r="F17" s="154">
        <f t="shared" si="1"/>
        <v>101.09636363636365</v>
      </c>
      <c r="G17" s="154">
        <f t="shared" si="1"/>
        <v>-53.340000000000025</v>
      </c>
      <c r="H17" s="154">
        <f t="shared" si="1"/>
        <v>121.66181818181818</v>
      </c>
      <c r="I17" s="154">
        <f t="shared" si="1"/>
        <v>689.13090909090909</v>
      </c>
      <c r="J17" s="154">
        <f t="shared" si="1"/>
        <v>209.09090909090909</v>
      </c>
      <c r="K17" s="154">
        <f t="shared" si="1"/>
        <v>-181.81818181818181</v>
      </c>
    </row>
    <row r="19" spans="1:13" x14ac:dyDescent="0.2">
      <c r="A19" s="97"/>
      <c r="B19" s="249"/>
      <c r="C19" s="98"/>
      <c r="D19" s="249"/>
      <c r="E19" s="249"/>
      <c r="F19" s="249"/>
      <c r="G19" s="98"/>
      <c r="H19" s="249"/>
      <c r="I19" s="249"/>
      <c r="J19" s="249"/>
      <c r="K19" s="249"/>
      <c r="L19" s="249"/>
      <c r="M19" s="249"/>
    </row>
    <row r="20" spans="1:13" ht="12.75" customHeight="1" x14ac:dyDescent="0.2">
      <c r="H20" s="170"/>
    </row>
    <row r="21" spans="1:13" ht="12.75" customHeight="1" x14ac:dyDescent="0.2"/>
    <row r="22" spans="1:13" x14ac:dyDescent="0.2">
      <c r="H22" s="169"/>
      <c r="I22" s="169"/>
      <c r="J22" s="169"/>
      <c r="K22" s="169"/>
    </row>
    <row r="24" spans="1:13" x14ac:dyDescent="0.2">
      <c r="K24" s="170"/>
    </row>
  </sheetData>
  <pageMargins left="0.7" right="0.7" top="0.75" bottom="0.75" header="0.3" footer="0.3"/>
  <pageSetup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C32"/>
  <sheetViews>
    <sheetView topLeftCell="E1" workbookViewId="0">
      <selection activeCell="N13" sqref="N13"/>
    </sheetView>
  </sheetViews>
  <sheetFormatPr defaultRowHeight="12.75" x14ac:dyDescent="0.2"/>
  <cols>
    <col min="1" max="1" width="38.85546875" bestFit="1" customWidth="1"/>
    <col min="2" max="2" width="4.7109375" customWidth="1"/>
    <col min="3" max="6" width="10.28515625" bestFit="1" customWidth="1"/>
    <col min="7" max="12" width="10.28515625" customWidth="1"/>
    <col min="13" max="14" width="10.28515625" bestFit="1" customWidth="1"/>
    <col min="15" max="15" width="3.7109375" customWidth="1"/>
    <col min="16" max="16" width="11.28515625" bestFit="1" customWidth="1"/>
  </cols>
  <sheetData>
    <row r="1" spans="1:19" ht="23.25" x14ac:dyDescent="0.35">
      <c r="A1" s="22" t="s">
        <v>31</v>
      </c>
    </row>
    <row r="2" spans="1:19" x14ac:dyDescent="0.2">
      <c r="A2" s="1" t="s">
        <v>94</v>
      </c>
    </row>
    <row r="4" spans="1:19" x14ac:dyDescent="0.2">
      <c r="A4" s="3"/>
      <c r="B4" s="3"/>
      <c r="C4" s="106">
        <v>43617</v>
      </c>
      <c r="D4" s="106">
        <v>43647</v>
      </c>
      <c r="E4" s="106">
        <v>43678</v>
      </c>
      <c r="F4" s="106">
        <v>43709</v>
      </c>
      <c r="G4" s="106">
        <v>43739</v>
      </c>
      <c r="H4" s="106">
        <v>43770</v>
      </c>
      <c r="I4" s="106">
        <v>43800</v>
      </c>
      <c r="J4" s="106">
        <v>43831</v>
      </c>
      <c r="K4" s="106">
        <v>43862</v>
      </c>
      <c r="L4" s="106">
        <v>43891</v>
      </c>
      <c r="M4" s="106">
        <v>43922</v>
      </c>
      <c r="N4" s="106">
        <v>43952</v>
      </c>
      <c r="O4" s="107"/>
      <c r="P4" s="101" t="s">
        <v>130</v>
      </c>
    </row>
    <row r="5" spans="1:19" x14ac:dyDescent="0.2">
      <c r="A5" s="3" t="s">
        <v>88</v>
      </c>
      <c r="B5" s="1"/>
      <c r="N5" s="63"/>
    </row>
    <row r="6" spans="1:19" x14ac:dyDescent="0.2">
      <c r="A6" s="105" t="s">
        <v>81</v>
      </c>
      <c r="B6" s="104"/>
      <c r="C6" s="75">
        <v>715</v>
      </c>
      <c r="D6" s="147">
        <v>728</v>
      </c>
      <c r="E6" s="147">
        <v>737</v>
      </c>
      <c r="F6" s="147">
        <v>737</v>
      </c>
      <c r="G6" s="147">
        <v>740</v>
      </c>
      <c r="H6" s="147">
        <v>733</v>
      </c>
      <c r="I6" s="147">
        <v>740</v>
      </c>
      <c r="J6" s="147">
        <v>749</v>
      </c>
      <c r="K6" s="147">
        <v>756</v>
      </c>
      <c r="L6" s="147">
        <v>760</v>
      </c>
      <c r="M6" s="147">
        <v>777</v>
      </c>
      <c r="N6" s="147">
        <v>791</v>
      </c>
      <c r="O6" s="103"/>
      <c r="P6" s="103"/>
    </row>
    <row r="7" spans="1:19" x14ac:dyDescent="0.2">
      <c r="A7" s="105" t="s">
        <v>80</v>
      </c>
      <c r="B7" s="104"/>
      <c r="C7" s="75">
        <v>1444</v>
      </c>
      <c r="D7" s="147">
        <v>1446</v>
      </c>
      <c r="E7" s="147">
        <v>1450</v>
      </c>
      <c r="F7" s="147">
        <v>1451</v>
      </c>
      <c r="G7" s="147">
        <v>1451</v>
      </c>
      <c r="H7" s="147">
        <v>1458</v>
      </c>
      <c r="I7" s="147">
        <v>1452</v>
      </c>
      <c r="J7" s="147">
        <v>1452</v>
      </c>
      <c r="K7" s="147">
        <v>1450</v>
      </c>
      <c r="L7" s="147">
        <v>1457</v>
      </c>
      <c r="M7" s="147">
        <v>1470</v>
      </c>
      <c r="N7" s="147">
        <v>1483</v>
      </c>
      <c r="O7" s="103"/>
      <c r="P7" s="103"/>
    </row>
    <row r="8" spans="1:19" x14ac:dyDescent="0.2">
      <c r="A8" s="105" t="s">
        <v>82</v>
      </c>
      <c r="B8" s="104"/>
      <c r="C8" s="75">
        <v>3560</v>
      </c>
      <c r="D8" s="147">
        <v>3563</v>
      </c>
      <c r="E8" s="147">
        <v>3598</v>
      </c>
      <c r="F8" s="147">
        <v>3590</v>
      </c>
      <c r="G8" s="147">
        <v>3575</v>
      </c>
      <c r="H8" s="147">
        <v>3579</v>
      </c>
      <c r="I8" s="147">
        <v>3519</v>
      </c>
      <c r="J8" s="147">
        <v>3511</v>
      </c>
      <c r="K8" s="147">
        <v>3532</v>
      </c>
      <c r="L8" s="147">
        <v>3550</v>
      </c>
      <c r="M8" s="147">
        <v>3612</v>
      </c>
      <c r="N8" s="147">
        <v>3664</v>
      </c>
      <c r="O8" s="103"/>
      <c r="P8" s="103"/>
    </row>
    <row r="9" spans="1:19" ht="15" x14ac:dyDescent="0.35">
      <c r="A9" s="105" t="s">
        <v>83</v>
      </c>
      <c r="B9" s="104"/>
      <c r="C9" s="108">
        <v>24489</v>
      </c>
      <c r="D9" s="108">
        <v>24482</v>
      </c>
      <c r="E9" s="108">
        <v>24642</v>
      </c>
      <c r="F9" s="108">
        <v>24680</v>
      </c>
      <c r="G9" s="108">
        <v>24599</v>
      </c>
      <c r="H9" s="108">
        <v>24542</v>
      </c>
      <c r="I9" s="108">
        <v>24538</v>
      </c>
      <c r="J9" s="108">
        <v>24436</v>
      </c>
      <c r="K9" s="108">
        <v>24500</v>
      </c>
      <c r="L9" s="108">
        <v>24618</v>
      </c>
      <c r="M9" s="108">
        <v>24913</v>
      </c>
      <c r="N9" s="108">
        <v>25095</v>
      </c>
      <c r="O9" s="103"/>
      <c r="P9" s="103"/>
    </row>
    <row r="10" spans="1:19" ht="15" x14ac:dyDescent="0.35">
      <c r="A10" s="104" t="s">
        <v>87</v>
      </c>
      <c r="B10" s="104"/>
      <c r="C10" s="112">
        <f t="shared" ref="C10:N10" si="0">SUM(C6:C9)</f>
        <v>30208</v>
      </c>
      <c r="D10" s="112">
        <f t="shared" si="0"/>
        <v>30219</v>
      </c>
      <c r="E10" s="112">
        <f t="shared" si="0"/>
        <v>30427</v>
      </c>
      <c r="F10" s="112">
        <f t="shared" si="0"/>
        <v>30458</v>
      </c>
      <c r="G10" s="112">
        <f t="shared" si="0"/>
        <v>30365</v>
      </c>
      <c r="H10" s="112">
        <f t="shared" si="0"/>
        <v>30312</v>
      </c>
      <c r="I10" s="112">
        <f t="shared" si="0"/>
        <v>30249</v>
      </c>
      <c r="J10" s="112">
        <f t="shared" si="0"/>
        <v>30148</v>
      </c>
      <c r="K10" s="112">
        <f t="shared" si="0"/>
        <v>30238</v>
      </c>
      <c r="L10" s="112">
        <f t="shared" si="0"/>
        <v>30385</v>
      </c>
      <c r="M10" s="112">
        <f t="shared" si="0"/>
        <v>30772</v>
      </c>
      <c r="N10" s="112">
        <f t="shared" si="0"/>
        <v>31033</v>
      </c>
      <c r="O10" s="103"/>
      <c r="P10" s="103"/>
    </row>
    <row r="11" spans="1:19" x14ac:dyDescent="0.2">
      <c r="A11" s="104"/>
      <c r="B11" s="104"/>
      <c r="C11" s="109"/>
      <c r="D11" s="109"/>
      <c r="E11" s="109"/>
      <c r="F11" s="109"/>
      <c r="G11" s="109"/>
      <c r="H11" s="109"/>
      <c r="I11" s="109"/>
      <c r="J11" s="109"/>
      <c r="K11" s="109"/>
      <c r="L11" s="109"/>
      <c r="M11" s="109"/>
      <c r="N11" s="109"/>
      <c r="O11" s="103"/>
      <c r="P11" s="103"/>
    </row>
    <row r="12" spans="1:19" x14ac:dyDescent="0.2">
      <c r="A12" s="104" t="s">
        <v>86</v>
      </c>
      <c r="B12" s="110"/>
      <c r="C12" s="111">
        <f>24638+2</f>
        <v>24640</v>
      </c>
      <c r="D12" s="111">
        <f>2+24680</f>
        <v>24682</v>
      </c>
      <c r="E12" s="111">
        <f>24803+2</f>
        <v>24805</v>
      </c>
      <c r="F12" s="111">
        <v>24868</v>
      </c>
      <c r="G12" s="111">
        <f>2+24882</f>
        <v>24884</v>
      </c>
      <c r="H12" s="111">
        <f>2+24857</f>
        <v>24859</v>
      </c>
      <c r="I12" s="111">
        <f>2+24857</f>
        <v>24859</v>
      </c>
      <c r="J12" s="111">
        <f>24877+2</f>
        <v>24879</v>
      </c>
      <c r="K12" s="111">
        <v>24956</v>
      </c>
      <c r="L12" s="111">
        <f>25069+2</f>
        <v>25071</v>
      </c>
      <c r="M12" s="111">
        <f>25366+2</f>
        <v>25368</v>
      </c>
      <c r="N12" s="111">
        <f>25577+2</f>
        <v>25579</v>
      </c>
      <c r="O12" s="110"/>
      <c r="P12" s="111">
        <f>AVERAGE(C12:N12)</f>
        <v>24954.166666666668</v>
      </c>
      <c r="Q12" s="6"/>
    </row>
    <row r="13" spans="1:19" x14ac:dyDescent="0.2">
      <c r="N13" s="63"/>
      <c r="R13" s="13"/>
      <c r="S13" s="6"/>
    </row>
    <row r="14" spans="1:19" ht="15" x14ac:dyDescent="0.35">
      <c r="C14" s="14">
        <f t="shared" ref="C14:N14" si="1">+C12+C10</f>
        <v>54848</v>
      </c>
      <c r="D14" s="14">
        <f t="shared" si="1"/>
        <v>54901</v>
      </c>
      <c r="E14" s="14">
        <f t="shared" si="1"/>
        <v>55232</v>
      </c>
      <c r="F14" s="14">
        <f t="shared" si="1"/>
        <v>55326</v>
      </c>
      <c r="G14" s="14">
        <f t="shared" si="1"/>
        <v>55249</v>
      </c>
      <c r="H14" s="14">
        <f t="shared" si="1"/>
        <v>55171</v>
      </c>
      <c r="I14" s="14">
        <f t="shared" si="1"/>
        <v>55108</v>
      </c>
      <c r="J14" s="14">
        <f t="shared" si="1"/>
        <v>55027</v>
      </c>
      <c r="K14" s="14">
        <f t="shared" si="1"/>
        <v>55194</v>
      </c>
      <c r="L14" s="14">
        <f t="shared" si="1"/>
        <v>55456</v>
      </c>
      <c r="M14" s="14">
        <f t="shared" si="1"/>
        <v>56140</v>
      </c>
      <c r="N14" s="14">
        <f t="shared" si="1"/>
        <v>56612</v>
      </c>
    </row>
    <row r="16" spans="1:19" x14ac:dyDescent="0.2">
      <c r="A16" s="1" t="s">
        <v>89</v>
      </c>
      <c r="C16" s="100">
        <f t="shared" ref="C16:F16" si="2">+C12/C14</f>
        <v>0.44924154025670943</v>
      </c>
      <c r="D16" s="100">
        <f t="shared" si="2"/>
        <v>0.44957286752518166</v>
      </c>
      <c r="E16" s="100">
        <f t="shared" si="2"/>
        <v>0.44910559096176128</v>
      </c>
      <c r="F16" s="100">
        <f t="shared" si="2"/>
        <v>0.44948125655207316</v>
      </c>
      <c r="G16" s="100">
        <f t="shared" ref="G16:N16" si="3">+G12/G14</f>
        <v>0.45039729225868341</v>
      </c>
      <c r="H16" s="100">
        <f t="shared" si="3"/>
        <v>0.4505809211361041</v>
      </c>
      <c r="I16" s="100">
        <f t="shared" si="3"/>
        <v>0.45109602961457501</v>
      </c>
      <c r="J16" s="100">
        <f t="shared" si="3"/>
        <v>0.45212350300761445</v>
      </c>
      <c r="K16" s="100">
        <f t="shared" si="3"/>
        <v>0.45215059607928398</v>
      </c>
      <c r="L16" s="100">
        <f t="shared" si="3"/>
        <v>0.45208814195037506</v>
      </c>
      <c r="M16" s="100">
        <f t="shared" si="3"/>
        <v>0.45187032418952616</v>
      </c>
      <c r="N16" s="100">
        <f t="shared" si="3"/>
        <v>0.45183000070656398</v>
      </c>
    </row>
    <row r="18" spans="1:29" x14ac:dyDescent="0.2">
      <c r="A18" s="1" t="s">
        <v>90</v>
      </c>
      <c r="C18" s="114">
        <f t="shared" ref="C18:F18" si="4">1-C16</f>
        <v>0.55075845974329063</v>
      </c>
      <c r="D18" s="114">
        <f t="shared" si="4"/>
        <v>0.55042713247481834</v>
      </c>
      <c r="E18" s="114">
        <f t="shared" si="4"/>
        <v>0.55089440903823872</v>
      </c>
      <c r="F18" s="114">
        <f t="shared" si="4"/>
        <v>0.55051874344792684</v>
      </c>
      <c r="G18" s="114">
        <f t="shared" ref="G18:N18" si="5">1-G16</f>
        <v>0.54960270774131659</v>
      </c>
      <c r="H18" s="114">
        <f t="shared" si="5"/>
        <v>0.54941907886389596</v>
      </c>
      <c r="I18" s="114">
        <f t="shared" si="5"/>
        <v>0.54890397038542504</v>
      </c>
      <c r="J18" s="114">
        <f t="shared" si="5"/>
        <v>0.5478764969923855</v>
      </c>
      <c r="K18" s="114">
        <f t="shared" si="5"/>
        <v>0.54784940392071602</v>
      </c>
      <c r="L18" s="114">
        <f t="shared" si="5"/>
        <v>0.54791185804962494</v>
      </c>
      <c r="M18" s="114">
        <f t="shared" si="5"/>
        <v>0.54812967581047389</v>
      </c>
      <c r="N18" s="114">
        <f t="shared" si="5"/>
        <v>0.54816999929343602</v>
      </c>
    </row>
    <row r="20" spans="1:29" x14ac:dyDescent="0.2">
      <c r="R20" s="124"/>
      <c r="S20" s="124"/>
      <c r="T20" s="124"/>
      <c r="U20" s="124"/>
      <c r="V20" s="124"/>
      <c r="W20" s="124"/>
      <c r="X20" s="124"/>
      <c r="Y20" s="124"/>
      <c r="Z20" s="124"/>
      <c r="AA20" s="124"/>
      <c r="AB20" s="124"/>
      <c r="AC20" s="124"/>
    </row>
    <row r="21" spans="1:29" x14ac:dyDescent="0.2">
      <c r="A21" s="1" t="s">
        <v>93</v>
      </c>
      <c r="B21" s="1"/>
      <c r="C21" s="120">
        <f>SUM(C28:C32)</f>
        <v>-526.42999999999995</v>
      </c>
      <c r="D21" s="120">
        <f t="shared" ref="D21:N21" si="6">SUM(D28:D32)</f>
        <v>-555.67999999999995</v>
      </c>
      <c r="E21" s="120">
        <f t="shared" si="6"/>
        <v>-452.06</v>
      </c>
      <c r="F21" s="120">
        <f t="shared" si="6"/>
        <v>-459.34</v>
      </c>
      <c r="G21" s="120">
        <f t="shared" si="6"/>
        <v>-435.68</v>
      </c>
      <c r="H21" s="120">
        <f t="shared" si="6"/>
        <v>-422.5</v>
      </c>
      <c r="I21" s="120">
        <f t="shared" si="6"/>
        <v>-422.5</v>
      </c>
      <c r="J21" s="120">
        <f t="shared" si="6"/>
        <v>-448.70000000000005</v>
      </c>
      <c r="K21" s="120">
        <f t="shared" si="6"/>
        <v>-443.24</v>
      </c>
      <c r="L21" s="120">
        <f t="shared" si="6"/>
        <v>-443.24</v>
      </c>
      <c r="M21" s="120">
        <f t="shared" si="6"/>
        <v>-429.13</v>
      </c>
      <c r="N21" s="120">
        <f t="shared" si="6"/>
        <v>-429.13</v>
      </c>
      <c r="O21" s="120"/>
      <c r="P21" s="120">
        <f>SUM(C21:N21)</f>
        <v>-5467.6299999999992</v>
      </c>
      <c r="R21" s="124"/>
      <c r="S21" s="124"/>
      <c r="T21" s="124"/>
      <c r="U21" s="124"/>
      <c r="V21" s="124"/>
      <c r="W21" s="124"/>
      <c r="X21" s="124"/>
      <c r="Y21" s="124"/>
      <c r="Z21" s="124"/>
      <c r="AA21" s="124"/>
      <c r="AB21" s="124"/>
      <c r="AC21" s="124"/>
    </row>
    <row r="22" spans="1:29" x14ac:dyDescent="0.2">
      <c r="A22" s="63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P22" s="13"/>
    </row>
    <row r="23" spans="1:29" ht="15" x14ac:dyDescent="0.35">
      <c r="A23" s="1" t="s">
        <v>91</v>
      </c>
      <c r="C23" s="115">
        <v>0.26</v>
      </c>
      <c r="D23" s="115">
        <v>0.26</v>
      </c>
      <c r="E23" s="115">
        <v>0.21</v>
      </c>
      <c r="F23" s="115">
        <v>0.21</v>
      </c>
      <c r="G23" s="115">
        <v>0.21</v>
      </c>
      <c r="H23" s="115">
        <v>0.21</v>
      </c>
      <c r="I23" s="115">
        <v>0.21</v>
      </c>
      <c r="J23" s="115">
        <v>0.21</v>
      </c>
      <c r="K23" s="115">
        <v>0.21</v>
      </c>
      <c r="L23" s="115">
        <v>0.21</v>
      </c>
      <c r="M23" s="115">
        <v>0.21</v>
      </c>
      <c r="N23" s="115">
        <v>0.21</v>
      </c>
      <c r="O23" s="115"/>
      <c r="P23" s="115"/>
    </row>
    <row r="25" spans="1:29" ht="15" x14ac:dyDescent="0.35">
      <c r="A25" s="1" t="s">
        <v>92</v>
      </c>
      <c r="B25" s="116"/>
      <c r="C25" s="117">
        <f t="shared" ref="C25:N25" si="7">-(C21)/C23</f>
        <v>2024.7307692307691</v>
      </c>
      <c r="D25" s="117">
        <f t="shared" si="7"/>
        <v>2137.2307692307691</v>
      </c>
      <c r="E25" s="117">
        <f t="shared" si="7"/>
        <v>2152.666666666667</v>
      </c>
      <c r="F25" s="117">
        <f t="shared" si="7"/>
        <v>2187.3333333333335</v>
      </c>
      <c r="G25" s="117">
        <f t="shared" si="7"/>
        <v>2074.666666666667</v>
      </c>
      <c r="H25" s="117">
        <f t="shared" si="7"/>
        <v>2011.9047619047619</v>
      </c>
      <c r="I25" s="117">
        <f t="shared" si="7"/>
        <v>2011.9047619047619</v>
      </c>
      <c r="J25" s="117">
        <f t="shared" si="7"/>
        <v>2136.666666666667</v>
      </c>
      <c r="K25" s="117">
        <f t="shared" si="7"/>
        <v>2110.666666666667</v>
      </c>
      <c r="L25" s="117">
        <f t="shared" si="7"/>
        <v>2110.666666666667</v>
      </c>
      <c r="M25" s="117">
        <f t="shared" si="7"/>
        <v>2043.4761904761906</v>
      </c>
      <c r="N25" s="117">
        <f t="shared" si="7"/>
        <v>2043.4761904761906</v>
      </c>
      <c r="O25" s="118"/>
      <c r="P25" s="14">
        <f>SUM(C25:O25)</f>
        <v>25045.390109890115</v>
      </c>
    </row>
    <row r="28" spans="1:29" x14ac:dyDescent="0.2">
      <c r="A28" s="17" t="s">
        <v>178</v>
      </c>
      <c r="B28" t="s">
        <v>177</v>
      </c>
      <c r="D28">
        <v>-19.21</v>
      </c>
      <c r="E28">
        <v>-15.47</v>
      </c>
      <c r="F28">
        <v>-15.47</v>
      </c>
      <c r="G28">
        <v>-15.47</v>
      </c>
      <c r="H28">
        <v>-15.47</v>
      </c>
      <c r="I28">
        <v>-15.47</v>
      </c>
      <c r="J28">
        <v>-15.47</v>
      </c>
      <c r="K28">
        <v>-15.47</v>
      </c>
      <c r="L28">
        <v>-15.47</v>
      </c>
      <c r="M28">
        <v>-15.47</v>
      </c>
      <c r="N28">
        <v>-15.47</v>
      </c>
    </row>
    <row r="29" spans="1:29" x14ac:dyDescent="0.2">
      <c r="A29" s="17"/>
      <c r="B29" t="s">
        <v>177</v>
      </c>
      <c r="C29">
        <v>-9.0399999999999991</v>
      </c>
      <c r="D29">
        <v>-9.0399999999999991</v>
      </c>
      <c r="E29">
        <v>-7.28</v>
      </c>
      <c r="F29">
        <v>-14.56</v>
      </c>
    </row>
    <row r="30" spans="1:29" x14ac:dyDescent="0.2">
      <c r="A30" s="17" t="s">
        <v>179</v>
      </c>
      <c r="B30" t="s">
        <v>177</v>
      </c>
      <c r="C30">
        <v>-2.2599999999999998</v>
      </c>
      <c r="D30">
        <v>-2.2599999999999998</v>
      </c>
      <c r="E30">
        <v>-1.82</v>
      </c>
      <c r="F30">
        <v>-1.82</v>
      </c>
      <c r="G30">
        <v>-1.82</v>
      </c>
      <c r="H30">
        <v>-1.82</v>
      </c>
      <c r="I30">
        <v>-1.82</v>
      </c>
      <c r="J30">
        <v>-1.82</v>
      </c>
      <c r="K30">
        <v>-1.82</v>
      </c>
      <c r="L30">
        <v>-1.82</v>
      </c>
      <c r="M30">
        <v>-1.82</v>
      </c>
      <c r="N30">
        <v>-1.82</v>
      </c>
    </row>
    <row r="31" spans="1:29" x14ac:dyDescent="0.2">
      <c r="A31" s="17" t="s">
        <v>180</v>
      </c>
      <c r="B31" t="s">
        <v>177</v>
      </c>
      <c r="C31">
        <v>-16.920000000000002</v>
      </c>
      <c r="D31">
        <v>-16.920000000000002</v>
      </c>
      <c r="E31">
        <v>-14.28</v>
      </c>
      <c r="F31">
        <v>-14.28</v>
      </c>
      <c r="G31">
        <v>-14.28</v>
      </c>
      <c r="H31">
        <v>-13.68</v>
      </c>
      <c r="I31">
        <v>-13.68</v>
      </c>
      <c r="J31">
        <v>-13.68</v>
      </c>
      <c r="K31">
        <v>-13.68</v>
      </c>
      <c r="L31">
        <v>-13.68</v>
      </c>
      <c r="M31">
        <v>-13.68</v>
      </c>
      <c r="N31">
        <v>-13.68</v>
      </c>
    </row>
    <row r="32" spans="1:29" x14ac:dyDescent="0.2">
      <c r="A32" s="17" t="s">
        <v>181</v>
      </c>
      <c r="B32" t="s">
        <v>177</v>
      </c>
      <c r="C32">
        <v>-498.21</v>
      </c>
      <c r="D32">
        <v>-508.25</v>
      </c>
      <c r="E32">
        <v>-413.21</v>
      </c>
      <c r="F32">
        <v>-413.21</v>
      </c>
      <c r="G32">
        <v>-404.11</v>
      </c>
      <c r="H32">
        <v>-391.53</v>
      </c>
      <c r="I32">
        <v>-391.53</v>
      </c>
      <c r="J32">
        <v>-417.73</v>
      </c>
      <c r="K32">
        <v>-412.27</v>
      </c>
      <c r="L32">
        <v>-412.27</v>
      </c>
      <c r="M32">
        <v>-398.16</v>
      </c>
      <c r="N32">
        <v>-398.16</v>
      </c>
    </row>
  </sheetData>
  <pageMargins left="0.7" right="0.7" top="0.75" bottom="0.75" header="0.3" footer="0.3"/>
  <pageSetup scale="6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721F50-9034-4938-8FA8-33219C2B306C}">
  <dimension ref="A1:O51"/>
  <sheetViews>
    <sheetView workbookViewId="0">
      <selection activeCell="K6" sqref="K6"/>
    </sheetView>
  </sheetViews>
  <sheetFormatPr defaultRowHeight="12.75" x14ac:dyDescent="0.2"/>
  <cols>
    <col min="2" max="4" width="9.140625" style="63"/>
    <col min="5" max="5" width="2.7109375" style="63" customWidth="1"/>
    <col min="6" max="7" width="10.28515625" style="63" bestFit="1" customWidth="1"/>
    <col min="8" max="8" width="11.42578125" style="63" bestFit="1" customWidth="1"/>
    <col min="9" max="9" width="3" style="63" customWidth="1"/>
    <col min="10" max="10" width="10.42578125" style="63" customWidth="1"/>
    <col min="11" max="11" width="11" style="63" bestFit="1" customWidth="1"/>
    <col min="12" max="12" width="9.140625" style="63"/>
    <col min="13" max="13" width="5" style="63" customWidth="1"/>
    <col min="14" max="14" width="46.85546875" customWidth="1"/>
    <col min="247" max="249" width="10.28515625" bestFit="1" customWidth="1"/>
    <col min="250" max="250" width="11.42578125" bestFit="1" customWidth="1"/>
    <col min="251" max="251" width="3" customWidth="1"/>
    <col min="253" max="253" width="11" bestFit="1" customWidth="1"/>
    <col min="255" max="255" width="5" customWidth="1"/>
    <col min="257" max="257" width="11" bestFit="1" customWidth="1"/>
    <col min="258" max="258" width="11" customWidth="1"/>
    <col min="259" max="259" width="12" bestFit="1" customWidth="1"/>
    <col min="260" max="260" width="2.5703125" customWidth="1"/>
    <col min="261" max="261" width="10.28515625" bestFit="1" customWidth="1"/>
    <col min="262" max="262" width="12.42578125" bestFit="1" customWidth="1"/>
    <col min="263" max="263" width="12.42578125" customWidth="1"/>
    <col min="264" max="264" width="12.28515625" bestFit="1" customWidth="1"/>
    <col min="503" max="505" width="10.28515625" bestFit="1" customWidth="1"/>
    <col min="506" max="506" width="11.42578125" bestFit="1" customWidth="1"/>
    <col min="507" max="507" width="3" customWidth="1"/>
    <col min="509" max="509" width="11" bestFit="1" customWidth="1"/>
    <col min="511" max="511" width="5" customWidth="1"/>
    <col min="513" max="513" width="11" bestFit="1" customWidth="1"/>
    <col min="514" max="514" width="11" customWidth="1"/>
    <col min="515" max="515" width="12" bestFit="1" customWidth="1"/>
    <col min="516" max="516" width="2.5703125" customWidth="1"/>
    <col min="517" max="517" width="10.28515625" bestFit="1" customWidth="1"/>
    <col min="518" max="518" width="12.42578125" bestFit="1" customWidth="1"/>
    <col min="519" max="519" width="12.42578125" customWidth="1"/>
    <col min="520" max="520" width="12.28515625" bestFit="1" customWidth="1"/>
    <col min="759" max="761" width="10.28515625" bestFit="1" customWidth="1"/>
    <col min="762" max="762" width="11.42578125" bestFit="1" customWidth="1"/>
    <col min="763" max="763" width="3" customWidth="1"/>
    <col min="765" max="765" width="11" bestFit="1" customWidth="1"/>
    <col min="767" max="767" width="5" customWidth="1"/>
    <col min="769" max="769" width="11" bestFit="1" customWidth="1"/>
    <col min="770" max="770" width="11" customWidth="1"/>
    <col min="771" max="771" width="12" bestFit="1" customWidth="1"/>
    <col min="772" max="772" width="2.5703125" customWidth="1"/>
    <col min="773" max="773" width="10.28515625" bestFit="1" customWidth="1"/>
    <col min="774" max="774" width="12.42578125" bestFit="1" customWidth="1"/>
    <col min="775" max="775" width="12.42578125" customWidth="1"/>
    <col min="776" max="776" width="12.28515625" bestFit="1" customWidth="1"/>
    <col min="1015" max="1017" width="10.28515625" bestFit="1" customWidth="1"/>
    <col min="1018" max="1018" width="11.42578125" bestFit="1" customWidth="1"/>
    <col min="1019" max="1019" width="3" customWidth="1"/>
    <col min="1021" max="1021" width="11" bestFit="1" customWidth="1"/>
    <col min="1023" max="1023" width="5" customWidth="1"/>
    <col min="1025" max="1025" width="11" bestFit="1" customWidth="1"/>
    <col min="1026" max="1026" width="11" customWidth="1"/>
    <col min="1027" max="1027" width="12" bestFit="1" customWidth="1"/>
    <col min="1028" max="1028" width="2.5703125" customWidth="1"/>
    <col min="1029" max="1029" width="10.28515625" bestFit="1" customWidth="1"/>
    <col min="1030" max="1030" width="12.42578125" bestFit="1" customWidth="1"/>
    <col min="1031" max="1031" width="12.42578125" customWidth="1"/>
    <col min="1032" max="1032" width="12.28515625" bestFit="1" customWidth="1"/>
    <col min="1271" max="1273" width="10.28515625" bestFit="1" customWidth="1"/>
    <col min="1274" max="1274" width="11.42578125" bestFit="1" customWidth="1"/>
    <col min="1275" max="1275" width="3" customWidth="1"/>
    <col min="1277" max="1277" width="11" bestFit="1" customWidth="1"/>
    <col min="1279" max="1279" width="5" customWidth="1"/>
    <col min="1281" max="1281" width="11" bestFit="1" customWidth="1"/>
    <col min="1282" max="1282" width="11" customWidth="1"/>
    <col min="1283" max="1283" width="12" bestFit="1" customWidth="1"/>
    <col min="1284" max="1284" width="2.5703125" customWidth="1"/>
    <col min="1285" max="1285" width="10.28515625" bestFit="1" customWidth="1"/>
    <col min="1286" max="1286" width="12.42578125" bestFit="1" customWidth="1"/>
    <col min="1287" max="1287" width="12.42578125" customWidth="1"/>
    <col min="1288" max="1288" width="12.28515625" bestFit="1" customWidth="1"/>
    <col min="1527" max="1529" width="10.28515625" bestFit="1" customWidth="1"/>
    <col min="1530" max="1530" width="11.42578125" bestFit="1" customWidth="1"/>
    <col min="1531" max="1531" width="3" customWidth="1"/>
    <col min="1533" max="1533" width="11" bestFit="1" customWidth="1"/>
    <col min="1535" max="1535" width="5" customWidth="1"/>
    <col min="1537" max="1537" width="11" bestFit="1" customWidth="1"/>
    <col min="1538" max="1538" width="11" customWidth="1"/>
    <col min="1539" max="1539" width="12" bestFit="1" customWidth="1"/>
    <col min="1540" max="1540" width="2.5703125" customWidth="1"/>
    <col min="1541" max="1541" width="10.28515625" bestFit="1" customWidth="1"/>
    <col min="1542" max="1542" width="12.42578125" bestFit="1" customWidth="1"/>
    <col min="1543" max="1543" width="12.42578125" customWidth="1"/>
    <col min="1544" max="1544" width="12.28515625" bestFit="1" customWidth="1"/>
    <col min="1783" max="1785" width="10.28515625" bestFit="1" customWidth="1"/>
    <col min="1786" max="1786" width="11.42578125" bestFit="1" customWidth="1"/>
    <col min="1787" max="1787" width="3" customWidth="1"/>
    <col min="1789" max="1789" width="11" bestFit="1" customWidth="1"/>
    <col min="1791" max="1791" width="5" customWidth="1"/>
    <col min="1793" max="1793" width="11" bestFit="1" customWidth="1"/>
    <col min="1794" max="1794" width="11" customWidth="1"/>
    <col min="1795" max="1795" width="12" bestFit="1" customWidth="1"/>
    <col min="1796" max="1796" width="2.5703125" customWidth="1"/>
    <col min="1797" max="1797" width="10.28515625" bestFit="1" customWidth="1"/>
    <col min="1798" max="1798" width="12.42578125" bestFit="1" customWidth="1"/>
    <col min="1799" max="1799" width="12.42578125" customWidth="1"/>
    <col min="1800" max="1800" width="12.28515625" bestFit="1" customWidth="1"/>
    <col min="2039" max="2041" width="10.28515625" bestFit="1" customWidth="1"/>
    <col min="2042" max="2042" width="11.42578125" bestFit="1" customWidth="1"/>
    <col min="2043" max="2043" width="3" customWidth="1"/>
    <col min="2045" max="2045" width="11" bestFit="1" customWidth="1"/>
    <col min="2047" max="2047" width="5" customWidth="1"/>
    <col min="2049" max="2049" width="11" bestFit="1" customWidth="1"/>
    <col min="2050" max="2050" width="11" customWidth="1"/>
    <col min="2051" max="2051" width="12" bestFit="1" customWidth="1"/>
    <col min="2052" max="2052" width="2.5703125" customWidth="1"/>
    <col min="2053" max="2053" width="10.28515625" bestFit="1" customWidth="1"/>
    <col min="2054" max="2054" width="12.42578125" bestFit="1" customWidth="1"/>
    <col min="2055" max="2055" width="12.42578125" customWidth="1"/>
    <col min="2056" max="2056" width="12.28515625" bestFit="1" customWidth="1"/>
    <col min="2295" max="2297" width="10.28515625" bestFit="1" customWidth="1"/>
    <col min="2298" max="2298" width="11.42578125" bestFit="1" customWidth="1"/>
    <col min="2299" max="2299" width="3" customWidth="1"/>
    <col min="2301" max="2301" width="11" bestFit="1" customWidth="1"/>
    <col min="2303" max="2303" width="5" customWidth="1"/>
    <col min="2305" max="2305" width="11" bestFit="1" customWidth="1"/>
    <col min="2306" max="2306" width="11" customWidth="1"/>
    <col min="2307" max="2307" width="12" bestFit="1" customWidth="1"/>
    <col min="2308" max="2308" width="2.5703125" customWidth="1"/>
    <col min="2309" max="2309" width="10.28515625" bestFit="1" customWidth="1"/>
    <col min="2310" max="2310" width="12.42578125" bestFit="1" customWidth="1"/>
    <col min="2311" max="2311" width="12.42578125" customWidth="1"/>
    <col min="2312" max="2312" width="12.28515625" bestFit="1" customWidth="1"/>
    <col min="2551" max="2553" width="10.28515625" bestFit="1" customWidth="1"/>
    <col min="2554" max="2554" width="11.42578125" bestFit="1" customWidth="1"/>
    <col min="2555" max="2555" width="3" customWidth="1"/>
    <col min="2557" max="2557" width="11" bestFit="1" customWidth="1"/>
    <col min="2559" max="2559" width="5" customWidth="1"/>
    <col min="2561" max="2561" width="11" bestFit="1" customWidth="1"/>
    <col min="2562" max="2562" width="11" customWidth="1"/>
    <col min="2563" max="2563" width="12" bestFit="1" customWidth="1"/>
    <col min="2564" max="2564" width="2.5703125" customWidth="1"/>
    <col min="2565" max="2565" width="10.28515625" bestFit="1" customWidth="1"/>
    <col min="2566" max="2566" width="12.42578125" bestFit="1" customWidth="1"/>
    <col min="2567" max="2567" width="12.42578125" customWidth="1"/>
    <col min="2568" max="2568" width="12.28515625" bestFit="1" customWidth="1"/>
    <col min="2807" max="2809" width="10.28515625" bestFit="1" customWidth="1"/>
    <col min="2810" max="2810" width="11.42578125" bestFit="1" customWidth="1"/>
    <col min="2811" max="2811" width="3" customWidth="1"/>
    <col min="2813" max="2813" width="11" bestFit="1" customWidth="1"/>
    <col min="2815" max="2815" width="5" customWidth="1"/>
    <col min="2817" max="2817" width="11" bestFit="1" customWidth="1"/>
    <col min="2818" max="2818" width="11" customWidth="1"/>
    <col min="2819" max="2819" width="12" bestFit="1" customWidth="1"/>
    <col min="2820" max="2820" width="2.5703125" customWidth="1"/>
    <col min="2821" max="2821" width="10.28515625" bestFit="1" customWidth="1"/>
    <col min="2822" max="2822" width="12.42578125" bestFit="1" customWidth="1"/>
    <col min="2823" max="2823" width="12.42578125" customWidth="1"/>
    <col min="2824" max="2824" width="12.28515625" bestFit="1" customWidth="1"/>
    <col min="3063" max="3065" width="10.28515625" bestFit="1" customWidth="1"/>
    <col min="3066" max="3066" width="11.42578125" bestFit="1" customWidth="1"/>
    <col min="3067" max="3067" width="3" customWidth="1"/>
    <col min="3069" max="3069" width="11" bestFit="1" customWidth="1"/>
    <col min="3071" max="3071" width="5" customWidth="1"/>
    <col min="3073" max="3073" width="11" bestFit="1" customWidth="1"/>
    <col min="3074" max="3074" width="11" customWidth="1"/>
    <col min="3075" max="3075" width="12" bestFit="1" customWidth="1"/>
    <col min="3076" max="3076" width="2.5703125" customWidth="1"/>
    <col min="3077" max="3077" width="10.28515625" bestFit="1" customWidth="1"/>
    <col min="3078" max="3078" width="12.42578125" bestFit="1" customWidth="1"/>
    <col min="3079" max="3079" width="12.42578125" customWidth="1"/>
    <col min="3080" max="3080" width="12.28515625" bestFit="1" customWidth="1"/>
    <col min="3319" max="3321" width="10.28515625" bestFit="1" customWidth="1"/>
    <col min="3322" max="3322" width="11.42578125" bestFit="1" customWidth="1"/>
    <col min="3323" max="3323" width="3" customWidth="1"/>
    <col min="3325" max="3325" width="11" bestFit="1" customWidth="1"/>
    <col min="3327" max="3327" width="5" customWidth="1"/>
    <col min="3329" max="3329" width="11" bestFit="1" customWidth="1"/>
    <col min="3330" max="3330" width="11" customWidth="1"/>
    <col min="3331" max="3331" width="12" bestFit="1" customWidth="1"/>
    <col min="3332" max="3332" width="2.5703125" customWidth="1"/>
    <col min="3333" max="3333" width="10.28515625" bestFit="1" customWidth="1"/>
    <col min="3334" max="3334" width="12.42578125" bestFit="1" customWidth="1"/>
    <col min="3335" max="3335" width="12.42578125" customWidth="1"/>
    <col min="3336" max="3336" width="12.28515625" bestFit="1" customWidth="1"/>
    <col min="3575" max="3577" width="10.28515625" bestFit="1" customWidth="1"/>
    <col min="3578" max="3578" width="11.42578125" bestFit="1" customWidth="1"/>
    <col min="3579" max="3579" width="3" customWidth="1"/>
    <col min="3581" max="3581" width="11" bestFit="1" customWidth="1"/>
    <col min="3583" max="3583" width="5" customWidth="1"/>
    <col min="3585" max="3585" width="11" bestFit="1" customWidth="1"/>
    <col min="3586" max="3586" width="11" customWidth="1"/>
    <col min="3587" max="3587" width="12" bestFit="1" customWidth="1"/>
    <col min="3588" max="3588" width="2.5703125" customWidth="1"/>
    <col min="3589" max="3589" width="10.28515625" bestFit="1" customWidth="1"/>
    <col min="3590" max="3590" width="12.42578125" bestFit="1" customWidth="1"/>
    <col min="3591" max="3591" width="12.42578125" customWidth="1"/>
    <col min="3592" max="3592" width="12.28515625" bestFit="1" customWidth="1"/>
    <col min="3831" max="3833" width="10.28515625" bestFit="1" customWidth="1"/>
    <col min="3834" max="3834" width="11.42578125" bestFit="1" customWidth="1"/>
    <col min="3835" max="3835" width="3" customWidth="1"/>
    <col min="3837" max="3837" width="11" bestFit="1" customWidth="1"/>
    <col min="3839" max="3839" width="5" customWidth="1"/>
    <col min="3841" max="3841" width="11" bestFit="1" customWidth="1"/>
    <col min="3842" max="3842" width="11" customWidth="1"/>
    <col min="3843" max="3843" width="12" bestFit="1" customWidth="1"/>
    <col min="3844" max="3844" width="2.5703125" customWidth="1"/>
    <col min="3845" max="3845" width="10.28515625" bestFit="1" customWidth="1"/>
    <col min="3846" max="3846" width="12.42578125" bestFit="1" customWidth="1"/>
    <col min="3847" max="3847" width="12.42578125" customWidth="1"/>
    <col min="3848" max="3848" width="12.28515625" bestFit="1" customWidth="1"/>
    <col min="4087" max="4089" width="10.28515625" bestFit="1" customWidth="1"/>
    <col min="4090" max="4090" width="11.42578125" bestFit="1" customWidth="1"/>
    <col min="4091" max="4091" width="3" customWidth="1"/>
    <col min="4093" max="4093" width="11" bestFit="1" customWidth="1"/>
    <col min="4095" max="4095" width="5" customWidth="1"/>
    <col min="4097" max="4097" width="11" bestFit="1" customWidth="1"/>
    <col min="4098" max="4098" width="11" customWidth="1"/>
    <col min="4099" max="4099" width="12" bestFit="1" customWidth="1"/>
    <col min="4100" max="4100" width="2.5703125" customWidth="1"/>
    <col min="4101" max="4101" width="10.28515625" bestFit="1" customWidth="1"/>
    <col min="4102" max="4102" width="12.42578125" bestFit="1" customWidth="1"/>
    <col min="4103" max="4103" width="12.42578125" customWidth="1"/>
    <col min="4104" max="4104" width="12.28515625" bestFit="1" customWidth="1"/>
    <col min="4343" max="4345" width="10.28515625" bestFit="1" customWidth="1"/>
    <col min="4346" max="4346" width="11.42578125" bestFit="1" customWidth="1"/>
    <col min="4347" max="4347" width="3" customWidth="1"/>
    <col min="4349" max="4349" width="11" bestFit="1" customWidth="1"/>
    <col min="4351" max="4351" width="5" customWidth="1"/>
    <col min="4353" max="4353" width="11" bestFit="1" customWidth="1"/>
    <col min="4354" max="4354" width="11" customWidth="1"/>
    <col min="4355" max="4355" width="12" bestFit="1" customWidth="1"/>
    <col min="4356" max="4356" width="2.5703125" customWidth="1"/>
    <col min="4357" max="4357" width="10.28515625" bestFit="1" customWidth="1"/>
    <col min="4358" max="4358" width="12.42578125" bestFit="1" customWidth="1"/>
    <col min="4359" max="4359" width="12.42578125" customWidth="1"/>
    <col min="4360" max="4360" width="12.28515625" bestFit="1" customWidth="1"/>
    <col min="4599" max="4601" width="10.28515625" bestFit="1" customWidth="1"/>
    <col min="4602" max="4602" width="11.42578125" bestFit="1" customWidth="1"/>
    <col min="4603" max="4603" width="3" customWidth="1"/>
    <col min="4605" max="4605" width="11" bestFit="1" customWidth="1"/>
    <col min="4607" max="4607" width="5" customWidth="1"/>
    <col min="4609" max="4609" width="11" bestFit="1" customWidth="1"/>
    <col min="4610" max="4610" width="11" customWidth="1"/>
    <col min="4611" max="4611" width="12" bestFit="1" customWidth="1"/>
    <col min="4612" max="4612" width="2.5703125" customWidth="1"/>
    <col min="4613" max="4613" width="10.28515625" bestFit="1" customWidth="1"/>
    <col min="4614" max="4614" width="12.42578125" bestFit="1" customWidth="1"/>
    <col min="4615" max="4615" width="12.42578125" customWidth="1"/>
    <col min="4616" max="4616" width="12.28515625" bestFit="1" customWidth="1"/>
    <col min="4855" max="4857" width="10.28515625" bestFit="1" customWidth="1"/>
    <col min="4858" max="4858" width="11.42578125" bestFit="1" customWidth="1"/>
    <col min="4859" max="4859" width="3" customWidth="1"/>
    <col min="4861" max="4861" width="11" bestFit="1" customWidth="1"/>
    <col min="4863" max="4863" width="5" customWidth="1"/>
    <col min="4865" max="4865" width="11" bestFit="1" customWidth="1"/>
    <col min="4866" max="4866" width="11" customWidth="1"/>
    <col min="4867" max="4867" width="12" bestFit="1" customWidth="1"/>
    <col min="4868" max="4868" width="2.5703125" customWidth="1"/>
    <col min="4869" max="4869" width="10.28515625" bestFit="1" customWidth="1"/>
    <col min="4870" max="4870" width="12.42578125" bestFit="1" customWidth="1"/>
    <col min="4871" max="4871" width="12.42578125" customWidth="1"/>
    <col min="4872" max="4872" width="12.28515625" bestFit="1" customWidth="1"/>
    <col min="5111" max="5113" width="10.28515625" bestFit="1" customWidth="1"/>
    <col min="5114" max="5114" width="11.42578125" bestFit="1" customWidth="1"/>
    <col min="5115" max="5115" width="3" customWidth="1"/>
    <col min="5117" max="5117" width="11" bestFit="1" customWidth="1"/>
    <col min="5119" max="5119" width="5" customWidth="1"/>
    <col min="5121" max="5121" width="11" bestFit="1" customWidth="1"/>
    <col min="5122" max="5122" width="11" customWidth="1"/>
    <col min="5123" max="5123" width="12" bestFit="1" customWidth="1"/>
    <col min="5124" max="5124" width="2.5703125" customWidth="1"/>
    <col min="5125" max="5125" width="10.28515625" bestFit="1" customWidth="1"/>
    <col min="5126" max="5126" width="12.42578125" bestFit="1" customWidth="1"/>
    <col min="5127" max="5127" width="12.42578125" customWidth="1"/>
    <col min="5128" max="5128" width="12.28515625" bestFit="1" customWidth="1"/>
    <col min="5367" max="5369" width="10.28515625" bestFit="1" customWidth="1"/>
    <col min="5370" max="5370" width="11.42578125" bestFit="1" customWidth="1"/>
    <col min="5371" max="5371" width="3" customWidth="1"/>
    <col min="5373" max="5373" width="11" bestFit="1" customWidth="1"/>
    <col min="5375" max="5375" width="5" customWidth="1"/>
    <col min="5377" max="5377" width="11" bestFit="1" customWidth="1"/>
    <col min="5378" max="5378" width="11" customWidth="1"/>
    <col min="5379" max="5379" width="12" bestFit="1" customWidth="1"/>
    <col min="5380" max="5380" width="2.5703125" customWidth="1"/>
    <col min="5381" max="5381" width="10.28515625" bestFit="1" customWidth="1"/>
    <col min="5382" max="5382" width="12.42578125" bestFit="1" customWidth="1"/>
    <col min="5383" max="5383" width="12.42578125" customWidth="1"/>
    <col min="5384" max="5384" width="12.28515625" bestFit="1" customWidth="1"/>
    <col min="5623" max="5625" width="10.28515625" bestFit="1" customWidth="1"/>
    <col min="5626" max="5626" width="11.42578125" bestFit="1" customWidth="1"/>
    <col min="5627" max="5627" width="3" customWidth="1"/>
    <col min="5629" max="5629" width="11" bestFit="1" customWidth="1"/>
    <col min="5631" max="5631" width="5" customWidth="1"/>
    <col min="5633" max="5633" width="11" bestFit="1" customWidth="1"/>
    <col min="5634" max="5634" width="11" customWidth="1"/>
    <col min="5635" max="5635" width="12" bestFit="1" customWidth="1"/>
    <col min="5636" max="5636" width="2.5703125" customWidth="1"/>
    <col min="5637" max="5637" width="10.28515625" bestFit="1" customWidth="1"/>
    <col min="5638" max="5638" width="12.42578125" bestFit="1" customWidth="1"/>
    <col min="5639" max="5639" width="12.42578125" customWidth="1"/>
    <col min="5640" max="5640" width="12.28515625" bestFit="1" customWidth="1"/>
    <col min="5879" max="5881" width="10.28515625" bestFit="1" customWidth="1"/>
    <col min="5882" max="5882" width="11.42578125" bestFit="1" customWidth="1"/>
    <col min="5883" max="5883" width="3" customWidth="1"/>
    <col min="5885" max="5885" width="11" bestFit="1" customWidth="1"/>
    <col min="5887" max="5887" width="5" customWidth="1"/>
    <col min="5889" max="5889" width="11" bestFit="1" customWidth="1"/>
    <col min="5890" max="5890" width="11" customWidth="1"/>
    <col min="5891" max="5891" width="12" bestFit="1" customWidth="1"/>
    <col min="5892" max="5892" width="2.5703125" customWidth="1"/>
    <col min="5893" max="5893" width="10.28515625" bestFit="1" customWidth="1"/>
    <col min="5894" max="5894" width="12.42578125" bestFit="1" customWidth="1"/>
    <col min="5895" max="5895" width="12.42578125" customWidth="1"/>
    <col min="5896" max="5896" width="12.28515625" bestFit="1" customWidth="1"/>
    <col min="6135" max="6137" width="10.28515625" bestFit="1" customWidth="1"/>
    <col min="6138" max="6138" width="11.42578125" bestFit="1" customWidth="1"/>
    <col min="6139" max="6139" width="3" customWidth="1"/>
    <col min="6141" max="6141" width="11" bestFit="1" customWidth="1"/>
    <col min="6143" max="6143" width="5" customWidth="1"/>
    <col min="6145" max="6145" width="11" bestFit="1" customWidth="1"/>
    <col min="6146" max="6146" width="11" customWidth="1"/>
    <col min="6147" max="6147" width="12" bestFit="1" customWidth="1"/>
    <col min="6148" max="6148" width="2.5703125" customWidth="1"/>
    <col min="6149" max="6149" width="10.28515625" bestFit="1" customWidth="1"/>
    <col min="6150" max="6150" width="12.42578125" bestFit="1" customWidth="1"/>
    <col min="6151" max="6151" width="12.42578125" customWidth="1"/>
    <col min="6152" max="6152" width="12.28515625" bestFit="1" customWidth="1"/>
    <col min="6391" max="6393" width="10.28515625" bestFit="1" customWidth="1"/>
    <col min="6394" max="6394" width="11.42578125" bestFit="1" customWidth="1"/>
    <col min="6395" max="6395" width="3" customWidth="1"/>
    <col min="6397" max="6397" width="11" bestFit="1" customWidth="1"/>
    <col min="6399" max="6399" width="5" customWidth="1"/>
    <col min="6401" max="6401" width="11" bestFit="1" customWidth="1"/>
    <col min="6402" max="6402" width="11" customWidth="1"/>
    <col min="6403" max="6403" width="12" bestFit="1" customWidth="1"/>
    <col min="6404" max="6404" width="2.5703125" customWidth="1"/>
    <col min="6405" max="6405" width="10.28515625" bestFit="1" customWidth="1"/>
    <col min="6406" max="6406" width="12.42578125" bestFit="1" customWidth="1"/>
    <col min="6407" max="6407" width="12.42578125" customWidth="1"/>
    <col min="6408" max="6408" width="12.28515625" bestFit="1" customWidth="1"/>
    <col min="6647" max="6649" width="10.28515625" bestFit="1" customWidth="1"/>
    <col min="6650" max="6650" width="11.42578125" bestFit="1" customWidth="1"/>
    <col min="6651" max="6651" width="3" customWidth="1"/>
    <col min="6653" max="6653" width="11" bestFit="1" customWidth="1"/>
    <col min="6655" max="6655" width="5" customWidth="1"/>
    <col min="6657" max="6657" width="11" bestFit="1" customWidth="1"/>
    <col min="6658" max="6658" width="11" customWidth="1"/>
    <col min="6659" max="6659" width="12" bestFit="1" customWidth="1"/>
    <col min="6660" max="6660" width="2.5703125" customWidth="1"/>
    <col min="6661" max="6661" width="10.28515625" bestFit="1" customWidth="1"/>
    <col min="6662" max="6662" width="12.42578125" bestFit="1" customWidth="1"/>
    <col min="6663" max="6663" width="12.42578125" customWidth="1"/>
    <col min="6664" max="6664" width="12.28515625" bestFit="1" customWidth="1"/>
    <col min="6903" max="6905" width="10.28515625" bestFit="1" customWidth="1"/>
    <col min="6906" max="6906" width="11.42578125" bestFit="1" customWidth="1"/>
    <col min="6907" max="6907" width="3" customWidth="1"/>
    <col min="6909" max="6909" width="11" bestFit="1" customWidth="1"/>
    <col min="6911" max="6911" width="5" customWidth="1"/>
    <col min="6913" max="6913" width="11" bestFit="1" customWidth="1"/>
    <col min="6914" max="6914" width="11" customWidth="1"/>
    <col min="6915" max="6915" width="12" bestFit="1" customWidth="1"/>
    <col min="6916" max="6916" width="2.5703125" customWidth="1"/>
    <col min="6917" max="6917" width="10.28515625" bestFit="1" customWidth="1"/>
    <col min="6918" max="6918" width="12.42578125" bestFit="1" customWidth="1"/>
    <col min="6919" max="6919" width="12.42578125" customWidth="1"/>
    <col min="6920" max="6920" width="12.28515625" bestFit="1" customWidth="1"/>
    <col min="7159" max="7161" width="10.28515625" bestFit="1" customWidth="1"/>
    <col min="7162" max="7162" width="11.42578125" bestFit="1" customWidth="1"/>
    <col min="7163" max="7163" width="3" customWidth="1"/>
    <col min="7165" max="7165" width="11" bestFit="1" customWidth="1"/>
    <col min="7167" max="7167" width="5" customWidth="1"/>
    <col min="7169" max="7169" width="11" bestFit="1" customWidth="1"/>
    <col min="7170" max="7170" width="11" customWidth="1"/>
    <col min="7171" max="7171" width="12" bestFit="1" customWidth="1"/>
    <col min="7172" max="7172" width="2.5703125" customWidth="1"/>
    <col min="7173" max="7173" width="10.28515625" bestFit="1" customWidth="1"/>
    <col min="7174" max="7174" width="12.42578125" bestFit="1" customWidth="1"/>
    <col min="7175" max="7175" width="12.42578125" customWidth="1"/>
    <col min="7176" max="7176" width="12.28515625" bestFit="1" customWidth="1"/>
    <col min="7415" max="7417" width="10.28515625" bestFit="1" customWidth="1"/>
    <col min="7418" max="7418" width="11.42578125" bestFit="1" customWidth="1"/>
    <col min="7419" max="7419" width="3" customWidth="1"/>
    <col min="7421" max="7421" width="11" bestFit="1" customWidth="1"/>
    <col min="7423" max="7423" width="5" customWidth="1"/>
    <col min="7425" max="7425" width="11" bestFit="1" customWidth="1"/>
    <col min="7426" max="7426" width="11" customWidth="1"/>
    <col min="7427" max="7427" width="12" bestFit="1" customWidth="1"/>
    <col min="7428" max="7428" width="2.5703125" customWidth="1"/>
    <col min="7429" max="7429" width="10.28515625" bestFit="1" customWidth="1"/>
    <col min="7430" max="7430" width="12.42578125" bestFit="1" customWidth="1"/>
    <col min="7431" max="7431" width="12.42578125" customWidth="1"/>
    <col min="7432" max="7432" width="12.28515625" bestFit="1" customWidth="1"/>
    <col min="7671" max="7673" width="10.28515625" bestFit="1" customWidth="1"/>
    <col min="7674" max="7674" width="11.42578125" bestFit="1" customWidth="1"/>
    <col min="7675" max="7675" width="3" customWidth="1"/>
    <col min="7677" max="7677" width="11" bestFit="1" customWidth="1"/>
    <col min="7679" max="7679" width="5" customWidth="1"/>
    <col min="7681" max="7681" width="11" bestFit="1" customWidth="1"/>
    <col min="7682" max="7682" width="11" customWidth="1"/>
    <col min="7683" max="7683" width="12" bestFit="1" customWidth="1"/>
    <col min="7684" max="7684" width="2.5703125" customWidth="1"/>
    <col min="7685" max="7685" width="10.28515625" bestFit="1" customWidth="1"/>
    <col min="7686" max="7686" width="12.42578125" bestFit="1" customWidth="1"/>
    <col min="7687" max="7687" width="12.42578125" customWidth="1"/>
    <col min="7688" max="7688" width="12.28515625" bestFit="1" customWidth="1"/>
    <col min="7927" max="7929" width="10.28515625" bestFit="1" customWidth="1"/>
    <col min="7930" max="7930" width="11.42578125" bestFit="1" customWidth="1"/>
    <col min="7931" max="7931" width="3" customWidth="1"/>
    <col min="7933" max="7933" width="11" bestFit="1" customWidth="1"/>
    <col min="7935" max="7935" width="5" customWidth="1"/>
    <col min="7937" max="7937" width="11" bestFit="1" customWidth="1"/>
    <col min="7938" max="7938" width="11" customWidth="1"/>
    <col min="7939" max="7939" width="12" bestFit="1" customWidth="1"/>
    <col min="7940" max="7940" width="2.5703125" customWidth="1"/>
    <col min="7941" max="7941" width="10.28515625" bestFit="1" customWidth="1"/>
    <col min="7942" max="7942" width="12.42578125" bestFit="1" customWidth="1"/>
    <col min="7943" max="7943" width="12.42578125" customWidth="1"/>
    <col min="7944" max="7944" width="12.28515625" bestFit="1" customWidth="1"/>
    <col min="8183" max="8185" width="10.28515625" bestFit="1" customWidth="1"/>
    <col min="8186" max="8186" width="11.42578125" bestFit="1" customWidth="1"/>
    <col min="8187" max="8187" width="3" customWidth="1"/>
    <col min="8189" max="8189" width="11" bestFit="1" customWidth="1"/>
    <col min="8191" max="8191" width="5" customWidth="1"/>
    <col min="8193" max="8193" width="11" bestFit="1" customWidth="1"/>
    <col min="8194" max="8194" width="11" customWidth="1"/>
    <col min="8195" max="8195" width="12" bestFit="1" customWidth="1"/>
    <col min="8196" max="8196" width="2.5703125" customWidth="1"/>
    <col min="8197" max="8197" width="10.28515625" bestFit="1" customWidth="1"/>
    <col min="8198" max="8198" width="12.42578125" bestFit="1" customWidth="1"/>
    <col min="8199" max="8199" width="12.42578125" customWidth="1"/>
    <col min="8200" max="8200" width="12.28515625" bestFit="1" customWidth="1"/>
    <col min="8439" max="8441" width="10.28515625" bestFit="1" customWidth="1"/>
    <col min="8442" max="8442" width="11.42578125" bestFit="1" customWidth="1"/>
    <col min="8443" max="8443" width="3" customWidth="1"/>
    <col min="8445" max="8445" width="11" bestFit="1" customWidth="1"/>
    <col min="8447" max="8447" width="5" customWidth="1"/>
    <col min="8449" max="8449" width="11" bestFit="1" customWidth="1"/>
    <col min="8450" max="8450" width="11" customWidth="1"/>
    <col min="8451" max="8451" width="12" bestFit="1" customWidth="1"/>
    <col min="8452" max="8452" width="2.5703125" customWidth="1"/>
    <col min="8453" max="8453" width="10.28515625" bestFit="1" customWidth="1"/>
    <col min="8454" max="8454" width="12.42578125" bestFit="1" customWidth="1"/>
    <col min="8455" max="8455" width="12.42578125" customWidth="1"/>
    <col min="8456" max="8456" width="12.28515625" bestFit="1" customWidth="1"/>
    <col min="8695" max="8697" width="10.28515625" bestFit="1" customWidth="1"/>
    <col min="8698" max="8698" width="11.42578125" bestFit="1" customWidth="1"/>
    <col min="8699" max="8699" width="3" customWidth="1"/>
    <col min="8701" max="8701" width="11" bestFit="1" customWidth="1"/>
    <col min="8703" max="8703" width="5" customWidth="1"/>
    <col min="8705" max="8705" width="11" bestFit="1" customWidth="1"/>
    <col min="8706" max="8706" width="11" customWidth="1"/>
    <col min="8707" max="8707" width="12" bestFit="1" customWidth="1"/>
    <col min="8708" max="8708" width="2.5703125" customWidth="1"/>
    <col min="8709" max="8709" width="10.28515625" bestFit="1" customWidth="1"/>
    <col min="8710" max="8710" width="12.42578125" bestFit="1" customWidth="1"/>
    <col min="8711" max="8711" width="12.42578125" customWidth="1"/>
    <col min="8712" max="8712" width="12.28515625" bestFit="1" customWidth="1"/>
    <col min="8951" max="8953" width="10.28515625" bestFit="1" customWidth="1"/>
    <col min="8954" max="8954" width="11.42578125" bestFit="1" customWidth="1"/>
    <col min="8955" max="8955" width="3" customWidth="1"/>
    <col min="8957" max="8957" width="11" bestFit="1" customWidth="1"/>
    <col min="8959" max="8959" width="5" customWidth="1"/>
    <col min="8961" max="8961" width="11" bestFit="1" customWidth="1"/>
    <col min="8962" max="8962" width="11" customWidth="1"/>
    <col min="8963" max="8963" width="12" bestFit="1" customWidth="1"/>
    <col min="8964" max="8964" width="2.5703125" customWidth="1"/>
    <col min="8965" max="8965" width="10.28515625" bestFit="1" customWidth="1"/>
    <col min="8966" max="8966" width="12.42578125" bestFit="1" customWidth="1"/>
    <col min="8967" max="8967" width="12.42578125" customWidth="1"/>
    <col min="8968" max="8968" width="12.28515625" bestFit="1" customWidth="1"/>
    <col min="9207" max="9209" width="10.28515625" bestFit="1" customWidth="1"/>
    <col min="9210" max="9210" width="11.42578125" bestFit="1" customWidth="1"/>
    <col min="9211" max="9211" width="3" customWidth="1"/>
    <col min="9213" max="9213" width="11" bestFit="1" customWidth="1"/>
    <col min="9215" max="9215" width="5" customWidth="1"/>
    <col min="9217" max="9217" width="11" bestFit="1" customWidth="1"/>
    <col min="9218" max="9218" width="11" customWidth="1"/>
    <col min="9219" max="9219" width="12" bestFit="1" customWidth="1"/>
    <col min="9220" max="9220" width="2.5703125" customWidth="1"/>
    <col min="9221" max="9221" width="10.28515625" bestFit="1" customWidth="1"/>
    <col min="9222" max="9222" width="12.42578125" bestFit="1" customWidth="1"/>
    <col min="9223" max="9223" width="12.42578125" customWidth="1"/>
    <col min="9224" max="9224" width="12.28515625" bestFit="1" customWidth="1"/>
    <col min="9463" max="9465" width="10.28515625" bestFit="1" customWidth="1"/>
    <col min="9466" max="9466" width="11.42578125" bestFit="1" customWidth="1"/>
    <col min="9467" max="9467" width="3" customWidth="1"/>
    <col min="9469" max="9469" width="11" bestFit="1" customWidth="1"/>
    <col min="9471" max="9471" width="5" customWidth="1"/>
    <col min="9473" max="9473" width="11" bestFit="1" customWidth="1"/>
    <col min="9474" max="9474" width="11" customWidth="1"/>
    <col min="9475" max="9475" width="12" bestFit="1" customWidth="1"/>
    <col min="9476" max="9476" width="2.5703125" customWidth="1"/>
    <col min="9477" max="9477" width="10.28515625" bestFit="1" customWidth="1"/>
    <col min="9478" max="9478" width="12.42578125" bestFit="1" customWidth="1"/>
    <col min="9479" max="9479" width="12.42578125" customWidth="1"/>
    <col min="9480" max="9480" width="12.28515625" bestFit="1" customWidth="1"/>
    <col min="9719" max="9721" width="10.28515625" bestFit="1" customWidth="1"/>
    <col min="9722" max="9722" width="11.42578125" bestFit="1" customWidth="1"/>
    <col min="9723" max="9723" width="3" customWidth="1"/>
    <col min="9725" max="9725" width="11" bestFit="1" customWidth="1"/>
    <col min="9727" max="9727" width="5" customWidth="1"/>
    <col min="9729" max="9729" width="11" bestFit="1" customWidth="1"/>
    <col min="9730" max="9730" width="11" customWidth="1"/>
    <col min="9731" max="9731" width="12" bestFit="1" customWidth="1"/>
    <col min="9732" max="9732" width="2.5703125" customWidth="1"/>
    <col min="9733" max="9733" width="10.28515625" bestFit="1" customWidth="1"/>
    <col min="9734" max="9734" width="12.42578125" bestFit="1" customWidth="1"/>
    <col min="9735" max="9735" width="12.42578125" customWidth="1"/>
    <col min="9736" max="9736" width="12.28515625" bestFit="1" customWidth="1"/>
    <col min="9975" max="9977" width="10.28515625" bestFit="1" customWidth="1"/>
    <col min="9978" max="9978" width="11.42578125" bestFit="1" customWidth="1"/>
    <col min="9979" max="9979" width="3" customWidth="1"/>
    <col min="9981" max="9981" width="11" bestFit="1" customWidth="1"/>
    <col min="9983" max="9983" width="5" customWidth="1"/>
    <col min="9985" max="9985" width="11" bestFit="1" customWidth="1"/>
    <col min="9986" max="9986" width="11" customWidth="1"/>
    <col min="9987" max="9987" width="12" bestFit="1" customWidth="1"/>
    <col min="9988" max="9988" width="2.5703125" customWidth="1"/>
    <col min="9989" max="9989" width="10.28515625" bestFit="1" customWidth="1"/>
    <col min="9990" max="9990" width="12.42578125" bestFit="1" customWidth="1"/>
    <col min="9991" max="9991" width="12.42578125" customWidth="1"/>
    <col min="9992" max="9992" width="12.28515625" bestFit="1" customWidth="1"/>
    <col min="10231" max="10233" width="10.28515625" bestFit="1" customWidth="1"/>
    <col min="10234" max="10234" width="11.42578125" bestFit="1" customWidth="1"/>
    <col min="10235" max="10235" width="3" customWidth="1"/>
    <col min="10237" max="10237" width="11" bestFit="1" customWidth="1"/>
    <col min="10239" max="10239" width="5" customWidth="1"/>
    <col min="10241" max="10241" width="11" bestFit="1" customWidth="1"/>
    <col min="10242" max="10242" width="11" customWidth="1"/>
    <col min="10243" max="10243" width="12" bestFit="1" customWidth="1"/>
    <col min="10244" max="10244" width="2.5703125" customWidth="1"/>
    <col min="10245" max="10245" width="10.28515625" bestFit="1" customWidth="1"/>
    <col min="10246" max="10246" width="12.42578125" bestFit="1" customWidth="1"/>
    <col min="10247" max="10247" width="12.42578125" customWidth="1"/>
    <col min="10248" max="10248" width="12.28515625" bestFit="1" customWidth="1"/>
    <col min="10487" max="10489" width="10.28515625" bestFit="1" customWidth="1"/>
    <col min="10490" max="10490" width="11.42578125" bestFit="1" customWidth="1"/>
    <col min="10491" max="10491" width="3" customWidth="1"/>
    <col min="10493" max="10493" width="11" bestFit="1" customWidth="1"/>
    <col min="10495" max="10495" width="5" customWidth="1"/>
    <col min="10497" max="10497" width="11" bestFit="1" customWidth="1"/>
    <col min="10498" max="10498" width="11" customWidth="1"/>
    <col min="10499" max="10499" width="12" bestFit="1" customWidth="1"/>
    <col min="10500" max="10500" width="2.5703125" customWidth="1"/>
    <col min="10501" max="10501" width="10.28515625" bestFit="1" customWidth="1"/>
    <col min="10502" max="10502" width="12.42578125" bestFit="1" customWidth="1"/>
    <col min="10503" max="10503" width="12.42578125" customWidth="1"/>
    <col min="10504" max="10504" width="12.28515625" bestFit="1" customWidth="1"/>
    <col min="10743" max="10745" width="10.28515625" bestFit="1" customWidth="1"/>
    <col min="10746" max="10746" width="11.42578125" bestFit="1" customWidth="1"/>
    <col min="10747" max="10747" width="3" customWidth="1"/>
    <col min="10749" max="10749" width="11" bestFit="1" customWidth="1"/>
    <col min="10751" max="10751" width="5" customWidth="1"/>
    <col min="10753" max="10753" width="11" bestFit="1" customWidth="1"/>
    <col min="10754" max="10754" width="11" customWidth="1"/>
    <col min="10755" max="10755" width="12" bestFit="1" customWidth="1"/>
    <col min="10756" max="10756" width="2.5703125" customWidth="1"/>
    <col min="10757" max="10757" width="10.28515625" bestFit="1" customWidth="1"/>
    <col min="10758" max="10758" width="12.42578125" bestFit="1" customWidth="1"/>
    <col min="10759" max="10759" width="12.42578125" customWidth="1"/>
    <col min="10760" max="10760" width="12.28515625" bestFit="1" customWidth="1"/>
    <col min="10999" max="11001" width="10.28515625" bestFit="1" customWidth="1"/>
    <col min="11002" max="11002" width="11.42578125" bestFit="1" customWidth="1"/>
    <col min="11003" max="11003" width="3" customWidth="1"/>
    <col min="11005" max="11005" width="11" bestFit="1" customWidth="1"/>
    <col min="11007" max="11007" width="5" customWidth="1"/>
    <col min="11009" max="11009" width="11" bestFit="1" customWidth="1"/>
    <col min="11010" max="11010" width="11" customWidth="1"/>
    <col min="11011" max="11011" width="12" bestFit="1" customWidth="1"/>
    <col min="11012" max="11012" width="2.5703125" customWidth="1"/>
    <col min="11013" max="11013" width="10.28515625" bestFit="1" customWidth="1"/>
    <col min="11014" max="11014" width="12.42578125" bestFit="1" customWidth="1"/>
    <col min="11015" max="11015" width="12.42578125" customWidth="1"/>
    <col min="11016" max="11016" width="12.28515625" bestFit="1" customWidth="1"/>
    <col min="11255" max="11257" width="10.28515625" bestFit="1" customWidth="1"/>
    <col min="11258" max="11258" width="11.42578125" bestFit="1" customWidth="1"/>
    <col min="11259" max="11259" width="3" customWidth="1"/>
    <col min="11261" max="11261" width="11" bestFit="1" customWidth="1"/>
    <col min="11263" max="11263" width="5" customWidth="1"/>
    <col min="11265" max="11265" width="11" bestFit="1" customWidth="1"/>
    <col min="11266" max="11266" width="11" customWidth="1"/>
    <col min="11267" max="11267" width="12" bestFit="1" customWidth="1"/>
    <col min="11268" max="11268" width="2.5703125" customWidth="1"/>
    <col min="11269" max="11269" width="10.28515625" bestFit="1" customWidth="1"/>
    <col min="11270" max="11270" width="12.42578125" bestFit="1" customWidth="1"/>
    <col min="11271" max="11271" width="12.42578125" customWidth="1"/>
    <col min="11272" max="11272" width="12.28515625" bestFit="1" customWidth="1"/>
    <col min="11511" max="11513" width="10.28515625" bestFit="1" customWidth="1"/>
    <col min="11514" max="11514" width="11.42578125" bestFit="1" customWidth="1"/>
    <col min="11515" max="11515" width="3" customWidth="1"/>
    <col min="11517" max="11517" width="11" bestFit="1" customWidth="1"/>
    <col min="11519" max="11519" width="5" customWidth="1"/>
    <col min="11521" max="11521" width="11" bestFit="1" customWidth="1"/>
    <col min="11522" max="11522" width="11" customWidth="1"/>
    <col min="11523" max="11523" width="12" bestFit="1" customWidth="1"/>
    <col min="11524" max="11524" width="2.5703125" customWidth="1"/>
    <col min="11525" max="11525" width="10.28515625" bestFit="1" customWidth="1"/>
    <col min="11526" max="11526" width="12.42578125" bestFit="1" customWidth="1"/>
    <col min="11527" max="11527" width="12.42578125" customWidth="1"/>
    <col min="11528" max="11528" width="12.28515625" bestFit="1" customWidth="1"/>
    <col min="11767" max="11769" width="10.28515625" bestFit="1" customWidth="1"/>
    <col min="11770" max="11770" width="11.42578125" bestFit="1" customWidth="1"/>
    <col min="11771" max="11771" width="3" customWidth="1"/>
    <col min="11773" max="11773" width="11" bestFit="1" customWidth="1"/>
    <col min="11775" max="11775" width="5" customWidth="1"/>
    <col min="11777" max="11777" width="11" bestFit="1" customWidth="1"/>
    <col min="11778" max="11778" width="11" customWidth="1"/>
    <col min="11779" max="11779" width="12" bestFit="1" customWidth="1"/>
    <col min="11780" max="11780" width="2.5703125" customWidth="1"/>
    <col min="11781" max="11781" width="10.28515625" bestFit="1" customWidth="1"/>
    <col min="11782" max="11782" width="12.42578125" bestFit="1" customWidth="1"/>
    <col min="11783" max="11783" width="12.42578125" customWidth="1"/>
    <col min="11784" max="11784" width="12.28515625" bestFit="1" customWidth="1"/>
    <col min="12023" max="12025" width="10.28515625" bestFit="1" customWidth="1"/>
    <col min="12026" max="12026" width="11.42578125" bestFit="1" customWidth="1"/>
    <col min="12027" max="12027" width="3" customWidth="1"/>
    <col min="12029" max="12029" width="11" bestFit="1" customWidth="1"/>
    <col min="12031" max="12031" width="5" customWidth="1"/>
    <col min="12033" max="12033" width="11" bestFit="1" customWidth="1"/>
    <col min="12034" max="12034" width="11" customWidth="1"/>
    <col min="12035" max="12035" width="12" bestFit="1" customWidth="1"/>
    <col min="12036" max="12036" width="2.5703125" customWidth="1"/>
    <col min="12037" max="12037" width="10.28515625" bestFit="1" customWidth="1"/>
    <col min="12038" max="12038" width="12.42578125" bestFit="1" customWidth="1"/>
    <col min="12039" max="12039" width="12.42578125" customWidth="1"/>
    <col min="12040" max="12040" width="12.28515625" bestFit="1" customWidth="1"/>
    <col min="12279" max="12281" width="10.28515625" bestFit="1" customWidth="1"/>
    <col min="12282" max="12282" width="11.42578125" bestFit="1" customWidth="1"/>
    <col min="12283" max="12283" width="3" customWidth="1"/>
    <col min="12285" max="12285" width="11" bestFit="1" customWidth="1"/>
    <col min="12287" max="12287" width="5" customWidth="1"/>
    <col min="12289" max="12289" width="11" bestFit="1" customWidth="1"/>
    <col min="12290" max="12290" width="11" customWidth="1"/>
    <col min="12291" max="12291" width="12" bestFit="1" customWidth="1"/>
    <col min="12292" max="12292" width="2.5703125" customWidth="1"/>
    <col min="12293" max="12293" width="10.28515625" bestFit="1" customWidth="1"/>
    <col min="12294" max="12294" width="12.42578125" bestFit="1" customWidth="1"/>
    <col min="12295" max="12295" width="12.42578125" customWidth="1"/>
    <col min="12296" max="12296" width="12.28515625" bestFit="1" customWidth="1"/>
    <col min="12535" max="12537" width="10.28515625" bestFit="1" customWidth="1"/>
    <col min="12538" max="12538" width="11.42578125" bestFit="1" customWidth="1"/>
    <col min="12539" max="12539" width="3" customWidth="1"/>
    <col min="12541" max="12541" width="11" bestFit="1" customWidth="1"/>
    <col min="12543" max="12543" width="5" customWidth="1"/>
    <col min="12545" max="12545" width="11" bestFit="1" customWidth="1"/>
    <col min="12546" max="12546" width="11" customWidth="1"/>
    <col min="12547" max="12547" width="12" bestFit="1" customWidth="1"/>
    <col min="12548" max="12548" width="2.5703125" customWidth="1"/>
    <col min="12549" max="12549" width="10.28515625" bestFit="1" customWidth="1"/>
    <col min="12550" max="12550" width="12.42578125" bestFit="1" customWidth="1"/>
    <col min="12551" max="12551" width="12.42578125" customWidth="1"/>
    <col min="12552" max="12552" width="12.28515625" bestFit="1" customWidth="1"/>
    <col min="12791" max="12793" width="10.28515625" bestFit="1" customWidth="1"/>
    <col min="12794" max="12794" width="11.42578125" bestFit="1" customWidth="1"/>
    <col min="12795" max="12795" width="3" customWidth="1"/>
    <col min="12797" max="12797" width="11" bestFit="1" customWidth="1"/>
    <col min="12799" max="12799" width="5" customWidth="1"/>
    <col min="12801" max="12801" width="11" bestFit="1" customWidth="1"/>
    <col min="12802" max="12802" width="11" customWidth="1"/>
    <col min="12803" max="12803" width="12" bestFit="1" customWidth="1"/>
    <col min="12804" max="12804" width="2.5703125" customWidth="1"/>
    <col min="12805" max="12805" width="10.28515625" bestFit="1" customWidth="1"/>
    <col min="12806" max="12806" width="12.42578125" bestFit="1" customWidth="1"/>
    <col min="12807" max="12807" width="12.42578125" customWidth="1"/>
    <col min="12808" max="12808" width="12.28515625" bestFit="1" customWidth="1"/>
    <col min="13047" max="13049" width="10.28515625" bestFit="1" customWidth="1"/>
    <col min="13050" max="13050" width="11.42578125" bestFit="1" customWidth="1"/>
    <col min="13051" max="13051" width="3" customWidth="1"/>
    <col min="13053" max="13053" width="11" bestFit="1" customWidth="1"/>
    <col min="13055" max="13055" width="5" customWidth="1"/>
    <col min="13057" max="13057" width="11" bestFit="1" customWidth="1"/>
    <col min="13058" max="13058" width="11" customWidth="1"/>
    <col min="13059" max="13059" width="12" bestFit="1" customWidth="1"/>
    <col min="13060" max="13060" width="2.5703125" customWidth="1"/>
    <col min="13061" max="13061" width="10.28515625" bestFit="1" customWidth="1"/>
    <col min="13062" max="13062" width="12.42578125" bestFit="1" customWidth="1"/>
    <col min="13063" max="13063" width="12.42578125" customWidth="1"/>
    <col min="13064" max="13064" width="12.28515625" bestFit="1" customWidth="1"/>
    <col min="13303" max="13305" width="10.28515625" bestFit="1" customWidth="1"/>
    <col min="13306" max="13306" width="11.42578125" bestFit="1" customWidth="1"/>
    <col min="13307" max="13307" width="3" customWidth="1"/>
    <col min="13309" max="13309" width="11" bestFit="1" customWidth="1"/>
    <col min="13311" max="13311" width="5" customWidth="1"/>
    <col min="13313" max="13313" width="11" bestFit="1" customWidth="1"/>
    <col min="13314" max="13314" width="11" customWidth="1"/>
    <col min="13315" max="13315" width="12" bestFit="1" customWidth="1"/>
    <col min="13316" max="13316" width="2.5703125" customWidth="1"/>
    <col min="13317" max="13317" width="10.28515625" bestFit="1" customWidth="1"/>
    <col min="13318" max="13318" width="12.42578125" bestFit="1" customWidth="1"/>
    <col min="13319" max="13319" width="12.42578125" customWidth="1"/>
    <col min="13320" max="13320" width="12.28515625" bestFit="1" customWidth="1"/>
    <col min="13559" max="13561" width="10.28515625" bestFit="1" customWidth="1"/>
    <col min="13562" max="13562" width="11.42578125" bestFit="1" customWidth="1"/>
    <col min="13563" max="13563" width="3" customWidth="1"/>
    <col min="13565" max="13565" width="11" bestFit="1" customWidth="1"/>
    <col min="13567" max="13567" width="5" customWidth="1"/>
    <col min="13569" max="13569" width="11" bestFit="1" customWidth="1"/>
    <col min="13570" max="13570" width="11" customWidth="1"/>
    <col min="13571" max="13571" width="12" bestFit="1" customWidth="1"/>
    <col min="13572" max="13572" width="2.5703125" customWidth="1"/>
    <col min="13573" max="13573" width="10.28515625" bestFit="1" customWidth="1"/>
    <col min="13574" max="13574" width="12.42578125" bestFit="1" customWidth="1"/>
    <col min="13575" max="13575" width="12.42578125" customWidth="1"/>
    <col min="13576" max="13576" width="12.28515625" bestFit="1" customWidth="1"/>
    <col min="13815" max="13817" width="10.28515625" bestFit="1" customWidth="1"/>
    <col min="13818" max="13818" width="11.42578125" bestFit="1" customWidth="1"/>
    <col min="13819" max="13819" width="3" customWidth="1"/>
    <col min="13821" max="13821" width="11" bestFit="1" customWidth="1"/>
    <col min="13823" max="13823" width="5" customWidth="1"/>
    <col min="13825" max="13825" width="11" bestFit="1" customWidth="1"/>
    <col min="13826" max="13826" width="11" customWidth="1"/>
    <col min="13827" max="13827" width="12" bestFit="1" customWidth="1"/>
    <col min="13828" max="13828" width="2.5703125" customWidth="1"/>
    <col min="13829" max="13829" width="10.28515625" bestFit="1" customWidth="1"/>
    <col min="13830" max="13830" width="12.42578125" bestFit="1" customWidth="1"/>
    <col min="13831" max="13831" width="12.42578125" customWidth="1"/>
    <col min="13832" max="13832" width="12.28515625" bestFit="1" customWidth="1"/>
    <col min="14071" max="14073" width="10.28515625" bestFit="1" customWidth="1"/>
    <col min="14074" max="14074" width="11.42578125" bestFit="1" customWidth="1"/>
    <col min="14075" max="14075" width="3" customWidth="1"/>
    <col min="14077" max="14077" width="11" bestFit="1" customWidth="1"/>
    <col min="14079" max="14079" width="5" customWidth="1"/>
    <col min="14081" max="14081" width="11" bestFit="1" customWidth="1"/>
    <col min="14082" max="14082" width="11" customWidth="1"/>
    <col min="14083" max="14083" width="12" bestFit="1" customWidth="1"/>
    <col min="14084" max="14084" width="2.5703125" customWidth="1"/>
    <col min="14085" max="14085" width="10.28515625" bestFit="1" customWidth="1"/>
    <col min="14086" max="14086" width="12.42578125" bestFit="1" customWidth="1"/>
    <col min="14087" max="14087" width="12.42578125" customWidth="1"/>
    <col min="14088" max="14088" width="12.28515625" bestFit="1" customWidth="1"/>
    <col min="14327" max="14329" width="10.28515625" bestFit="1" customWidth="1"/>
    <col min="14330" max="14330" width="11.42578125" bestFit="1" customWidth="1"/>
    <col min="14331" max="14331" width="3" customWidth="1"/>
    <col min="14333" max="14333" width="11" bestFit="1" customWidth="1"/>
    <col min="14335" max="14335" width="5" customWidth="1"/>
    <col min="14337" max="14337" width="11" bestFit="1" customWidth="1"/>
    <col min="14338" max="14338" width="11" customWidth="1"/>
    <col min="14339" max="14339" width="12" bestFit="1" customWidth="1"/>
    <col min="14340" max="14340" width="2.5703125" customWidth="1"/>
    <col min="14341" max="14341" width="10.28515625" bestFit="1" customWidth="1"/>
    <col min="14342" max="14342" width="12.42578125" bestFit="1" customWidth="1"/>
    <col min="14343" max="14343" width="12.42578125" customWidth="1"/>
    <col min="14344" max="14344" width="12.28515625" bestFit="1" customWidth="1"/>
    <col min="14583" max="14585" width="10.28515625" bestFit="1" customWidth="1"/>
    <col min="14586" max="14586" width="11.42578125" bestFit="1" customWidth="1"/>
    <col min="14587" max="14587" width="3" customWidth="1"/>
    <col min="14589" max="14589" width="11" bestFit="1" customWidth="1"/>
    <col min="14591" max="14591" width="5" customWidth="1"/>
    <col min="14593" max="14593" width="11" bestFit="1" customWidth="1"/>
    <col min="14594" max="14594" width="11" customWidth="1"/>
    <col min="14595" max="14595" width="12" bestFit="1" customWidth="1"/>
    <col min="14596" max="14596" width="2.5703125" customWidth="1"/>
    <col min="14597" max="14597" width="10.28515625" bestFit="1" customWidth="1"/>
    <col min="14598" max="14598" width="12.42578125" bestFit="1" customWidth="1"/>
    <col min="14599" max="14599" width="12.42578125" customWidth="1"/>
    <col min="14600" max="14600" width="12.28515625" bestFit="1" customWidth="1"/>
    <col min="14839" max="14841" width="10.28515625" bestFit="1" customWidth="1"/>
    <col min="14842" max="14842" width="11.42578125" bestFit="1" customWidth="1"/>
    <col min="14843" max="14843" width="3" customWidth="1"/>
    <col min="14845" max="14845" width="11" bestFit="1" customWidth="1"/>
    <col min="14847" max="14847" width="5" customWidth="1"/>
    <col min="14849" max="14849" width="11" bestFit="1" customWidth="1"/>
    <col min="14850" max="14850" width="11" customWidth="1"/>
    <col min="14851" max="14851" width="12" bestFit="1" customWidth="1"/>
    <col min="14852" max="14852" width="2.5703125" customWidth="1"/>
    <col min="14853" max="14853" width="10.28515625" bestFit="1" customWidth="1"/>
    <col min="14854" max="14854" width="12.42578125" bestFit="1" customWidth="1"/>
    <col min="14855" max="14855" width="12.42578125" customWidth="1"/>
    <col min="14856" max="14856" width="12.28515625" bestFit="1" customWidth="1"/>
    <col min="15095" max="15097" width="10.28515625" bestFit="1" customWidth="1"/>
    <col min="15098" max="15098" width="11.42578125" bestFit="1" customWidth="1"/>
    <col min="15099" max="15099" width="3" customWidth="1"/>
    <col min="15101" max="15101" width="11" bestFit="1" customWidth="1"/>
    <col min="15103" max="15103" width="5" customWidth="1"/>
    <col min="15105" max="15105" width="11" bestFit="1" customWidth="1"/>
    <col min="15106" max="15106" width="11" customWidth="1"/>
    <col min="15107" max="15107" width="12" bestFit="1" customWidth="1"/>
    <col min="15108" max="15108" width="2.5703125" customWidth="1"/>
    <col min="15109" max="15109" width="10.28515625" bestFit="1" customWidth="1"/>
    <col min="15110" max="15110" width="12.42578125" bestFit="1" customWidth="1"/>
    <col min="15111" max="15111" width="12.42578125" customWidth="1"/>
    <col min="15112" max="15112" width="12.28515625" bestFit="1" customWidth="1"/>
    <col min="15351" max="15353" width="10.28515625" bestFit="1" customWidth="1"/>
    <col min="15354" max="15354" width="11.42578125" bestFit="1" customWidth="1"/>
    <col min="15355" max="15355" width="3" customWidth="1"/>
    <col min="15357" max="15357" width="11" bestFit="1" customWidth="1"/>
    <col min="15359" max="15359" width="5" customWidth="1"/>
    <col min="15361" max="15361" width="11" bestFit="1" customWidth="1"/>
    <col min="15362" max="15362" width="11" customWidth="1"/>
    <col min="15363" max="15363" width="12" bestFit="1" customWidth="1"/>
    <col min="15364" max="15364" width="2.5703125" customWidth="1"/>
    <col min="15365" max="15365" width="10.28515625" bestFit="1" customWidth="1"/>
    <col min="15366" max="15366" width="12.42578125" bestFit="1" customWidth="1"/>
    <col min="15367" max="15367" width="12.42578125" customWidth="1"/>
    <col min="15368" max="15368" width="12.28515625" bestFit="1" customWidth="1"/>
    <col min="15607" max="15609" width="10.28515625" bestFit="1" customWidth="1"/>
    <col min="15610" max="15610" width="11.42578125" bestFit="1" customWidth="1"/>
    <col min="15611" max="15611" width="3" customWidth="1"/>
    <col min="15613" max="15613" width="11" bestFit="1" customWidth="1"/>
    <col min="15615" max="15615" width="5" customWidth="1"/>
    <col min="15617" max="15617" width="11" bestFit="1" customWidth="1"/>
    <col min="15618" max="15618" width="11" customWidth="1"/>
    <col min="15619" max="15619" width="12" bestFit="1" customWidth="1"/>
    <col min="15620" max="15620" width="2.5703125" customWidth="1"/>
    <col min="15621" max="15621" width="10.28515625" bestFit="1" customWidth="1"/>
    <col min="15622" max="15622" width="12.42578125" bestFit="1" customWidth="1"/>
    <col min="15623" max="15623" width="12.42578125" customWidth="1"/>
    <col min="15624" max="15624" width="12.28515625" bestFit="1" customWidth="1"/>
    <col min="15863" max="15865" width="10.28515625" bestFit="1" customWidth="1"/>
    <col min="15866" max="15866" width="11.42578125" bestFit="1" customWidth="1"/>
    <col min="15867" max="15867" width="3" customWidth="1"/>
    <col min="15869" max="15869" width="11" bestFit="1" customWidth="1"/>
    <col min="15871" max="15871" width="5" customWidth="1"/>
    <col min="15873" max="15873" width="11" bestFit="1" customWidth="1"/>
    <col min="15874" max="15874" width="11" customWidth="1"/>
    <col min="15875" max="15875" width="12" bestFit="1" customWidth="1"/>
    <col min="15876" max="15876" width="2.5703125" customWidth="1"/>
    <col min="15877" max="15877" width="10.28515625" bestFit="1" customWidth="1"/>
    <col min="15878" max="15878" width="12.42578125" bestFit="1" customWidth="1"/>
    <col min="15879" max="15879" width="12.42578125" customWidth="1"/>
    <col min="15880" max="15880" width="12.28515625" bestFit="1" customWidth="1"/>
    <col min="16119" max="16121" width="10.28515625" bestFit="1" customWidth="1"/>
    <col min="16122" max="16122" width="11.42578125" bestFit="1" customWidth="1"/>
    <col min="16123" max="16123" width="3" customWidth="1"/>
    <col min="16125" max="16125" width="11" bestFit="1" customWidth="1"/>
    <col min="16127" max="16127" width="5" customWidth="1"/>
    <col min="16129" max="16129" width="11" bestFit="1" customWidth="1"/>
    <col min="16130" max="16130" width="11" customWidth="1"/>
    <col min="16131" max="16131" width="12" bestFit="1" customWidth="1"/>
    <col min="16132" max="16132" width="2.5703125" customWidth="1"/>
    <col min="16133" max="16133" width="10.28515625" bestFit="1" customWidth="1"/>
    <col min="16134" max="16134" width="12.42578125" bestFit="1" customWidth="1"/>
    <col min="16135" max="16135" width="12.42578125" customWidth="1"/>
    <col min="16136" max="16136" width="12.28515625" bestFit="1" customWidth="1"/>
  </cols>
  <sheetData>
    <row r="1" spans="1:15" ht="23.25" x14ac:dyDescent="0.35">
      <c r="A1" s="325" t="s">
        <v>273</v>
      </c>
    </row>
    <row r="2" spans="1:15" ht="23.25" x14ac:dyDescent="0.35">
      <c r="A2" s="325"/>
    </row>
    <row r="4" spans="1:15" x14ac:dyDescent="0.2">
      <c r="C4" s="326"/>
      <c r="E4" s="375" t="s">
        <v>274</v>
      </c>
      <c r="F4" s="375"/>
      <c r="G4" s="375"/>
      <c r="H4" s="375"/>
      <c r="I4" s="375"/>
      <c r="J4" s="375"/>
      <c r="K4" s="375"/>
      <c r="L4" s="375"/>
      <c r="N4" s="327"/>
    </row>
    <row r="5" spans="1:15" x14ac:dyDescent="0.2">
      <c r="E5" s="328"/>
      <c r="F5" s="328" t="s">
        <v>148</v>
      </c>
      <c r="G5" s="328" t="s">
        <v>148</v>
      </c>
      <c r="H5" s="328" t="s">
        <v>275</v>
      </c>
      <c r="I5" s="328"/>
      <c r="J5" s="328" t="s">
        <v>250</v>
      </c>
      <c r="K5" s="328" t="s">
        <v>251</v>
      </c>
      <c r="L5" s="329" t="s">
        <v>252</v>
      </c>
    </row>
    <row r="6" spans="1:15" x14ac:dyDescent="0.2">
      <c r="E6" s="326"/>
      <c r="F6" s="326">
        <v>2018</v>
      </c>
      <c r="G6" s="326">
        <v>2019</v>
      </c>
      <c r="H6" s="326" t="s">
        <v>253</v>
      </c>
      <c r="I6" s="326"/>
      <c r="J6" s="326" t="s">
        <v>283</v>
      </c>
      <c r="K6" s="326">
        <v>2020</v>
      </c>
      <c r="L6" s="330" t="s">
        <v>254</v>
      </c>
    </row>
    <row r="7" spans="1:15" ht="15.75" x14ac:dyDescent="0.25">
      <c r="A7" s="331" t="s">
        <v>255</v>
      </c>
      <c r="L7" s="332"/>
    </row>
    <row r="8" spans="1:15" ht="15" x14ac:dyDescent="0.25">
      <c r="A8" s="333" t="s">
        <v>256</v>
      </c>
      <c r="B8" s="128"/>
      <c r="L8" s="332"/>
    </row>
    <row r="9" spans="1:15" ht="15" x14ac:dyDescent="0.25">
      <c r="A9" s="334"/>
      <c r="B9" s="63" t="s">
        <v>257</v>
      </c>
      <c r="E9" s="335"/>
      <c r="F9" s="335">
        <v>6044</v>
      </c>
      <c r="G9" s="335">
        <v>5296</v>
      </c>
      <c r="H9" s="335">
        <f>AVERAGE(E9:G9)</f>
        <v>5670</v>
      </c>
      <c r="I9" s="335"/>
      <c r="J9" s="335">
        <v>2666</v>
      </c>
      <c r="K9" s="332">
        <f>+J9/5*12</f>
        <v>6398.4000000000005</v>
      </c>
      <c r="L9" s="332">
        <f>+K9-H9</f>
        <v>728.40000000000055</v>
      </c>
    </row>
    <row r="10" spans="1:15" ht="15" x14ac:dyDescent="0.25">
      <c r="A10" s="334"/>
      <c r="B10" s="63" t="s">
        <v>258</v>
      </c>
      <c r="E10" s="335"/>
      <c r="F10" s="335">
        <v>9700</v>
      </c>
      <c r="G10" s="335">
        <v>10212</v>
      </c>
      <c r="H10" s="335">
        <f>AVERAGE(E10:G10)</f>
        <v>9956</v>
      </c>
      <c r="I10" s="335"/>
      <c r="J10" s="335">
        <v>4505</v>
      </c>
      <c r="K10" s="332">
        <v>10812</v>
      </c>
      <c r="L10" s="332">
        <f>+K10-H10</f>
        <v>856</v>
      </c>
      <c r="N10" s="376" t="s">
        <v>282</v>
      </c>
      <c r="O10" s="377"/>
    </row>
    <row r="11" spans="1:15" ht="16.5" x14ac:dyDescent="0.35">
      <c r="A11" s="334"/>
      <c r="B11" s="63" t="s">
        <v>259</v>
      </c>
      <c r="E11" s="337"/>
      <c r="F11" s="337">
        <v>21848</v>
      </c>
      <c r="G11" s="337">
        <v>20764</v>
      </c>
      <c r="H11" s="337">
        <f>AVERAGE(E11:G11)</f>
        <v>21306</v>
      </c>
      <c r="I11" s="337"/>
      <c r="J11" s="337">
        <v>9788</v>
      </c>
      <c r="K11" s="338">
        <f>+J11/5*12</f>
        <v>23491.199999999997</v>
      </c>
      <c r="L11" s="338">
        <f>+K11-H11</f>
        <v>2185.1999999999971</v>
      </c>
      <c r="N11" s="377"/>
      <c r="O11" s="377"/>
    </row>
    <row r="12" spans="1:15" ht="15" x14ac:dyDescent="0.25">
      <c r="A12" s="339"/>
      <c r="B12" s="340" t="s">
        <v>260</v>
      </c>
      <c r="C12" s="341"/>
      <c r="E12" s="342"/>
      <c r="F12" s="342">
        <f>+F11+F10+F9</f>
        <v>37592</v>
      </c>
      <c r="G12" s="342">
        <f>+G11+G10+G9</f>
        <v>36272</v>
      </c>
      <c r="H12" s="342">
        <f>+H11+H10+H9</f>
        <v>36932</v>
      </c>
      <c r="I12" s="342"/>
      <c r="J12" s="342">
        <f>+J11+J10+J9</f>
        <v>16959</v>
      </c>
      <c r="K12" s="342">
        <f>+K11+K10+K9</f>
        <v>40701.599999999999</v>
      </c>
      <c r="L12" s="343">
        <f>+L11+L10+L9</f>
        <v>3769.5999999999976</v>
      </c>
      <c r="N12" s="357"/>
      <c r="O12" s="357"/>
    </row>
    <row r="13" spans="1:15" ht="15" x14ac:dyDescent="0.25">
      <c r="A13" s="333" t="s">
        <v>261</v>
      </c>
      <c r="B13" s="128"/>
      <c r="G13" s="335"/>
      <c r="J13" s="335"/>
      <c r="L13" s="332"/>
    </row>
    <row r="14" spans="1:15" ht="15" x14ac:dyDescent="0.25">
      <c r="A14" s="334"/>
      <c r="B14" s="63" t="s">
        <v>262</v>
      </c>
      <c r="E14" s="335"/>
      <c r="F14" s="335">
        <v>76</v>
      </c>
      <c r="G14" s="335">
        <v>96</v>
      </c>
      <c r="H14" s="335">
        <f>AVERAGE(E14:G14)</f>
        <v>86</v>
      </c>
      <c r="I14" s="335"/>
      <c r="J14" s="335">
        <v>59</v>
      </c>
      <c r="K14" s="332">
        <f>+J14/5*12</f>
        <v>141.60000000000002</v>
      </c>
      <c r="L14" s="332">
        <f>+K14-H14</f>
        <v>55.600000000000023</v>
      </c>
    </row>
    <row r="15" spans="1:15" ht="15" x14ac:dyDescent="0.25">
      <c r="A15" s="334"/>
      <c r="B15" s="63" t="s">
        <v>263</v>
      </c>
      <c r="E15" s="335"/>
      <c r="F15" s="335">
        <v>4</v>
      </c>
      <c r="G15" s="335">
        <v>32</v>
      </c>
      <c r="H15" s="335">
        <f>AVERAGE(E15:G15)</f>
        <v>18</v>
      </c>
      <c r="I15" s="335"/>
      <c r="J15" s="335">
        <v>12</v>
      </c>
      <c r="K15" s="332">
        <v>29</v>
      </c>
      <c r="L15" s="332">
        <f>+K15-H15</f>
        <v>11</v>
      </c>
    </row>
    <row r="16" spans="1:15" ht="16.5" x14ac:dyDescent="0.35">
      <c r="A16" s="334"/>
      <c r="B16" s="63" t="s">
        <v>264</v>
      </c>
      <c r="E16" s="337"/>
      <c r="F16" s="337">
        <v>1303</v>
      </c>
      <c r="G16" s="337">
        <v>1305</v>
      </c>
      <c r="H16" s="337">
        <f>AVERAGE(E16:G16)</f>
        <v>1304</v>
      </c>
      <c r="I16" s="337"/>
      <c r="J16" s="337">
        <v>598</v>
      </c>
      <c r="K16" s="338">
        <f>+J16/5*12</f>
        <v>1435.1999999999998</v>
      </c>
      <c r="L16" s="338">
        <f>+K16-H16</f>
        <v>131.19999999999982</v>
      </c>
    </row>
    <row r="17" spans="1:14" ht="15" x14ac:dyDescent="0.25">
      <c r="A17" s="339"/>
      <c r="B17" s="128" t="s">
        <v>265</v>
      </c>
      <c r="C17" s="341"/>
      <c r="E17" s="342"/>
      <c r="F17" s="342">
        <f>+F16+F15+F14</f>
        <v>1383</v>
      </c>
      <c r="G17" s="342">
        <f>+G16+G15+G14</f>
        <v>1433</v>
      </c>
      <c r="H17" s="342">
        <f>+H16+H15+H14</f>
        <v>1408</v>
      </c>
      <c r="I17" s="342"/>
      <c r="J17" s="342">
        <f>+J16+J15+J14</f>
        <v>669</v>
      </c>
      <c r="K17" s="342">
        <f>+K16+K15+K14</f>
        <v>1605.7999999999997</v>
      </c>
      <c r="L17" s="343">
        <f>+L16+L15+L14</f>
        <v>197.79999999999984</v>
      </c>
    </row>
    <row r="18" spans="1:14" ht="15" x14ac:dyDescent="0.25">
      <c r="A18" s="345" t="s">
        <v>266</v>
      </c>
      <c r="B18" s="346"/>
      <c r="C18" s="341"/>
      <c r="E18" s="347"/>
      <c r="F18" s="347">
        <f>+F17+F12</f>
        <v>38975</v>
      </c>
      <c r="G18" s="347">
        <f>+G17+G12</f>
        <v>37705</v>
      </c>
      <c r="H18" s="347">
        <f>+H17+H12</f>
        <v>38340</v>
      </c>
      <c r="I18" s="347"/>
      <c r="J18" s="347">
        <f>+J17+J12</f>
        <v>17628</v>
      </c>
      <c r="K18" s="347">
        <f>+K17+K12</f>
        <v>42307.4</v>
      </c>
      <c r="L18" s="348">
        <f>+L17+L12</f>
        <v>3967.3999999999974</v>
      </c>
    </row>
    <row r="19" spans="1:14" ht="15" x14ac:dyDescent="0.25">
      <c r="A19" s="345"/>
      <c r="B19" s="346"/>
      <c r="C19" s="341"/>
      <c r="E19" s="349"/>
      <c r="F19" s="349"/>
      <c r="G19" s="349"/>
      <c r="H19" s="349"/>
      <c r="I19" s="349"/>
      <c r="J19" s="349"/>
      <c r="L19" s="332"/>
    </row>
    <row r="20" spans="1:14" x14ac:dyDescent="0.2">
      <c r="B20" s="341" t="s">
        <v>267</v>
      </c>
      <c r="C20" s="341"/>
      <c r="E20" s="347"/>
      <c r="F20" s="347">
        <f>+F9+F10+F14+F15</f>
        <v>15824</v>
      </c>
      <c r="G20" s="347">
        <f>+G9+G10+G14+G15</f>
        <v>15636</v>
      </c>
      <c r="H20" s="347">
        <f>+H9+H10+H14+H15</f>
        <v>15730</v>
      </c>
      <c r="I20" s="347"/>
      <c r="J20" s="347">
        <f>+J9+J10+J14+J15</f>
        <v>7242</v>
      </c>
      <c r="K20" s="347">
        <f>+K9+K10+K14+K15</f>
        <v>17381</v>
      </c>
      <c r="L20" s="347">
        <f>+L9+L10+L14+L15</f>
        <v>1651.0000000000005</v>
      </c>
    </row>
    <row r="21" spans="1:14" ht="15" x14ac:dyDescent="0.25">
      <c r="A21" s="316"/>
      <c r="B21" s="341" t="s">
        <v>268</v>
      </c>
      <c r="C21" s="341"/>
      <c r="E21" s="350"/>
      <c r="F21" s="350">
        <f>+F20/F18</f>
        <v>0.40600384862091082</v>
      </c>
      <c r="G21" s="350">
        <f>+G20/G18</f>
        <v>0.41469301153693144</v>
      </c>
      <c r="H21" s="350">
        <f>+H20/H18</f>
        <v>0.41027647365675535</v>
      </c>
      <c r="I21" s="350"/>
      <c r="J21" s="350">
        <f>+J20/J18</f>
        <v>0.41082368958475152</v>
      </c>
      <c r="K21" s="351">
        <f>+K20/K18</f>
        <v>0.41082647480109863</v>
      </c>
      <c r="L21" s="350">
        <f>+K21-H21</f>
        <v>5.5000114434328173E-4</v>
      </c>
      <c r="N21" s="1" t="s">
        <v>269</v>
      </c>
    </row>
    <row r="24" spans="1:14" ht="15.75" x14ac:dyDescent="0.25">
      <c r="A24" s="331" t="s">
        <v>270</v>
      </c>
      <c r="H24" s="4" t="s">
        <v>4</v>
      </c>
    </row>
    <row r="25" spans="1:14" ht="15" x14ac:dyDescent="0.35">
      <c r="G25" s="352" t="s">
        <v>3</v>
      </c>
      <c r="H25" s="352" t="s">
        <v>271</v>
      </c>
    </row>
    <row r="27" spans="1:14" x14ac:dyDescent="0.2">
      <c r="A27" s="63" t="s">
        <v>276</v>
      </c>
      <c r="G27" s="344">
        <f>22454+3</f>
        <v>22457</v>
      </c>
      <c r="H27" s="353"/>
    </row>
    <row r="28" spans="1:14" x14ac:dyDescent="0.2">
      <c r="A28" s="63" t="s">
        <v>173</v>
      </c>
      <c r="G28" s="344">
        <v>22507</v>
      </c>
      <c r="H28" s="353">
        <f>+G28/G$27-1</f>
        <v>2.2264772676670042E-3</v>
      </c>
    </row>
    <row r="29" spans="1:14" x14ac:dyDescent="0.2">
      <c r="A29" s="63" t="s">
        <v>174</v>
      </c>
      <c r="G29" s="344">
        <v>22544</v>
      </c>
      <c r="H29" s="353">
        <f t="shared" ref="H29:H50" si="0">+G29/G$27-1</f>
        <v>3.8740704457407293E-3</v>
      </c>
    </row>
    <row r="30" spans="1:14" x14ac:dyDescent="0.2">
      <c r="A30" s="63" t="s">
        <v>175</v>
      </c>
      <c r="G30" s="344">
        <v>22563</v>
      </c>
      <c r="H30" s="353">
        <f t="shared" si="0"/>
        <v>4.7201318074543419E-3</v>
      </c>
    </row>
    <row r="31" spans="1:14" x14ac:dyDescent="0.2">
      <c r="A31" s="63" t="s">
        <v>176</v>
      </c>
      <c r="G31" s="344">
        <v>22536</v>
      </c>
      <c r="H31" s="353">
        <f t="shared" si="0"/>
        <v>3.517834082914062E-3</v>
      </c>
    </row>
    <row r="32" spans="1:14" x14ac:dyDescent="0.2">
      <c r="A32" s="63" t="s">
        <v>7</v>
      </c>
      <c r="G32" s="344">
        <v>23180</v>
      </c>
      <c r="H32" s="353">
        <f t="shared" si="0"/>
        <v>3.2194861290466115E-2</v>
      </c>
    </row>
    <row r="33" spans="1:8" x14ac:dyDescent="0.2">
      <c r="A33" s="63" t="s">
        <v>272</v>
      </c>
      <c r="G33" s="344">
        <v>23189</v>
      </c>
      <c r="H33" s="353">
        <f t="shared" si="0"/>
        <v>3.2595627198646282E-2</v>
      </c>
    </row>
    <row r="34" spans="1:8" x14ac:dyDescent="0.2">
      <c r="A34" s="63" t="s">
        <v>10</v>
      </c>
      <c r="G34" s="344">
        <v>23180</v>
      </c>
      <c r="H34" s="353">
        <f t="shared" si="0"/>
        <v>3.2194861290466115E-2</v>
      </c>
    </row>
    <row r="35" spans="1:8" x14ac:dyDescent="0.2">
      <c r="A35" s="63" t="s">
        <v>8</v>
      </c>
      <c r="G35" s="344">
        <v>23309</v>
      </c>
      <c r="H35" s="353">
        <f t="shared" si="0"/>
        <v>3.7939172641047403E-2</v>
      </c>
    </row>
    <row r="36" spans="1:8" x14ac:dyDescent="0.2">
      <c r="A36" s="63" t="s">
        <v>9</v>
      </c>
      <c r="G36" s="344">
        <v>23529</v>
      </c>
      <c r="H36" s="353">
        <f t="shared" si="0"/>
        <v>4.7735672618782532E-2</v>
      </c>
    </row>
    <row r="37" spans="1:8" x14ac:dyDescent="0.2">
      <c r="A37" s="63" t="s">
        <v>2</v>
      </c>
      <c r="G37" s="344">
        <v>24555</v>
      </c>
      <c r="H37" s="353">
        <f t="shared" si="0"/>
        <v>9.3422986151311393E-2</v>
      </c>
    </row>
    <row r="38" spans="1:8" x14ac:dyDescent="0.2">
      <c r="A38" s="63" t="s">
        <v>171</v>
      </c>
      <c r="G38" s="336">
        <f>+'Res''l &amp; MF Customers'!C$12</f>
        <v>24640</v>
      </c>
      <c r="H38" s="353">
        <f t="shared" si="0"/>
        <v>9.7207997506345567E-2</v>
      </c>
    </row>
    <row r="39" spans="1:8" x14ac:dyDescent="0.2">
      <c r="A39" s="63" t="s">
        <v>172</v>
      </c>
      <c r="G39" s="336">
        <f>+'Res''l &amp; MF Customers'!D$12</f>
        <v>24682</v>
      </c>
      <c r="H39" s="353">
        <f t="shared" si="0"/>
        <v>9.9078238411185904E-2</v>
      </c>
    </row>
    <row r="40" spans="1:8" x14ac:dyDescent="0.2">
      <c r="A40" s="63" t="s">
        <v>173</v>
      </c>
      <c r="G40" s="336">
        <f>+'Res''l &amp; MF Customers'!E$12</f>
        <v>24805</v>
      </c>
      <c r="H40" s="353">
        <f t="shared" si="0"/>
        <v>0.10455537248964686</v>
      </c>
    </row>
    <row r="41" spans="1:8" s="1" customFormat="1" x14ac:dyDescent="0.2">
      <c r="A41" s="63" t="s">
        <v>174</v>
      </c>
      <c r="E41" s="63"/>
      <c r="F41" s="63"/>
      <c r="G41" s="336">
        <f>+'Res''l &amp; MF Customers'!F$12</f>
        <v>24868</v>
      </c>
      <c r="H41" s="353">
        <f t="shared" si="0"/>
        <v>0.10736073384690736</v>
      </c>
    </row>
    <row r="42" spans="1:8" s="1" customFormat="1" x14ac:dyDescent="0.2">
      <c r="A42" s="63" t="s">
        <v>175</v>
      </c>
      <c r="E42" s="63"/>
      <c r="F42" s="63"/>
      <c r="G42" s="336">
        <f>+'Res''l &amp; MF Customers'!G$12</f>
        <v>24884</v>
      </c>
      <c r="H42" s="353">
        <f t="shared" si="0"/>
        <v>0.10807320657256092</v>
      </c>
    </row>
    <row r="43" spans="1:8" s="1" customFormat="1" x14ac:dyDescent="0.2">
      <c r="A43" s="63" t="s">
        <v>176</v>
      </c>
      <c r="E43" s="63"/>
      <c r="F43" s="63"/>
      <c r="G43" s="336">
        <f>+'Res''l &amp; MF Customers'!H$12</f>
        <v>24859</v>
      </c>
      <c r="H43" s="353">
        <f t="shared" si="0"/>
        <v>0.10695996793872742</v>
      </c>
    </row>
    <row r="44" spans="1:8" s="1" customFormat="1" x14ac:dyDescent="0.2">
      <c r="A44" s="63" t="s">
        <v>7</v>
      </c>
      <c r="E44" s="63"/>
      <c r="F44" s="63"/>
      <c r="G44" s="356">
        <f>+'Res''l &amp; MF Customers'!I$12</f>
        <v>24859</v>
      </c>
      <c r="H44" s="320">
        <f t="shared" si="0"/>
        <v>0.10695996793872742</v>
      </c>
    </row>
    <row r="45" spans="1:8" s="1" customFormat="1" x14ac:dyDescent="0.2">
      <c r="A45" s="63" t="s">
        <v>32</v>
      </c>
      <c r="E45" s="63"/>
      <c r="F45" s="63"/>
      <c r="G45" s="356">
        <f>+'Res''l &amp; MF Customers'!J$12</f>
        <v>24879</v>
      </c>
      <c r="H45" s="320">
        <f t="shared" si="0"/>
        <v>0.10785055884579409</v>
      </c>
    </row>
    <row r="46" spans="1:8" s="1" customFormat="1" x14ac:dyDescent="0.2">
      <c r="A46" s="63" t="s">
        <v>10</v>
      </c>
      <c r="E46" s="63"/>
      <c r="F46" s="63"/>
      <c r="G46" s="356">
        <f>+'Res''l &amp; MF Customers'!K$12</f>
        <v>24956</v>
      </c>
      <c r="H46" s="320">
        <f t="shared" si="0"/>
        <v>0.11127933383800159</v>
      </c>
    </row>
    <row r="47" spans="1:8" s="1" customFormat="1" x14ac:dyDescent="0.2">
      <c r="A47" s="63" t="s">
        <v>8</v>
      </c>
      <c r="E47" s="63"/>
      <c r="F47" s="63"/>
      <c r="G47" s="356">
        <f>+'Res''l &amp; MF Customers'!L$12</f>
        <v>25071</v>
      </c>
      <c r="H47" s="320">
        <f t="shared" si="0"/>
        <v>0.11640023155363588</v>
      </c>
    </row>
    <row r="48" spans="1:8" s="1" customFormat="1" x14ac:dyDescent="0.2">
      <c r="A48" s="63" t="s">
        <v>9</v>
      </c>
      <c r="E48" s="63"/>
      <c r="F48" s="63"/>
      <c r="G48" s="356">
        <f>+'Res''l &amp; MF Customers'!M$12</f>
        <v>25368</v>
      </c>
      <c r="H48" s="320">
        <f t="shared" si="0"/>
        <v>0.12962550652357829</v>
      </c>
    </row>
    <row r="49" spans="1:11" s="1" customFormat="1" ht="15.75" customHeight="1" x14ac:dyDescent="0.35">
      <c r="A49" s="63" t="s">
        <v>2</v>
      </c>
      <c r="E49" s="63"/>
      <c r="F49" s="63"/>
      <c r="G49" s="156">
        <f>+'Res''l &amp; MF Customers'!N$12</f>
        <v>25579</v>
      </c>
      <c r="H49" s="354">
        <f t="shared" si="0"/>
        <v>0.13902124059313348</v>
      </c>
    </row>
    <row r="50" spans="1:11" ht="15" x14ac:dyDescent="0.35">
      <c r="B50" s="1" t="s">
        <v>277</v>
      </c>
      <c r="G50" s="14">
        <f>+G49</f>
        <v>25579</v>
      </c>
      <c r="H50" s="355">
        <f t="shared" si="0"/>
        <v>0.13902124059313348</v>
      </c>
      <c r="J50" s="1" t="s">
        <v>269</v>
      </c>
    </row>
    <row r="51" spans="1:11" ht="15" x14ac:dyDescent="0.35">
      <c r="B51" s="1"/>
      <c r="E51" s="14"/>
      <c r="F51" s="14"/>
      <c r="K51" s="14"/>
    </row>
  </sheetData>
  <mergeCells count="2">
    <mergeCell ref="E4:L4"/>
    <mergeCell ref="N10:O11"/>
  </mergeCells>
  <phoneticPr fontId="82" type="noConversion"/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J50"/>
  <sheetViews>
    <sheetView topLeftCell="A15" workbookViewId="0">
      <selection activeCell="F33" sqref="F33"/>
    </sheetView>
  </sheetViews>
  <sheetFormatPr defaultRowHeight="12.75" x14ac:dyDescent="0.2"/>
  <cols>
    <col min="1" max="1" width="72.5703125" bestFit="1" customWidth="1"/>
    <col min="4" max="4" width="12.28515625" bestFit="1" customWidth="1"/>
    <col min="5" max="5" width="5.28515625" customWidth="1"/>
    <col min="6" max="6" width="13.28515625" style="63" bestFit="1" customWidth="1"/>
    <col min="7" max="7" width="4.140625" customWidth="1"/>
    <col min="8" max="8" width="12.85546875" bestFit="1" customWidth="1"/>
    <col min="9" max="9" width="9.7109375" bestFit="1" customWidth="1"/>
    <col min="10" max="10" width="9.85546875" customWidth="1"/>
    <col min="11" max="11" width="9" bestFit="1" customWidth="1"/>
    <col min="12" max="12" width="12.42578125" bestFit="1" customWidth="1"/>
  </cols>
  <sheetData>
    <row r="1" spans="1:9" ht="23.25" x14ac:dyDescent="0.35">
      <c r="A1" s="140" t="s">
        <v>143</v>
      </c>
      <c r="B1" s="140"/>
      <c r="C1" s="141"/>
      <c r="D1" s="141"/>
    </row>
    <row r="2" spans="1:9" ht="15.75" x14ac:dyDescent="0.25">
      <c r="A2" s="142" t="s">
        <v>144</v>
      </c>
      <c r="B2" s="142"/>
      <c r="C2" s="143"/>
      <c r="D2" s="144"/>
    </row>
    <row r="3" spans="1:9" x14ac:dyDescent="0.2">
      <c r="A3" s="198"/>
      <c r="B3" s="198"/>
      <c r="C3" s="199"/>
      <c r="D3" s="200"/>
      <c r="E3" s="63"/>
      <c r="F3" s="4" t="s">
        <v>302</v>
      </c>
      <c r="H3" s="4"/>
      <c r="I3" s="4"/>
    </row>
    <row r="4" spans="1:9" ht="15" x14ac:dyDescent="0.35">
      <c r="A4" s="185"/>
      <c r="B4" s="185"/>
      <c r="C4" s="199"/>
      <c r="D4" s="201" t="s">
        <v>106</v>
      </c>
      <c r="E4" s="63"/>
      <c r="F4" s="101" t="s">
        <v>303</v>
      </c>
      <c r="H4" s="101" t="s">
        <v>183</v>
      </c>
      <c r="I4" s="101"/>
    </row>
    <row r="5" spans="1:9" x14ac:dyDescent="0.2">
      <c r="A5" s="202" t="s">
        <v>107</v>
      </c>
      <c r="B5" s="202"/>
      <c r="C5" s="199"/>
      <c r="D5" s="203"/>
      <c r="E5" s="63"/>
      <c r="H5" s="63"/>
      <c r="I5" s="63"/>
    </row>
    <row r="6" spans="1:9" ht="15" x14ac:dyDescent="0.35">
      <c r="A6" s="185" t="s">
        <v>21</v>
      </c>
      <c r="B6" s="185"/>
      <c r="C6" s="199"/>
      <c r="D6" s="204">
        <v>22957</v>
      </c>
      <c r="E6" s="63"/>
      <c r="F6" s="157">
        <f>+'Res''l &amp; MF Customers'!N12</f>
        <v>25579</v>
      </c>
      <c r="H6" s="14">
        <f>+F6-D6</f>
        <v>2622</v>
      </c>
      <c r="I6" s="63"/>
    </row>
    <row r="7" spans="1:9" x14ac:dyDescent="0.2">
      <c r="A7" s="185"/>
      <c r="B7" s="185"/>
      <c r="C7" s="199"/>
      <c r="D7" s="205"/>
      <c r="E7" s="63"/>
      <c r="H7" s="63"/>
      <c r="I7" s="63"/>
    </row>
    <row r="8" spans="1:9" x14ac:dyDescent="0.2">
      <c r="A8" s="202" t="s">
        <v>108</v>
      </c>
      <c r="B8" s="202"/>
      <c r="C8" s="199"/>
      <c r="D8" s="205"/>
      <c r="E8" s="63"/>
      <c r="H8" s="63"/>
      <c r="I8" s="63"/>
    </row>
    <row r="9" spans="1:9" ht="15" x14ac:dyDescent="0.35">
      <c r="A9" s="206" t="s">
        <v>135</v>
      </c>
      <c r="B9" s="206"/>
      <c r="C9" s="199"/>
      <c r="D9" s="207">
        <v>10601</v>
      </c>
      <c r="E9" s="63"/>
      <c r="F9" s="14">
        <f>+'24 Month Rev &amp; Ton summary'!K9</f>
        <v>10415.341646236764</v>
      </c>
      <c r="H9" s="14">
        <f>+F9-D9</f>
        <v>-185.65835376323594</v>
      </c>
      <c r="I9" s="63"/>
    </row>
    <row r="10" spans="1:9" x14ac:dyDescent="0.2">
      <c r="A10" s="186"/>
      <c r="B10" s="186"/>
      <c r="C10" s="199"/>
      <c r="D10" s="205"/>
      <c r="E10" s="63"/>
      <c r="H10" s="63"/>
      <c r="I10" s="63"/>
    </row>
    <row r="11" spans="1:9" x14ac:dyDescent="0.2">
      <c r="A11" s="202" t="s">
        <v>109</v>
      </c>
      <c r="B11" s="202"/>
      <c r="C11" s="199"/>
      <c r="D11" s="203"/>
      <c r="E11" s="63"/>
      <c r="H11" s="63"/>
      <c r="I11" s="63"/>
    </row>
    <row r="12" spans="1:9" ht="27.75" x14ac:dyDescent="0.35">
      <c r="A12" s="208" t="s">
        <v>137</v>
      </c>
      <c r="B12" s="208"/>
      <c r="C12" s="188"/>
      <c r="D12" s="209">
        <v>896600</v>
      </c>
      <c r="E12" s="63"/>
      <c r="F12" s="11">
        <f>+'24 Month Rev &amp; Ton summary'!D11</f>
        <v>714171.22311855538</v>
      </c>
      <c r="H12" s="11">
        <f>+F12-D12</f>
        <v>-182428.77688144462</v>
      </c>
      <c r="I12" s="184"/>
    </row>
    <row r="13" spans="1:9" x14ac:dyDescent="0.2">
      <c r="A13" s="208"/>
      <c r="B13" s="208"/>
      <c r="C13" s="188"/>
      <c r="D13" s="210"/>
      <c r="E13" s="63"/>
      <c r="H13" s="63"/>
      <c r="I13" s="63"/>
    </row>
    <row r="14" spans="1:9" x14ac:dyDescent="0.2">
      <c r="A14" s="202" t="s">
        <v>110</v>
      </c>
      <c r="B14" s="208"/>
      <c r="C14" s="188"/>
      <c r="D14" s="210"/>
      <c r="E14" s="63"/>
      <c r="H14" s="63"/>
      <c r="I14" s="63"/>
    </row>
    <row r="15" spans="1:9" x14ac:dyDescent="0.2">
      <c r="A15" s="208" t="s">
        <v>111</v>
      </c>
      <c r="B15" s="208"/>
      <c r="C15" s="211">
        <v>0.5</v>
      </c>
      <c r="D15" s="212">
        <f>ROUND(+D12*C15,-2)</f>
        <v>448300</v>
      </c>
      <c r="E15" s="63"/>
      <c r="F15" s="247">
        <f>+F12*C15</f>
        <v>357085.61155927769</v>
      </c>
      <c r="H15" s="247">
        <f>+F15-D15</f>
        <v>-91214.388440722309</v>
      </c>
      <c r="I15" s="247"/>
    </row>
    <row r="16" spans="1:9" ht="15" x14ac:dyDescent="0.35">
      <c r="A16" s="213" t="s">
        <v>136</v>
      </c>
      <c r="B16" s="185"/>
      <c r="C16" s="214">
        <v>0.05</v>
      </c>
      <c r="D16" s="215">
        <f>-ROUND(+D28*C16,-2)</f>
        <v>-20400</v>
      </c>
      <c r="E16" s="63"/>
      <c r="F16" s="10">
        <f>-ROUND(C16*F28,-2)</f>
        <v>-16200</v>
      </c>
      <c r="H16" s="10">
        <f>+F16-D16</f>
        <v>4200</v>
      </c>
      <c r="I16" s="10"/>
    </row>
    <row r="17" spans="1:10" ht="15" x14ac:dyDescent="0.35">
      <c r="A17" s="213"/>
      <c r="B17" s="185"/>
      <c r="C17" s="199"/>
      <c r="D17" s="216">
        <f>+D15+D16</f>
        <v>427900</v>
      </c>
      <c r="E17" s="63"/>
      <c r="F17" s="216">
        <f>+F15+F16</f>
        <v>340885.61155927769</v>
      </c>
      <c r="H17" s="216">
        <f>+H15+H16</f>
        <v>-87014.388440722309</v>
      </c>
      <c r="I17" s="216"/>
    </row>
    <row r="18" spans="1:10" x14ac:dyDescent="0.2">
      <c r="A18" s="202" t="s">
        <v>112</v>
      </c>
      <c r="B18" s="202"/>
      <c r="C18" s="199"/>
      <c r="D18" s="203"/>
      <c r="E18" s="63"/>
      <c r="H18" s="63"/>
      <c r="I18" s="63"/>
    </row>
    <row r="19" spans="1:10" ht="21.75" customHeight="1" x14ac:dyDescent="0.35">
      <c r="A19" s="217" t="s">
        <v>113</v>
      </c>
      <c r="B19" s="217"/>
      <c r="C19" s="199"/>
      <c r="D19" s="218">
        <f>+D46</f>
        <v>124300</v>
      </c>
      <c r="E19" s="167"/>
      <c r="F19" s="254">
        <v>124000</v>
      </c>
      <c r="H19" s="10">
        <f>+F19-D19</f>
        <v>-300</v>
      </c>
      <c r="I19" s="248"/>
    </row>
    <row r="20" spans="1:10" ht="15" x14ac:dyDescent="0.35">
      <c r="A20" s="217"/>
      <c r="B20" s="217"/>
      <c r="C20" s="219"/>
      <c r="D20" s="220"/>
      <c r="E20" s="63"/>
      <c r="H20" s="63"/>
      <c r="I20" s="63"/>
    </row>
    <row r="21" spans="1:10" ht="15" x14ac:dyDescent="0.35">
      <c r="A21" s="221" t="s">
        <v>114</v>
      </c>
      <c r="B21" s="221"/>
      <c r="C21" s="187"/>
      <c r="D21" s="220"/>
      <c r="E21" s="63"/>
      <c r="H21" s="63"/>
      <c r="I21" s="63"/>
    </row>
    <row r="22" spans="1:10" x14ac:dyDescent="0.2">
      <c r="A22" s="189" t="s">
        <v>139</v>
      </c>
      <c r="B22" s="189"/>
      <c r="C22" s="222"/>
      <c r="D22" s="223">
        <v>125000</v>
      </c>
      <c r="E22" s="63"/>
      <c r="F22" s="252">
        <v>110000</v>
      </c>
      <c r="H22" s="247">
        <f>+F22-D22</f>
        <v>-15000</v>
      </c>
      <c r="I22" s="247"/>
    </row>
    <row r="23" spans="1:10" x14ac:dyDescent="0.2">
      <c r="A23" s="189" t="s">
        <v>140</v>
      </c>
      <c r="B23" s="189"/>
      <c r="C23" s="188"/>
      <c r="D23" s="223">
        <v>25000</v>
      </c>
      <c r="E23" s="63"/>
      <c r="F23" s="252">
        <v>23500</v>
      </c>
      <c r="H23" s="247">
        <f t="shared" ref="H23:H25" si="0">+F23-D23</f>
        <v>-1500</v>
      </c>
      <c r="I23" s="247"/>
    </row>
    <row r="24" spans="1:10" x14ac:dyDescent="0.2">
      <c r="A24" s="189" t="s">
        <v>141</v>
      </c>
      <c r="B24" s="189"/>
      <c r="C24" s="224"/>
      <c r="D24" s="223">
        <v>80000</v>
      </c>
      <c r="E24" s="63"/>
      <c r="F24" s="252">
        <v>20500</v>
      </c>
      <c r="H24" s="247">
        <f t="shared" si="0"/>
        <v>-59500</v>
      </c>
      <c r="I24" s="247"/>
    </row>
    <row r="25" spans="1:10" ht="15" x14ac:dyDescent="0.35">
      <c r="A25" s="189" t="s">
        <v>142</v>
      </c>
      <c r="B25" s="189"/>
      <c r="C25" s="224"/>
      <c r="D25" s="225">
        <v>53200</v>
      </c>
      <c r="E25" s="63"/>
      <c r="F25" s="253">
        <v>46000</v>
      </c>
      <c r="H25" s="10">
        <f t="shared" si="0"/>
        <v>-7200</v>
      </c>
      <c r="I25" s="10"/>
    </row>
    <row r="26" spans="1:10" ht="15" x14ac:dyDescent="0.35">
      <c r="A26" s="217" t="s">
        <v>115</v>
      </c>
      <c r="B26" s="217"/>
      <c r="C26" s="188"/>
      <c r="D26" s="218">
        <f>SUM(D22:D25)</f>
        <v>283200</v>
      </c>
      <c r="E26" s="167"/>
      <c r="F26" s="218">
        <f>SUM(F22:F25)</f>
        <v>200000</v>
      </c>
      <c r="H26" s="218">
        <f>SUM(H22:H25)</f>
        <v>-83200</v>
      </c>
      <c r="I26" s="218"/>
    </row>
    <row r="27" spans="1:10" x14ac:dyDescent="0.2">
      <c r="A27" s="217"/>
      <c r="B27" s="217"/>
      <c r="C27" s="226"/>
      <c r="D27" s="227"/>
      <c r="E27" s="63"/>
      <c r="F27" s="227"/>
      <c r="H27" s="63"/>
      <c r="I27" s="63"/>
    </row>
    <row r="28" spans="1:10" ht="15" x14ac:dyDescent="0.35">
      <c r="A28" s="217" t="s">
        <v>116</v>
      </c>
      <c r="B28" s="217"/>
      <c r="C28" s="226"/>
      <c r="D28" s="228">
        <f>+D26+D19</f>
        <v>407500</v>
      </c>
      <c r="E28" s="63"/>
      <c r="F28" s="228">
        <f>+F26+F19</f>
        <v>324000</v>
      </c>
      <c r="H28" s="228">
        <f>+H26+H19</f>
        <v>-83500</v>
      </c>
      <c r="I28" s="228"/>
      <c r="J28" s="63"/>
    </row>
    <row r="29" spans="1:10" ht="15" x14ac:dyDescent="0.35">
      <c r="A29" s="217"/>
      <c r="B29" s="217"/>
      <c r="C29" s="226"/>
      <c r="D29" s="228"/>
      <c r="E29" s="63"/>
      <c r="H29" s="63"/>
      <c r="I29" s="63"/>
    </row>
    <row r="30" spans="1:10" ht="15" x14ac:dyDescent="0.35">
      <c r="A30" s="217" t="s">
        <v>117</v>
      </c>
      <c r="B30" s="217"/>
      <c r="C30" s="226"/>
      <c r="D30" s="218">
        <f>ROUND(+D28*0.05,-2)</f>
        <v>20400</v>
      </c>
      <c r="E30" s="218"/>
      <c r="F30" s="218">
        <f t="shared" ref="F30" si="1">ROUND(+F28*0.05,-2)</f>
        <v>16200</v>
      </c>
      <c r="H30" s="218">
        <f t="shared" ref="H30" si="2">ROUND(+H28*0.05,-2)</f>
        <v>-4200</v>
      </c>
      <c r="I30" s="218"/>
    </row>
    <row r="31" spans="1:10" x14ac:dyDescent="0.2">
      <c r="A31" s="217"/>
      <c r="B31" s="217"/>
      <c r="C31" s="226"/>
      <c r="D31" s="229"/>
      <c r="E31" s="229"/>
      <c r="F31" s="229"/>
      <c r="H31" s="229"/>
      <c r="I31" s="229"/>
    </row>
    <row r="32" spans="1:10" x14ac:dyDescent="0.2">
      <c r="A32" s="217" t="s">
        <v>118</v>
      </c>
      <c r="B32" s="217"/>
      <c r="C32" s="230"/>
      <c r="D32" s="229">
        <f>+D30+D28</f>
        <v>427900</v>
      </c>
      <c r="E32" s="229"/>
      <c r="F32" s="229">
        <f t="shared" ref="F32" si="3">+F30+F28</f>
        <v>340200</v>
      </c>
      <c r="H32" s="229">
        <f t="shared" ref="H32" si="4">+H30+H28</f>
        <v>-87700</v>
      </c>
      <c r="J32" s="229"/>
    </row>
    <row r="33" spans="1:10" x14ac:dyDescent="0.2">
      <c r="A33" s="217"/>
      <c r="B33" s="217"/>
      <c r="C33" s="230"/>
      <c r="D33" s="229"/>
      <c r="E33" s="229"/>
      <c r="F33" s="229"/>
      <c r="H33" s="229"/>
      <c r="J33" s="229"/>
    </row>
    <row r="34" spans="1:10" ht="15" x14ac:dyDescent="0.25">
      <c r="A34" s="257" t="s">
        <v>184</v>
      </c>
      <c r="B34" s="198"/>
      <c r="C34" s="231"/>
      <c r="D34" s="256">
        <f>+D32-D17</f>
        <v>0</v>
      </c>
      <c r="E34" s="1"/>
      <c r="F34" s="256">
        <f>+F32-F17</f>
        <v>-685.61155927769141</v>
      </c>
      <c r="G34" s="1"/>
      <c r="H34" s="256">
        <f>+H32-H17</f>
        <v>-685.61155927769141</v>
      </c>
      <c r="I34" s="63"/>
    </row>
    <row r="35" spans="1:10" ht="15" x14ac:dyDescent="0.25">
      <c r="A35" s="255"/>
      <c r="B35" s="198"/>
      <c r="C35" s="231"/>
      <c r="D35" s="232"/>
      <c r="E35" s="63"/>
      <c r="H35" s="63"/>
      <c r="I35" s="63"/>
    </row>
    <row r="36" spans="1:10" x14ac:dyDescent="0.2">
      <c r="A36" s="217" t="s">
        <v>119</v>
      </c>
      <c r="B36" s="217"/>
      <c r="C36" s="231"/>
      <c r="D36" s="233">
        <f>+D9*2000/D6/24</f>
        <v>38.481363708963137</v>
      </c>
      <c r="E36" s="233"/>
      <c r="F36" s="233">
        <f>+F9*2000/F6/24</f>
        <v>33.931941717283593</v>
      </c>
      <c r="H36" s="233">
        <f>+F36-D36</f>
        <v>-4.5494219916795444</v>
      </c>
      <c r="I36" s="63"/>
    </row>
    <row r="37" spans="1:10" x14ac:dyDescent="0.2">
      <c r="A37" s="63"/>
      <c r="B37" s="63"/>
      <c r="C37" s="231"/>
      <c r="D37" s="233"/>
      <c r="E37" s="233"/>
      <c r="F37" s="233"/>
      <c r="H37" s="233"/>
      <c r="I37" s="63"/>
    </row>
    <row r="38" spans="1:10" x14ac:dyDescent="0.2">
      <c r="A38" s="217" t="s">
        <v>120</v>
      </c>
      <c r="B38" s="217"/>
      <c r="C38" s="231"/>
      <c r="D38" s="234">
        <f>+D12/D9</f>
        <v>84.57692670502783</v>
      </c>
      <c r="E38" s="234"/>
      <c r="F38" s="234">
        <f>+F12/F9</f>
        <v>68.569159550958872</v>
      </c>
      <c r="H38" s="234">
        <f>+F38-D38</f>
        <v>-16.007767154068958</v>
      </c>
      <c r="I38" s="63"/>
    </row>
    <row r="39" spans="1:10" ht="13.5" thickBot="1" x14ac:dyDescent="0.25">
      <c r="A39" s="189"/>
      <c r="B39" s="189"/>
      <c r="C39" s="188"/>
      <c r="D39" s="188"/>
      <c r="E39" s="63"/>
      <c r="G39" s="63"/>
      <c r="H39" s="63"/>
      <c r="I39" s="63"/>
    </row>
    <row r="40" spans="1:10" x14ac:dyDescent="0.2">
      <c r="A40" s="190"/>
      <c r="B40" s="191"/>
      <c r="C40" s="192"/>
      <c r="D40" s="193"/>
      <c r="E40" s="63"/>
      <c r="G40" s="63"/>
      <c r="H40" s="63"/>
      <c r="I40" s="63"/>
    </row>
    <row r="41" spans="1:10" ht="25.5" x14ac:dyDescent="0.2">
      <c r="A41" s="235" t="s">
        <v>121</v>
      </c>
      <c r="B41" s="236" t="s">
        <v>122</v>
      </c>
      <c r="C41" s="237" t="s">
        <v>123</v>
      </c>
      <c r="D41" s="238" t="s">
        <v>124</v>
      </c>
      <c r="E41" s="63"/>
      <c r="G41" s="63"/>
      <c r="H41" s="63"/>
      <c r="I41" s="63"/>
    </row>
    <row r="42" spans="1:10" x14ac:dyDescent="0.2">
      <c r="A42" s="145" t="s">
        <v>125</v>
      </c>
      <c r="B42" s="239">
        <v>50</v>
      </c>
      <c r="C42" s="240">
        <v>80</v>
      </c>
      <c r="D42" s="241">
        <f t="shared" ref="D42:D45" si="5">ROUND(B42*C42,-2)</f>
        <v>4000</v>
      </c>
      <c r="E42" s="63"/>
      <c r="G42" s="63"/>
      <c r="H42" s="63"/>
      <c r="I42" s="63"/>
    </row>
    <row r="43" spans="1:10" x14ac:dyDescent="0.2">
      <c r="A43" s="145" t="s">
        <v>126</v>
      </c>
      <c r="B43" s="239">
        <v>50</v>
      </c>
      <c r="C43" s="240">
        <v>140</v>
      </c>
      <c r="D43" s="241">
        <f t="shared" si="5"/>
        <v>7000</v>
      </c>
      <c r="E43" s="63"/>
      <c r="G43" s="63"/>
      <c r="H43" s="63"/>
      <c r="I43" s="63"/>
    </row>
    <row r="44" spans="1:10" x14ac:dyDescent="0.2">
      <c r="A44" s="145" t="s">
        <v>138</v>
      </c>
      <c r="B44" s="239">
        <v>960</v>
      </c>
      <c r="C44" s="240">
        <v>110</v>
      </c>
      <c r="D44" s="241">
        <f t="shared" si="5"/>
        <v>105600</v>
      </c>
      <c r="E44" s="63"/>
      <c r="G44" s="63"/>
      <c r="H44" s="63"/>
      <c r="I44" s="63"/>
    </row>
    <row r="45" spans="1:10" ht="15" x14ac:dyDescent="0.35">
      <c r="A45" s="145" t="s">
        <v>127</v>
      </c>
      <c r="B45" s="242">
        <v>96</v>
      </c>
      <c r="C45" s="240">
        <v>80</v>
      </c>
      <c r="D45" s="243">
        <f t="shared" si="5"/>
        <v>7700</v>
      </c>
      <c r="E45" s="63"/>
      <c r="G45" s="63"/>
      <c r="H45" s="63"/>
      <c r="I45" s="63"/>
    </row>
    <row r="46" spans="1:10" ht="15" x14ac:dyDescent="0.35">
      <c r="A46" s="244" t="s">
        <v>128</v>
      </c>
      <c r="B46" s="245">
        <f>SUM(B42:B45)</f>
        <v>1156</v>
      </c>
      <c r="C46" s="240"/>
      <c r="D46" s="246">
        <f>SUM(D42:D45)</f>
        <v>124300</v>
      </c>
      <c r="E46" s="63"/>
      <c r="G46" s="63"/>
      <c r="H46" s="63"/>
      <c r="I46" s="63"/>
    </row>
    <row r="47" spans="1:10" ht="13.5" thickBot="1" x14ac:dyDescent="0.25">
      <c r="A47" s="194"/>
      <c r="B47" s="195"/>
      <c r="C47" s="196"/>
      <c r="D47" s="197"/>
      <c r="E47" s="63"/>
      <c r="G47" s="63"/>
      <c r="H47" s="63"/>
      <c r="I47" s="63"/>
    </row>
    <row r="48" spans="1:10" x14ac:dyDescent="0.2">
      <c r="A48" s="63"/>
      <c r="B48" s="63"/>
      <c r="C48" s="63"/>
      <c r="D48" s="63"/>
      <c r="E48" s="63"/>
      <c r="G48" s="63"/>
      <c r="H48" s="63"/>
      <c r="I48" s="63"/>
    </row>
    <row r="49" spans="1:9" x14ac:dyDescent="0.2">
      <c r="A49" s="63"/>
      <c r="B49" s="63"/>
      <c r="C49" s="63"/>
      <c r="D49" s="63"/>
      <c r="E49" s="63"/>
      <c r="G49" s="63"/>
      <c r="H49" s="63"/>
      <c r="I49" s="63"/>
    </row>
    <row r="50" spans="1:9" x14ac:dyDescent="0.2">
      <c r="A50" s="63"/>
      <c r="B50" s="63"/>
      <c r="C50" s="63"/>
      <c r="D50" s="63"/>
      <c r="E50" s="63"/>
      <c r="G50" s="63"/>
      <c r="H50" s="63"/>
      <c r="I50" s="63"/>
    </row>
  </sheetData>
  <pageMargins left="0.7" right="0.2" top="0.5" bottom="0.5" header="0.3" footer="0.3"/>
  <pageSetup scale="9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0972C6-4FDC-4553-BACD-0BF8FB87639D}">
  <dimension ref="A1:D47"/>
  <sheetViews>
    <sheetView workbookViewId="0">
      <selection activeCell="H28" sqref="H28"/>
    </sheetView>
  </sheetViews>
  <sheetFormatPr defaultRowHeight="12.75" x14ac:dyDescent="0.2"/>
  <cols>
    <col min="1" max="1" width="61.42578125" bestFit="1" customWidth="1"/>
    <col min="4" max="4" width="10.28515625" bestFit="1" customWidth="1"/>
  </cols>
  <sheetData>
    <row r="1" spans="1:4" ht="23.25" x14ac:dyDescent="0.35">
      <c r="A1" s="140" t="s">
        <v>143</v>
      </c>
      <c r="B1" s="140"/>
      <c r="C1" s="141"/>
      <c r="D1" s="141"/>
    </row>
    <row r="2" spans="1:4" ht="15.75" x14ac:dyDescent="0.25">
      <c r="A2" s="142" t="s">
        <v>285</v>
      </c>
      <c r="B2" s="142"/>
      <c r="C2" s="143"/>
      <c r="D2" s="144"/>
    </row>
    <row r="3" spans="1:4" x14ac:dyDescent="0.2">
      <c r="A3" s="198"/>
      <c r="B3" s="198"/>
      <c r="C3" s="199"/>
      <c r="D3" s="200"/>
    </row>
    <row r="4" spans="1:4" ht="15" x14ac:dyDescent="0.35">
      <c r="A4" s="185"/>
      <c r="B4" s="185"/>
      <c r="C4" s="199"/>
      <c r="D4" s="201" t="s">
        <v>106</v>
      </c>
    </row>
    <row r="5" spans="1:4" x14ac:dyDescent="0.2">
      <c r="A5" s="202" t="s">
        <v>107</v>
      </c>
      <c r="B5" s="202"/>
      <c r="C5" s="199"/>
      <c r="D5" s="203"/>
    </row>
    <row r="6" spans="1:4" ht="15" x14ac:dyDescent="0.35">
      <c r="A6" s="185" t="s">
        <v>21</v>
      </c>
      <c r="B6" s="185"/>
      <c r="C6" s="199"/>
      <c r="D6" s="204">
        <f>+'Budget vs Actual'!F6</f>
        <v>25579</v>
      </c>
    </row>
    <row r="7" spans="1:4" x14ac:dyDescent="0.2">
      <c r="A7" s="185"/>
      <c r="B7" s="185"/>
      <c r="C7" s="199"/>
      <c r="D7" s="205"/>
    </row>
    <row r="8" spans="1:4" x14ac:dyDescent="0.2">
      <c r="A8" s="202" t="s">
        <v>108</v>
      </c>
      <c r="B8" s="202"/>
      <c r="C8" s="199"/>
      <c r="D8" s="205"/>
    </row>
    <row r="9" spans="1:4" ht="15" x14ac:dyDescent="0.35">
      <c r="A9" s="206" t="s">
        <v>135</v>
      </c>
      <c r="B9" s="206"/>
      <c r="C9" s="199"/>
      <c r="D9" s="207">
        <f>+'Budget vs Actual'!F9</f>
        <v>10415.341646236764</v>
      </c>
    </row>
    <row r="10" spans="1:4" x14ac:dyDescent="0.2">
      <c r="A10" s="186"/>
      <c r="B10" s="186"/>
      <c r="C10" s="199"/>
      <c r="D10" s="205"/>
    </row>
    <row r="11" spans="1:4" x14ac:dyDescent="0.2">
      <c r="A11" s="202" t="s">
        <v>109</v>
      </c>
      <c r="B11" s="202"/>
      <c r="C11" s="199"/>
      <c r="D11" s="203"/>
    </row>
    <row r="12" spans="1:4" ht="34.5" customHeight="1" x14ac:dyDescent="0.35">
      <c r="A12" s="208" t="s">
        <v>284</v>
      </c>
      <c r="B12" s="208"/>
      <c r="C12" s="188"/>
      <c r="D12" s="209">
        <f>ROUND((+'Rebate Calculation'!F27+'Rebate Calculation'!F58)*2, -3)</f>
        <v>645000</v>
      </c>
    </row>
    <row r="13" spans="1:4" x14ac:dyDescent="0.2">
      <c r="A13" s="208"/>
      <c r="B13" s="208"/>
      <c r="C13" s="188"/>
      <c r="D13" s="210"/>
    </row>
    <row r="14" spans="1:4" x14ac:dyDescent="0.2">
      <c r="A14" s="202" t="s">
        <v>110</v>
      </c>
      <c r="B14" s="208"/>
      <c r="C14" s="188"/>
      <c r="D14" s="210"/>
    </row>
    <row r="15" spans="1:4" x14ac:dyDescent="0.2">
      <c r="A15" s="208" t="s">
        <v>111</v>
      </c>
      <c r="B15" s="208"/>
      <c r="C15" s="211">
        <v>0.5</v>
      </c>
      <c r="D15" s="212">
        <f>ROUND(+D12*C15,-2)</f>
        <v>322500</v>
      </c>
    </row>
    <row r="16" spans="1:4" x14ac:dyDescent="0.2">
      <c r="A16" s="213" t="s">
        <v>136</v>
      </c>
      <c r="B16" s="185"/>
      <c r="C16" s="214">
        <v>0.05</v>
      </c>
      <c r="D16" s="215">
        <f>-ROUND(+D28*C16,-2)</f>
        <v>-14700</v>
      </c>
    </row>
    <row r="17" spans="1:4" ht="15" x14ac:dyDescent="0.35">
      <c r="A17" s="213"/>
      <c r="B17" s="185"/>
      <c r="C17" s="199"/>
      <c r="D17" s="216">
        <f>+D15+D16</f>
        <v>307800</v>
      </c>
    </row>
    <row r="18" spans="1:4" x14ac:dyDescent="0.2">
      <c r="A18" s="202" t="s">
        <v>112</v>
      </c>
      <c r="B18" s="202"/>
      <c r="C18" s="199"/>
      <c r="D18" s="203"/>
    </row>
    <row r="19" spans="1:4" ht="15" x14ac:dyDescent="0.35">
      <c r="A19" s="217" t="s">
        <v>113</v>
      </c>
      <c r="B19" s="217"/>
      <c r="C19" s="199"/>
      <c r="D19" s="218">
        <f>+D46</f>
        <v>108800</v>
      </c>
    </row>
    <row r="20" spans="1:4" ht="15" x14ac:dyDescent="0.35">
      <c r="A20" s="217"/>
      <c r="B20" s="217"/>
      <c r="C20" s="219"/>
      <c r="D20" s="220"/>
    </row>
    <row r="21" spans="1:4" ht="15" x14ac:dyDescent="0.35">
      <c r="A21" s="221" t="s">
        <v>114</v>
      </c>
      <c r="B21" s="221"/>
      <c r="C21" s="187"/>
      <c r="D21" s="220"/>
    </row>
    <row r="22" spans="1:4" ht="15" x14ac:dyDescent="0.25">
      <c r="A22" s="365" t="s">
        <v>304</v>
      </c>
      <c r="B22" s="189"/>
      <c r="C22" s="222"/>
      <c r="D22" s="223">
        <v>115300</v>
      </c>
    </row>
    <row r="23" spans="1:4" ht="15" x14ac:dyDescent="0.25">
      <c r="A23" s="365" t="s">
        <v>305</v>
      </c>
      <c r="B23" s="189"/>
      <c r="C23" s="188"/>
      <c r="D23" s="223">
        <v>20000</v>
      </c>
    </row>
    <row r="24" spans="1:4" ht="15" x14ac:dyDescent="0.25">
      <c r="A24" s="365" t="s">
        <v>306</v>
      </c>
      <c r="B24" s="189"/>
      <c r="C24" s="224"/>
      <c r="D24" s="223">
        <v>35000</v>
      </c>
    </row>
    <row r="25" spans="1:4" ht="16.5" x14ac:dyDescent="0.35">
      <c r="A25" s="365" t="s">
        <v>307</v>
      </c>
      <c r="B25" s="189"/>
      <c r="C25" s="224"/>
      <c r="D25" s="225">
        <v>14000</v>
      </c>
    </row>
    <row r="26" spans="1:4" ht="19.5" customHeight="1" x14ac:dyDescent="0.35">
      <c r="A26" s="217" t="s">
        <v>115</v>
      </c>
      <c r="B26" s="217"/>
      <c r="C26" s="188"/>
      <c r="D26" s="218">
        <f>SUM(D22:D25)</f>
        <v>184300</v>
      </c>
    </row>
    <row r="27" spans="1:4" x14ac:dyDescent="0.2">
      <c r="A27" s="217"/>
      <c r="B27" s="217"/>
      <c r="C27" s="226"/>
      <c r="D27" s="227"/>
    </row>
    <row r="28" spans="1:4" ht="15" x14ac:dyDescent="0.35">
      <c r="A28" s="217" t="s">
        <v>116</v>
      </c>
      <c r="B28" s="217"/>
      <c r="C28" s="226"/>
      <c r="D28" s="228">
        <f>+D26+D19</f>
        <v>293100</v>
      </c>
    </row>
    <row r="29" spans="1:4" ht="15" x14ac:dyDescent="0.35">
      <c r="A29" s="217"/>
      <c r="B29" s="217"/>
      <c r="C29" s="226"/>
      <c r="D29" s="228"/>
    </row>
    <row r="30" spans="1:4" ht="15" x14ac:dyDescent="0.35">
      <c r="A30" s="217" t="s">
        <v>117</v>
      </c>
      <c r="B30" s="217"/>
      <c r="C30" s="226"/>
      <c r="D30" s="218">
        <f>ROUND(+D28*0.05,-2)</f>
        <v>14700</v>
      </c>
    </row>
    <row r="31" spans="1:4" x14ac:dyDescent="0.2">
      <c r="A31" s="217"/>
      <c r="B31" s="217"/>
      <c r="C31" s="226"/>
      <c r="D31" s="229"/>
    </row>
    <row r="32" spans="1:4" x14ac:dyDescent="0.2">
      <c r="A32" s="217" t="s">
        <v>118</v>
      </c>
      <c r="B32" s="217"/>
      <c r="C32" s="230"/>
      <c r="D32" s="229">
        <f>+D30+D28</f>
        <v>307800</v>
      </c>
    </row>
    <row r="33" spans="1:4" x14ac:dyDescent="0.2">
      <c r="A33" s="217"/>
      <c r="B33" s="217"/>
      <c r="C33" s="230"/>
      <c r="D33" s="229"/>
    </row>
    <row r="34" spans="1:4" ht="15" hidden="1" x14ac:dyDescent="0.25">
      <c r="A34" s="257" t="s">
        <v>184</v>
      </c>
      <c r="B34" s="198"/>
      <c r="C34" s="231"/>
      <c r="D34" s="256">
        <f>+D32-D17</f>
        <v>0</v>
      </c>
    </row>
    <row r="35" spans="1:4" ht="15" x14ac:dyDescent="0.25">
      <c r="A35" s="255"/>
      <c r="B35" s="198"/>
      <c r="C35" s="231"/>
      <c r="D35" s="232"/>
    </row>
    <row r="36" spans="1:4" x14ac:dyDescent="0.2">
      <c r="A36" s="217" t="s">
        <v>119</v>
      </c>
      <c r="B36" s="217"/>
      <c r="C36" s="231"/>
      <c r="D36" s="233">
        <f>+D9*2000/D6/24</f>
        <v>33.931941717283593</v>
      </c>
    </row>
    <row r="37" spans="1:4" x14ac:dyDescent="0.2">
      <c r="A37" s="63"/>
      <c r="B37" s="63"/>
      <c r="C37" s="231"/>
      <c r="D37" s="233"/>
    </row>
    <row r="38" spans="1:4" x14ac:dyDescent="0.2">
      <c r="A38" s="217" t="s">
        <v>120</v>
      </c>
      <c r="B38" s="217"/>
      <c r="C38" s="231"/>
      <c r="D38" s="234">
        <f>+D12/D9</f>
        <v>61.927877347455926</v>
      </c>
    </row>
    <row r="39" spans="1:4" ht="13.5" thickBot="1" x14ac:dyDescent="0.25">
      <c r="A39" s="189"/>
      <c r="B39" s="189"/>
      <c r="C39" s="188"/>
      <c r="D39" s="188"/>
    </row>
    <row r="40" spans="1:4" x14ac:dyDescent="0.2">
      <c r="A40" s="190"/>
      <c r="B40" s="191"/>
      <c r="C40" s="192"/>
      <c r="D40" s="193"/>
    </row>
    <row r="41" spans="1:4" ht="25.5" x14ac:dyDescent="0.2">
      <c r="A41" s="235" t="s">
        <v>121</v>
      </c>
      <c r="B41" s="236" t="s">
        <v>122</v>
      </c>
      <c r="C41" s="237" t="s">
        <v>123</v>
      </c>
      <c r="D41" s="238" t="s">
        <v>124</v>
      </c>
    </row>
    <row r="42" spans="1:4" x14ac:dyDescent="0.2">
      <c r="A42" s="145" t="s">
        <v>125</v>
      </c>
      <c r="B42" s="239">
        <v>50</v>
      </c>
      <c r="C42" s="240">
        <v>90</v>
      </c>
      <c r="D42" s="241">
        <f t="shared" ref="D42:D45" si="0">ROUND(B42*C42,-2)</f>
        <v>4500</v>
      </c>
    </row>
    <row r="43" spans="1:4" x14ac:dyDescent="0.2">
      <c r="A43" s="145" t="s">
        <v>126</v>
      </c>
      <c r="B43" s="239">
        <v>50</v>
      </c>
      <c r="C43" s="240">
        <v>150</v>
      </c>
      <c r="D43" s="241">
        <f t="shared" si="0"/>
        <v>7500</v>
      </c>
    </row>
    <row r="44" spans="1:4" x14ac:dyDescent="0.2">
      <c r="A44" s="145" t="s">
        <v>138</v>
      </c>
      <c r="B44" s="239">
        <v>980</v>
      </c>
      <c r="C44" s="240">
        <v>90</v>
      </c>
      <c r="D44" s="241">
        <f t="shared" si="0"/>
        <v>88200</v>
      </c>
    </row>
    <row r="45" spans="1:4" ht="15" x14ac:dyDescent="0.35">
      <c r="A45" s="145" t="s">
        <v>127</v>
      </c>
      <c r="B45" s="242">
        <v>96</v>
      </c>
      <c r="C45" s="240">
        <v>90</v>
      </c>
      <c r="D45" s="243">
        <f t="shared" si="0"/>
        <v>8600</v>
      </c>
    </row>
    <row r="46" spans="1:4" ht="15" x14ac:dyDescent="0.35">
      <c r="A46" s="244" t="s">
        <v>128</v>
      </c>
      <c r="B46" s="245">
        <f>SUM(B42:B45)</f>
        <v>1176</v>
      </c>
      <c r="C46" s="240"/>
      <c r="D46" s="246">
        <f>SUM(D42:D45)</f>
        <v>108800</v>
      </c>
    </row>
    <row r="47" spans="1:4" ht="13.5" thickBot="1" x14ac:dyDescent="0.25">
      <c r="A47" s="194"/>
      <c r="B47" s="195"/>
      <c r="C47" s="196"/>
      <c r="D47" s="197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237FE7-0910-4C69-87F9-735E1DEDDB4C}">
  <dimension ref="A1:L37"/>
  <sheetViews>
    <sheetView workbookViewId="0">
      <selection activeCell="E4" sqref="E4"/>
    </sheetView>
  </sheetViews>
  <sheetFormatPr defaultRowHeight="12.75" x14ac:dyDescent="0.2"/>
  <cols>
    <col min="1" max="1" width="18.28515625" bestFit="1" customWidth="1"/>
    <col min="3" max="3" width="9.7109375" style="155" bestFit="1" customWidth="1"/>
    <col min="4" max="4" width="9.7109375" bestFit="1" customWidth="1"/>
    <col min="5" max="5" width="10.28515625" bestFit="1" customWidth="1"/>
    <col min="7" max="7" width="3.5703125" customWidth="1"/>
    <col min="8" max="11" width="12.28515625" bestFit="1" customWidth="1"/>
  </cols>
  <sheetData>
    <row r="1" spans="1:12" s="1" customFormat="1" ht="23.25" x14ac:dyDescent="0.35">
      <c r="A1" s="22" t="s">
        <v>31</v>
      </c>
      <c r="C1" s="171"/>
    </row>
    <row r="2" spans="1:12" s="1" customFormat="1" x14ac:dyDescent="0.2">
      <c r="A2" s="1" t="s">
        <v>153</v>
      </c>
      <c r="C2" s="171"/>
    </row>
    <row r="3" spans="1:12" s="1" customFormat="1" x14ac:dyDescent="0.2">
      <c r="C3" s="171"/>
      <c r="F3" s="4"/>
      <c r="H3" s="4" t="s">
        <v>281</v>
      </c>
      <c r="I3" s="4" t="s">
        <v>280</v>
      </c>
    </row>
    <row r="4" spans="1:12" s="1" customFormat="1" x14ac:dyDescent="0.2">
      <c r="C4" s="172"/>
      <c r="D4" s="4"/>
      <c r="E4" s="4" t="s">
        <v>149</v>
      </c>
      <c r="F4" s="4" t="s">
        <v>4</v>
      </c>
      <c r="H4" s="4" t="s">
        <v>185</v>
      </c>
      <c r="I4" s="4" t="s">
        <v>185</v>
      </c>
      <c r="K4" s="4" t="s">
        <v>278</v>
      </c>
    </row>
    <row r="5" spans="1:12" s="3" customFormat="1" x14ac:dyDescent="0.2">
      <c r="C5" s="173" t="s">
        <v>106</v>
      </c>
      <c r="D5" s="101" t="s">
        <v>148</v>
      </c>
      <c r="E5" s="101" t="s">
        <v>150</v>
      </c>
      <c r="F5" s="101" t="s">
        <v>151</v>
      </c>
      <c r="H5" s="258">
        <v>43497</v>
      </c>
      <c r="I5" s="258">
        <v>43678</v>
      </c>
      <c r="J5" s="101" t="s">
        <v>182</v>
      </c>
      <c r="K5" s="101" t="s">
        <v>3</v>
      </c>
    </row>
    <row r="6" spans="1:12" s="3" customFormat="1" x14ac:dyDescent="0.2">
      <c r="C6" s="173"/>
      <c r="D6" s="101"/>
      <c r="E6" s="101"/>
      <c r="F6" s="101"/>
    </row>
    <row r="7" spans="1:12" s="3" customFormat="1" x14ac:dyDescent="0.2">
      <c r="A7" s="63" t="s">
        <v>5</v>
      </c>
      <c r="C7" s="174">
        <f>+'Budget vs Actual'!D6</f>
        <v>22957</v>
      </c>
      <c r="D7" s="174">
        <f>+'Res''l &amp; MF Customers'!K12</f>
        <v>24956</v>
      </c>
      <c r="E7" s="155">
        <f>+D7-C7</f>
        <v>1999</v>
      </c>
      <c r="F7" s="113">
        <f>+E7/C7</f>
        <v>8.7075837435204945E-2</v>
      </c>
    </row>
    <row r="8" spans="1:12" s="3" customFormat="1" x14ac:dyDescent="0.2">
      <c r="C8" s="173"/>
      <c r="D8" s="101"/>
      <c r="E8" s="101"/>
      <c r="F8" s="113"/>
    </row>
    <row r="9" spans="1:12" x14ac:dyDescent="0.2">
      <c r="A9" t="s">
        <v>147</v>
      </c>
      <c r="C9" s="155">
        <f>+'Budget vs Actual'!D9</f>
        <v>10601</v>
      </c>
      <c r="D9" s="155">
        <f>+K9</f>
        <v>10415.341646236764</v>
      </c>
      <c r="E9" s="155">
        <f>+D9-C9</f>
        <v>-185.65835376323594</v>
      </c>
      <c r="F9" s="113">
        <f>+E9/C9</f>
        <v>-1.7513286837396089E-2</v>
      </c>
      <c r="H9" s="2">
        <v>3178.58</v>
      </c>
      <c r="I9" s="2">
        <v>2394.12</v>
      </c>
      <c r="J9" s="6">
        <f>+'Tons &amp; Revenue'!N71</f>
        <v>4842.6416462367642</v>
      </c>
      <c r="K9" s="6">
        <f>+J9+I9+H9</f>
        <v>10415.341646236764</v>
      </c>
      <c r="L9" s="6"/>
    </row>
    <row r="10" spans="1:12" x14ac:dyDescent="0.2">
      <c r="D10" s="155"/>
      <c r="E10" s="155"/>
      <c r="F10" s="113"/>
    </row>
    <row r="11" spans="1:12" x14ac:dyDescent="0.2">
      <c r="A11" s="63" t="s">
        <v>154</v>
      </c>
      <c r="C11" s="9">
        <f>+'Budget vs Actual'!D12</f>
        <v>896600</v>
      </c>
      <c r="D11" s="9">
        <f>+K11</f>
        <v>714171.22311855538</v>
      </c>
      <c r="E11" s="9">
        <f>+D11-C11</f>
        <v>-182428.77688144462</v>
      </c>
      <c r="F11" s="113">
        <f>+E11/C11</f>
        <v>-0.2034672952057156</v>
      </c>
      <c r="H11" s="9">
        <v>264981</v>
      </c>
      <c r="I11" s="9">
        <v>161705</v>
      </c>
      <c r="J11" s="9">
        <f>+'Tons &amp; Revenue'!M123+'Tons &amp; Revenue'!M139</f>
        <v>287485.22311855538</v>
      </c>
      <c r="K11" s="9">
        <f>+J11+I11+H11</f>
        <v>714171.22311855538</v>
      </c>
    </row>
    <row r="12" spans="1:12" x14ac:dyDescent="0.2">
      <c r="D12" s="155"/>
      <c r="E12" s="155"/>
      <c r="F12" s="113"/>
    </row>
    <row r="13" spans="1:12" x14ac:dyDescent="0.2">
      <c r="A13" s="63" t="s">
        <v>152</v>
      </c>
      <c r="C13" s="76">
        <f>+C11/C9</f>
        <v>84.57692670502783</v>
      </c>
      <c r="D13" s="76">
        <f t="shared" ref="D13" si="0">+D11/D9</f>
        <v>68.569159550958872</v>
      </c>
      <c r="E13" s="76">
        <f>+D13-C13</f>
        <v>-16.007767154068958</v>
      </c>
      <c r="F13" s="113">
        <f>+E13/C13</f>
        <v>-0.18926872585354118</v>
      </c>
    </row>
    <row r="14" spans="1:12" x14ac:dyDescent="0.2">
      <c r="D14" s="155"/>
      <c r="E14" s="155"/>
    </row>
    <row r="15" spans="1:12" x14ac:dyDescent="0.2">
      <c r="D15" s="155"/>
      <c r="E15" s="155"/>
    </row>
    <row r="16" spans="1:12" x14ac:dyDescent="0.2">
      <c r="D16" s="155"/>
      <c r="E16" s="155"/>
    </row>
    <row r="17" spans="4:5" x14ac:dyDescent="0.2">
      <c r="D17" s="155"/>
      <c r="E17" s="155"/>
    </row>
    <row r="18" spans="4:5" x14ac:dyDescent="0.2">
      <c r="D18" s="155"/>
      <c r="E18" s="155"/>
    </row>
    <row r="19" spans="4:5" x14ac:dyDescent="0.2">
      <c r="D19" s="155"/>
      <c r="E19" s="155"/>
    </row>
    <row r="20" spans="4:5" x14ac:dyDescent="0.2">
      <c r="D20" s="155"/>
      <c r="E20" s="155"/>
    </row>
    <row r="21" spans="4:5" x14ac:dyDescent="0.2">
      <c r="D21" s="155"/>
      <c r="E21" s="155"/>
    </row>
    <row r="22" spans="4:5" x14ac:dyDescent="0.2">
      <c r="D22" s="155"/>
      <c r="E22" s="155"/>
    </row>
    <row r="23" spans="4:5" x14ac:dyDescent="0.2">
      <c r="D23" s="155"/>
      <c r="E23" s="155"/>
    </row>
    <row r="24" spans="4:5" x14ac:dyDescent="0.2">
      <c r="D24" s="155"/>
      <c r="E24" s="155"/>
    </row>
    <row r="25" spans="4:5" x14ac:dyDescent="0.2">
      <c r="D25" s="155"/>
      <c r="E25" s="155"/>
    </row>
    <row r="26" spans="4:5" x14ac:dyDescent="0.2">
      <c r="D26" s="155"/>
      <c r="E26" s="155"/>
    </row>
    <row r="27" spans="4:5" x14ac:dyDescent="0.2">
      <c r="D27" s="155"/>
      <c r="E27" s="155"/>
    </row>
    <row r="28" spans="4:5" x14ac:dyDescent="0.2">
      <c r="D28" s="155"/>
      <c r="E28" s="155"/>
    </row>
    <row r="29" spans="4:5" x14ac:dyDescent="0.2">
      <c r="D29" s="155"/>
      <c r="E29" s="155"/>
    </row>
    <row r="30" spans="4:5" x14ac:dyDescent="0.2">
      <c r="D30" s="155"/>
      <c r="E30" s="155"/>
    </row>
    <row r="31" spans="4:5" x14ac:dyDescent="0.2">
      <c r="D31" s="155"/>
      <c r="E31" s="155"/>
    </row>
    <row r="32" spans="4:5" x14ac:dyDescent="0.2">
      <c r="D32" s="155"/>
      <c r="E32" s="155"/>
    </row>
    <row r="33" spans="4:5" x14ac:dyDescent="0.2">
      <c r="D33" s="155"/>
      <c r="E33" s="155"/>
    </row>
    <row r="34" spans="4:5" x14ac:dyDescent="0.2">
      <c r="D34" s="155"/>
      <c r="E34" s="155"/>
    </row>
    <row r="35" spans="4:5" x14ac:dyDescent="0.2">
      <c r="D35" s="155"/>
      <c r="E35" s="155"/>
    </row>
    <row r="36" spans="4:5" x14ac:dyDescent="0.2">
      <c r="D36" s="155"/>
      <c r="E36" s="155"/>
    </row>
    <row r="37" spans="4:5" x14ac:dyDescent="0.2">
      <c r="D37" s="155"/>
      <c r="E37" s="155"/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227</IndustryCode>
    <CaseStatus xmlns="dc463f71-b30c-4ab2-9473-d307f9d35888">Closed</CaseStatus>
    <OpenedDate xmlns="dc463f71-b30c-4ab2-9473-d307f9d35888">2020-06-12T07:00:00+00:00</OpenedDate>
    <SignificantOrder xmlns="dc463f71-b30c-4ab2-9473-d307f9d35888">false</SignificantOrder>
    <Date1 xmlns="dc463f71-b30c-4ab2-9473-d307f9d35888">2020-06-12T07:00:00+00:00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Waste Management of Washington, Inc.</CaseCompanyNames>
    <Nickname xmlns="http://schemas.microsoft.com/sharepoint/v3" xsi:nil="true"/>
    <DocketNumber xmlns="dc463f71-b30c-4ab2-9473-d307f9d35888">200541</DocketNumber>
    <DelegatedOrder xmlns="dc463f71-b30c-4ab2-9473-d307f9d35888">false</DelegatedOrder>
  </documentManagement>
</p:properties>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B41C59C80C8BF4B9611CD5DB7B6A1EB" ma:contentTypeVersion="52" ma:contentTypeDescription="" ma:contentTypeScope="" ma:versionID="a2ea0436a18745997c10b54bc950055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BA80EE1-310B-4E43-8EAD-C47CAB5BC19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0CD76EC-DDB2-42CB-AF9B-46F240AA15BA}">
  <ds:schemaRefs>
    <ds:schemaRef ds:uri="dd505c63-389f-4c50-b250-8880f70a2ae8"/>
    <ds:schemaRef ds:uri="http://purl.org/dc/elements/1.1/"/>
    <ds:schemaRef ds:uri="http://schemas.microsoft.com/office/2006/metadata/properties"/>
    <ds:schemaRef ds:uri="cbb60f30-5457-4fe2-8643-83400c4de494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D6EBE73D-DD97-4E32-9F5E-1F8CC1D45622}"/>
</file>

<file path=customXml/itemProps4.xml><?xml version="1.0" encoding="utf-8"?>
<ds:datastoreItem xmlns:ds="http://schemas.openxmlformats.org/officeDocument/2006/customXml" ds:itemID="{1E4CD6D5-FDAD-4206-AA5F-8E0825B3D69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6</vt:i4>
      </vt:variant>
    </vt:vector>
  </HeadingPairs>
  <TitlesOfParts>
    <vt:vector size="16" baseType="lpstr">
      <vt:lpstr>Rebate Calculation</vt:lpstr>
      <vt:lpstr>Tons &amp; Revenue</vt:lpstr>
      <vt:lpstr>Composition</vt:lpstr>
      <vt:lpstr>Prices</vt:lpstr>
      <vt:lpstr>Res'l &amp; MF Customers</vt:lpstr>
      <vt:lpstr>Incentive Analysis</vt:lpstr>
      <vt:lpstr>Budget vs Actual</vt:lpstr>
      <vt:lpstr>2020-2022 Budget</vt:lpstr>
      <vt:lpstr>24 Month Rev &amp; Ton summary</vt:lpstr>
      <vt:lpstr>B and O Tax </vt:lpstr>
      <vt:lpstr>'Budget vs Actual'!Print_Area</vt:lpstr>
      <vt:lpstr>Composition!Print_Area</vt:lpstr>
      <vt:lpstr>'Rebate Calculation'!Print_Area</vt:lpstr>
      <vt:lpstr>'Res''l &amp; MF Customers'!Print_Area</vt:lpstr>
      <vt:lpstr>'Tons &amp; Revenue'!Print_Area</vt:lpstr>
      <vt:lpstr>'Tons &amp; Revenue'!Print_Titles</vt:lpstr>
    </vt:vector>
  </TitlesOfParts>
  <Company>Waste Management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180531</dc:title>
  <dc:subject>Commodity Credit</dc:subject>
  <dc:creator>Mike Weinstein</dc:creator>
  <cp:lastModifiedBy>Weinstein, Mike</cp:lastModifiedBy>
  <cp:lastPrinted>2018-06-12T15:36:38Z</cp:lastPrinted>
  <dcterms:created xsi:type="dcterms:W3CDTF">2004-02-20T19:40:08Z</dcterms:created>
  <dcterms:modified xsi:type="dcterms:W3CDTF">2020-06-12T21:16:56Z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0x0101006E56B4D1795A2E4DB2F0B01679ED314A009B41C59C80C8BF4B9611CD5DB7B6A1EB</vt:lpwstr>
  </property>
  <property fmtid="{D5CDD505-2E9C-101B-9397-08002B2CF9AE}" pid="3" name="SV_QUERY_LIST_4F35BF76-6C0D-4D9B-82B2-816C12CF3733">
    <vt:lpwstr>empty_477D106A-C0D6-4607-AEBD-E2C9D60EA279</vt:lpwstr>
  </property>
  <property fmtid="{D5CDD505-2E9C-101B-9397-08002B2CF9AE}" pid="4" name="Industry">
    <vt:lpwstr>8;#227 - Solid Waste|e5216a35-883e-4320-8450-4a52f3c8956b</vt:lpwstr>
  </property>
  <property fmtid="{D5CDD505-2E9C-101B-9397-08002B2CF9AE}" pid="5" name="SV_HIDDEN_GRID_QUERY_LIST_4F35BF76-6C0D-4D9B-82B2-816C12CF3733">
    <vt:lpwstr>empty_477D106A-C0D6-4607-AEBD-E2C9D60EA279</vt:lpwstr>
  </property>
  <property fmtid="{D5CDD505-2E9C-101B-9397-08002B2CF9AE}" pid="6" name="_docset_NoMedatataSyncRequired">
    <vt:lpwstr>False</vt:lpwstr>
  </property>
  <property fmtid="{D5CDD505-2E9C-101B-9397-08002B2CF9AE}" pid="7" name="IsEFSEC">
    <vt:bool>false</vt:bool>
  </property>
</Properties>
</file>