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activeX/activeX3.xml" ContentType="application/vnd.ms-office.activeX+xml"/>
  <Override PartName="/xl/activeX/activeX3.bin" ContentType="application/vnd.ms-office.activeX"/>
  <Override PartName="/xl/activeX/activeX1.bin" ContentType="application/vnd.ms-office.activeX"/>
  <Override PartName="/xl/activeX/activeX2.bin" ContentType="application/vnd.ms-office.activeX"/>
  <Override PartName="/xl/activeX/activeX2.xml" ContentType="application/vnd.ms-office.activeX+xml"/>
  <Override PartName="/xl/comments4.xml" ContentType="application/vnd.openxmlformats-officedocument.spreadsheetml.comments+xml"/>
  <Override PartName="/xl/activeX/activeX1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5.xml" ContentType="application/vnd.ms-office.activeX+xml"/>
  <Override PartName="/xl/activeX/activeX5.bin" ContentType="application/vnd.ms-office.activeX"/>
  <Override PartName="/xl/threadedComments/threadedComment3.xml" ContentType="application/vnd.ms-excel.threadedcomments+xml"/>
  <Override PartName="/xl/threadedComments/threadedComment2.xml" ContentType="application/vnd.ms-excel.threadedcomments+xml"/>
  <Override PartName="/xl/threadedComments/threadedComment1.xml" ContentType="application/vnd.ms-excel.threadedcomments+xml"/>
  <Override PartName="/xl/persons/person.xml" ContentType="application/vnd.ms-excel.person+xml"/>
  <Override PartName="/xl/threadedComments/threadedComment4.xml" ContentType="application/vnd.ms-excel.threaded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ystal\Documents\"/>
    </mc:Choice>
  </mc:AlternateContent>
  <bookViews>
    <workbookView xWindow="0" yWindow="0" windowWidth="23016" windowHeight="9180" tabRatio="900"/>
  </bookViews>
  <sheets>
    <sheet name="RESULTS OF OPERATIONS" sheetId="2" r:id="rId1"/>
    <sheet name="LG Nonpublic 2018 V5.2a" sheetId="42" r:id="rId2"/>
    <sheet name="PA ADJ INDEX" sheetId="39" r:id="rId3"/>
    <sheet name="Price Out" sheetId="43" r:id="rId4"/>
    <sheet name="REVENUE" sheetId="8" r:id="rId5"/>
    <sheet name="PROFORMA REV" sheetId="14" r:id="rId6"/>
    <sheet name="PA 1" sheetId="21" r:id="rId7"/>
    <sheet name="PA 2 OFFICE RENT" sheetId="20" r:id="rId8"/>
    <sheet name="PA 3 DEPREC" sheetId="17" r:id="rId9"/>
    <sheet name="PA 4 DISPOSAL FEE" sheetId="9" r:id="rId10"/>
    <sheet name="PA 5 PAYROLL" sheetId="4" r:id="rId11"/>
    <sheet name="PA 6 LICENSING" sheetId="11" r:id="rId12"/>
    <sheet name="MANAGER MEDICAL PA 7" sheetId="18" r:id="rId13"/>
    <sheet name="PA 8 INTEREST" sheetId="6" r:id="rId14"/>
    <sheet name="PA 10 INSURANCE" sheetId="7" r:id="rId15"/>
    <sheet name="PA 11 TIRES" sheetId="19" r:id="rId16"/>
    <sheet name="PA 12 BENEFITS" sheetId="37" r:id="rId17"/>
    <sheet name="PA 13 TARIFF PREP" sheetId="38" r:id="rId18"/>
    <sheet name="BALANCE SHEET" sheetId="22" r:id="rId19"/>
    <sheet name="P&amp;L BY MONTH" sheetId="40" r:id="rId20"/>
  </sheets>
  <definedNames>
    <definedName name="Debt_Rate" localSheetId="1">'LG Nonpublic 2018 V5.2a'!$K$27</definedName>
    <definedName name="debtP" localSheetId="1">'LG Nonpublic 2018 V5.2a'!$I$27</definedName>
    <definedName name="Equity_percent" localSheetId="1">'LG Nonpublic 2018 V5.2a'!$S$58</definedName>
    <definedName name="equityP" localSheetId="1">'LG Nonpublic 2018 V5.2a'!$I$26</definedName>
    <definedName name="expenses" localSheetId="1">'LG Nonpublic 2018 V5.2a'!$I$8</definedName>
    <definedName name="INPUT" localSheetId="1">'LG Nonpublic 2018 V5.2a'!#REF!</definedName>
    <definedName name="INPUT">#REF!</definedName>
    <definedName name="INPUTc">#REF!</definedName>
    <definedName name="Investment" localSheetId="1">'LG Nonpublic 2018 V5.2a'!$J$28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fd_weighted" localSheetId="1">'LG Nonpublic 2018 V5.2a'!$U$57</definedName>
    <definedName name="_xlnm.Print_Area" localSheetId="1">'LG Nonpublic 2018 V5.2a'!$F$2:$N$49</definedName>
    <definedName name="Print_Area_MI">#REF!</definedName>
    <definedName name="Print_Area_MIc">#REF!</definedName>
    <definedName name="_xlnm.Print_Titles" localSheetId="9">'PA 4 DISPOSAL FEE'!$A:$C,'PA 4 DISPOSAL FEE'!$1:$1</definedName>
    <definedName name="_xlnm.Print_Titles" localSheetId="11">'PA 6 LICENSING'!$A:$C,'PA 6 LICENSING'!$1:$1</definedName>
    <definedName name="QB_COLUMN_1" localSheetId="9" hidden="1">'PA 4 DISPOSAL FEE'!$D$5</definedName>
    <definedName name="QB_COLUMN_1" localSheetId="11" hidden="1">'PA 6 LICENSING'!$D$5</definedName>
    <definedName name="QB_COLUMN_19" localSheetId="9" hidden="1">'PA 4 DISPOSAL FEE'!$P$5</definedName>
    <definedName name="QB_COLUMN_19" localSheetId="11" hidden="1">'PA 6 LICENSING'!$P$5</definedName>
    <definedName name="QB_COLUMN_20" localSheetId="9" hidden="1">'PA 4 DISPOSAL FEE'!$R$5</definedName>
    <definedName name="QB_COLUMN_20" localSheetId="11" hidden="1">'PA 6 LICENSING'!$R$5</definedName>
    <definedName name="QB_COLUMN_3" localSheetId="9" hidden="1">'PA 4 DISPOSAL FEE'!$F$5</definedName>
    <definedName name="QB_COLUMN_3" localSheetId="11" hidden="1">'PA 6 LICENSING'!$F$5</definedName>
    <definedName name="QB_COLUMN_30" localSheetId="9" hidden="1">'PA 4 DISPOSAL FEE'!$T$5</definedName>
    <definedName name="QB_COLUMN_30" localSheetId="11" hidden="1">'PA 6 LICENSING'!$T$5</definedName>
    <definedName name="QB_COLUMN_31" localSheetId="11" hidden="1">'PA 6 LICENSING'!#REF!</definedName>
    <definedName name="QB_COLUMN_4" localSheetId="9" hidden="1">'PA 4 DISPOSAL FEE'!$H$5</definedName>
    <definedName name="QB_COLUMN_4" localSheetId="11" hidden="1">'PA 6 LICENSING'!$H$5</definedName>
    <definedName name="QB_COLUMN_5" localSheetId="9" hidden="1">'PA 4 DISPOSAL FEE'!$J$5</definedName>
    <definedName name="QB_COLUMN_5" localSheetId="11" hidden="1">'PA 6 LICENSING'!$J$5</definedName>
    <definedName name="QB_COLUMN_7" localSheetId="9" hidden="1">'PA 4 DISPOSAL FEE'!$L$5</definedName>
    <definedName name="QB_COLUMN_7" localSheetId="11" hidden="1">'PA 6 LICENSING'!$L$5</definedName>
    <definedName name="QB_COLUMN_8" localSheetId="9" hidden="1">'PA 4 DISPOSAL FEE'!$N$5</definedName>
    <definedName name="QB_COLUMN_8" localSheetId="11" hidden="1">'PA 6 LICENSING'!$N$5</definedName>
    <definedName name="QB_DATA_0" localSheetId="9" hidden="1">'PA 4 DISPOSAL FEE'!$4:$4,'PA 4 DISPOSAL FEE'!$5:$5,'PA 4 DISPOSAL FEE'!$6:$6,'PA 4 DISPOSAL FEE'!$7:$7,'PA 4 DISPOSAL FEE'!$8:$8,'PA 4 DISPOSAL FEE'!$9:$9,'PA 4 DISPOSAL FEE'!$10:$10,'PA 4 DISPOSAL FEE'!$11:$11,'PA 4 DISPOSAL FEE'!$12:$12,'PA 4 DISPOSAL FEE'!$13:$13,'PA 4 DISPOSAL FEE'!$14:$14,'PA 4 DISPOSAL FEE'!$15:$15,'PA 4 DISPOSAL FEE'!$16:$16,'PA 4 DISPOSAL FEE'!$19:$19,'PA 4 DISPOSAL FEE'!$20:$20,'PA 4 DISPOSAL FEE'!$21:$21</definedName>
    <definedName name="QB_DATA_0" localSheetId="11" hidden="1">'PA 6 LICENSING'!$4:$4,'PA 6 LICENSING'!$5:$5,'PA 6 LICENSING'!$6:$6,'PA 6 LICENSING'!$7:$7,'PA 6 LICENSING'!$8:$8,'PA 6 LICENSING'!$9:$9,'PA 6 LICENSING'!$10:$10,'PA 6 LICENSING'!$11:$11,'PA 6 LICENSING'!$12:$12,'PA 6 LICENSING'!$13:$13,'PA 6 LICENSING'!$14:$14</definedName>
    <definedName name="QB_DATA_1" localSheetId="9" hidden="1">'PA 4 DISPOSAL FEE'!$22:$22,'PA 4 DISPOSAL FEE'!$23:$23,'PA 4 DISPOSAL FEE'!$24:$24,'PA 4 DISPOSAL FEE'!$25:$25,'PA 4 DISPOSAL FEE'!$26:$26,'PA 4 DISPOSAL FEE'!$27:$27,'PA 4 DISPOSAL FEE'!$28:$28,'PA 4 DISPOSAL FEE'!$29:$29,'PA 4 DISPOSAL FEE'!$30:$30</definedName>
    <definedName name="QB_FORMULA_0" localSheetId="9" hidden="1">'PA 4 DISPOSAL FEE'!$T$21,'PA 4 DISPOSAL FEE'!$T$35,'PA 4 DISPOSAL FEE'!$T$36,'PA 4 DISPOSAL FEE'!$T$37</definedName>
    <definedName name="QB_FORMULA_0" localSheetId="11" hidden="1">'PA 6 LICENSING'!#REF!,'PA 6 LICENSING'!#REF!,'PA 6 LICENSING'!#REF!,'PA 6 LICENSING'!#REF!,'PA 6 LICENSING'!#REF!,'PA 6 LICENSING'!#REF!,'PA 6 LICENSING'!#REF!,'PA 6 LICENSING'!#REF!,'PA 6 LICENSING'!#REF!,'PA 6 LICENSING'!#REF!,'PA 6 LICENSING'!#REF!,'PA 6 LICENSING'!$T$19,'PA 6 LICENSING'!#REF!,'PA 6 LICENSING'!$T$20,'PA 6 LICENSING'!#REF!,'PA 6 LICENSING'!$T$21</definedName>
    <definedName name="QB_FORMULA_1" localSheetId="11" hidden="1">'PA 6 LICENSING'!#REF!</definedName>
    <definedName name="QB_ROW_116020" localSheetId="11" hidden="1">'PA 6 LICENSING'!$C$7</definedName>
    <definedName name="QB_ROW_116320" localSheetId="11" hidden="1">'PA 6 LICENSING'!$C$19</definedName>
    <definedName name="QB_ROW_127010" localSheetId="9" hidden="1">'PA 4 DISPOSAL FEE'!$B$6</definedName>
    <definedName name="QB_ROW_127310" localSheetId="9" hidden="1">'PA 4 DISPOSAL FEE'!$B$36</definedName>
    <definedName name="QB_ROW_128020" localSheetId="9" hidden="1">'PA 4 DISPOSAL FEE'!$C$7</definedName>
    <definedName name="QB_ROW_128320" localSheetId="9" hidden="1">'PA 4 DISPOSAL FEE'!$C$21</definedName>
    <definedName name="QB_ROW_129020" localSheetId="9" hidden="1">'PA 4 DISPOSAL FEE'!$C$22</definedName>
    <definedName name="QB_ROW_129320" localSheetId="9" hidden="1">'PA 4 DISPOSAL FEE'!$C$35</definedName>
    <definedName name="QB_ROW_25301" localSheetId="9" hidden="1">'PA 4 DISPOSAL FEE'!$A$35</definedName>
    <definedName name="QB_ROW_25301" localSheetId="11" hidden="1">'PA 6 LICENSING'!$A$21</definedName>
    <definedName name="QB_ROW_4010" localSheetId="11" hidden="1">'PA 6 LICENSING'!$B$6</definedName>
    <definedName name="QB_ROW_4310" localSheetId="11" hidden="1">'PA 6 LICENSING'!$B$20</definedName>
    <definedName name="QBCANSUPPORTUPDATE" localSheetId="9">TRUE</definedName>
    <definedName name="QBCANSUPPORTUPDATE" localSheetId="11">TRUE</definedName>
    <definedName name="QBCOMPANYFILENAME" localSheetId="9">"C:\Users\Public\Documents\Intuit\QuickBooks\Company Files\stanleys sanitary service april 2018.qbw"</definedName>
    <definedName name="QBCOMPANYFILENAME" localSheetId="11">"C:\Users\Public\Documents\Intuit\QuickBooks\Company Files\stanleys sanitary service april 2018.qbw"</definedName>
    <definedName name="QBENDDATE" localSheetId="9">20191231</definedName>
    <definedName name="QBENDDATE" localSheetId="11">20191231</definedName>
    <definedName name="QBHEADERSONSCREEN" localSheetId="9">FALSE</definedName>
    <definedName name="QBHEADERSONSCREEN" localSheetId="11">FALSE</definedName>
    <definedName name="QBMETADATASIZE" localSheetId="9">7582</definedName>
    <definedName name="QBMETADATASIZE" localSheetId="11">7582</definedName>
    <definedName name="QBPRESERVECOLOR" localSheetId="9">TRUE</definedName>
    <definedName name="QBPRESERVECOLOR" localSheetId="11">TRUE</definedName>
    <definedName name="QBPRESERVEFONT" localSheetId="9">TRUE</definedName>
    <definedName name="QBPRESERVEFONT" localSheetId="11">TRUE</definedName>
    <definedName name="QBPRESERVEROWHEIGHT" localSheetId="9">TRUE</definedName>
    <definedName name="QBPRESERVEROWHEIGHT" localSheetId="11">TRUE</definedName>
    <definedName name="QBPRESERVESPACE" localSheetId="9">TRUE</definedName>
    <definedName name="QBPRESERVESPACE" localSheetId="11">TRUE</definedName>
    <definedName name="QBREPORTCOLAXIS" localSheetId="9">0</definedName>
    <definedName name="QBREPORTCOLAXIS" localSheetId="11">0</definedName>
    <definedName name="QBREPORTCOMPANYID" localSheetId="9">"1596e66e536740d1a6f3a458c4b5d66d"</definedName>
    <definedName name="QBREPORTCOMPANYID" localSheetId="11">"1596e66e536740d1a6f3a458c4b5d66d"</definedName>
    <definedName name="QBREPORTCOMPARECOL_ANNUALBUDGET" localSheetId="9">FALSE</definedName>
    <definedName name="QBREPORTCOMPARECOL_ANNUALBUDGET" localSheetId="11">FALSE</definedName>
    <definedName name="QBREPORTCOMPARECOL_AVGCOGS" localSheetId="9">FALSE</definedName>
    <definedName name="QBREPORTCOMPARECOL_AVGCOGS" localSheetId="11">FALSE</definedName>
    <definedName name="QBREPORTCOMPARECOL_AVGPRICE" localSheetId="9">FALSE</definedName>
    <definedName name="QBREPORTCOMPARECOL_AVGPRICE" localSheetId="11">FALSE</definedName>
    <definedName name="QBREPORTCOMPARECOL_BUDDIFF" localSheetId="9">FALSE</definedName>
    <definedName name="QBREPORTCOMPARECOL_BUDDIFF" localSheetId="11">FALSE</definedName>
    <definedName name="QBREPORTCOMPARECOL_BUDGET" localSheetId="9">FALSE</definedName>
    <definedName name="QBREPORTCOMPARECOL_BUDGET" localSheetId="11">FALSE</definedName>
    <definedName name="QBREPORTCOMPARECOL_BUDPCT" localSheetId="9">FALSE</definedName>
    <definedName name="QBREPORTCOMPARECOL_BUDPCT" localSheetId="11">FALSE</definedName>
    <definedName name="QBREPORTCOMPARECOL_COGS" localSheetId="9">FALSE</definedName>
    <definedName name="QBREPORTCOMPARECOL_COGS" localSheetId="11">FALSE</definedName>
    <definedName name="QBREPORTCOMPARECOL_EXCLUDEAMOUNT" localSheetId="9">FALSE</definedName>
    <definedName name="QBREPORTCOMPARECOL_EXCLUDEAMOUNT" localSheetId="11">FALSE</definedName>
    <definedName name="QBREPORTCOMPARECOL_EXCLUDECURPERIOD" localSheetId="9">FALSE</definedName>
    <definedName name="QBREPORTCOMPARECOL_EXCLUDECURPERIOD" localSheetId="11">FALSE</definedName>
    <definedName name="QBREPORTCOMPARECOL_FORECAST" localSheetId="9">FALSE</definedName>
    <definedName name="QBREPORTCOMPARECOL_FORECAST" localSheetId="11">FALSE</definedName>
    <definedName name="QBREPORTCOMPARECOL_GROSSMARGIN" localSheetId="9">FALSE</definedName>
    <definedName name="QBREPORTCOMPARECOL_GROSSMARGIN" localSheetId="11">FALSE</definedName>
    <definedName name="QBREPORTCOMPARECOL_GROSSMARGINPCT" localSheetId="9">FALSE</definedName>
    <definedName name="QBREPORTCOMPARECOL_GROSSMARGINPCT" localSheetId="11">FALSE</definedName>
    <definedName name="QBREPORTCOMPARECOL_HOURS" localSheetId="9">FALSE</definedName>
    <definedName name="QBREPORTCOMPARECOL_HOURS" localSheetId="11">FALSE</definedName>
    <definedName name="QBREPORTCOMPARECOL_PCTCOL" localSheetId="9">FALSE</definedName>
    <definedName name="QBREPORTCOMPARECOL_PCTCOL" localSheetId="11">FALSE</definedName>
    <definedName name="QBREPORTCOMPARECOL_PCTEXPENSE" localSheetId="9">FALSE</definedName>
    <definedName name="QBREPORTCOMPARECOL_PCTEXPENSE" localSheetId="11">FALSE</definedName>
    <definedName name="QBREPORTCOMPARECOL_PCTINCOME" localSheetId="9">FALSE</definedName>
    <definedName name="QBREPORTCOMPARECOL_PCTINCOME" localSheetId="11">FALSE</definedName>
    <definedName name="QBREPORTCOMPARECOL_PCTOFSALES" localSheetId="9">FALSE</definedName>
    <definedName name="QBREPORTCOMPARECOL_PCTOFSALES" localSheetId="11">FALSE</definedName>
    <definedName name="QBREPORTCOMPARECOL_PCTROW" localSheetId="9">FALSE</definedName>
    <definedName name="QBREPORTCOMPARECOL_PCTROW" localSheetId="11">FALSE</definedName>
    <definedName name="QBREPORTCOMPARECOL_PPDIFF" localSheetId="9">FALSE</definedName>
    <definedName name="QBREPORTCOMPARECOL_PPDIFF" localSheetId="11">FALSE</definedName>
    <definedName name="QBREPORTCOMPARECOL_PPPCT" localSheetId="9">FALSE</definedName>
    <definedName name="QBREPORTCOMPARECOL_PPPCT" localSheetId="11">FALSE</definedName>
    <definedName name="QBREPORTCOMPARECOL_PREVPERIOD" localSheetId="9">FALSE</definedName>
    <definedName name="QBREPORTCOMPARECOL_PREVPERIOD" localSheetId="11">FALSE</definedName>
    <definedName name="QBREPORTCOMPARECOL_PREVYEAR" localSheetId="9">FALSE</definedName>
    <definedName name="QBREPORTCOMPARECOL_PREVYEAR" localSheetId="11">FALSE</definedName>
    <definedName name="QBREPORTCOMPARECOL_PYDIFF" localSheetId="9">FALSE</definedName>
    <definedName name="QBREPORTCOMPARECOL_PYDIFF" localSheetId="11">FALSE</definedName>
    <definedName name="QBREPORTCOMPARECOL_PYPCT" localSheetId="9">FALSE</definedName>
    <definedName name="QBREPORTCOMPARECOL_PYPCT" localSheetId="11">FALSE</definedName>
    <definedName name="QBREPORTCOMPARECOL_QTY" localSheetId="9">FALSE</definedName>
    <definedName name="QBREPORTCOMPARECOL_QTY" localSheetId="11">FALSE</definedName>
    <definedName name="QBREPORTCOMPARECOL_RATE" localSheetId="9">FALSE</definedName>
    <definedName name="QBREPORTCOMPARECOL_RATE" localSheetId="11">FALSE</definedName>
    <definedName name="QBREPORTCOMPARECOL_TRIPBILLEDMILES" localSheetId="9">FALSE</definedName>
    <definedName name="QBREPORTCOMPARECOL_TRIPBILLEDMILES" localSheetId="11">FALSE</definedName>
    <definedName name="QBREPORTCOMPARECOL_TRIPBILLINGAMOUNT" localSheetId="9">FALSE</definedName>
    <definedName name="QBREPORTCOMPARECOL_TRIPBILLINGAMOUNT" localSheetId="11">FALSE</definedName>
    <definedName name="QBREPORTCOMPARECOL_TRIPMILES" localSheetId="9">FALSE</definedName>
    <definedName name="QBREPORTCOMPARECOL_TRIPMILES" localSheetId="11">FALSE</definedName>
    <definedName name="QBREPORTCOMPARECOL_TRIPNOTBILLABLEMILES" localSheetId="9">FALSE</definedName>
    <definedName name="QBREPORTCOMPARECOL_TRIPNOTBILLABLEMILES" localSheetId="11">FALSE</definedName>
    <definedName name="QBREPORTCOMPARECOL_TRIPTAXDEDUCTIBLEAMOUNT" localSheetId="9">FALSE</definedName>
    <definedName name="QBREPORTCOMPARECOL_TRIPTAXDEDUCTIBLEAMOUNT" localSheetId="11">FALSE</definedName>
    <definedName name="QBREPORTCOMPARECOL_TRIPUNBILLEDMILES" localSheetId="9">FALSE</definedName>
    <definedName name="QBREPORTCOMPARECOL_TRIPUNBILLEDMILES" localSheetId="11">FALSE</definedName>
    <definedName name="QBREPORTCOMPARECOL_YTD" localSheetId="9">FALSE</definedName>
    <definedName name="QBREPORTCOMPARECOL_YTD" localSheetId="11">FALSE</definedName>
    <definedName name="QBREPORTCOMPARECOL_YTDBUDGET" localSheetId="9">FALSE</definedName>
    <definedName name="QBREPORTCOMPARECOL_YTDBUDGET" localSheetId="11">FALSE</definedName>
    <definedName name="QBREPORTCOMPARECOL_YTDPCT" localSheetId="9">FALSE</definedName>
    <definedName name="QBREPORTCOMPARECOL_YTDPCT" localSheetId="11">FALSE</definedName>
    <definedName name="QBREPORTROWAXIS" localSheetId="9">12</definedName>
    <definedName name="QBREPORTROWAXIS" localSheetId="11">12</definedName>
    <definedName name="QBREPORTSUBCOLAXIS" localSheetId="9">0</definedName>
    <definedName name="QBREPORTSUBCOLAXIS" localSheetId="11">0</definedName>
    <definedName name="QBREPORTTYPE" localSheetId="9">230</definedName>
    <definedName name="QBREPORTTYPE" localSheetId="11">230</definedName>
    <definedName name="QBROWHEADERS" localSheetId="9">3</definedName>
    <definedName name="QBROWHEADERS" localSheetId="11">3</definedName>
    <definedName name="QBSTARTDATE" localSheetId="9">20190101</definedName>
    <definedName name="QBSTARTDATE" localSheetId="11">20190101</definedName>
    <definedName name="regDebt_weighted" localSheetId="1">'LG Nonpublic 2018 V5.2a'!$U$56</definedName>
    <definedName name="Revenue" localSheetId="1">'LG Nonpublic 2018 V5.2a'!$I$7</definedName>
    <definedName name="slope">'LG Nonpublic 2018 V5.2a'!$Y$58</definedName>
    <definedName name="taxrate" localSheetId="1">'LG Nonpublic 2018 V5.2a'!$J$38</definedName>
    <definedName name="y_inter1">'LG Nonpublic 2018 V5.2a'!$X$55</definedName>
    <definedName name="y_inter2">'LG Nonpublic 2018 V5.2a'!$X$56</definedName>
    <definedName name="y_inter3">'LG Nonpublic 2018 V5.2a'!$Z$55</definedName>
    <definedName name="y_inter4">'LG Nonpublic 2018 V5.2a'!$Z$56</definedName>
  </definedNames>
  <calcPr calcId="152511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7" i="17" l="1"/>
  <c r="L107" i="17"/>
  <c r="O104" i="17"/>
  <c r="L104" i="17"/>
  <c r="J99" i="17"/>
  <c r="K99" i="17"/>
  <c r="L99" i="17" s="1"/>
  <c r="M99" i="17"/>
  <c r="N99" i="17"/>
  <c r="O99" i="17" s="1"/>
  <c r="J100" i="17"/>
  <c r="K100" i="17"/>
  <c r="L100" i="17" s="1"/>
  <c r="M100" i="17"/>
  <c r="N100" i="17"/>
  <c r="J101" i="17"/>
  <c r="K101" i="17"/>
  <c r="L101" i="17" s="1"/>
  <c r="M101" i="17"/>
  <c r="N101" i="17"/>
  <c r="O101" i="17" s="1"/>
  <c r="J102" i="17"/>
  <c r="K102" i="17"/>
  <c r="L102" i="17" s="1"/>
  <c r="M102" i="17"/>
  <c r="N102" i="17"/>
  <c r="J103" i="17"/>
  <c r="K103" i="17"/>
  <c r="L103" i="17" s="1"/>
  <c r="M103" i="17"/>
  <c r="N103" i="17"/>
  <c r="O103" i="17" s="1"/>
  <c r="L98" i="17"/>
  <c r="K98" i="17"/>
  <c r="J98" i="17"/>
  <c r="N98" i="17" s="1"/>
  <c r="E103" i="17"/>
  <c r="G103" i="17" s="1"/>
  <c r="E101" i="17"/>
  <c r="G101" i="17" s="1"/>
  <c r="G99" i="17"/>
  <c r="G100" i="17"/>
  <c r="G102" i="17"/>
  <c r="E99" i="17"/>
  <c r="G98" i="17"/>
  <c r="G94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72" i="17"/>
  <c r="G57" i="17"/>
  <c r="G58" i="17"/>
  <c r="G59" i="17"/>
  <c r="G60" i="17"/>
  <c r="G61" i="17"/>
  <c r="G62" i="17"/>
  <c r="G63" i="17"/>
  <c r="G56" i="17"/>
  <c r="M98" i="17" l="1"/>
  <c r="H26" i="2" l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F44" i="43"/>
  <c r="F54" i="43"/>
  <c r="F70" i="43"/>
  <c r="F85" i="43"/>
  <c r="F133" i="43"/>
  <c r="C73" i="43"/>
  <c r="C79" i="43"/>
  <c r="C81" i="43"/>
  <c r="C74" i="43"/>
  <c r="C66" i="43"/>
  <c r="K39" i="14"/>
  <c r="C69" i="43"/>
  <c r="K20" i="14"/>
  <c r="K14" i="14"/>
  <c r="K33" i="14"/>
  <c r="L33" i="14" l="1"/>
  <c r="L19" i="14"/>
  <c r="L15" i="14"/>
  <c r="L16" i="14"/>
  <c r="L17" i="14"/>
  <c r="L18" i="14"/>
  <c r="L14" i="14"/>
  <c r="E66" i="43"/>
  <c r="F66" i="43" s="1"/>
  <c r="K28" i="14"/>
  <c r="L29" i="14"/>
  <c r="E91" i="43"/>
  <c r="F91" i="43" s="1"/>
  <c r="E74" i="43"/>
  <c r="F74" i="43" s="1"/>
  <c r="E75" i="43"/>
  <c r="F75" i="43"/>
  <c r="E76" i="43"/>
  <c r="F76" i="43" s="1"/>
  <c r="E77" i="43"/>
  <c r="F77" i="43"/>
  <c r="E78" i="43"/>
  <c r="F78" i="43" s="1"/>
  <c r="E79" i="43"/>
  <c r="F79" i="43" s="1"/>
  <c r="E80" i="43"/>
  <c r="F80" i="43" s="1"/>
  <c r="E81" i="43"/>
  <c r="F81" i="43" s="1"/>
  <c r="E82" i="43"/>
  <c r="F82" i="43" s="1"/>
  <c r="E83" i="43"/>
  <c r="F83" i="43"/>
  <c r="E84" i="43"/>
  <c r="F84" i="43" s="1"/>
  <c r="E73" i="43"/>
  <c r="F73" i="43" s="1"/>
  <c r="E67" i="43"/>
  <c r="F67" i="43" s="1"/>
  <c r="E68" i="43"/>
  <c r="F68" i="43" s="1"/>
  <c r="E69" i="43"/>
  <c r="F69" i="43" s="1"/>
  <c r="L37" i="14"/>
  <c r="E130" i="43"/>
  <c r="F130" i="43" s="1"/>
  <c r="E129" i="43"/>
  <c r="F129" i="43" s="1"/>
  <c r="E128" i="43"/>
  <c r="F128" i="43" s="1"/>
  <c r="E127" i="43"/>
  <c r="F127" i="43" s="1"/>
  <c r="E125" i="43"/>
  <c r="F125" i="43" s="1"/>
  <c r="E124" i="43"/>
  <c r="F124" i="43" s="1"/>
  <c r="E123" i="43"/>
  <c r="F123" i="43" s="1"/>
  <c r="E122" i="43"/>
  <c r="F122" i="43" s="1"/>
  <c r="E120" i="43"/>
  <c r="F120" i="43" s="1"/>
  <c r="E119" i="43"/>
  <c r="F119" i="43" s="1"/>
  <c r="E118" i="43"/>
  <c r="F118" i="43" s="1"/>
  <c r="E117" i="43"/>
  <c r="F117" i="43" s="1"/>
  <c r="E116" i="43"/>
  <c r="F116" i="43" s="1"/>
  <c r="E115" i="43"/>
  <c r="F115" i="43" s="1"/>
  <c r="E113" i="43"/>
  <c r="F113" i="43" s="1"/>
  <c r="E112" i="43"/>
  <c r="F112" i="43" s="1"/>
  <c r="F33" i="2"/>
  <c r="F12" i="2"/>
  <c r="F13" i="2" s="1"/>
  <c r="F19" i="2" s="1"/>
  <c r="H17" i="2"/>
  <c r="E19" i="2"/>
  <c r="C19" i="2"/>
  <c r="B19" i="2"/>
  <c r="F63" i="2"/>
  <c r="H25" i="2"/>
  <c r="N74" i="17"/>
  <c r="O74" i="17" s="1"/>
  <c r="N56" i="17"/>
  <c r="O56" i="17" s="1"/>
  <c r="L73" i="17"/>
  <c r="L74" i="17"/>
  <c r="M74" i="17"/>
  <c r="L78" i="17"/>
  <c r="M78" i="17"/>
  <c r="N78" i="17"/>
  <c r="O78" i="17"/>
  <c r="L57" i="17"/>
  <c r="L59" i="17"/>
  <c r="L56" i="17"/>
  <c r="L45" i="17"/>
  <c r="M46" i="17"/>
  <c r="M48" i="17"/>
  <c r="L49" i="17"/>
  <c r="M50" i="17"/>
  <c r="L34" i="17"/>
  <c r="L36" i="17"/>
  <c r="M37" i="17"/>
  <c r="N37" i="17"/>
  <c r="O37" i="17" s="1"/>
  <c r="L39" i="17"/>
  <c r="M39" i="17"/>
  <c r="L40" i="17"/>
  <c r="M40" i="17"/>
  <c r="N40" i="17"/>
  <c r="N42" i="17"/>
  <c r="O42" i="17"/>
  <c r="N44" i="17"/>
  <c r="O44" i="17" s="1"/>
  <c r="J94" i="17"/>
  <c r="M94" i="17" s="1"/>
  <c r="K94" i="17"/>
  <c r="L94" i="17" s="1"/>
  <c r="J73" i="17"/>
  <c r="N73" i="17" s="1"/>
  <c r="O73" i="17" s="1"/>
  <c r="K73" i="17"/>
  <c r="J75" i="17"/>
  <c r="M75" i="17" s="1"/>
  <c r="K75" i="17"/>
  <c r="L75" i="17" s="1"/>
  <c r="J76" i="17"/>
  <c r="M76" i="17" s="1"/>
  <c r="K76" i="17"/>
  <c r="L76" i="17" s="1"/>
  <c r="J77" i="17"/>
  <c r="M77" i="17" s="1"/>
  <c r="K77" i="17"/>
  <c r="L77" i="17" s="1"/>
  <c r="J79" i="17"/>
  <c r="M79" i="17" s="1"/>
  <c r="K79" i="17"/>
  <c r="L79" i="17" s="1"/>
  <c r="J80" i="17"/>
  <c r="M80" i="17" s="1"/>
  <c r="K80" i="17"/>
  <c r="L80" i="17" s="1"/>
  <c r="J81" i="17"/>
  <c r="M81" i="17" s="1"/>
  <c r="K81" i="17"/>
  <c r="L81" i="17" s="1"/>
  <c r="J82" i="17"/>
  <c r="M82" i="17" s="1"/>
  <c r="K82" i="17"/>
  <c r="L82" i="17" s="1"/>
  <c r="J83" i="17"/>
  <c r="M83" i="17" s="1"/>
  <c r="K83" i="17"/>
  <c r="L83" i="17" s="1"/>
  <c r="J84" i="17"/>
  <c r="M84" i="17" s="1"/>
  <c r="K84" i="17"/>
  <c r="L84" i="17" s="1"/>
  <c r="J85" i="17"/>
  <c r="M85" i="17" s="1"/>
  <c r="K85" i="17"/>
  <c r="L85" i="17" s="1"/>
  <c r="J86" i="17"/>
  <c r="M86" i="17" s="1"/>
  <c r="K86" i="17"/>
  <c r="L86" i="17" s="1"/>
  <c r="J87" i="17"/>
  <c r="M87" i="17" s="1"/>
  <c r="K87" i="17"/>
  <c r="L87" i="17" s="1"/>
  <c r="K72" i="17"/>
  <c r="L72" i="17" s="1"/>
  <c r="J72" i="17"/>
  <c r="E64" i="17"/>
  <c r="J57" i="17"/>
  <c r="M57" i="17" s="1"/>
  <c r="K57" i="17"/>
  <c r="J58" i="17"/>
  <c r="K58" i="17"/>
  <c r="L58" i="17" s="1"/>
  <c r="J59" i="17"/>
  <c r="M59" i="17" s="1"/>
  <c r="K59" i="17"/>
  <c r="J60" i="17"/>
  <c r="K60" i="17"/>
  <c r="L60" i="17" s="1"/>
  <c r="K61" i="17"/>
  <c r="J62" i="17"/>
  <c r="K62" i="17"/>
  <c r="L62" i="17" s="1"/>
  <c r="K63" i="17"/>
  <c r="K56" i="17"/>
  <c r="J56" i="17"/>
  <c r="M56" i="17" s="1"/>
  <c r="G34" i="17"/>
  <c r="J34" i="17" s="1"/>
  <c r="N34" i="17" s="1"/>
  <c r="O34" i="17" s="1"/>
  <c r="G35" i="17"/>
  <c r="J35" i="17" s="1"/>
  <c r="G36" i="17"/>
  <c r="G37" i="17"/>
  <c r="J37" i="17" s="1"/>
  <c r="G38" i="17"/>
  <c r="J38" i="17" s="1"/>
  <c r="M38" i="17" s="1"/>
  <c r="G39" i="17"/>
  <c r="G40" i="17"/>
  <c r="G41" i="17"/>
  <c r="J41" i="17" s="1"/>
  <c r="M41" i="17" s="1"/>
  <c r="G42" i="17"/>
  <c r="J42" i="17" s="1"/>
  <c r="M42" i="17" s="1"/>
  <c r="G43" i="17"/>
  <c r="G44" i="17"/>
  <c r="G45" i="17"/>
  <c r="J45" i="17" s="1"/>
  <c r="N45" i="17" s="1"/>
  <c r="O45" i="17" s="1"/>
  <c r="G46" i="17"/>
  <c r="J46" i="17" s="1"/>
  <c r="N46" i="17" s="1"/>
  <c r="O46" i="17" s="1"/>
  <c r="G47" i="17"/>
  <c r="J47" i="17" s="1"/>
  <c r="G48" i="17"/>
  <c r="G49" i="17"/>
  <c r="J49" i="17" s="1"/>
  <c r="N49" i="17" s="1"/>
  <c r="O49" i="17" s="1"/>
  <c r="G50" i="17"/>
  <c r="G33" i="17"/>
  <c r="J33" i="17" s="1"/>
  <c r="N33" i="17" s="1"/>
  <c r="O33" i="17" s="1"/>
  <c r="K34" i="17"/>
  <c r="K35" i="17"/>
  <c r="L35" i="17" s="1"/>
  <c r="J36" i="17"/>
  <c r="M36" i="17" s="1"/>
  <c r="K36" i="17"/>
  <c r="K37" i="17"/>
  <c r="L37" i="17" s="1"/>
  <c r="K38" i="17"/>
  <c r="L38" i="17" s="1"/>
  <c r="J39" i="17"/>
  <c r="N39" i="17" s="1"/>
  <c r="O39" i="17" s="1"/>
  <c r="K39" i="17"/>
  <c r="K41" i="17"/>
  <c r="L41" i="17" s="1"/>
  <c r="K42" i="17"/>
  <c r="L42" i="17" s="1"/>
  <c r="J43" i="17"/>
  <c r="M43" i="17" s="1"/>
  <c r="K43" i="17"/>
  <c r="L43" i="17" s="1"/>
  <c r="J44" i="17"/>
  <c r="M44" i="17" s="1"/>
  <c r="K44" i="17"/>
  <c r="K45" i="17"/>
  <c r="K46" i="17"/>
  <c r="L46" i="17" s="1"/>
  <c r="K47" i="17"/>
  <c r="J48" i="17"/>
  <c r="N48" i="17" s="1"/>
  <c r="O48" i="17" s="1"/>
  <c r="K48" i="17"/>
  <c r="L48" i="17" s="1"/>
  <c r="K49" i="17"/>
  <c r="J50" i="17"/>
  <c r="N50" i="17" s="1"/>
  <c r="O50" i="17" s="1"/>
  <c r="K50" i="17"/>
  <c r="K33" i="17"/>
  <c r="L33" i="17" s="1"/>
  <c r="N94" i="17" l="1"/>
  <c r="O94" i="17" s="1"/>
  <c r="N57" i="17"/>
  <c r="O57" i="17" s="1"/>
  <c r="N59" i="17"/>
  <c r="O59" i="17" s="1"/>
  <c r="N47" i="17"/>
  <c r="O47" i="17" s="1"/>
  <c r="M47" i="17"/>
  <c r="L47" i="17"/>
  <c r="M35" i="17"/>
  <c r="N35" i="17"/>
  <c r="O35" i="17" s="1"/>
  <c r="M33" i="17"/>
  <c r="N87" i="17"/>
  <c r="O87" i="17" s="1"/>
  <c r="N85" i="17"/>
  <c r="O85" i="17" s="1"/>
  <c r="N83" i="17"/>
  <c r="O83" i="17" s="1"/>
  <c r="N81" i="17"/>
  <c r="O81" i="17" s="1"/>
  <c r="N79" i="17"/>
  <c r="O79" i="17" s="1"/>
  <c r="N76" i="17"/>
  <c r="O76" i="17" s="1"/>
  <c r="M60" i="17"/>
  <c r="N60" i="17"/>
  <c r="O60" i="17" s="1"/>
  <c r="M58" i="17"/>
  <c r="N58" i="17"/>
  <c r="O58" i="17" s="1"/>
  <c r="N72" i="17"/>
  <c r="O72" i="17" s="1"/>
  <c r="M72" i="17"/>
  <c r="N43" i="17"/>
  <c r="O43" i="17" s="1"/>
  <c r="N38" i="17"/>
  <c r="O38" i="17" s="1"/>
  <c r="N36" i="17"/>
  <c r="O36" i="17" s="1"/>
  <c r="L50" i="17"/>
  <c r="M73" i="17"/>
  <c r="M62" i="17"/>
  <c r="N62" i="17"/>
  <c r="O62" i="17" s="1"/>
  <c r="N41" i="17"/>
  <c r="O41" i="17" s="1"/>
  <c r="M34" i="17"/>
  <c r="M49" i="17"/>
  <c r="M45" i="17"/>
  <c r="N86" i="17"/>
  <c r="O86" i="17" s="1"/>
  <c r="N84" i="17"/>
  <c r="O84" i="17" s="1"/>
  <c r="N82" i="17"/>
  <c r="O82" i="17" s="1"/>
  <c r="N80" i="17"/>
  <c r="O80" i="17" s="1"/>
  <c r="N77" i="17"/>
  <c r="O77" i="17" s="1"/>
  <c r="O88" i="17" s="1"/>
  <c r="N75" i="17"/>
  <c r="O75" i="17" s="1"/>
  <c r="L88" i="17"/>
  <c r="K10" i="17"/>
  <c r="K11" i="17"/>
  <c r="L11" i="17" s="1"/>
  <c r="K12" i="17"/>
  <c r="K13" i="17"/>
  <c r="L13" i="17" s="1"/>
  <c r="K14" i="17"/>
  <c r="L14" i="17" s="1"/>
  <c r="K15" i="17"/>
  <c r="K16" i="17"/>
  <c r="L16" i="17" s="1"/>
  <c r="K17" i="17"/>
  <c r="L17" i="17" s="1"/>
  <c r="K18" i="17"/>
  <c r="L18" i="17" s="1"/>
  <c r="K19" i="17"/>
  <c r="L19" i="17" s="1"/>
  <c r="K20" i="17"/>
  <c r="L20" i="17" s="1"/>
  <c r="K21" i="17"/>
  <c r="L21" i="17" s="1"/>
  <c r="K22" i="17"/>
  <c r="L22" i="17" s="1"/>
  <c r="K23" i="17"/>
  <c r="K24" i="17"/>
  <c r="K25" i="17"/>
  <c r="K26" i="17"/>
  <c r="K9" i="17"/>
  <c r="L9" i="17" s="1"/>
  <c r="G11" i="17"/>
  <c r="J11" i="17" s="1"/>
  <c r="G13" i="17"/>
  <c r="J13" i="17" s="1"/>
  <c r="G16" i="17"/>
  <c r="J16" i="17" s="1"/>
  <c r="G17" i="17"/>
  <c r="J17" i="17" s="1"/>
  <c r="G18" i="17"/>
  <c r="J18" i="17" s="1"/>
  <c r="G19" i="17"/>
  <c r="J19" i="17" s="1"/>
  <c r="G20" i="17"/>
  <c r="J20" i="17" s="1"/>
  <c r="G21" i="17"/>
  <c r="J21" i="17" s="1"/>
  <c r="G22" i="17"/>
  <c r="J22" i="17" s="1"/>
  <c r="G23" i="17"/>
  <c r="J23" i="17" s="1"/>
  <c r="G24" i="17"/>
  <c r="J24" i="17" s="1"/>
  <c r="G25" i="17"/>
  <c r="J25" i="17" s="1"/>
  <c r="G26" i="17"/>
  <c r="J26" i="17" s="1"/>
  <c r="G9" i="17"/>
  <c r="J9" i="17" s="1"/>
  <c r="E12" i="17"/>
  <c r="E10" i="17"/>
  <c r="E93" i="43"/>
  <c r="F93" i="43" s="1"/>
  <c r="E95" i="43"/>
  <c r="F95" i="43"/>
  <c r="E96" i="43"/>
  <c r="F96" i="43" s="1"/>
  <c r="E97" i="43"/>
  <c r="F97" i="43"/>
  <c r="E100" i="43"/>
  <c r="F100" i="43" s="1"/>
  <c r="E102" i="43"/>
  <c r="F102" i="43" s="1"/>
  <c r="E103" i="43"/>
  <c r="F103" i="43" s="1"/>
  <c r="E104" i="43"/>
  <c r="F104" i="43" s="1"/>
  <c r="E105" i="43"/>
  <c r="F105" i="43"/>
  <c r="E106" i="43"/>
  <c r="F106" i="43" s="1"/>
  <c r="E107" i="43"/>
  <c r="F107" i="43"/>
  <c r="E108" i="43"/>
  <c r="F108" i="43" s="1"/>
  <c r="E89" i="43"/>
  <c r="F89" i="43" s="1"/>
  <c r="C98" i="43"/>
  <c r="E98" i="43" s="1"/>
  <c r="F98" i="43" s="1"/>
  <c r="L38" i="14"/>
  <c r="L75" i="14"/>
  <c r="L82" i="14"/>
  <c r="L81" i="14"/>
  <c r="C49" i="43"/>
  <c r="E49" i="43" s="1"/>
  <c r="F49" i="43" s="1"/>
  <c r="E48" i="43"/>
  <c r="F48" i="43" s="1"/>
  <c r="E50" i="43"/>
  <c r="F50" i="43" s="1"/>
  <c r="E53" i="43"/>
  <c r="F53" i="43" s="1"/>
  <c r="E31" i="43"/>
  <c r="F31" i="43" s="1"/>
  <c r="E32" i="43"/>
  <c r="F32" i="43" s="1"/>
  <c r="E34" i="43"/>
  <c r="F34" i="43" s="1"/>
  <c r="E35" i="43"/>
  <c r="F35" i="43" s="1"/>
  <c r="E22" i="43"/>
  <c r="F22" i="43" s="1"/>
  <c r="E23" i="43"/>
  <c r="F23" i="43" s="1"/>
  <c r="D42" i="43"/>
  <c r="D41" i="43"/>
  <c r="D40" i="43"/>
  <c r="C40" i="43"/>
  <c r="D39" i="43"/>
  <c r="D38" i="43"/>
  <c r="D21" i="43"/>
  <c r="D29" i="43"/>
  <c r="C29" i="43"/>
  <c r="D26" i="43"/>
  <c r="D28" i="43"/>
  <c r="D25" i="43"/>
  <c r="D37" i="43"/>
  <c r="C37" i="43"/>
  <c r="D36" i="43"/>
  <c r="D33" i="43"/>
  <c r="D30" i="43"/>
  <c r="D27" i="43"/>
  <c r="C27" i="43"/>
  <c r="D24" i="43"/>
  <c r="G3" i="14"/>
  <c r="H3" i="14"/>
  <c r="I3" i="14" s="1"/>
  <c r="G4" i="14"/>
  <c r="H4" i="14" s="1"/>
  <c r="I4" i="14" s="1"/>
  <c r="G5" i="14"/>
  <c r="H5" i="14"/>
  <c r="I5" i="14" s="1"/>
  <c r="G6" i="14"/>
  <c r="H6" i="14" s="1"/>
  <c r="I6" i="14" s="1"/>
  <c r="J6" i="14" s="1"/>
  <c r="G7" i="14"/>
  <c r="H7" i="14" s="1"/>
  <c r="I7" i="14" s="1"/>
  <c r="J7" i="14" s="1"/>
  <c r="G8" i="14"/>
  <c r="H8" i="14" s="1"/>
  <c r="I8" i="14" s="1"/>
  <c r="J8" i="14" s="1"/>
  <c r="G9" i="14"/>
  <c r="H9" i="14" s="1"/>
  <c r="I9" i="14" s="1"/>
  <c r="J9" i="14" s="1"/>
  <c r="G10" i="14"/>
  <c r="H10" i="14" s="1"/>
  <c r="I10" i="14" s="1"/>
  <c r="J10" i="14" s="1"/>
  <c r="G11" i="14"/>
  <c r="H11" i="14" s="1"/>
  <c r="G12" i="14"/>
  <c r="H12" i="14" s="1"/>
  <c r="G13" i="14"/>
  <c r="H13" i="14" s="1"/>
  <c r="G14" i="14"/>
  <c r="H14" i="14" s="1"/>
  <c r="I14" i="14" s="1"/>
  <c r="J14" i="14" s="1"/>
  <c r="G15" i="14"/>
  <c r="H15" i="14" s="1"/>
  <c r="I15" i="14" s="1"/>
  <c r="J15" i="14" s="1"/>
  <c r="G16" i="14"/>
  <c r="H16" i="14" s="1"/>
  <c r="I16" i="14" s="1"/>
  <c r="J16" i="14" s="1"/>
  <c r="G17" i="14"/>
  <c r="H17" i="14" s="1"/>
  <c r="I17" i="14" s="1"/>
  <c r="J17" i="14" s="1"/>
  <c r="G18" i="14"/>
  <c r="H18" i="14" s="1"/>
  <c r="I18" i="14" s="1"/>
  <c r="J18" i="14" s="1"/>
  <c r="G19" i="14"/>
  <c r="H19" i="14" s="1"/>
  <c r="I19" i="14" s="1"/>
  <c r="J19" i="14" s="1"/>
  <c r="G20" i="14"/>
  <c r="H20" i="14" s="1"/>
  <c r="G21" i="14"/>
  <c r="H21" i="14" s="1"/>
  <c r="I21" i="14" s="1"/>
  <c r="J21" i="14" s="1"/>
  <c r="G22" i="14"/>
  <c r="H22" i="14" s="1"/>
  <c r="I22" i="14" s="1"/>
  <c r="J22" i="14" s="1"/>
  <c r="G23" i="14"/>
  <c r="H23" i="14" s="1"/>
  <c r="I23" i="14" s="1"/>
  <c r="J23" i="14" s="1"/>
  <c r="G24" i="14"/>
  <c r="H24" i="14" s="1"/>
  <c r="I24" i="14" s="1"/>
  <c r="J24" i="14" s="1"/>
  <c r="G25" i="14"/>
  <c r="H25" i="14" s="1"/>
  <c r="I25" i="14" s="1"/>
  <c r="J25" i="14" s="1"/>
  <c r="G26" i="14"/>
  <c r="H26" i="14" s="1"/>
  <c r="I26" i="14" s="1"/>
  <c r="J26" i="14" s="1"/>
  <c r="G27" i="14"/>
  <c r="H27" i="14" s="1"/>
  <c r="I27" i="14" s="1"/>
  <c r="J27" i="14" s="1"/>
  <c r="G28" i="14"/>
  <c r="H28" i="14" s="1"/>
  <c r="G29" i="14"/>
  <c r="H29" i="14" s="1"/>
  <c r="I29" i="14" s="1"/>
  <c r="J29" i="14" s="1"/>
  <c r="G30" i="14"/>
  <c r="H30" i="14" s="1"/>
  <c r="I30" i="14" s="1"/>
  <c r="J30" i="14" s="1"/>
  <c r="G31" i="14"/>
  <c r="H31" i="14" s="1"/>
  <c r="I31" i="14" s="1"/>
  <c r="J31" i="14" s="1"/>
  <c r="G32" i="14"/>
  <c r="H32" i="14" s="1"/>
  <c r="I32" i="14" s="1"/>
  <c r="J32" i="14" s="1"/>
  <c r="G33" i="14"/>
  <c r="H33" i="14" s="1"/>
  <c r="I33" i="14" s="1"/>
  <c r="J33" i="14" s="1"/>
  <c r="G34" i="14"/>
  <c r="H34" i="14" s="1"/>
  <c r="G35" i="14"/>
  <c r="H35" i="14" s="1"/>
  <c r="I35" i="14" s="1"/>
  <c r="J35" i="14" s="1"/>
  <c r="G36" i="14"/>
  <c r="H36" i="14" s="1"/>
  <c r="I36" i="14" s="1"/>
  <c r="J36" i="14" s="1"/>
  <c r="G37" i="14"/>
  <c r="H37" i="14" s="1"/>
  <c r="G38" i="14"/>
  <c r="H38" i="14" s="1"/>
  <c r="I38" i="14" s="1"/>
  <c r="J38" i="14" s="1"/>
  <c r="G39" i="14"/>
  <c r="H39" i="14" s="1"/>
  <c r="I39" i="14" s="1"/>
  <c r="J39" i="14" s="1"/>
  <c r="G40" i="14"/>
  <c r="H40" i="14" s="1"/>
  <c r="I40" i="14" s="1"/>
  <c r="J40" i="14" s="1"/>
  <c r="G41" i="14"/>
  <c r="H41" i="14" s="1"/>
  <c r="I41" i="14" s="1"/>
  <c r="J41" i="14" s="1"/>
  <c r="G42" i="14"/>
  <c r="H42" i="14" s="1"/>
  <c r="I42" i="14" s="1"/>
  <c r="J42" i="14" s="1"/>
  <c r="G43" i="14"/>
  <c r="H43" i="14" s="1"/>
  <c r="I43" i="14" s="1"/>
  <c r="J43" i="14" s="1"/>
  <c r="G44" i="14"/>
  <c r="H44" i="14" s="1"/>
  <c r="I44" i="14" s="1"/>
  <c r="J44" i="14" s="1"/>
  <c r="G45" i="14"/>
  <c r="H45" i="14" s="1"/>
  <c r="I45" i="14" s="1"/>
  <c r="J45" i="14" s="1"/>
  <c r="G46" i="14"/>
  <c r="H46" i="14" s="1"/>
  <c r="I46" i="14" s="1"/>
  <c r="J46" i="14" s="1"/>
  <c r="G47" i="14"/>
  <c r="H47" i="14" s="1"/>
  <c r="I47" i="14" s="1"/>
  <c r="J47" i="14" s="1"/>
  <c r="G48" i="14"/>
  <c r="H48" i="14" s="1"/>
  <c r="I48" i="14" s="1"/>
  <c r="J48" i="14" s="1"/>
  <c r="G49" i="14"/>
  <c r="H49" i="14" s="1"/>
  <c r="I49" i="14" s="1"/>
  <c r="J49" i="14" s="1"/>
  <c r="G50" i="14"/>
  <c r="H50" i="14" s="1"/>
  <c r="I50" i="14" s="1"/>
  <c r="J50" i="14" s="1"/>
  <c r="G51" i="14"/>
  <c r="H51" i="14" s="1"/>
  <c r="I51" i="14" s="1"/>
  <c r="J51" i="14" s="1"/>
  <c r="G52" i="14"/>
  <c r="H52" i="14" s="1"/>
  <c r="I52" i="14" s="1"/>
  <c r="J52" i="14" s="1"/>
  <c r="G53" i="14"/>
  <c r="H53" i="14" s="1"/>
  <c r="I53" i="14" s="1"/>
  <c r="J53" i="14" s="1"/>
  <c r="G54" i="14"/>
  <c r="H54" i="14" s="1"/>
  <c r="I54" i="14" s="1"/>
  <c r="J54" i="14" s="1"/>
  <c r="G55" i="14"/>
  <c r="H55" i="14" s="1"/>
  <c r="I55" i="14" s="1"/>
  <c r="J55" i="14" s="1"/>
  <c r="G56" i="14"/>
  <c r="H56" i="14" s="1"/>
  <c r="G57" i="14"/>
  <c r="H57" i="14" s="1"/>
  <c r="G58" i="14"/>
  <c r="H58" i="14" s="1"/>
  <c r="I58" i="14" s="1"/>
  <c r="J58" i="14" s="1"/>
  <c r="G59" i="14"/>
  <c r="H59" i="14" s="1"/>
  <c r="G60" i="14"/>
  <c r="H60" i="14" s="1"/>
  <c r="I60" i="14" s="1"/>
  <c r="J60" i="14" s="1"/>
  <c r="G61" i="14"/>
  <c r="H61" i="14" s="1"/>
  <c r="I61" i="14" s="1"/>
  <c r="J61" i="14" s="1"/>
  <c r="G62" i="14"/>
  <c r="H62" i="14" s="1"/>
  <c r="G76" i="14"/>
  <c r="H76" i="14" s="1"/>
  <c r="I76" i="14" s="1"/>
  <c r="J76" i="14" s="1"/>
  <c r="G77" i="14"/>
  <c r="H77" i="14" s="1"/>
  <c r="G78" i="14"/>
  <c r="H78" i="14" s="1"/>
  <c r="I78" i="14" s="1"/>
  <c r="J78" i="14" s="1"/>
  <c r="G79" i="14"/>
  <c r="H79" i="14" s="1"/>
  <c r="I79" i="14" s="1"/>
  <c r="J79" i="14" s="1"/>
  <c r="G80" i="14"/>
  <c r="H80" i="14" s="1"/>
  <c r="I80" i="14" s="1"/>
  <c r="J80" i="14" s="1"/>
  <c r="G81" i="14"/>
  <c r="H81" i="14" s="1"/>
  <c r="G82" i="14"/>
  <c r="H82" i="14" s="1"/>
  <c r="I82" i="14" s="1"/>
  <c r="J82" i="14" s="1"/>
  <c r="G83" i="14"/>
  <c r="H83" i="14" s="1"/>
  <c r="I83" i="14" s="1"/>
  <c r="J83" i="14" s="1"/>
  <c r="G84" i="14"/>
  <c r="H84" i="14" s="1"/>
  <c r="I84" i="14" s="1"/>
  <c r="J84" i="14" s="1"/>
  <c r="G85" i="14"/>
  <c r="H85" i="14" s="1"/>
  <c r="I85" i="14" s="1"/>
  <c r="J85" i="14" s="1"/>
  <c r="G86" i="14"/>
  <c r="H86" i="14" s="1"/>
  <c r="I86" i="14" s="1"/>
  <c r="J86" i="14" s="1"/>
  <c r="G87" i="14"/>
  <c r="H87" i="14" s="1"/>
  <c r="I87" i="14" s="1"/>
  <c r="J87" i="14" s="1"/>
  <c r="G88" i="14"/>
  <c r="H88" i="14" s="1"/>
  <c r="I88" i="14" s="1"/>
  <c r="J88" i="14" s="1"/>
  <c r="G89" i="14"/>
  <c r="H89" i="14" s="1"/>
  <c r="I89" i="14" s="1"/>
  <c r="J89" i="14" s="1"/>
  <c r="G90" i="14"/>
  <c r="H90" i="14" s="1"/>
  <c r="G91" i="14"/>
  <c r="H91" i="14" s="1"/>
  <c r="G92" i="14"/>
  <c r="H92" i="14" s="1"/>
  <c r="G93" i="14"/>
  <c r="H93" i="14" s="1"/>
  <c r="I93" i="14" s="1"/>
  <c r="J93" i="14" s="1"/>
  <c r="G94" i="14"/>
  <c r="H94" i="14" s="1"/>
  <c r="G95" i="14"/>
  <c r="H95" i="14" s="1"/>
  <c r="I95" i="14" s="1"/>
  <c r="J95" i="14" s="1"/>
  <c r="G96" i="14"/>
  <c r="H96" i="14" s="1"/>
  <c r="I96" i="14" s="1"/>
  <c r="J96" i="14" s="1"/>
  <c r="G97" i="14"/>
  <c r="H97" i="14" s="1"/>
  <c r="I97" i="14" s="1"/>
  <c r="J97" i="14" s="1"/>
  <c r="G98" i="14"/>
  <c r="H98" i="14" s="1"/>
  <c r="I98" i="14" s="1"/>
  <c r="J98" i="14" s="1"/>
  <c r="G99" i="14"/>
  <c r="H99" i="14" s="1"/>
  <c r="I99" i="14" s="1"/>
  <c r="J99" i="14" s="1"/>
  <c r="G100" i="14"/>
  <c r="H100" i="14" s="1"/>
  <c r="I100" i="14" s="1"/>
  <c r="J100" i="14" s="1"/>
  <c r="G101" i="14"/>
  <c r="H101" i="14" s="1"/>
  <c r="I101" i="14" s="1"/>
  <c r="J101" i="14" s="1"/>
  <c r="G102" i="14"/>
  <c r="H102" i="14" s="1"/>
  <c r="I102" i="14" s="1"/>
  <c r="J102" i="14" s="1"/>
  <c r="G103" i="14"/>
  <c r="H103" i="14" s="1"/>
  <c r="I103" i="14" s="1"/>
  <c r="J103" i="14" s="1"/>
  <c r="G104" i="14"/>
  <c r="H104" i="14" s="1"/>
  <c r="I104" i="14" s="1"/>
  <c r="J104" i="14" s="1"/>
  <c r="G64" i="14"/>
  <c r="H64" i="14" s="1"/>
  <c r="I64" i="14" s="1"/>
  <c r="J64" i="14" s="1"/>
  <c r="G65" i="14"/>
  <c r="H65" i="14" s="1"/>
  <c r="I65" i="14" s="1"/>
  <c r="J65" i="14" s="1"/>
  <c r="G66" i="14"/>
  <c r="H66" i="14" s="1"/>
  <c r="I66" i="14" s="1"/>
  <c r="J66" i="14" s="1"/>
  <c r="G67" i="14"/>
  <c r="H67" i="14" s="1"/>
  <c r="I67" i="14" s="1"/>
  <c r="J67" i="14" s="1"/>
  <c r="G68" i="14"/>
  <c r="H68" i="14" s="1"/>
  <c r="I68" i="14" s="1"/>
  <c r="J68" i="14" s="1"/>
  <c r="G69" i="14"/>
  <c r="H69" i="14" s="1"/>
  <c r="I69" i="14" s="1"/>
  <c r="J69" i="14" s="1"/>
  <c r="G70" i="14"/>
  <c r="H70" i="14" s="1"/>
  <c r="I70" i="14" s="1"/>
  <c r="J70" i="14" s="1"/>
  <c r="G71" i="14"/>
  <c r="H71" i="14" s="1"/>
  <c r="I71" i="14" s="1"/>
  <c r="J71" i="14" s="1"/>
  <c r="G72" i="14"/>
  <c r="H72" i="14" s="1"/>
  <c r="I72" i="14" s="1"/>
  <c r="J72" i="14" s="1"/>
  <c r="G73" i="14"/>
  <c r="H73" i="14" s="1"/>
  <c r="G74" i="14"/>
  <c r="H74" i="14" s="1"/>
  <c r="I74" i="14" s="1"/>
  <c r="J74" i="14" s="1"/>
  <c r="G75" i="14"/>
  <c r="H75" i="14" s="1"/>
  <c r="H63" i="14"/>
  <c r="C24" i="43" s="1"/>
  <c r="G63" i="14"/>
  <c r="O22" i="17" l="1"/>
  <c r="M22" i="17"/>
  <c r="N22" i="17"/>
  <c r="M9" i="17"/>
  <c r="N9" i="17"/>
  <c r="M23" i="17"/>
  <c r="N23" i="17"/>
  <c r="N19" i="17"/>
  <c r="O19" i="17" s="1"/>
  <c r="M19" i="17"/>
  <c r="N13" i="17"/>
  <c r="O13" i="17" s="1"/>
  <c r="M13" i="17"/>
  <c r="N26" i="17"/>
  <c r="M26" i="17"/>
  <c r="N18" i="17"/>
  <c r="O18" i="17" s="1"/>
  <c r="M18" i="17"/>
  <c r="N11" i="17"/>
  <c r="M11" i="17"/>
  <c r="G10" i="17"/>
  <c r="J10" i="17" s="1"/>
  <c r="N25" i="17"/>
  <c r="M25" i="17"/>
  <c r="N21" i="17"/>
  <c r="M21" i="17"/>
  <c r="N17" i="17"/>
  <c r="M17" i="17"/>
  <c r="L24" i="17"/>
  <c r="O24" i="17" s="1"/>
  <c r="M24" i="17"/>
  <c r="N24" i="17"/>
  <c r="M20" i="17"/>
  <c r="N20" i="17"/>
  <c r="N16" i="17"/>
  <c r="M16" i="17"/>
  <c r="I91" i="14"/>
  <c r="J91" i="14" s="1"/>
  <c r="C64" i="43"/>
  <c r="E64" i="43" s="1"/>
  <c r="F64" i="43" s="1"/>
  <c r="I62" i="14"/>
  <c r="J62" i="14" s="1"/>
  <c r="C61" i="43"/>
  <c r="E61" i="43" s="1"/>
  <c r="F61" i="43" s="1"/>
  <c r="I34" i="14"/>
  <c r="J34" i="14" s="1"/>
  <c r="K34" i="14"/>
  <c r="C60" i="43" s="1"/>
  <c r="E60" i="43" s="1"/>
  <c r="F60" i="43" s="1"/>
  <c r="C28" i="43"/>
  <c r="E28" i="43" s="1"/>
  <c r="F28" i="43" s="1"/>
  <c r="C38" i="43"/>
  <c r="C42" i="43"/>
  <c r="I63" i="14"/>
  <c r="J63" i="14" s="1"/>
  <c r="I73" i="14"/>
  <c r="J73" i="14" s="1"/>
  <c r="C132" i="43"/>
  <c r="E132" i="43" s="1"/>
  <c r="F132" i="43" s="1"/>
  <c r="I94" i="14"/>
  <c r="J94" i="14" s="1"/>
  <c r="C126" i="43"/>
  <c r="E126" i="43" s="1"/>
  <c r="F126" i="43" s="1"/>
  <c r="I90" i="14"/>
  <c r="J90" i="14" s="1"/>
  <c r="C63" i="43"/>
  <c r="E63" i="43" s="1"/>
  <c r="F63" i="43" s="1"/>
  <c r="I57" i="14"/>
  <c r="J57" i="14" s="1"/>
  <c r="C121" i="43"/>
  <c r="E121" i="43" s="1"/>
  <c r="F121" i="43" s="1"/>
  <c r="I81" i="14"/>
  <c r="J81" i="14" s="1"/>
  <c r="K81" i="14"/>
  <c r="I77" i="14"/>
  <c r="J77" i="14" s="1"/>
  <c r="C92" i="43"/>
  <c r="E92" i="43" s="1"/>
  <c r="F92" i="43" s="1"/>
  <c r="I56" i="14"/>
  <c r="J56" i="14" s="1"/>
  <c r="C114" i="43"/>
  <c r="E114" i="43" s="1"/>
  <c r="F114" i="43" s="1"/>
  <c r="I28" i="14"/>
  <c r="J28" i="14" s="1"/>
  <c r="C58" i="43"/>
  <c r="E58" i="43" s="1"/>
  <c r="F58" i="43" s="1"/>
  <c r="I20" i="14"/>
  <c r="J20" i="14" s="1"/>
  <c r="I12" i="14"/>
  <c r="J12" i="14" s="1"/>
  <c r="C109" i="43"/>
  <c r="E109" i="43" s="1"/>
  <c r="F109" i="43" s="1"/>
  <c r="C30" i="43"/>
  <c r="C36" i="43"/>
  <c r="C25" i="43"/>
  <c r="C26" i="43"/>
  <c r="C21" i="43"/>
  <c r="C39" i="43"/>
  <c r="C41" i="43"/>
  <c r="C43" i="43"/>
  <c r="C51" i="43"/>
  <c r="E51" i="43" s="1"/>
  <c r="F51" i="43" s="1"/>
  <c r="K82" i="14"/>
  <c r="C94" i="43"/>
  <c r="E94" i="43" s="1"/>
  <c r="F94" i="43" s="1"/>
  <c r="C90" i="43"/>
  <c r="E90" i="43" s="1"/>
  <c r="F90" i="43" s="1"/>
  <c r="C33" i="43"/>
  <c r="E33" i="43" s="1"/>
  <c r="F33" i="43" s="1"/>
  <c r="I37" i="14"/>
  <c r="J37" i="14" s="1"/>
  <c r="K37" i="14"/>
  <c r="C101" i="43" s="1"/>
  <c r="E101" i="43" s="1"/>
  <c r="F101" i="43" s="1"/>
  <c r="I13" i="14"/>
  <c r="J13" i="14" s="1"/>
  <c r="C110" i="43"/>
  <c r="E110" i="43" s="1"/>
  <c r="F110" i="43" s="1"/>
  <c r="C47" i="43"/>
  <c r="E47" i="43" s="1"/>
  <c r="F47" i="43" s="1"/>
  <c r="C88" i="43"/>
  <c r="E88" i="43" s="1"/>
  <c r="F88" i="43" s="1"/>
  <c r="I75" i="14"/>
  <c r="J75" i="14" s="1"/>
  <c r="K75" i="14"/>
  <c r="C99" i="43" s="1"/>
  <c r="E99" i="43" s="1"/>
  <c r="F99" i="43" s="1"/>
  <c r="I92" i="14"/>
  <c r="J92" i="14" s="1"/>
  <c r="C65" i="43"/>
  <c r="E65" i="43" s="1"/>
  <c r="F65" i="43" s="1"/>
  <c r="I59" i="14"/>
  <c r="J59" i="14" s="1"/>
  <c r="C131" i="43"/>
  <c r="E131" i="43" s="1"/>
  <c r="F131" i="43" s="1"/>
  <c r="I11" i="14"/>
  <c r="J11" i="14" s="1"/>
  <c r="C111" i="43"/>
  <c r="E111" i="43" s="1"/>
  <c r="F111" i="43" s="1"/>
  <c r="C52" i="43"/>
  <c r="E52" i="43" s="1"/>
  <c r="F52" i="43" s="1"/>
  <c r="K83" i="14"/>
  <c r="C62" i="43"/>
  <c r="E62" i="43" s="1"/>
  <c r="F62" i="43" s="1"/>
  <c r="L26" i="17"/>
  <c r="L25" i="17"/>
  <c r="O20" i="17"/>
  <c r="O16" i="17"/>
  <c r="O21" i="17"/>
  <c r="O17" i="17"/>
  <c r="G12" i="17"/>
  <c r="J12" i="17" s="1"/>
  <c r="E36" i="43"/>
  <c r="F36" i="43" s="1"/>
  <c r="E37" i="43"/>
  <c r="F37" i="43" s="1"/>
  <c r="E21" i="43"/>
  <c r="F21" i="43" s="1"/>
  <c r="E39" i="43"/>
  <c r="F39" i="43" s="1"/>
  <c r="E41" i="43"/>
  <c r="F41" i="43" s="1"/>
  <c r="E29" i="43"/>
  <c r="F29" i="43" s="1"/>
  <c r="E43" i="43"/>
  <c r="F43" i="43" s="1"/>
  <c r="E42" i="43"/>
  <c r="F42" i="43" s="1"/>
  <c r="E40" i="43"/>
  <c r="F40" i="43" s="1"/>
  <c r="E26" i="43"/>
  <c r="F26" i="43" s="1"/>
  <c r="E25" i="43"/>
  <c r="F25" i="43" s="1"/>
  <c r="H10" i="43"/>
  <c r="H8" i="43"/>
  <c r="E24" i="43"/>
  <c r="O25" i="17" l="1"/>
  <c r="N10" i="17"/>
  <c r="O10" i="17" s="1"/>
  <c r="M10" i="17"/>
  <c r="L10" i="17"/>
  <c r="L12" i="17"/>
  <c r="M12" i="17"/>
  <c r="N12" i="17"/>
  <c r="O12" i="17" s="1"/>
  <c r="O26" i="17"/>
  <c r="K84" i="14"/>
  <c r="C59" i="43"/>
  <c r="E59" i="43" s="1"/>
  <c r="F59" i="43" s="1"/>
  <c r="B21" i="2"/>
  <c r="F62" i="2"/>
  <c r="F58" i="2"/>
  <c r="F53" i="2"/>
  <c r="F52" i="2"/>
  <c r="F51" i="2"/>
  <c r="F50" i="2"/>
  <c r="F48" i="2"/>
  <c r="F45" i="2"/>
  <c r="F44" i="2"/>
  <c r="F40" i="2"/>
  <c r="F37" i="2"/>
  <c r="F36" i="2"/>
  <c r="F35" i="2"/>
  <c r="F32" i="2"/>
  <c r="F28" i="2"/>
  <c r="F26" i="2"/>
  <c r="E38" i="43"/>
  <c r="F38" i="43" s="1"/>
  <c r="E30" i="43"/>
  <c r="F30" i="43" s="1"/>
  <c r="E27" i="43"/>
  <c r="F27" i="43" s="1"/>
  <c r="F24" i="43"/>
  <c r="C8" i="42"/>
  <c r="H101" i="22"/>
  <c r="F138" i="43" l="1"/>
  <c r="H13" i="43" s="1"/>
  <c r="S59" i="42"/>
  <c r="U57" i="42"/>
  <c r="U56" i="42"/>
  <c r="J46" i="42"/>
  <c r="J45" i="42"/>
  <c r="J44" i="42"/>
  <c r="J43" i="42"/>
  <c r="J47" i="42" s="1"/>
  <c r="V39" i="42"/>
  <c r="J38" i="42"/>
  <c r="V31" i="42"/>
  <c r="V28" i="42"/>
  <c r="K27" i="42"/>
  <c r="AA33" i="42" s="1"/>
  <c r="I27" i="42"/>
  <c r="AA38" i="42" s="1"/>
  <c r="AA23" i="42"/>
  <c r="V23" i="42"/>
  <c r="AA21" i="42"/>
  <c r="V21" i="42"/>
  <c r="AA19" i="42"/>
  <c r="V19" i="42"/>
  <c r="AA18" i="42"/>
  <c r="V18" i="42"/>
  <c r="AA17" i="42"/>
  <c r="V17" i="42"/>
  <c r="AA16" i="42"/>
  <c r="V16" i="42"/>
  <c r="AA14" i="42"/>
  <c r="V14" i="42"/>
  <c r="AA13" i="42"/>
  <c r="V13" i="42"/>
  <c r="AA12" i="42"/>
  <c r="V12" i="42"/>
  <c r="AA11" i="42"/>
  <c r="V11" i="42"/>
  <c r="AA9" i="42"/>
  <c r="V9" i="42"/>
  <c r="AA8" i="42"/>
  <c r="V8" i="42"/>
  <c r="F8" i="42"/>
  <c r="F9" i="42" s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1" i="42" s="1"/>
  <c r="F22" i="42" s="1"/>
  <c r="F23" i="42" s="1"/>
  <c r="F24" i="42" s="1"/>
  <c r="F25" i="42" s="1"/>
  <c r="F26" i="42" s="1"/>
  <c r="F27" i="42" s="1"/>
  <c r="F28" i="42" s="1"/>
  <c r="F29" i="42" s="1"/>
  <c r="F30" i="42" s="1"/>
  <c r="F31" i="42" s="1"/>
  <c r="F32" i="42" s="1"/>
  <c r="F33" i="42" s="1"/>
  <c r="F34" i="42" s="1"/>
  <c r="F35" i="42" s="1"/>
  <c r="F36" i="42" s="1"/>
  <c r="F37" i="42" s="1"/>
  <c r="F38" i="42" s="1"/>
  <c r="F39" i="42" s="1"/>
  <c r="F40" i="42" s="1"/>
  <c r="F41" i="42" s="1"/>
  <c r="F42" i="42" s="1"/>
  <c r="F43" i="42" s="1"/>
  <c r="F44" i="42" s="1"/>
  <c r="F45" i="42" s="1"/>
  <c r="F46" i="42" s="1"/>
  <c r="F47" i="42" s="1"/>
  <c r="F48" i="42" s="1"/>
  <c r="F49" i="42" s="1"/>
  <c r="AA7" i="42"/>
  <c r="V7" i="42"/>
  <c r="AA6" i="42"/>
  <c r="V6" i="42"/>
  <c r="AA24" i="42" l="1"/>
  <c r="L27" i="42"/>
  <c r="AA32" i="42"/>
  <c r="AA22" i="42"/>
  <c r="AA26" i="42"/>
  <c r="AA34" i="42"/>
  <c r="AA28" i="42"/>
  <c r="AA39" i="42"/>
  <c r="Y68" i="42"/>
  <c r="K38" i="42"/>
  <c r="Z68" i="42" s="1"/>
  <c r="V34" i="42"/>
  <c r="V33" i="42"/>
  <c r="V32" i="42"/>
  <c r="V26" i="42"/>
  <c r="V24" i="42"/>
  <c r="V22" i="42"/>
  <c r="V38" i="42"/>
  <c r="V37" i="42"/>
  <c r="V36" i="42"/>
  <c r="V29" i="42"/>
  <c r="V27" i="42"/>
  <c r="AA31" i="42"/>
  <c r="I26" i="42"/>
  <c r="AA27" i="42"/>
  <c r="AA29" i="42"/>
  <c r="AA36" i="42"/>
  <c r="AA37" i="42"/>
  <c r="I28" i="42" l="1"/>
  <c r="K6" i="8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5" i="8"/>
  <c r="J110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5" i="8"/>
  <c r="F85" i="2" l="1"/>
  <c r="F84" i="2"/>
  <c r="F83" i="2"/>
  <c r="S117" i="40" l="1"/>
  <c r="S118" i="40" s="1"/>
  <c r="AE116" i="40"/>
  <c r="AC115" i="40"/>
  <c r="AC117" i="40" s="1"/>
  <c r="AC118" i="40" s="1"/>
  <c r="AA115" i="40"/>
  <c r="AA117" i="40" s="1"/>
  <c r="AA118" i="40" s="1"/>
  <c r="Y115" i="40"/>
  <c r="Y117" i="40" s="1"/>
  <c r="Y118" i="40" s="1"/>
  <c r="W115" i="40"/>
  <c r="W117" i="40" s="1"/>
  <c r="W118" i="40" s="1"/>
  <c r="U115" i="40"/>
  <c r="U117" i="40" s="1"/>
  <c r="U118" i="40" s="1"/>
  <c r="S115" i="40"/>
  <c r="Q115" i="40"/>
  <c r="Q117" i="40" s="1"/>
  <c r="Q118" i="40" s="1"/>
  <c r="O115" i="40"/>
  <c r="O117" i="40" s="1"/>
  <c r="O118" i="40" s="1"/>
  <c r="M115" i="40"/>
  <c r="M117" i="40" s="1"/>
  <c r="M118" i="40" s="1"/>
  <c r="K115" i="40"/>
  <c r="I115" i="40"/>
  <c r="I117" i="40" s="1"/>
  <c r="I118" i="40" s="1"/>
  <c r="G115" i="40"/>
  <c r="G117" i="40" s="1"/>
  <c r="AE114" i="40"/>
  <c r="AE113" i="40"/>
  <c r="AE112" i="40"/>
  <c r="AC106" i="40"/>
  <c r="AA106" i="40"/>
  <c r="Y106" i="40"/>
  <c r="W106" i="40"/>
  <c r="U106" i="40"/>
  <c r="S106" i="40"/>
  <c r="Q106" i="40"/>
  <c r="O106" i="40"/>
  <c r="M106" i="40"/>
  <c r="K106" i="40"/>
  <c r="I106" i="40"/>
  <c r="G106" i="40"/>
  <c r="AE105" i="40"/>
  <c r="AE104" i="40"/>
  <c r="AE101" i="40"/>
  <c r="AC100" i="40"/>
  <c r="AC102" i="40" s="1"/>
  <c r="AA100" i="40"/>
  <c r="AA102" i="40" s="1"/>
  <c r="Y100" i="40"/>
  <c r="Y102" i="40" s="1"/>
  <c r="W100" i="40"/>
  <c r="W102" i="40" s="1"/>
  <c r="U100" i="40"/>
  <c r="U102" i="40" s="1"/>
  <c r="S100" i="40"/>
  <c r="S102" i="40" s="1"/>
  <c r="Q100" i="40"/>
  <c r="Q102" i="40" s="1"/>
  <c r="O100" i="40"/>
  <c r="O102" i="40" s="1"/>
  <c r="M100" i="40"/>
  <c r="M102" i="40" s="1"/>
  <c r="K100" i="40"/>
  <c r="K102" i="40" s="1"/>
  <c r="I100" i="40"/>
  <c r="I102" i="40" s="1"/>
  <c r="G100" i="40"/>
  <c r="G102" i="40" s="1"/>
  <c r="AE99" i="40"/>
  <c r="AE98" i="40"/>
  <c r="AE97" i="40"/>
  <c r="AE96" i="40"/>
  <c r="AE94" i="40"/>
  <c r="AE93" i="40"/>
  <c r="AE92" i="40"/>
  <c r="AE91" i="40"/>
  <c r="AE90" i="40"/>
  <c r="AE89" i="40"/>
  <c r="AE88" i="40"/>
  <c r="AE86" i="40"/>
  <c r="AC85" i="40"/>
  <c r="AA85" i="40"/>
  <c r="Y85" i="40"/>
  <c r="W85" i="40"/>
  <c r="U85" i="40"/>
  <c r="S85" i="40"/>
  <c r="Q85" i="40"/>
  <c r="O85" i="40"/>
  <c r="M85" i="40"/>
  <c r="K85" i="40"/>
  <c r="I85" i="40"/>
  <c r="G85" i="40"/>
  <c r="AE84" i="40"/>
  <c r="AE83" i="40"/>
  <c r="AE82" i="40"/>
  <c r="AE81" i="40"/>
  <c r="AC78" i="40"/>
  <c r="AA78" i="40"/>
  <c r="Y78" i="40"/>
  <c r="W78" i="40"/>
  <c r="U78" i="40"/>
  <c r="S78" i="40"/>
  <c r="Q78" i="40"/>
  <c r="O78" i="40"/>
  <c r="M78" i="40"/>
  <c r="K78" i="40"/>
  <c r="I78" i="40"/>
  <c r="G78" i="40"/>
  <c r="AE77" i="40"/>
  <c r="AE76" i="40"/>
  <c r="AE74" i="40"/>
  <c r="AE73" i="40"/>
  <c r="AC72" i="40"/>
  <c r="AA72" i="40"/>
  <c r="Y72" i="40"/>
  <c r="W72" i="40"/>
  <c r="U72" i="40"/>
  <c r="S72" i="40"/>
  <c r="Q72" i="40"/>
  <c r="O72" i="40"/>
  <c r="M72" i="40"/>
  <c r="K72" i="40"/>
  <c r="I72" i="40"/>
  <c r="G72" i="40"/>
  <c r="AE71" i="40"/>
  <c r="AE70" i="40"/>
  <c r="AE69" i="40"/>
  <c r="AE68" i="40"/>
  <c r="AE67" i="40"/>
  <c r="AC65" i="40"/>
  <c r="AC79" i="40" s="1"/>
  <c r="AA65" i="40"/>
  <c r="AA79" i="40" s="1"/>
  <c r="Y65" i="40"/>
  <c r="W65" i="40"/>
  <c r="U65" i="40"/>
  <c r="U79" i="40" s="1"/>
  <c r="S65" i="40"/>
  <c r="S79" i="40" s="1"/>
  <c r="Q65" i="40"/>
  <c r="O65" i="40"/>
  <c r="M65" i="40"/>
  <c r="M79" i="40" s="1"/>
  <c r="K65" i="40"/>
  <c r="K79" i="40" s="1"/>
  <c r="I65" i="40"/>
  <c r="G65" i="40"/>
  <c r="AE64" i="40"/>
  <c r="AE63" i="40"/>
  <c r="AE61" i="40"/>
  <c r="AC60" i="40"/>
  <c r="AA60" i="40"/>
  <c r="Y60" i="40"/>
  <c r="W60" i="40"/>
  <c r="U60" i="40"/>
  <c r="S60" i="40"/>
  <c r="Q60" i="40"/>
  <c r="O60" i="40"/>
  <c r="M60" i="40"/>
  <c r="K60" i="40"/>
  <c r="I60" i="40"/>
  <c r="G60" i="40"/>
  <c r="AE59" i="40"/>
  <c r="AE58" i="40"/>
  <c r="AE57" i="40"/>
  <c r="AE56" i="40"/>
  <c r="AE55" i="40"/>
  <c r="AE53" i="40"/>
  <c r="AE52" i="40"/>
  <c r="W50" i="40"/>
  <c r="AC49" i="40"/>
  <c r="AC50" i="40" s="1"/>
  <c r="AA49" i="40"/>
  <c r="AA50" i="40" s="1"/>
  <c r="Y49" i="40"/>
  <c r="Y50" i="40" s="1"/>
  <c r="W49" i="40"/>
  <c r="U49" i="40"/>
  <c r="U50" i="40" s="1"/>
  <c r="S49" i="40"/>
  <c r="S50" i="40" s="1"/>
  <c r="Q49" i="40"/>
  <c r="Q50" i="40" s="1"/>
  <c r="O49" i="40"/>
  <c r="M49" i="40"/>
  <c r="M50" i="40" s="1"/>
  <c r="K49" i="40"/>
  <c r="K50" i="40" s="1"/>
  <c r="I49" i="40"/>
  <c r="I50" i="40" s="1"/>
  <c r="G49" i="40"/>
  <c r="G50" i="40" s="1"/>
  <c r="AE48" i="40"/>
  <c r="AE46" i="40"/>
  <c r="AE45" i="40"/>
  <c r="AE44" i="40"/>
  <c r="AC42" i="40"/>
  <c r="AA42" i="40"/>
  <c r="Y42" i="40"/>
  <c r="W42" i="40"/>
  <c r="U42" i="40"/>
  <c r="S42" i="40"/>
  <c r="Q42" i="40"/>
  <c r="O42" i="40"/>
  <c r="M42" i="40"/>
  <c r="K42" i="40"/>
  <c r="I42" i="40"/>
  <c r="G42" i="40"/>
  <c r="AE41" i="40"/>
  <c r="AC39" i="40"/>
  <c r="AA39" i="40"/>
  <c r="Y39" i="40"/>
  <c r="W39" i="40"/>
  <c r="U39" i="40"/>
  <c r="S39" i="40"/>
  <c r="Q39" i="40"/>
  <c r="O39" i="40"/>
  <c r="M39" i="40"/>
  <c r="AE39" i="40" s="1"/>
  <c r="K39" i="40"/>
  <c r="I39" i="40"/>
  <c r="G39" i="40"/>
  <c r="AE38" i="40"/>
  <c r="AE37" i="40"/>
  <c r="AE34" i="40"/>
  <c r="AC33" i="40"/>
  <c r="AC35" i="40" s="1"/>
  <c r="AA33" i="40"/>
  <c r="AA35" i="40" s="1"/>
  <c r="Y33" i="40"/>
  <c r="Y35" i="40" s="1"/>
  <c r="W33" i="40"/>
  <c r="W35" i="40" s="1"/>
  <c r="U33" i="40"/>
  <c r="U35" i="40" s="1"/>
  <c r="S33" i="40"/>
  <c r="S35" i="40" s="1"/>
  <c r="Q33" i="40"/>
  <c r="Q35" i="40" s="1"/>
  <c r="O33" i="40"/>
  <c r="O35" i="40" s="1"/>
  <c r="M33" i="40"/>
  <c r="M35" i="40" s="1"/>
  <c r="K33" i="40"/>
  <c r="K35" i="40" s="1"/>
  <c r="I33" i="40"/>
  <c r="I35" i="40" s="1"/>
  <c r="G33" i="40"/>
  <c r="G35" i="40" s="1"/>
  <c r="AE32" i="40"/>
  <c r="AE31" i="40"/>
  <c r="AE30" i="40"/>
  <c r="AE29" i="40"/>
  <c r="AE28" i="40"/>
  <c r="AE27" i="40"/>
  <c r="AE25" i="40"/>
  <c r="U23" i="40"/>
  <c r="AE22" i="40"/>
  <c r="AE21" i="40"/>
  <c r="AC20" i="40"/>
  <c r="AC23" i="40" s="1"/>
  <c r="AA20" i="40"/>
  <c r="AA23" i="40" s="1"/>
  <c r="Y20" i="40"/>
  <c r="Y23" i="40" s="1"/>
  <c r="W20" i="40"/>
  <c r="W23" i="40" s="1"/>
  <c r="U20" i="40"/>
  <c r="S20" i="40"/>
  <c r="S23" i="40" s="1"/>
  <c r="Q20" i="40"/>
  <c r="Q23" i="40" s="1"/>
  <c r="O20" i="40"/>
  <c r="O23" i="40" s="1"/>
  <c r="M20" i="40"/>
  <c r="M23" i="40" s="1"/>
  <c r="K20" i="40"/>
  <c r="K23" i="40" s="1"/>
  <c r="I20" i="40"/>
  <c r="I23" i="40" s="1"/>
  <c r="G20" i="40"/>
  <c r="AE19" i="40"/>
  <c r="AE18" i="40"/>
  <c r="AE15" i="40"/>
  <c r="Y12" i="40"/>
  <c r="Y13" i="40" s="1"/>
  <c r="M12" i="40"/>
  <c r="M13" i="40" s="1"/>
  <c r="AC11" i="40"/>
  <c r="AC12" i="40" s="1"/>
  <c r="AC13" i="40" s="1"/>
  <c r="AA11" i="40"/>
  <c r="AA12" i="40" s="1"/>
  <c r="AA13" i="40" s="1"/>
  <c r="Y11" i="40"/>
  <c r="W11" i="40"/>
  <c r="W12" i="40" s="1"/>
  <c r="W13" i="40" s="1"/>
  <c r="U11" i="40"/>
  <c r="U12" i="40" s="1"/>
  <c r="U13" i="40" s="1"/>
  <c r="S11" i="40"/>
  <c r="S12" i="40" s="1"/>
  <c r="S13" i="40" s="1"/>
  <c r="Q11" i="40"/>
  <c r="Q12" i="40" s="1"/>
  <c r="Q13" i="40" s="1"/>
  <c r="O11" i="40"/>
  <c r="O12" i="40" s="1"/>
  <c r="O13" i="40" s="1"/>
  <c r="M11" i="40"/>
  <c r="K11" i="40"/>
  <c r="K12" i="40" s="1"/>
  <c r="K13" i="40" s="1"/>
  <c r="I11" i="40"/>
  <c r="I12" i="40" s="1"/>
  <c r="I13" i="40" s="1"/>
  <c r="G11" i="40"/>
  <c r="G12" i="40" s="1"/>
  <c r="AE10" i="40"/>
  <c r="AE9" i="40"/>
  <c r="AE7" i="40"/>
  <c r="H97" i="22"/>
  <c r="H88" i="22"/>
  <c r="H89" i="22" s="1"/>
  <c r="H82" i="22"/>
  <c r="H74" i="22"/>
  <c r="H68" i="22"/>
  <c r="H69" i="22" s="1"/>
  <c r="H57" i="22"/>
  <c r="H59" i="22" s="1"/>
  <c r="H60" i="22" s="1"/>
  <c r="H46" i="22"/>
  <c r="H42" i="22"/>
  <c r="H38" i="22"/>
  <c r="H34" i="22"/>
  <c r="H30" i="22"/>
  <c r="H22" i="22"/>
  <c r="H23" i="22" s="1"/>
  <c r="H14" i="22"/>
  <c r="H15" i="22" s="1"/>
  <c r="H8" i="22"/>
  <c r="AE106" i="40" l="1"/>
  <c r="K107" i="40"/>
  <c r="AA107" i="40"/>
  <c r="AE85" i="40"/>
  <c r="AE115" i="40"/>
  <c r="AE42" i="40"/>
  <c r="AE49" i="40"/>
  <c r="AE65" i="40"/>
  <c r="O79" i="40"/>
  <c r="W79" i="40"/>
  <c r="H47" i="22"/>
  <c r="H48" i="22" s="1"/>
  <c r="H83" i="22"/>
  <c r="AE20" i="40"/>
  <c r="AE60" i="40"/>
  <c r="I79" i="40"/>
  <c r="Q79" i="40"/>
  <c r="Q107" i="40" s="1"/>
  <c r="Q108" i="40" s="1"/>
  <c r="Q119" i="40" s="1"/>
  <c r="Y79" i="40"/>
  <c r="AE72" i="40"/>
  <c r="AE78" i="40"/>
  <c r="K108" i="40"/>
  <c r="W107" i="40"/>
  <c r="U107" i="40"/>
  <c r="U108" i="40" s="1"/>
  <c r="U119" i="40" s="1"/>
  <c r="AE102" i="40"/>
  <c r="G118" i="40"/>
  <c r="Y107" i="40"/>
  <c r="AE35" i="40"/>
  <c r="W108" i="40"/>
  <c r="W119" i="40" s="1"/>
  <c r="M107" i="40"/>
  <c r="M108" i="40" s="1"/>
  <c r="M119" i="40" s="1"/>
  <c r="G13" i="40"/>
  <c r="AE12" i="40"/>
  <c r="AA108" i="40"/>
  <c r="AA119" i="40" s="1"/>
  <c r="AC107" i="40"/>
  <c r="AC108" i="40" s="1"/>
  <c r="AC119" i="40" s="1"/>
  <c r="Y108" i="40"/>
  <c r="Y119" i="40" s="1"/>
  <c r="S107" i="40"/>
  <c r="S108" i="40" s="1"/>
  <c r="S119" i="40" s="1"/>
  <c r="I107" i="40"/>
  <c r="I108" i="40" s="1"/>
  <c r="I119" i="40" s="1"/>
  <c r="G23" i="40"/>
  <c r="AE33" i="40"/>
  <c r="O50" i="40"/>
  <c r="O107" i="40" s="1"/>
  <c r="O108" i="40" s="1"/>
  <c r="O119" i="40" s="1"/>
  <c r="G79" i="40"/>
  <c r="AE79" i="40" s="1"/>
  <c r="K117" i="40"/>
  <c r="K118" i="40" s="1"/>
  <c r="AE100" i="40"/>
  <c r="AE11" i="40"/>
  <c r="H24" i="22"/>
  <c r="H49" i="22" s="1"/>
  <c r="H84" i="22"/>
  <c r="H90" i="22" s="1"/>
  <c r="H102" i="22" s="1"/>
  <c r="H8" i="7"/>
  <c r="H6" i="7"/>
  <c r="H11" i="7" s="1"/>
  <c r="G11" i="7"/>
  <c r="C13" i="7" s="1"/>
  <c r="E11" i="7"/>
  <c r="J90" i="22" l="1"/>
  <c r="J102" i="22"/>
  <c r="AE118" i="40"/>
  <c r="AE50" i="40"/>
  <c r="K119" i="40"/>
  <c r="G107" i="40"/>
  <c r="AE107" i="40" s="1"/>
  <c r="AE23" i="40"/>
  <c r="AE13" i="40"/>
  <c r="AE117" i="40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K114" i="14" s="1"/>
  <c r="M114" i="14" s="1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O3" i="14"/>
  <c r="N4" i="14"/>
  <c r="K111" i="14" l="1"/>
  <c r="M111" i="14" s="1"/>
  <c r="K112" i="14"/>
  <c r="M112" i="14" s="1"/>
  <c r="K113" i="14"/>
  <c r="M113" i="14" s="1"/>
  <c r="G108" i="40"/>
  <c r="AE108" i="40" l="1"/>
  <c r="G119" i="40"/>
  <c r="AE119" i="40" s="1"/>
  <c r="P3" i="14"/>
  <c r="F65" i="39" l="1"/>
  <c r="G65" i="39"/>
  <c r="H65" i="39"/>
  <c r="I65" i="39"/>
  <c r="J65" i="39"/>
  <c r="K65" i="39"/>
  <c r="L65" i="39"/>
  <c r="M65" i="39"/>
  <c r="N65" i="39"/>
  <c r="O65" i="39"/>
  <c r="P65" i="39"/>
  <c r="E65" i="39"/>
  <c r="R68" i="39"/>
  <c r="R27" i="39"/>
  <c r="R28" i="39"/>
  <c r="R29" i="39"/>
  <c r="R30" i="39"/>
  <c r="R31" i="39"/>
  <c r="R32" i="39"/>
  <c r="R33" i="39"/>
  <c r="R34" i="39"/>
  <c r="R35" i="39"/>
  <c r="R36" i="39"/>
  <c r="R37" i="39"/>
  <c r="R38" i="39"/>
  <c r="R39" i="39"/>
  <c r="R40" i="39"/>
  <c r="R41" i="39"/>
  <c r="R42" i="39"/>
  <c r="R43" i="39"/>
  <c r="R44" i="39"/>
  <c r="R45" i="39"/>
  <c r="R46" i="39"/>
  <c r="R47" i="39"/>
  <c r="R48" i="39"/>
  <c r="R49" i="39"/>
  <c r="R50" i="39"/>
  <c r="R51" i="39"/>
  <c r="R52" i="39"/>
  <c r="R53" i="39"/>
  <c r="R54" i="39"/>
  <c r="R55" i="39"/>
  <c r="R56" i="39"/>
  <c r="R57" i="39"/>
  <c r="R58" i="39"/>
  <c r="R59" i="39"/>
  <c r="R60" i="39"/>
  <c r="R61" i="39"/>
  <c r="R62" i="39"/>
  <c r="R63" i="39"/>
  <c r="R64" i="39"/>
  <c r="R26" i="39"/>
  <c r="R9" i="39"/>
  <c r="R10" i="39"/>
  <c r="R11" i="39"/>
  <c r="R12" i="39"/>
  <c r="R13" i="39"/>
  <c r="R14" i="39"/>
  <c r="R15" i="39"/>
  <c r="R8" i="39"/>
  <c r="R18" i="39" s="1"/>
  <c r="F14" i="17"/>
  <c r="G14" i="17" l="1"/>
  <c r="J14" i="17" s="1"/>
  <c r="E15" i="17"/>
  <c r="R65" i="39"/>
  <c r="F27" i="17"/>
  <c r="N14" i="17" l="1"/>
  <c r="M14" i="17"/>
  <c r="G15" i="17"/>
  <c r="E27" i="17"/>
  <c r="J15" i="17" l="1"/>
  <c r="G27" i="17"/>
  <c r="L15" i="17" l="1"/>
  <c r="L27" i="17" s="1"/>
  <c r="N15" i="17"/>
  <c r="M15" i="17"/>
  <c r="M27" i="17" s="1"/>
  <c r="P88" i="14"/>
  <c r="P48" i="14"/>
  <c r="P64" i="14"/>
  <c r="P50" i="14"/>
  <c r="P38" i="14"/>
  <c r="P5" i="14"/>
  <c r="P7" i="14"/>
  <c r="P9" i="14"/>
  <c r="P11" i="14"/>
  <c r="P13" i="14"/>
  <c r="P15" i="14"/>
  <c r="P16" i="14"/>
  <c r="P21" i="14"/>
  <c r="P23" i="14"/>
  <c r="P25" i="14"/>
  <c r="P28" i="14"/>
  <c r="P30" i="14"/>
  <c r="P34" i="14"/>
  <c r="P45" i="14"/>
  <c r="P52" i="14"/>
  <c r="P53" i="14"/>
  <c r="P61" i="14"/>
  <c r="P62" i="14"/>
  <c r="P63" i="14"/>
  <c r="P66" i="14"/>
  <c r="P68" i="14"/>
  <c r="P69" i="14"/>
  <c r="P72" i="14"/>
  <c r="P75" i="14"/>
  <c r="P81" i="14"/>
  <c r="P82" i="14"/>
  <c r="P83" i="14"/>
  <c r="P84" i="14"/>
  <c r="P89" i="14"/>
  <c r="P90" i="14"/>
  <c r="P92" i="14"/>
  <c r="P91" i="14"/>
  <c r="P95" i="14"/>
  <c r="P96" i="14"/>
  <c r="P4" i="14"/>
  <c r="P6" i="14"/>
  <c r="P8" i="14"/>
  <c r="P10" i="14"/>
  <c r="P12" i="14"/>
  <c r="P14" i="14"/>
  <c r="P17" i="14"/>
  <c r="P18" i="14"/>
  <c r="P19" i="14"/>
  <c r="P20" i="14"/>
  <c r="P22" i="14"/>
  <c r="P24" i="14"/>
  <c r="P26" i="14"/>
  <c r="P27" i="14"/>
  <c r="P29" i="14"/>
  <c r="P31" i="14"/>
  <c r="P32" i="14"/>
  <c r="P33" i="14"/>
  <c r="P35" i="14"/>
  <c r="P36" i="14"/>
  <c r="P37" i="14"/>
  <c r="P39" i="14"/>
  <c r="P40" i="14"/>
  <c r="P41" i="14"/>
  <c r="P42" i="14"/>
  <c r="P43" i="14"/>
  <c r="P44" i="14"/>
  <c r="P46" i="14"/>
  <c r="P47" i="14"/>
  <c r="P49" i="14"/>
  <c r="P51" i="14"/>
  <c r="P55" i="14"/>
  <c r="P56" i="14"/>
  <c r="P57" i="14"/>
  <c r="P58" i="14"/>
  <c r="P59" i="14"/>
  <c r="P60" i="14"/>
  <c r="P65" i="14"/>
  <c r="P67" i="14"/>
  <c r="P70" i="14"/>
  <c r="P71" i="14"/>
  <c r="P73" i="14"/>
  <c r="P74" i="14"/>
  <c r="P76" i="14"/>
  <c r="P77" i="14"/>
  <c r="P78" i="14"/>
  <c r="P79" i="14"/>
  <c r="P80" i="14"/>
  <c r="P85" i="14"/>
  <c r="P86" i="14"/>
  <c r="P87" i="14"/>
  <c r="P93" i="14"/>
  <c r="P94" i="14"/>
  <c r="P97" i="14"/>
  <c r="P98" i="14"/>
  <c r="P99" i="14"/>
  <c r="P100" i="14"/>
  <c r="P101" i="14"/>
  <c r="P102" i="14"/>
  <c r="P103" i="14"/>
  <c r="P104" i="14"/>
  <c r="F106" i="14"/>
  <c r="F116" i="14"/>
  <c r="O112" i="14"/>
  <c r="O113" i="14"/>
  <c r="O114" i="14"/>
  <c r="O111" i="14"/>
  <c r="G84" i="2"/>
  <c r="I84" i="2" s="1"/>
  <c r="G85" i="2"/>
  <c r="I85" i="2" s="1"/>
  <c r="G83" i="2"/>
  <c r="I83" i="2" s="1"/>
  <c r="L29" i="2"/>
  <c r="O15" i="17" l="1"/>
  <c r="O27" i="17" s="1"/>
  <c r="N27" i="17"/>
  <c r="O116" i="14"/>
  <c r="O106" i="14"/>
  <c r="Q106" i="14" s="1"/>
  <c r="F19" i="38"/>
  <c r="F18" i="38"/>
  <c r="F13" i="38"/>
  <c r="F12" i="38"/>
  <c r="F11" i="38"/>
  <c r="F9" i="38"/>
  <c r="F15" i="38" s="1"/>
  <c r="U28" i="37"/>
  <c r="U30" i="37" s="1"/>
  <c r="U22" i="37"/>
  <c r="U23" i="37" s="1"/>
  <c r="U24" i="37" s="1"/>
  <c r="U25" i="37" s="1"/>
  <c r="W9" i="37"/>
  <c r="W10" i="37" s="1"/>
  <c r="W11" i="37" s="1"/>
  <c r="W12" i="37" s="1"/>
  <c r="W13" i="37" s="1"/>
  <c r="W14" i="37" s="1"/>
  <c r="W15" i="37" s="1"/>
  <c r="W16" i="37" s="1"/>
  <c r="W17" i="37" s="1"/>
  <c r="W18" i="37" s="1"/>
  <c r="W19" i="37" s="1"/>
  <c r="W20" i="37" s="1"/>
  <c r="W21" i="37" s="1"/>
  <c r="W22" i="37" s="1"/>
  <c r="W23" i="37" s="1"/>
  <c r="W24" i="37" s="1"/>
  <c r="W25" i="37" s="1"/>
  <c r="F14" i="38" l="1"/>
  <c r="O118" i="14"/>
  <c r="P106" i="14"/>
  <c r="F25" i="38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V21" i="20"/>
  <c r="V18" i="20"/>
  <c r="T13" i="20"/>
  <c r="T14" i="20" s="1"/>
  <c r="T15" i="20" s="1"/>
  <c r="V7" i="20"/>
  <c r="V8" i="20" s="1"/>
  <c r="V9" i="20" s="1"/>
  <c r="V10" i="20" s="1"/>
  <c r="V11" i="20" s="1"/>
  <c r="V12" i="20" s="1"/>
  <c r="V13" i="20" s="1"/>
  <c r="V14" i="20" s="1"/>
  <c r="V15" i="20" s="1"/>
  <c r="V20" i="20" s="1"/>
  <c r="E44" i="4"/>
  <c r="E43" i="4"/>
  <c r="B44" i="4"/>
  <c r="F44" i="4" s="1"/>
  <c r="B14" i="4"/>
  <c r="B43" i="4" s="1"/>
  <c r="F43" i="4" s="1"/>
  <c r="F45" i="4" s="1"/>
  <c r="H45" i="4" s="1"/>
  <c r="U115" i="19"/>
  <c r="S107" i="19"/>
  <c r="U11" i="19"/>
  <c r="U12" i="19" s="1"/>
  <c r="U13" i="19" s="1"/>
  <c r="U14" i="19" s="1"/>
  <c r="U15" i="19" s="1"/>
  <c r="U16" i="19" s="1"/>
  <c r="U17" i="19" s="1"/>
  <c r="U18" i="19" s="1"/>
  <c r="U19" i="19" s="1"/>
  <c r="U20" i="19" s="1"/>
  <c r="U21" i="19" s="1"/>
  <c r="U22" i="19" s="1"/>
  <c r="U23" i="19" s="1"/>
  <c r="U24" i="19" s="1"/>
  <c r="U25" i="19" s="1"/>
  <c r="U26" i="19" s="1"/>
  <c r="U27" i="19" s="1"/>
  <c r="U28" i="19" s="1"/>
  <c r="U29" i="19" s="1"/>
  <c r="U30" i="19" s="1"/>
  <c r="U31" i="19" s="1"/>
  <c r="U32" i="19" s="1"/>
  <c r="U33" i="19" s="1"/>
  <c r="U34" i="19" s="1"/>
  <c r="U35" i="19" s="1"/>
  <c r="U36" i="19" s="1"/>
  <c r="U37" i="19" s="1"/>
  <c r="U38" i="19" s="1"/>
  <c r="U39" i="19" s="1"/>
  <c r="U40" i="19" s="1"/>
  <c r="U41" i="19" s="1"/>
  <c r="U42" i="19" s="1"/>
  <c r="U43" i="19" s="1"/>
  <c r="U44" i="19" s="1"/>
  <c r="U45" i="19" s="1"/>
  <c r="U46" i="19" s="1"/>
  <c r="U47" i="19" s="1"/>
  <c r="U48" i="19" s="1"/>
  <c r="U49" i="19" s="1"/>
  <c r="U50" i="19" s="1"/>
  <c r="U51" i="19" s="1"/>
  <c r="U52" i="19" s="1"/>
  <c r="U53" i="19" s="1"/>
  <c r="U54" i="19" s="1"/>
  <c r="U55" i="19" s="1"/>
  <c r="U56" i="19" s="1"/>
  <c r="U57" i="19" s="1"/>
  <c r="U58" i="19" s="1"/>
  <c r="U59" i="19" s="1"/>
  <c r="U60" i="19" s="1"/>
  <c r="U61" i="19" s="1"/>
  <c r="U62" i="19" s="1"/>
  <c r="U63" i="19" s="1"/>
  <c r="U64" i="19" s="1"/>
  <c r="U65" i="19" s="1"/>
  <c r="U66" i="19" s="1"/>
  <c r="U67" i="19" s="1"/>
  <c r="U68" i="19" s="1"/>
  <c r="U69" i="19" s="1"/>
  <c r="U70" i="19" s="1"/>
  <c r="U71" i="19" s="1"/>
  <c r="U72" i="19" s="1"/>
  <c r="U73" i="19" s="1"/>
  <c r="U74" i="19" s="1"/>
  <c r="U75" i="19" s="1"/>
  <c r="U76" i="19" s="1"/>
  <c r="U77" i="19" s="1"/>
  <c r="U78" i="19" s="1"/>
  <c r="U79" i="19" s="1"/>
  <c r="U80" i="19" s="1"/>
  <c r="U81" i="19" s="1"/>
  <c r="U82" i="19" s="1"/>
  <c r="U83" i="19" s="1"/>
  <c r="U84" i="19" s="1"/>
  <c r="U85" i="19" s="1"/>
  <c r="U86" i="19" s="1"/>
  <c r="U87" i="19" s="1"/>
  <c r="U88" i="19" s="1"/>
  <c r="U89" i="19" s="1"/>
  <c r="U90" i="19" s="1"/>
  <c r="U91" i="19" s="1"/>
  <c r="U92" i="19" s="1"/>
  <c r="U93" i="19" s="1"/>
  <c r="U94" i="19" s="1"/>
  <c r="U95" i="19" s="1"/>
  <c r="U96" i="19" s="1"/>
  <c r="U97" i="19" s="1"/>
  <c r="U98" i="19" s="1"/>
  <c r="U99" i="19" s="1"/>
  <c r="U100" i="19" s="1"/>
  <c r="U101" i="19" s="1"/>
  <c r="U102" i="19" s="1"/>
  <c r="U103" i="19" s="1"/>
  <c r="U104" i="19" s="1"/>
  <c r="U105" i="19" s="1"/>
  <c r="U106" i="19" s="1"/>
  <c r="U107" i="19" s="1"/>
  <c r="U10" i="19"/>
  <c r="G64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72" i="2" l="1"/>
  <c r="E71" i="2"/>
  <c r="E68" i="2"/>
  <c r="E67" i="2"/>
  <c r="H67" i="2" s="1"/>
  <c r="E66" i="2"/>
  <c r="C64" i="2"/>
  <c r="B64" i="2"/>
  <c r="E27" i="2"/>
  <c r="E26" i="2"/>
  <c r="E25" i="2"/>
  <c r="B17" i="2"/>
  <c r="E17" i="2" s="1"/>
  <c r="E16" i="2"/>
  <c r="F16" i="2" s="1"/>
  <c r="F17" i="2" s="1"/>
  <c r="E15" i="2"/>
  <c r="H15" i="2" s="1"/>
  <c r="J15" i="2" s="1"/>
  <c r="B13" i="2"/>
  <c r="E13" i="2" s="1"/>
  <c r="E12" i="2"/>
  <c r="H12" i="2" s="1"/>
  <c r="E11" i="2"/>
  <c r="H11" i="2" s="1"/>
  <c r="E10" i="2"/>
  <c r="H10" i="2" s="1"/>
  <c r="H9" i="43" s="1"/>
  <c r="H11" i="43" s="1"/>
  <c r="H14" i="43" s="1"/>
  <c r="E9" i="2"/>
  <c r="H9" i="2" s="1"/>
  <c r="C11" i="18"/>
  <c r="E11" i="18" s="1"/>
  <c r="E15" i="18" s="1"/>
  <c r="J63" i="17"/>
  <c r="E51" i="17"/>
  <c r="M63" i="17" l="1"/>
  <c r="N63" i="17"/>
  <c r="O63" i="17" s="1"/>
  <c r="L63" i="17"/>
  <c r="H13" i="2"/>
  <c r="H19" i="2" s="1"/>
  <c r="G64" i="17"/>
  <c r="J61" i="17"/>
  <c r="H16" i="2"/>
  <c r="J16" i="2" s="1"/>
  <c r="E64" i="2"/>
  <c r="J17" i="2"/>
  <c r="O51" i="17"/>
  <c r="L51" i="17"/>
  <c r="G51" i="17"/>
  <c r="M61" i="17" l="1"/>
  <c r="N61" i="17"/>
  <c r="O61" i="17" s="1"/>
  <c r="O64" i="17" s="1"/>
  <c r="C7" i="42" s="1"/>
  <c r="J28" i="42" s="1"/>
  <c r="L61" i="17"/>
  <c r="L64" i="17" s="1"/>
  <c r="F46" i="2" s="1"/>
  <c r="H46" i="2" s="1"/>
  <c r="B77" i="2"/>
  <c r="B65" i="2"/>
  <c r="J27" i="42" l="1"/>
  <c r="M27" i="42" s="1"/>
  <c r="K11" i="42" s="1"/>
  <c r="J26" i="42"/>
  <c r="E65" i="2"/>
  <c r="B69" i="2"/>
  <c r="B70" i="2" s="1"/>
  <c r="E70" i="2" s="1"/>
  <c r="E77" i="2"/>
  <c r="C5" i="42"/>
  <c r="I7" i="42" s="1"/>
  <c r="M11" i="42" l="1"/>
  <c r="I11" i="42"/>
  <c r="J19" i="42"/>
  <c r="S6" i="42"/>
  <c r="S9" i="42"/>
  <c r="T9" i="42" s="1"/>
  <c r="U9" i="42" s="1"/>
  <c r="W9" i="42" s="1"/>
  <c r="X9" i="42" s="1"/>
  <c r="Y9" i="42" s="1"/>
  <c r="Z9" i="42" s="1"/>
  <c r="AB9" i="42" s="1"/>
  <c r="AC9" i="42" s="1"/>
  <c r="AD9" i="42" s="1"/>
  <c r="S7" i="42"/>
  <c r="T7" i="42" s="1"/>
  <c r="U7" i="42" s="1"/>
  <c r="W7" i="42" s="1"/>
  <c r="X7" i="42" s="1"/>
  <c r="Y7" i="42" s="1"/>
  <c r="Z7" i="42" s="1"/>
  <c r="AB7" i="42" s="1"/>
  <c r="AC7" i="42" s="1"/>
  <c r="AD7" i="42" s="1"/>
  <c r="S8" i="42"/>
  <c r="T8" i="42" s="1"/>
  <c r="U8" i="42" s="1"/>
  <c r="W8" i="42" s="1"/>
  <c r="X8" i="42" s="1"/>
  <c r="Y8" i="42" s="1"/>
  <c r="Z8" i="42" s="1"/>
  <c r="AB8" i="42" s="1"/>
  <c r="AC8" i="42" s="1"/>
  <c r="AD8" i="42" s="1"/>
  <c r="B73" i="2"/>
  <c r="E73" i="2" s="1"/>
  <c r="E69" i="2"/>
  <c r="T6" i="42" l="1"/>
  <c r="U6" i="42" s="1"/>
  <c r="W6" i="42" s="1"/>
  <c r="X6" i="42" s="1"/>
  <c r="Y6" i="42" s="1"/>
  <c r="Z6" i="42" s="1"/>
  <c r="AB6" i="42" s="1"/>
  <c r="AC6" i="42" s="1"/>
  <c r="AD6" i="42" s="1"/>
  <c r="C21" i="6"/>
  <c r="J11" i="6"/>
  <c r="E12" i="6" s="1"/>
  <c r="W20" i="11"/>
  <c r="W26" i="11" s="1"/>
  <c r="V18" i="11"/>
  <c r="V20" i="11" s="1"/>
  <c r="T19" i="11"/>
  <c r="T20" i="11" s="1"/>
  <c r="T21" i="11" s="1"/>
  <c r="D12" i="6" l="1"/>
  <c r="J12" i="6"/>
  <c r="U10" i="9"/>
  <c r="V10" i="9" s="1"/>
  <c r="U9" i="9"/>
  <c r="V9" i="9" s="1"/>
  <c r="U8" i="9"/>
  <c r="V8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T35" i="9"/>
  <c r="T21" i="9"/>
  <c r="T36" i="9" s="1"/>
  <c r="T37" i="9" s="1"/>
  <c r="E13" i="6" l="1"/>
  <c r="V35" i="9"/>
  <c r="U35" i="9"/>
  <c r="V21" i="9"/>
  <c r="U21" i="9"/>
  <c r="U36" i="9" s="1"/>
  <c r="U37" i="9" s="1"/>
  <c r="F13" i="4"/>
  <c r="E21" i="4"/>
  <c r="V36" i="9" l="1"/>
  <c r="V37" i="9" s="1"/>
  <c r="D13" i="6"/>
  <c r="E14" i="4"/>
  <c r="E23" i="4" s="1"/>
  <c r="J13" i="6" l="1"/>
  <c r="F19" i="4"/>
  <c r="F18" i="4"/>
  <c r="D18" i="4"/>
  <c r="D21" i="4" s="1"/>
  <c r="F12" i="4"/>
  <c r="D11" i="4"/>
  <c r="F11" i="4" s="1"/>
  <c r="D10" i="4"/>
  <c r="F10" i="4" s="1"/>
  <c r="D9" i="4"/>
  <c r="F21" i="4" l="1"/>
  <c r="H21" i="4" s="1"/>
  <c r="D14" i="4"/>
  <c r="D23" i="4" s="1"/>
  <c r="F9" i="4"/>
  <c r="F14" i="4" s="1"/>
  <c r="H14" i="4" s="1"/>
  <c r="E14" i="6"/>
  <c r="U116" i="19"/>
  <c r="U118" i="19" s="1"/>
  <c r="F64" i="2"/>
  <c r="L26" i="2" s="1"/>
  <c r="H64" i="2"/>
  <c r="H77" i="2" l="1"/>
  <c r="C6" i="42"/>
  <c r="I8" i="42" s="1"/>
  <c r="D14" i="6"/>
  <c r="F23" i="4"/>
  <c r="F69" i="2"/>
  <c r="L31" i="2" s="1"/>
  <c r="L52" i="2"/>
  <c r="L37" i="2"/>
  <c r="L51" i="2"/>
  <c r="L36" i="2"/>
  <c r="L50" i="2"/>
  <c r="L35" i="2"/>
  <c r="L33" i="2"/>
  <c r="L48" i="2"/>
  <c r="L32" i="2"/>
  <c r="L63" i="2"/>
  <c r="L46" i="2"/>
  <c r="L28" i="2"/>
  <c r="L62" i="2"/>
  <c r="L45" i="2"/>
  <c r="L58" i="2"/>
  <c r="L44" i="2"/>
  <c r="L53" i="2"/>
  <c r="L40" i="2"/>
  <c r="H65" i="2"/>
  <c r="H69" i="2" s="1"/>
  <c r="K8" i="42" l="1"/>
  <c r="I9" i="42"/>
  <c r="I16" i="42"/>
  <c r="AE8" i="42"/>
  <c r="AF8" i="42" s="1"/>
  <c r="AE9" i="42"/>
  <c r="AF9" i="42" s="1"/>
  <c r="AE7" i="42"/>
  <c r="AF7" i="42" s="1"/>
  <c r="AE6" i="42"/>
  <c r="AF6" i="42" s="1"/>
  <c r="D33" i="4"/>
  <c r="F33" i="4" s="1"/>
  <c r="H33" i="4" s="1"/>
  <c r="D32" i="4"/>
  <c r="F32" i="4" s="1"/>
  <c r="H32" i="4" s="1"/>
  <c r="D31" i="4"/>
  <c r="F31" i="4" s="1"/>
  <c r="D34" i="4"/>
  <c r="F34" i="4" s="1"/>
  <c r="H34" i="4" s="1"/>
  <c r="J14" i="6"/>
  <c r="L65" i="2"/>
  <c r="H31" i="4" l="1"/>
  <c r="H49" i="4" s="1"/>
  <c r="F36" i="4"/>
  <c r="E15" i="6"/>
  <c r="D15" i="6" l="1"/>
  <c r="J15" i="6" l="1"/>
  <c r="E16" i="6" l="1"/>
  <c r="D16" i="6" l="1"/>
  <c r="J16" i="6" s="1"/>
  <c r="E17" i="6" l="1"/>
  <c r="D17" i="6" s="1"/>
  <c r="J17" i="6" s="1"/>
  <c r="E18" i="6" l="1"/>
  <c r="D18" i="6" s="1"/>
  <c r="J18" i="6"/>
  <c r="E19" i="6" l="1"/>
  <c r="D19" i="6" l="1"/>
  <c r="E21" i="6"/>
  <c r="E25" i="6" s="1"/>
  <c r="D21" i="6" l="1"/>
  <c r="J19" i="6"/>
  <c r="AG6" i="42"/>
  <c r="AH6" i="42"/>
  <c r="AI6" i="42"/>
  <c r="J7" i="42"/>
  <c r="K7" i="42"/>
  <c r="L7" i="42"/>
  <c r="M7" i="42"/>
  <c r="AG7" i="42"/>
  <c r="AH7" i="42"/>
  <c r="AI7" i="42"/>
  <c r="L8" i="42"/>
  <c r="M8" i="42"/>
  <c r="AG8" i="42"/>
  <c r="AH8" i="42"/>
  <c r="AI8" i="42"/>
  <c r="K9" i="42"/>
  <c r="M9" i="42"/>
  <c r="AG9" i="42"/>
  <c r="AH9" i="42"/>
  <c r="AI9" i="42"/>
  <c r="S11" i="42"/>
  <c r="T11" i="42"/>
  <c r="U11" i="42"/>
  <c r="W11" i="42"/>
  <c r="X11" i="42"/>
  <c r="Y11" i="42"/>
  <c r="Z11" i="42"/>
  <c r="AB11" i="42"/>
  <c r="AC11" i="42"/>
  <c r="AD11" i="42"/>
  <c r="AE11" i="42"/>
  <c r="AF11" i="42"/>
  <c r="AG11" i="42"/>
  <c r="AH11" i="42"/>
  <c r="AI11" i="42"/>
  <c r="I12" i="42"/>
  <c r="J12" i="42"/>
  <c r="K12" i="42"/>
  <c r="M12" i="42"/>
  <c r="S12" i="42"/>
  <c r="T12" i="42"/>
  <c r="U12" i="42"/>
  <c r="W12" i="42"/>
  <c r="X12" i="42"/>
  <c r="Y12" i="42"/>
  <c r="Z12" i="42"/>
  <c r="AB12" i="42"/>
  <c r="AC12" i="42"/>
  <c r="AD12" i="42"/>
  <c r="AE12" i="42"/>
  <c r="AF12" i="42"/>
  <c r="AG12" i="42"/>
  <c r="AH12" i="42"/>
  <c r="AI12" i="42"/>
  <c r="S13" i="42"/>
  <c r="T13" i="42"/>
  <c r="U13" i="42"/>
  <c r="W13" i="42"/>
  <c r="X13" i="42"/>
  <c r="Y13" i="42"/>
  <c r="Z13" i="42"/>
  <c r="AB13" i="42"/>
  <c r="AC13" i="42"/>
  <c r="AD13" i="42"/>
  <c r="AE13" i="42"/>
  <c r="AF13" i="42"/>
  <c r="AG13" i="42"/>
  <c r="AH13" i="42"/>
  <c r="AI13" i="42"/>
  <c r="I14" i="42"/>
  <c r="K14" i="42"/>
  <c r="M14" i="42"/>
  <c r="S14" i="42"/>
  <c r="T14" i="42"/>
  <c r="U14" i="42"/>
  <c r="W14" i="42"/>
  <c r="X14" i="42"/>
  <c r="Y14" i="42"/>
  <c r="Z14" i="42"/>
  <c r="AB14" i="42"/>
  <c r="AC14" i="42"/>
  <c r="AD14" i="42"/>
  <c r="AE14" i="42"/>
  <c r="AF14" i="42"/>
  <c r="AG14" i="42"/>
  <c r="AH14" i="42"/>
  <c r="AI14" i="42"/>
  <c r="K16" i="42"/>
  <c r="M16" i="42"/>
  <c r="S16" i="42"/>
  <c r="T16" i="42"/>
  <c r="U16" i="42"/>
  <c r="W16" i="42"/>
  <c r="X16" i="42"/>
  <c r="Y16" i="42"/>
  <c r="Z16" i="42"/>
  <c r="AB16" i="42"/>
  <c r="AC16" i="42"/>
  <c r="AD16" i="42"/>
  <c r="AE16" i="42"/>
  <c r="AF16" i="42"/>
  <c r="AG16" i="42"/>
  <c r="AH16" i="42"/>
  <c r="AI16" i="42"/>
  <c r="S17" i="42"/>
  <c r="T17" i="42"/>
  <c r="U17" i="42"/>
  <c r="W17" i="42"/>
  <c r="X17" i="42"/>
  <c r="Y17" i="42"/>
  <c r="Z17" i="42"/>
  <c r="AB17" i="42"/>
  <c r="AC17" i="42"/>
  <c r="AD17" i="42"/>
  <c r="AE17" i="42"/>
  <c r="AF17" i="42"/>
  <c r="AG17" i="42"/>
  <c r="AH17" i="42"/>
  <c r="AI17" i="42"/>
  <c r="S18" i="42"/>
  <c r="T18" i="42"/>
  <c r="U18" i="42"/>
  <c r="W18" i="42"/>
  <c r="X18" i="42"/>
  <c r="Y18" i="42"/>
  <c r="Z18" i="42"/>
  <c r="AB18" i="42"/>
  <c r="AC18" i="42"/>
  <c r="AD18" i="42"/>
  <c r="AE18" i="42"/>
  <c r="AF18" i="42"/>
  <c r="AG18" i="42"/>
  <c r="AH18" i="42"/>
  <c r="AI18" i="42"/>
  <c r="M19" i="42"/>
  <c r="S19" i="42"/>
  <c r="T19" i="42"/>
  <c r="U19" i="42"/>
  <c r="W19" i="42"/>
  <c r="X19" i="42"/>
  <c r="Y19" i="42"/>
  <c r="Z19" i="42"/>
  <c r="AB19" i="42"/>
  <c r="AC19" i="42"/>
  <c r="AD19" i="42"/>
  <c r="AE19" i="42"/>
  <c r="AF19" i="42"/>
  <c r="AG19" i="42"/>
  <c r="AH19" i="42"/>
  <c r="AI19" i="42"/>
  <c r="J20" i="42"/>
  <c r="M20" i="42"/>
  <c r="J21" i="42"/>
  <c r="M21" i="42"/>
  <c r="S21" i="42"/>
  <c r="T21" i="42"/>
  <c r="U21" i="42"/>
  <c r="W21" i="42"/>
  <c r="X21" i="42"/>
  <c r="Y21" i="42"/>
  <c r="Z21" i="42"/>
  <c r="AB21" i="42"/>
  <c r="AC21" i="42"/>
  <c r="AD21" i="42"/>
  <c r="AE21" i="42"/>
  <c r="AF21" i="42"/>
  <c r="AG21" i="42"/>
  <c r="AH21" i="42"/>
  <c r="AI21" i="42"/>
  <c r="K22" i="42"/>
  <c r="S22" i="42"/>
  <c r="T22" i="42"/>
  <c r="U22" i="42"/>
  <c r="W22" i="42"/>
  <c r="X22" i="42"/>
  <c r="Y22" i="42"/>
  <c r="Z22" i="42"/>
  <c r="AB22" i="42"/>
  <c r="AC22" i="42"/>
  <c r="AD22" i="42"/>
  <c r="AE22" i="42"/>
  <c r="AF22" i="42"/>
  <c r="AG22" i="42"/>
  <c r="AH22" i="42"/>
  <c r="AI22" i="42"/>
  <c r="S23" i="42"/>
  <c r="T23" i="42"/>
  <c r="U23" i="42"/>
  <c r="W23" i="42"/>
  <c r="X23" i="42"/>
  <c r="Y23" i="42"/>
  <c r="Z23" i="42"/>
  <c r="AB23" i="42"/>
  <c r="AC23" i="42"/>
  <c r="AD23" i="42"/>
  <c r="AE23" i="42"/>
  <c r="AF23" i="42"/>
  <c r="AG23" i="42"/>
  <c r="AH23" i="42"/>
  <c r="AI23" i="42"/>
  <c r="S24" i="42"/>
  <c r="T24" i="42"/>
  <c r="U24" i="42"/>
  <c r="W24" i="42"/>
  <c r="X24" i="42"/>
  <c r="Y24" i="42"/>
  <c r="Z24" i="42"/>
  <c r="AB24" i="42"/>
  <c r="AC24" i="42"/>
  <c r="AD24" i="42"/>
  <c r="AE24" i="42"/>
  <c r="AF24" i="42"/>
  <c r="AG24" i="42"/>
  <c r="AH24" i="42"/>
  <c r="AI24" i="42"/>
  <c r="K26" i="42"/>
  <c r="L26" i="42"/>
  <c r="M26" i="42"/>
  <c r="S26" i="42"/>
  <c r="T26" i="42"/>
  <c r="U26" i="42"/>
  <c r="W26" i="42"/>
  <c r="X26" i="42"/>
  <c r="Y26" i="42"/>
  <c r="Z26" i="42"/>
  <c r="AB26" i="42"/>
  <c r="AC26" i="42"/>
  <c r="AD26" i="42"/>
  <c r="AE26" i="42"/>
  <c r="AF26" i="42"/>
  <c r="AG26" i="42"/>
  <c r="AH26" i="42"/>
  <c r="AI26" i="42"/>
  <c r="S27" i="42"/>
  <c r="T27" i="42"/>
  <c r="U27" i="42"/>
  <c r="W27" i="42"/>
  <c r="X27" i="42"/>
  <c r="Y27" i="42"/>
  <c r="Z27" i="42"/>
  <c r="AB27" i="42"/>
  <c r="AC27" i="42"/>
  <c r="AD27" i="42"/>
  <c r="AE27" i="42"/>
  <c r="AF27" i="42"/>
  <c r="AG27" i="42"/>
  <c r="AH27" i="42"/>
  <c r="AI27" i="42"/>
  <c r="L28" i="42"/>
  <c r="M28" i="42"/>
  <c r="S28" i="42"/>
  <c r="T28" i="42"/>
  <c r="U28" i="42"/>
  <c r="W28" i="42"/>
  <c r="X28" i="42"/>
  <c r="Y28" i="42"/>
  <c r="Z28" i="42"/>
  <c r="AB28" i="42"/>
  <c r="AC28" i="42"/>
  <c r="AD28" i="42"/>
  <c r="AE28" i="42"/>
  <c r="AF28" i="42"/>
  <c r="AG28" i="42"/>
  <c r="AH28" i="42"/>
  <c r="AI28" i="42"/>
  <c r="S29" i="42"/>
  <c r="T29" i="42"/>
  <c r="U29" i="42"/>
  <c r="W29" i="42"/>
  <c r="X29" i="42"/>
  <c r="Y29" i="42"/>
  <c r="Z29" i="42"/>
  <c r="AB29" i="42"/>
  <c r="AC29" i="42"/>
  <c r="AD29" i="42"/>
  <c r="AE29" i="42"/>
  <c r="AF29" i="42"/>
  <c r="AG29" i="42"/>
  <c r="AH29" i="42"/>
  <c r="AI29" i="42"/>
  <c r="S31" i="42"/>
  <c r="T31" i="42"/>
  <c r="U31" i="42"/>
  <c r="W31" i="42"/>
  <c r="X31" i="42"/>
  <c r="Y31" i="42"/>
  <c r="Z31" i="42"/>
  <c r="AB31" i="42"/>
  <c r="AC31" i="42"/>
  <c r="AD31" i="42"/>
  <c r="AE31" i="42"/>
  <c r="AF31" i="42"/>
  <c r="AG31" i="42"/>
  <c r="AH31" i="42"/>
  <c r="AI31" i="42"/>
  <c r="S32" i="42"/>
  <c r="T32" i="42"/>
  <c r="U32" i="42"/>
  <c r="W32" i="42"/>
  <c r="X32" i="42"/>
  <c r="Y32" i="42"/>
  <c r="Z32" i="42"/>
  <c r="AB32" i="42"/>
  <c r="AC32" i="42"/>
  <c r="AD32" i="42"/>
  <c r="AE32" i="42"/>
  <c r="AF32" i="42"/>
  <c r="AG32" i="42"/>
  <c r="AH32" i="42"/>
  <c r="AI32" i="42"/>
  <c r="J33" i="42"/>
  <c r="K33" i="42"/>
  <c r="S33" i="42"/>
  <c r="T33" i="42"/>
  <c r="U33" i="42"/>
  <c r="W33" i="42"/>
  <c r="X33" i="42"/>
  <c r="Y33" i="42"/>
  <c r="Z33" i="42"/>
  <c r="AB33" i="42"/>
  <c r="AC33" i="42"/>
  <c r="AD33" i="42"/>
  <c r="AE33" i="42"/>
  <c r="AF33" i="42"/>
  <c r="AG33" i="42"/>
  <c r="AH33" i="42"/>
  <c r="AI33" i="42"/>
  <c r="J34" i="42"/>
  <c r="K34" i="42"/>
  <c r="S34" i="42"/>
  <c r="T34" i="42"/>
  <c r="U34" i="42"/>
  <c r="W34" i="42"/>
  <c r="X34" i="42"/>
  <c r="Y34" i="42"/>
  <c r="Z34" i="42"/>
  <c r="AB34" i="42"/>
  <c r="AC34" i="42"/>
  <c r="AD34" i="42"/>
  <c r="AE34" i="42"/>
  <c r="AF34" i="42"/>
  <c r="AG34" i="42"/>
  <c r="AH34" i="42"/>
  <c r="AI34" i="42"/>
  <c r="J35" i="42"/>
  <c r="K35" i="42"/>
  <c r="J36" i="42"/>
  <c r="K36" i="42"/>
  <c r="S36" i="42"/>
  <c r="T36" i="42"/>
  <c r="U36" i="42"/>
  <c r="W36" i="42"/>
  <c r="X36" i="42"/>
  <c r="Y36" i="42"/>
  <c r="Z36" i="42"/>
  <c r="AB36" i="42"/>
  <c r="AC36" i="42"/>
  <c r="AD36" i="42"/>
  <c r="AE36" i="42"/>
  <c r="AF36" i="42"/>
  <c r="AG36" i="42"/>
  <c r="AH36" i="42"/>
  <c r="AI36" i="42"/>
  <c r="J37" i="42"/>
  <c r="K37" i="42"/>
  <c r="S37" i="42"/>
  <c r="T37" i="42"/>
  <c r="U37" i="42"/>
  <c r="W37" i="42"/>
  <c r="X37" i="42"/>
  <c r="Y37" i="42"/>
  <c r="Z37" i="42"/>
  <c r="AB37" i="42"/>
  <c r="AC37" i="42"/>
  <c r="AD37" i="42"/>
  <c r="AE37" i="42"/>
  <c r="AF37" i="42"/>
  <c r="AG37" i="42"/>
  <c r="AH37" i="42"/>
  <c r="AI37" i="42"/>
  <c r="S38" i="42"/>
  <c r="T38" i="42"/>
  <c r="U38" i="42"/>
  <c r="W38" i="42"/>
  <c r="X38" i="42"/>
  <c r="Y38" i="42"/>
  <c r="Z38" i="42"/>
  <c r="AB38" i="42"/>
  <c r="AC38" i="42"/>
  <c r="AD38" i="42"/>
  <c r="AE38" i="42"/>
  <c r="AF38" i="42"/>
  <c r="AG38" i="42"/>
  <c r="AH38" i="42"/>
  <c r="AI38" i="42"/>
  <c r="S39" i="42"/>
  <c r="T39" i="42"/>
  <c r="U39" i="42"/>
  <c r="W39" i="42"/>
  <c r="X39" i="42"/>
  <c r="Y39" i="42"/>
  <c r="Z39" i="42"/>
  <c r="AB39" i="42"/>
  <c r="AC39" i="42"/>
  <c r="AD39" i="42"/>
  <c r="AE39" i="42"/>
  <c r="AF39" i="42"/>
  <c r="AG39" i="42"/>
  <c r="AH39" i="42"/>
  <c r="AI39" i="42"/>
  <c r="K43" i="42"/>
  <c r="V43" i="42"/>
  <c r="K44" i="42"/>
  <c r="V44" i="42"/>
  <c r="K45" i="42"/>
  <c r="V45" i="42"/>
  <c r="K46" i="42"/>
  <c r="K47" i="42"/>
  <c r="R48" i="42"/>
  <c r="J49" i="42"/>
  <c r="R49" i="42"/>
  <c r="R51" i="42"/>
  <c r="Y63" i="42"/>
  <c r="Z63" i="42"/>
  <c r="Y64" i="42"/>
  <c r="Z64" i="42"/>
  <c r="Y65" i="42"/>
  <c r="Z65" i="42"/>
  <c r="Y66" i="42"/>
  <c r="Z66" i="42"/>
  <c r="Y67" i="42"/>
  <c r="Z67" i="42"/>
  <c r="H3" i="43"/>
  <c r="H21" i="43"/>
  <c r="I21" i="43"/>
  <c r="H22" i="43"/>
  <c r="I22" i="43"/>
  <c r="H23" i="43"/>
  <c r="I23" i="43"/>
  <c r="H24" i="43"/>
  <c r="I24" i="43"/>
  <c r="H25" i="43"/>
  <c r="I25" i="43"/>
  <c r="H26" i="43"/>
  <c r="I26" i="43"/>
  <c r="H27" i="43"/>
  <c r="I27" i="43"/>
  <c r="H28" i="43"/>
  <c r="I28" i="43"/>
  <c r="H29" i="43"/>
  <c r="I29" i="43"/>
  <c r="H30" i="43"/>
  <c r="I30" i="43"/>
  <c r="H31" i="43"/>
  <c r="I31" i="43"/>
  <c r="H32" i="43"/>
  <c r="I32" i="43"/>
  <c r="H33" i="43"/>
  <c r="I33" i="43"/>
  <c r="H34" i="43"/>
  <c r="I34" i="43"/>
  <c r="H35" i="43"/>
  <c r="I35" i="43"/>
  <c r="H36" i="43"/>
  <c r="I36" i="43"/>
  <c r="H37" i="43"/>
  <c r="I37" i="43"/>
  <c r="H38" i="43"/>
  <c r="I38" i="43"/>
  <c r="H39" i="43"/>
  <c r="I39" i="43"/>
  <c r="H40" i="43"/>
  <c r="I40" i="43"/>
  <c r="H41" i="43"/>
  <c r="I41" i="43"/>
  <c r="H42" i="43"/>
  <c r="I42" i="43"/>
  <c r="H43" i="43"/>
  <c r="I43" i="43"/>
  <c r="I44" i="43"/>
  <c r="H47" i="43"/>
  <c r="I47" i="43"/>
  <c r="H48" i="43"/>
  <c r="I48" i="43"/>
  <c r="H49" i="43"/>
  <c r="I49" i="43"/>
  <c r="H50" i="43"/>
  <c r="I50" i="43"/>
  <c r="H51" i="43"/>
  <c r="I51" i="43"/>
  <c r="H52" i="43"/>
  <c r="I52" i="43"/>
  <c r="H53" i="43"/>
  <c r="I53" i="43"/>
  <c r="I54" i="43"/>
  <c r="H58" i="43"/>
  <c r="I58" i="43"/>
  <c r="H59" i="43"/>
  <c r="I59" i="43"/>
  <c r="H60" i="43"/>
  <c r="I60" i="43"/>
  <c r="H61" i="43"/>
  <c r="I61" i="43"/>
  <c r="H62" i="43"/>
  <c r="I62" i="43"/>
  <c r="H63" i="43"/>
  <c r="I63" i="43"/>
  <c r="H64" i="43"/>
  <c r="I64" i="43"/>
  <c r="H65" i="43"/>
  <c r="I65" i="43"/>
  <c r="H66" i="43"/>
  <c r="I66" i="43"/>
  <c r="H67" i="43"/>
  <c r="I67" i="43"/>
  <c r="H68" i="43"/>
  <c r="I68" i="43"/>
  <c r="H69" i="43"/>
  <c r="I69" i="43"/>
  <c r="I70" i="43"/>
  <c r="H73" i="43"/>
  <c r="I73" i="43"/>
  <c r="H74" i="43"/>
  <c r="I74" i="43"/>
  <c r="H75" i="43"/>
  <c r="I75" i="43"/>
  <c r="H76" i="43"/>
  <c r="I76" i="43"/>
  <c r="H77" i="43"/>
  <c r="I77" i="43"/>
  <c r="H78" i="43"/>
  <c r="I78" i="43"/>
  <c r="H79" i="43"/>
  <c r="I79" i="43"/>
  <c r="H80" i="43"/>
  <c r="I80" i="43"/>
  <c r="H81" i="43"/>
  <c r="I81" i="43"/>
  <c r="H82" i="43"/>
  <c r="I82" i="43"/>
  <c r="H83" i="43"/>
  <c r="I83" i="43"/>
  <c r="H84" i="43"/>
  <c r="I84" i="43"/>
  <c r="I85" i="43"/>
  <c r="H88" i="43"/>
  <c r="I88" i="43"/>
  <c r="H89" i="43"/>
  <c r="I89" i="43"/>
  <c r="H90" i="43"/>
  <c r="I90" i="43"/>
  <c r="H91" i="43"/>
  <c r="I91" i="43"/>
  <c r="H92" i="43"/>
  <c r="I92" i="43"/>
  <c r="H93" i="43"/>
  <c r="I93" i="43"/>
  <c r="H94" i="43"/>
  <c r="I94" i="43"/>
  <c r="H95" i="43"/>
  <c r="I95" i="43"/>
  <c r="H96" i="43"/>
  <c r="I96" i="43"/>
  <c r="H97" i="43"/>
  <c r="I97" i="43"/>
  <c r="H98" i="43"/>
  <c r="I98" i="43"/>
  <c r="H99" i="43"/>
  <c r="I99" i="43"/>
  <c r="H100" i="43"/>
  <c r="I100" i="43"/>
  <c r="H101" i="43"/>
  <c r="I101" i="43"/>
  <c r="H102" i="43"/>
  <c r="I102" i="43"/>
  <c r="H103" i="43"/>
  <c r="I103" i="43"/>
  <c r="H104" i="43"/>
  <c r="I104" i="43"/>
  <c r="H105" i="43"/>
  <c r="I105" i="43"/>
  <c r="H106" i="43"/>
  <c r="I106" i="43"/>
  <c r="H107" i="43"/>
  <c r="I107" i="43"/>
  <c r="H108" i="43"/>
  <c r="I108" i="43"/>
  <c r="H109" i="43"/>
  <c r="I109" i="43"/>
  <c r="H110" i="43"/>
  <c r="I110" i="43"/>
  <c r="H111" i="43"/>
  <c r="I111" i="43"/>
  <c r="H112" i="43"/>
  <c r="I112" i="43"/>
  <c r="H113" i="43"/>
  <c r="I113" i="43"/>
  <c r="H114" i="43"/>
  <c r="I114" i="43"/>
  <c r="H115" i="43"/>
  <c r="I115" i="43"/>
  <c r="H116" i="43"/>
  <c r="I116" i="43"/>
  <c r="H117" i="43"/>
  <c r="I117" i="43"/>
  <c r="H118" i="43"/>
  <c r="I118" i="43"/>
  <c r="H119" i="43"/>
  <c r="I119" i="43"/>
  <c r="H120" i="43"/>
  <c r="I120" i="43"/>
  <c r="H121" i="43"/>
  <c r="I121" i="43"/>
  <c r="H122" i="43"/>
  <c r="I122" i="43"/>
  <c r="H123" i="43"/>
  <c r="I123" i="43"/>
  <c r="H124" i="43"/>
  <c r="I124" i="43"/>
  <c r="H125" i="43"/>
  <c r="I125" i="43"/>
  <c r="H126" i="43"/>
  <c r="I126" i="43"/>
  <c r="H127" i="43"/>
  <c r="I127" i="43"/>
  <c r="H128" i="43"/>
  <c r="I128" i="43"/>
  <c r="H129" i="43"/>
  <c r="I129" i="43"/>
  <c r="H130" i="43"/>
  <c r="I130" i="43"/>
  <c r="H131" i="43"/>
  <c r="I131" i="43"/>
  <c r="H132" i="43"/>
  <c r="I132" i="43"/>
  <c r="I133" i="43"/>
  <c r="I138" i="43"/>
  <c r="I140" i="43"/>
  <c r="I141" i="43"/>
  <c r="I142" i="43"/>
  <c r="H2" i="2"/>
  <c r="I9" i="2"/>
  <c r="J9" i="2"/>
  <c r="I10" i="2"/>
  <c r="J10" i="2"/>
  <c r="I11" i="2"/>
  <c r="J11" i="2"/>
  <c r="I12" i="2"/>
  <c r="J12" i="2"/>
  <c r="I13" i="2"/>
  <c r="J13" i="2"/>
  <c r="I19" i="2"/>
  <c r="J19" i="2"/>
  <c r="J77" i="2"/>
</calcChain>
</file>

<file path=xl/comments1.xml><?xml version="1.0" encoding="utf-8"?>
<comments xmlns="http://schemas.openxmlformats.org/spreadsheetml/2006/main">
  <authors>
    <author>tc={2E584306-0D63-46C5-AEFA-11FE8F2CA16C}</author>
    <author>tc={B14B71E7-BD6C-44D6-8EDD-95936E7FD5B9}</author>
    <author>tc={602BC910-AFBF-447D-8F8B-091A14C16248}</author>
    <author>tc={1810CA86-12EB-44A9-B10E-354B0511989D}</author>
    <author>tc={168289E4-31BC-4F49-86B1-D3C1E4139F17}</author>
    <author>tc={EB64AC0B-0B49-4289-9331-A3BF57F63F25}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Linked to LG - which was added to this workbook</t>
        </r>
      </text>
    </comment>
    <comment ref="F12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Remove passthrough revenue and expense</t>
        </r>
      </text>
    </comment>
    <comment ref="F33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Remove passthrough revenue and expense</t>
        </r>
      </text>
    </comment>
    <comment ref="F46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Updated based on Sch. PA 3 DEPREC</t>
        </r>
      </text>
    </comment>
    <comment ref="F47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Where is the calculation for this?</t>
        </r>
      </text>
    </comment>
    <comment ref="F63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gains/losses are handled on the depreciation schdule through salvage recovery items</t>
        </r>
      </text>
    </comment>
  </commentList>
</comments>
</file>

<file path=xl/comments2.xml><?xml version="1.0" encoding="utf-8"?>
<comments xmlns="http://schemas.openxmlformats.org/spreadsheetml/2006/main">
  <authors>
    <author>tc={CE77A8C6-C033-4471-BE93-7EFAF69DBFE0}</author>
    <author>tc={26C57EBB-DBA3-46A6-8C10-EF5641685D4B}</author>
    <author>tc={9177ACE9-2D87-481B-8F69-7BCE7FB49955}</author>
  </authors>
  <commentList>
    <comment ref="C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Linked to Depr. Schedule</t>
        </r>
      </text>
    </comment>
    <comment ref="C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Linked to debt percentage from the balance sheet</t>
        </r>
      </text>
    </comment>
    <comment ref="C1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Updated to new B&amp;O rate</t>
        </r>
      </text>
    </comment>
  </commentList>
</comments>
</file>

<file path=xl/comments3.xml><?xml version="1.0" encoding="utf-8"?>
<comments xmlns="http://schemas.openxmlformats.org/spreadsheetml/2006/main">
  <authors>
    <author>tc={788BB9D8-B199-4A56-BEAA-9087852A5C51}</author>
  </authors>
  <commentList>
    <comment ref="J14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variance is caused by the non-regulated revenue which is included in the LG input and cannot be increased here</t>
        </r>
      </text>
    </comment>
  </commentList>
</comments>
</file>

<file path=xl/comments4.xml><?xml version="1.0" encoding="utf-8"?>
<comments xmlns="http://schemas.openxmlformats.org/spreadsheetml/2006/main">
  <authors>
    <author>tc={13FCACB0-58D2-42E8-A75B-89502C0F6E8B}</author>
    <author>tc={3EC2C12A-3966-4C56-B452-1438C6A3D444}</author>
    <author>tc={96950A01-9200-491C-92C0-0C3B04BBC8B1}</author>
  </authors>
  <commentList>
    <comment ref="E4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Not in the tariff</t>
        </r>
      </text>
    </comment>
    <comment ref="M4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are not in the tariff</t>
        </r>
      </text>
    </comment>
    <comment ref="M10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Wrong tariff rate - should be 18.71</t>
        </r>
      </text>
    </comment>
  </commentList>
</comments>
</file>

<file path=xl/sharedStrings.xml><?xml version="1.0" encoding="utf-8"?>
<sst xmlns="http://schemas.openxmlformats.org/spreadsheetml/2006/main" count="2439" uniqueCount="1242">
  <si>
    <t>2020 PAYROLL WORKSHEET</t>
  </si>
  <si>
    <t>EMPLOYEE:</t>
  </si>
  <si>
    <t>M DALLMAN</t>
  </si>
  <si>
    <t>2019 HRS</t>
  </si>
  <si>
    <t>N MADGEN</t>
  </si>
  <si>
    <t>P McKAY-BEACH</t>
  </si>
  <si>
    <t>R ZUBER</t>
  </si>
  <si>
    <t>PAY RATE</t>
  </si>
  <si>
    <t>DRIVER/HELPERS</t>
  </si>
  <si>
    <t>ADMINISTRATION</t>
  </si>
  <si>
    <t>H McKAY-BEACH</t>
  </si>
  <si>
    <t>C STANLEY</t>
  </si>
  <si>
    <t>CURRENT</t>
  </si>
  <si>
    <t>PROFORMA</t>
  </si>
  <si>
    <t xml:space="preserve">PAYROLL </t>
  </si>
  <si>
    <t>PAYROLL</t>
  </si>
  <si>
    <t>INCREASE</t>
  </si>
  <si>
    <t>DECREASE</t>
  </si>
  <si>
    <t xml:space="preserve">**NOTE:  HOLLIE McKAY-BEACH hours increased starting 8/1/19.  </t>
  </si>
  <si>
    <t>Hours in that period averaged 91 hours per month.  Annualized to 1093 for this projection.</t>
  </si>
  <si>
    <t>Federal Unimployment</t>
  </si>
  <si>
    <t>Washington Unemployment</t>
  </si>
  <si>
    <t>TOTAL INCEASED PAYROLL COSTS</t>
  </si>
  <si>
    <t>TOTAL</t>
  </si>
  <si>
    <t>4300 · DISPOSAL FEES &amp; EXPENSES</t>
  </si>
  <si>
    <t>Disposal Fees</t>
  </si>
  <si>
    <t>Drop Box Pass Thru</t>
  </si>
  <si>
    <t>Total 4300 · DISPOSAL FEES &amp; EXPENSES</t>
  </si>
  <si>
    <t>5200 · OPERATING TAXES &amp; LICENSES</t>
  </si>
  <si>
    <t>5220 · Vehicle License &amp; Regis Fees</t>
  </si>
  <si>
    <t>Total 5200 · OPERATING TAXES &amp; LICENSES</t>
  </si>
  <si>
    <t>M ZURICH</t>
  </si>
  <si>
    <t xml:space="preserve">Medicare </t>
  </si>
  <si>
    <t>Social Security</t>
  </si>
  <si>
    <t>PAYRATE</t>
  </si>
  <si>
    <t>EFFECTIVE</t>
  </si>
  <si>
    <t xml:space="preserve">DATE  </t>
  </si>
  <si>
    <t>NA</t>
  </si>
  <si>
    <t>***</t>
  </si>
  <si>
    <t>Quantity</t>
  </si>
  <si>
    <t>Code</t>
  </si>
  <si>
    <t>Description</t>
  </si>
  <si>
    <t>Amount</t>
  </si>
  <si>
    <t>Tax</t>
  </si>
  <si>
    <t>Units</t>
  </si>
  <si>
    <t>Rate</t>
  </si>
  <si>
    <t xml:space="preserve">Finance Charge   </t>
  </si>
  <si>
    <t xml:space="preserve">Chg 1 TO 2       </t>
  </si>
  <si>
    <t xml:space="preserve">12E   </t>
  </si>
  <si>
    <t xml:space="preserve">Change 1 TO EOW  </t>
  </si>
  <si>
    <t xml:space="preserve">1EO   </t>
  </si>
  <si>
    <t xml:space="preserve">Chg 1EOW to 1WK  </t>
  </si>
  <si>
    <t xml:space="preserve">Chg to 2 TO 1    </t>
  </si>
  <si>
    <t xml:space="preserve">2 can to 3       </t>
  </si>
  <si>
    <t xml:space="preserve">3 can to 2       </t>
  </si>
  <si>
    <t xml:space="preserve">3 CAN TO 4       </t>
  </si>
  <si>
    <t xml:space="preserve">BM1   </t>
  </si>
  <si>
    <t>BULKY MINIMUM CHG</t>
  </si>
  <si>
    <t xml:space="preserve">BM2   </t>
  </si>
  <si>
    <t>BULKY 1-4 CU. YDS</t>
  </si>
  <si>
    <t xml:space="preserve">YD </t>
  </si>
  <si>
    <t xml:space="preserve">BM3   </t>
  </si>
  <si>
    <t xml:space="preserve">BULKY &gt;4 CU. YDS </t>
  </si>
  <si>
    <t xml:space="preserve">C01   </t>
  </si>
  <si>
    <t xml:space="preserve">1 Can Per Week   </t>
  </si>
  <si>
    <t xml:space="preserve">C02   </t>
  </si>
  <si>
    <t xml:space="preserve">2 Cans Per Week  </t>
  </si>
  <si>
    <t xml:space="preserve">C03   </t>
  </si>
  <si>
    <t xml:space="preserve">3 Cans Per Week  </t>
  </si>
  <si>
    <t xml:space="preserve">C04   </t>
  </si>
  <si>
    <t xml:space="preserve">1 Can EOW        </t>
  </si>
  <si>
    <t xml:space="preserve">C05   </t>
  </si>
  <si>
    <t xml:space="preserve">2 Cans EOW       </t>
  </si>
  <si>
    <t xml:space="preserve">C06   </t>
  </si>
  <si>
    <t xml:space="preserve">4 CANS WEEK      </t>
  </si>
  <si>
    <t xml:space="preserve">C07   </t>
  </si>
  <si>
    <t xml:space="preserve">1 Cont. Per Week </t>
  </si>
  <si>
    <t xml:space="preserve">C08   </t>
  </si>
  <si>
    <t>2 Conts. Per Week</t>
  </si>
  <si>
    <t xml:space="preserve">C10   </t>
  </si>
  <si>
    <t xml:space="preserve">4 Conts. a Week  </t>
  </si>
  <si>
    <t xml:space="preserve">C13   </t>
  </si>
  <si>
    <t xml:space="preserve">1 Cont EOW       </t>
  </si>
  <si>
    <t xml:space="preserve">C17   </t>
  </si>
  <si>
    <t>1 Container-Month</t>
  </si>
  <si>
    <t xml:space="preserve">C19   </t>
  </si>
  <si>
    <t>1 Cont. 2X a Week</t>
  </si>
  <si>
    <t xml:space="preserve">C20   </t>
  </si>
  <si>
    <t>2 Cont. 2X a Week</t>
  </si>
  <si>
    <t xml:space="preserve">C21   </t>
  </si>
  <si>
    <t>3 Cont. 2X a Week</t>
  </si>
  <si>
    <t xml:space="preserve">C25   </t>
  </si>
  <si>
    <t xml:space="preserve">Rent-1 Container </t>
  </si>
  <si>
    <t xml:space="preserve">C26   </t>
  </si>
  <si>
    <t>Rent-2 Containers</t>
  </si>
  <si>
    <t xml:space="preserve">C27   </t>
  </si>
  <si>
    <t>Rent-3 Containers</t>
  </si>
  <si>
    <t xml:space="preserve">C28   </t>
  </si>
  <si>
    <t>Rent-4 Containers</t>
  </si>
  <si>
    <t xml:space="preserve">C33   </t>
  </si>
  <si>
    <t>Cont.-RETURN TRIP</t>
  </si>
  <si>
    <t xml:space="preserve">C35   </t>
  </si>
  <si>
    <t xml:space="preserve">5 32 GAL CANS WK </t>
  </si>
  <si>
    <t xml:space="preserve">C39   </t>
  </si>
  <si>
    <t>1 Extra Container</t>
  </si>
  <si>
    <t xml:space="preserve">   </t>
  </si>
  <si>
    <t xml:space="preserve">C40   </t>
  </si>
  <si>
    <t>2 Xtra Containers</t>
  </si>
  <si>
    <t xml:space="preserve">C41   </t>
  </si>
  <si>
    <t>3 Xtra Containers</t>
  </si>
  <si>
    <t xml:space="preserve">C50   </t>
  </si>
  <si>
    <t xml:space="preserve">Walk in EOW      </t>
  </si>
  <si>
    <t xml:space="preserve">C52   </t>
  </si>
  <si>
    <t>EOWWALKIN375-400'</t>
  </si>
  <si>
    <t xml:space="preserve">COA   </t>
  </si>
  <si>
    <t xml:space="preserve">1 Extra Can      </t>
  </si>
  <si>
    <t xml:space="preserve">COB   </t>
  </si>
  <si>
    <t xml:space="preserve">2 Extra Cans     </t>
  </si>
  <si>
    <t xml:space="preserve">COC   </t>
  </si>
  <si>
    <t xml:space="preserve">3 Extra Cans     </t>
  </si>
  <si>
    <t xml:space="preserve">COD   </t>
  </si>
  <si>
    <t xml:space="preserve">4 Cans Extra     </t>
  </si>
  <si>
    <t xml:space="preserve">COE   </t>
  </si>
  <si>
    <t xml:space="preserve">5 Extra Cans     </t>
  </si>
  <si>
    <t xml:space="preserve">COF   </t>
  </si>
  <si>
    <t xml:space="preserve">6 Extra Cans     </t>
  </si>
  <si>
    <t xml:space="preserve">COG   </t>
  </si>
  <si>
    <t xml:space="preserve">ON CALL CAN      </t>
  </si>
  <si>
    <t>CAN</t>
  </si>
  <si>
    <t xml:space="preserve">COL   </t>
  </si>
  <si>
    <t>Collection recovr</t>
  </si>
  <si>
    <t xml:space="preserve">CT0   </t>
  </si>
  <si>
    <t xml:space="preserve">64 GAL CART WKLY </t>
  </si>
  <si>
    <t xml:space="preserve">CT5   </t>
  </si>
  <si>
    <t xml:space="preserve">96 GAL CART EOW  </t>
  </si>
  <si>
    <t xml:space="preserve">DB1   </t>
  </si>
  <si>
    <t>DELIVER CHARGE DB</t>
  </si>
  <si>
    <t xml:space="preserve">DB2   </t>
  </si>
  <si>
    <t xml:space="preserve">PICKUP CHARGE    </t>
  </si>
  <si>
    <t xml:space="preserve">DB3   </t>
  </si>
  <si>
    <t xml:space="preserve">MILEAGE CHARGE   </t>
  </si>
  <si>
    <t xml:space="preserve">MI </t>
  </si>
  <si>
    <t xml:space="preserve">DB4   </t>
  </si>
  <si>
    <t xml:space="preserve">RENT DAILY DB    </t>
  </si>
  <si>
    <t>DAY</t>
  </si>
  <si>
    <t xml:space="preserve">DB5   </t>
  </si>
  <si>
    <t xml:space="preserve">RENT MONTH DB    </t>
  </si>
  <si>
    <t xml:space="preserve">DB9   </t>
  </si>
  <si>
    <t xml:space="preserve">DUMP TIP FEE     </t>
  </si>
  <si>
    <t xml:space="preserve">EO1   </t>
  </si>
  <si>
    <t xml:space="preserve">E-WASTE          </t>
  </si>
  <si>
    <t xml:space="preserve">LM2   </t>
  </si>
  <si>
    <t xml:space="preserve">LOOSE MATERIAL   </t>
  </si>
  <si>
    <t xml:space="preserve">MAT   </t>
  </si>
  <si>
    <t xml:space="preserve">MATTRESS         </t>
  </si>
  <si>
    <t>MAT</t>
  </si>
  <si>
    <t xml:space="preserve">NSF   </t>
  </si>
  <si>
    <t xml:space="preserve">NSF Check Chg    </t>
  </si>
  <si>
    <t xml:space="preserve">OVW   </t>
  </si>
  <si>
    <t>OVERWEIGHT PER YD</t>
  </si>
  <si>
    <t xml:space="preserve">PEN   </t>
  </si>
  <si>
    <t xml:space="preserve">PENNY ELIM       </t>
  </si>
  <si>
    <t xml:space="preserve">PPP   </t>
  </si>
  <si>
    <t xml:space="preserve">Dump Cont        </t>
  </si>
  <si>
    <t>CON</t>
  </si>
  <si>
    <t xml:space="preserve">PPX   </t>
  </si>
  <si>
    <t xml:space="preserve">Cont Special P/U </t>
  </si>
  <si>
    <t xml:space="preserve">R01   </t>
  </si>
  <si>
    <t>1 32 gal Can Week</t>
  </si>
  <si>
    <t xml:space="preserve">R02   </t>
  </si>
  <si>
    <t xml:space="preserve">2 32 Gal cans wk </t>
  </si>
  <si>
    <t xml:space="preserve">R03   </t>
  </si>
  <si>
    <t>3 32 GAL CAN WEEK</t>
  </si>
  <si>
    <t xml:space="preserve">R04   </t>
  </si>
  <si>
    <t>4 32 gal Can Week</t>
  </si>
  <si>
    <t xml:space="preserve">R05   </t>
  </si>
  <si>
    <t>5 32 Gal Can Week</t>
  </si>
  <si>
    <t xml:space="preserve">R06   </t>
  </si>
  <si>
    <t xml:space="preserve">6 Cans per Week  </t>
  </si>
  <si>
    <t xml:space="preserve">R07   </t>
  </si>
  <si>
    <t xml:space="preserve">1 32 Gal Can EOW </t>
  </si>
  <si>
    <t xml:space="preserve">R08   </t>
  </si>
  <si>
    <t>2 32 Gal Cans EOW</t>
  </si>
  <si>
    <t xml:space="preserve">R13   </t>
  </si>
  <si>
    <t xml:space="preserve">1 32 Gal Can Mon </t>
  </si>
  <si>
    <t xml:space="preserve">R14   </t>
  </si>
  <si>
    <t xml:space="preserve">2 32 Gal Once Mo </t>
  </si>
  <si>
    <t xml:space="preserve">R16   </t>
  </si>
  <si>
    <t>1 OVERSIZE CHARGE</t>
  </si>
  <si>
    <t xml:space="preserve">R22   </t>
  </si>
  <si>
    <t xml:space="preserve">CAN RETURN TRIP  </t>
  </si>
  <si>
    <t xml:space="preserve">R23   </t>
  </si>
  <si>
    <t>Carryout 5-25 EOW</t>
  </si>
  <si>
    <t xml:space="preserve">R40   </t>
  </si>
  <si>
    <t xml:space="preserve">1 20 gal a Week  </t>
  </si>
  <si>
    <t xml:space="preserve">R45   </t>
  </si>
  <si>
    <t xml:space="preserve">1 Overweight Can </t>
  </si>
  <si>
    <t xml:space="preserve">RA1   </t>
  </si>
  <si>
    <t>32 Gal can oncall</t>
  </si>
  <si>
    <t xml:space="preserve">RA2   </t>
  </si>
  <si>
    <t xml:space="preserve">2 32 gal on call </t>
  </si>
  <si>
    <t xml:space="preserve">RA3   </t>
  </si>
  <si>
    <t xml:space="preserve">3 32 Gal On Call </t>
  </si>
  <si>
    <t xml:space="preserve">RC1   </t>
  </si>
  <si>
    <t xml:space="preserve">RC3   </t>
  </si>
  <si>
    <t xml:space="preserve">1 Container EOW  </t>
  </si>
  <si>
    <t xml:space="preserve">RC9   </t>
  </si>
  <si>
    <t xml:space="preserve">RCA   </t>
  </si>
  <si>
    <t xml:space="preserve">Extra=1 Can      </t>
  </si>
  <si>
    <t xml:space="preserve">RCB   </t>
  </si>
  <si>
    <t xml:space="preserve">Extra=2 Cans     </t>
  </si>
  <si>
    <t xml:space="preserve">RCC   </t>
  </si>
  <si>
    <t xml:space="preserve">Extra=3 Cans     </t>
  </si>
  <si>
    <t xml:space="preserve">RCG   </t>
  </si>
  <si>
    <t xml:space="preserve">EXTRA BAG        </t>
  </si>
  <si>
    <t xml:space="preserve">RCR   </t>
  </si>
  <si>
    <t xml:space="preserve">TC1   </t>
  </si>
  <si>
    <t>Deliver Temp/Cont</t>
  </si>
  <si>
    <t xml:space="preserve">TC2   </t>
  </si>
  <si>
    <t xml:space="preserve">Dump Temp. Cont. </t>
  </si>
  <si>
    <t>Cnt</t>
  </si>
  <si>
    <t xml:space="preserve">TC3   </t>
  </si>
  <si>
    <t>Rent TempCont Day</t>
  </si>
  <si>
    <t xml:space="preserve">TC4   </t>
  </si>
  <si>
    <t>Rent-Temp Cont Mo</t>
  </si>
  <si>
    <t xml:space="preserve">TC5   </t>
  </si>
  <si>
    <t>SPEC. PU TEMP CON</t>
  </si>
  <si>
    <t xml:space="preserve">TM3   </t>
  </si>
  <si>
    <t>HR CHG TRUCK/1MAN</t>
  </si>
  <si>
    <t xml:space="preserve">TO1   </t>
  </si>
  <si>
    <t xml:space="preserve">64gal cart wk    </t>
  </si>
  <si>
    <t xml:space="preserve">TO2   </t>
  </si>
  <si>
    <t xml:space="preserve">64gal cart EOW   </t>
  </si>
  <si>
    <t xml:space="preserve">TO3   </t>
  </si>
  <si>
    <t xml:space="preserve">64gal cart month </t>
  </si>
  <si>
    <t xml:space="preserve">TO4   </t>
  </si>
  <si>
    <t xml:space="preserve">96 GAL CART WKLY </t>
  </si>
  <si>
    <t xml:space="preserve">TO5   </t>
  </si>
  <si>
    <t xml:space="preserve">96gal cart EOW   </t>
  </si>
  <si>
    <t xml:space="preserve">TO6   </t>
  </si>
  <si>
    <t>64 GAL CART EXTRA</t>
  </si>
  <si>
    <t xml:space="preserve">TO8   </t>
  </si>
  <si>
    <t xml:space="preserve">96gal cart month </t>
  </si>
  <si>
    <t xml:space="preserve">VAC   </t>
  </si>
  <si>
    <t xml:space="preserve">Vacation Credit  </t>
  </si>
  <si>
    <t xml:space="preserve">XTR   </t>
  </si>
  <si>
    <t xml:space="preserve">CONT XTRA 3/4 YD </t>
  </si>
  <si>
    <t xml:space="preserve">XTS   </t>
  </si>
  <si>
    <t xml:space="preserve">CONT XTRA 1/2 YD </t>
  </si>
  <si>
    <t xml:space="preserve">YC1   </t>
  </si>
  <si>
    <t xml:space="preserve">CATH 1 BIN       </t>
  </si>
  <si>
    <t xml:space="preserve">YC2   </t>
  </si>
  <si>
    <t xml:space="preserve">CATH 2 BIN       </t>
  </si>
  <si>
    <t xml:space="preserve">YP1   </t>
  </si>
  <si>
    <t xml:space="preserve">PI SINGLE        </t>
  </si>
  <si>
    <t xml:space="preserve">YS1   </t>
  </si>
  <si>
    <t xml:space="preserve">SKAM 1 BIN       </t>
  </si>
  <si>
    <t>Type</t>
  </si>
  <si>
    <t>Date</t>
  </si>
  <si>
    <t>Num</t>
  </si>
  <si>
    <t>Name</t>
  </si>
  <si>
    <t>Memo</t>
  </si>
  <si>
    <t>Clr</t>
  </si>
  <si>
    <t>Split</t>
  </si>
  <si>
    <t>Total Disposal Fees</t>
  </si>
  <si>
    <t>Total Drop Box Pass Thru</t>
  </si>
  <si>
    <t>Credit Card Charge</t>
  </si>
  <si>
    <t>76.89</t>
  </si>
  <si>
    <t>82.44</t>
  </si>
  <si>
    <t>87.62</t>
  </si>
  <si>
    <t>61.80</t>
  </si>
  <si>
    <t>18.31</t>
  </si>
  <si>
    <t>82.29</t>
  </si>
  <si>
    <t>87.77</t>
  </si>
  <si>
    <t>106.41</t>
  </si>
  <si>
    <t>95.02</t>
  </si>
  <si>
    <t>93.04</t>
  </si>
  <si>
    <t>78.94</t>
  </si>
  <si>
    <t>84.44</t>
  </si>
  <si>
    <t>95.50</t>
  </si>
  <si>
    <t>3.31</t>
  </si>
  <si>
    <t>4.46</t>
  </si>
  <si>
    <t>4.41</t>
  </si>
  <si>
    <t>26.26</t>
  </si>
  <si>
    <t>21.72</t>
  </si>
  <si>
    <t>18.23</t>
  </si>
  <si>
    <t>20.90</t>
  </si>
  <si>
    <t>24.18</t>
  </si>
  <si>
    <t>29.00</t>
  </si>
  <si>
    <t>23.53</t>
  </si>
  <si>
    <t>16.71</t>
  </si>
  <si>
    <t>5.21</t>
  </si>
  <si>
    <t>2063 · Cowlitz County Landfill</t>
  </si>
  <si>
    <t>TONS</t>
  </si>
  <si>
    <t xml:space="preserve">TONS </t>
  </si>
  <si>
    <t>APPLY</t>
  </si>
  <si>
    <t>NEW RATE</t>
  </si>
  <si>
    <t>1050.47</t>
  </si>
  <si>
    <t>197.92</t>
  </si>
  <si>
    <t>Total 5220 · Vehicle License &amp; Regis Fees</t>
  </si>
  <si>
    <t>Check</t>
  </si>
  <si>
    <t>43310</t>
  </si>
  <si>
    <t>43368</t>
  </si>
  <si>
    <t>43385</t>
  </si>
  <si>
    <t>ACH</t>
  </si>
  <si>
    <t>43326</t>
  </si>
  <si>
    <t>43478</t>
  </si>
  <si>
    <t>43541</t>
  </si>
  <si>
    <t>DC</t>
  </si>
  <si>
    <t>Auditor</t>
  </si>
  <si>
    <t>DOT</t>
  </si>
  <si>
    <t>J J Keller</t>
  </si>
  <si>
    <t>U S  Treasury</t>
  </si>
  <si>
    <t>C75122B</t>
  </si>
  <si>
    <t>A04822H  Volvo</t>
  </si>
  <si>
    <t>Over weight permit renewal</t>
  </si>
  <si>
    <t>overweight permit renewal</t>
  </si>
  <si>
    <t>A04823H  Volvo</t>
  </si>
  <si>
    <t>J J Keller 2290  fee heavy vehicle tax</t>
  </si>
  <si>
    <t>2290 heavy vehicle tax</t>
  </si>
  <si>
    <t>DuWald trailer 7141UV</t>
  </si>
  <si>
    <t>tonnage increase on Autocar trucks</t>
  </si>
  <si>
    <t>added tonnage on 2 autocar trucks</t>
  </si>
  <si>
    <t>1011 · Bank of Pacific LLC</t>
  </si>
  <si>
    <t>2066 · Bank of America</t>
  </si>
  <si>
    <t>out of service</t>
  </si>
  <si>
    <t>180 every 4 weeks</t>
  </si>
  <si>
    <t>2019 vehicle taxes &amp; licenses</t>
  </si>
  <si>
    <t>2020 INCREASE TO PROFORMA</t>
  </si>
  <si>
    <t>2020 LICENSES</t>
  </si>
  <si>
    <t xml:space="preserve"> Auto car 2006 C06482R  2007  C06481R</t>
  </si>
  <si>
    <t>2020 INTEREST EXPENSE AMORTIZTION/EQUIPMENT LOAN</t>
  </si>
  <si>
    <t>BEGINNING LOAN BALANCE</t>
  </si>
  <si>
    <t>PAYMENT</t>
  </si>
  <si>
    <t>PRINCIPAL</t>
  </si>
  <si>
    <t xml:space="preserve">INTEREST  </t>
  </si>
  <si>
    <t>LOAN PROCEEDS</t>
  </si>
  <si>
    <t>2019 INTEREST</t>
  </si>
  <si>
    <t>PROFORMA INTEREST</t>
  </si>
  <si>
    <t>Balance</t>
  </si>
  <si>
    <t>STANLEY'S SANITARY SERVICE</t>
  </si>
  <si>
    <t>RESULTS OF OPERATIONS G-86 &amp; TOWN OF CATHLAMET</t>
  </si>
  <si>
    <t xml:space="preserve">       </t>
  </si>
  <si>
    <t>RESULTS</t>
  </si>
  <si>
    <t>TEST PERIOD</t>
  </si>
  <si>
    <t>EFFECT OF</t>
  </si>
  <si>
    <t>AFTER</t>
  </si>
  <si>
    <t>PER BOOKS</t>
  </si>
  <si>
    <t>RESTATED</t>
  </si>
  <si>
    <t>PROPOSED</t>
  </si>
  <si>
    <t>ADJUSTMTS</t>
  </si>
  <si>
    <t>#</t>
  </si>
  <si>
    <t>RATES</t>
  </si>
  <si>
    <t>3000 OPERATING REVENUE</t>
  </si>
  <si>
    <t>RESIDENTIAL</t>
  </si>
  <si>
    <t>COMMERCIAL</t>
  </si>
  <si>
    <t xml:space="preserve">DROP BOX </t>
  </si>
  <si>
    <t>DROP BOX PASS THROUGH</t>
  </si>
  <si>
    <t>COUNTY RECYCLE HAUL</t>
  </si>
  <si>
    <t xml:space="preserve">E WASTE </t>
  </si>
  <si>
    <t>TOTAL CONTRACT REVENUE</t>
  </si>
  <si>
    <t>TOTAL REVENUE</t>
  </si>
  <si>
    <t xml:space="preserve">OPERATING EXPENSES </t>
  </si>
  <si>
    <t>REPAIR COLLECTION EQUIP</t>
  </si>
  <si>
    <t>TIRES</t>
  </si>
  <si>
    <t>OTHER MAINTENANCE</t>
  </si>
  <si>
    <t>DRIVER/HELPER WAGES</t>
  </si>
  <si>
    <t>FUEL</t>
  </si>
  <si>
    <t>OTHER GARBAGE EXPENSE</t>
  </si>
  <si>
    <t>DISPOSAL FEES</t>
  </si>
  <si>
    <t>ADVERTISING/PROMOTION</t>
  </si>
  <si>
    <t>LIAB/PROP INSURANCE</t>
  </si>
  <si>
    <t>FIRE, THEFT, COLLISION INSUR</t>
  </si>
  <si>
    <t>WORKMAN'S COMP</t>
  </si>
  <si>
    <t>OTHER INSURANCE &amp; SAFETY</t>
  </si>
  <si>
    <t>MANAGER MEDICAL INSURANCE</t>
  </si>
  <si>
    <t>WAGES/BILLING</t>
  </si>
  <si>
    <t>OFFICE &amp; OTHER EXPENSE</t>
  </si>
  <si>
    <t>LEGAL &amp; ACCOUNTING</t>
  </si>
  <si>
    <t>COMMUNICATIONS, UTILITIES</t>
  </si>
  <si>
    <t>EMPLOYEE WELFARE</t>
  </si>
  <si>
    <t>DEPRECIATION</t>
  </si>
  <si>
    <t>OTHER GENERAL EXPENSE</t>
  </si>
  <si>
    <t>VEHICLE LICENSE, REG</t>
  </si>
  <si>
    <t>REAL/PERSONAL PROPERTY TAX</t>
  </si>
  <si>
    <t>SOCIAL SEC/MEDICARE TAX</t>
  </si>
  <si>
    <t>FEDERAL UNEMPLOYMENT TAX</t>
  </si>
  <si>
    <t>STATE UNEMPLOYMENT TAX</t>
  </si>
  <si>
    <t>STATE REVENUE TAX</t>
  </si>
  <si>
    <t>OTHER TAXES &amp; LICENSES</t>
  </si>
  <si>
    <t>TARIFF PREP &amp; MAILING EXP</t>
  </si>
  <si>
    <t>UNCOLLECTABLE REV</t>
  </si>
  <si>
    <t>REGULATORY EXPENSE</t>
  </si>
  <si>
    <t>TOTAL OPERATING EXPENSES</t>
  </si>
  <si>
    <t>OPERATING INCOME BEFORE FIT</t>
  </si>
  <si>
    <r>
      <t xml:space="preserve"> </t>
    </r>
    <r>
      <rPr>
        <b/>
        <sz val="12"/>
        <rFont val="Arial"/>
        <family val="2"/>
      </rPr>
      <t>NET OPERATING INCOME</t>
    </r>
  </si>
  <si>
    <t>AVERAGE RATE BASE (BEOY)</t>
  </si>
  <si>
    <t>OPERATING RATIO</t>
  </si>
  <si>
    <t>for 12 month period 2019</t>
  </si>
  <si>
    <t>TOTAL G &amp; TOWN CONTRACT</t>
  </si>
  <si>
    <t>ADJUSTMENTS</t>
  </si>
  <si>
    <t>MANAGER SALARY</t>
  </si>
  <si>
    <t>MEDICARE TAX</t>
  </si>
  <si>
    <t>FAMILY LEAVE TAX</t>
  </si>
  <si>
    <t>TRUCK SHOP &amp; YARD RENTAL30000</t>
  </si>
  <si>
    <t>NET OPERATING INCOME</t>
  </si>
  <si>
    <t>OTHER EXPENSE</t>
  </si>
  <si>
    <t>INTEREST</t>
  </si>
  <si>
    <t>GAIN/LOSS SALE OF ASSET</t>
  </si>
  <si>
    <t>OFFICE RENT</t>
  </si>
  <si>
    <t>WAHKIAKUM COUNTY CONTRACT</t>
  </si>
  <si>
    <t>PICKUP</t>
  </si>
  <si>
    <t>MILEAGE</t>
  </si>
  <si>
    <t>TOTAL 2019 REV</t>
  </si>
  <si>
    <t>YEAR</t>
  </si>
  <si>
    <t>EXPENSE</t>
  </si>
  <si>
    <t>2019 DEPRECIATION SCHEDULE</t>
  </si>
  <si>
    <t>DEPREC</t>
  </si>
  <si>
    <t>PURCH</t>
  </si>
  <si>
    <t>N</t>
  </si>
  <si>
    <t>ORIG'L</t>
  </si>
  <si>
    <t>PER</t>
  </si>
  <si>
    <t>DATE</t>
  </si>
  <si>
    <t>ASSET DESC</t>
  </si>
  <si>
    <t>U</t>
  </si>
  <si>
    <t>COST</t>
  </si>
  <si>
    <t>SALV</t>
  </si>
  <si>
    <t>BASE</t>
  </si>
  <si>
    <t xml:space="preserve"> M  L</t>
  </si>
  <si>
    <t>L</t>
  </si>
  <si>
    <t>1222 COLLECTN EQUIP</t>
  </si>
  <si>
    <t>1987 FREIGHTLNR</t>
  </si>
  <si>
    <t xml:space="preserve">SL </t>
  </si>
  <si>
    <t>ROLLOFF TRAILER</t>
  </si>
  <si>
    <t>FRTLNR RETRO</t>
  </si>
  <si>
    <t>SL</t>
  </si>
  <si>
    <t>1999 FREIGHTLNR DB WHITE</t>
  </si>
  <si>
    <t>1999 FREIGHTLNR DB WHITE rearend</t>
  </si>
  <si>
    <t>1987 frtlnr turbo &amp; brakes</t>
  </si>
  <si>
    <t>LIFT FOR WHITE FRTLNER</t>
  </si>
  <si>
    <t>REBUILD WHITE FRTLNER LIFT</t>
  </si>
  <si>
    <t>WHITE FREIGHTLNR MAJOR RPR</t>
  </si>
  <si>
    <t>2 HYDRAULIC CYLINDERS</t>
  </si>
  <si>
    <t>2007 AUTOCAR TRUCK</t>
  </si>
  <si>
    <t>2006 AUTOCAR TRUCK</t>
  </si>
  <si>
    <t xml:space="preserve">AUTO CAR MODIFICATION </t>
  </si>
  <si>
    <t>COLLECTION EQ TOTALS</t>
  </si>
  <si>
    <t>1224 CONT/DROP BOXES</t>
  </si>
  <si>
    <t>CONTAINERS</t>
  </si>
  <si>
    <t>12-1 1/2 YD CONT</t>
  </si>
  <si>
    <t>24-1 1/2 YD CONT</t>
  </si>
  <si>
    <t>24 CONT (LEASEBUY}</t>
  </si>
  <si>
    <t>CONTAINER CART</t>
  </si>
  <si>
    <t>12  1 1/2 YD CONT</t>
  </si>
  <si>
    <t>12 1 1/2 YD CONT</t>
  </si>
  <si>
    <t>15 1 1/2 YD CONT</t>
  </si>
  <si>
    <t>24 1 1/2 YD CONT</t>
  </si>
  <si>
    <t>90 Toters</t>
  </si>
  <si>
    <t>u</t>
  </si>
  <si>
    <t>sl</t>
  </si>
  <si>
    <t>Container signage</t>
  </si>
  <si>
    <t>TOTAL CONTAINERS</t>
  </si>
  <si>
    <t>DROPBOXES</t>
  </si>
  <si>
    <t xml:space="preserve"> 2-30 YD DROPBOX</t>
  </si>
  <si>
    <t>3 30 YD DROPBOX</t>
  </si>
  <si>
    <t>2-40 YD DROPBOXES</t>
  </si>
  <si>
    <t>1-20 YD DROPBOX</t>
  </si>
  <si>
    <t>4 20 YS DROPBOXES</t>
  </si>
  <si>
    <t>4  DROP BOXES</t>
  </si>
  <si>
    <t>4  30 YD DROP BOXES</t>
  </si>
  <si>
    <t>TOTAL DROP BOXES</t>
  </si>
  <si>
    <t>TOTALS</t>
  </si>
  <si>
    <t>1250 OFFICE FURN/EQUIP</t>
  </si>
  <si>
    <t>DESK/BOOKCASE</t>
  </si>
  <si>
    <t>FILE CABINETS</t>
  </si>
  <si>
    <t>DELL COMPUTER</t>
  </si>
  <si>
    <t>HP1300 PRINTER</t>
  </si>
  <si>
    <t>AT&amp;T Phones</t>
  </si>
  <si>
    <t>adj prior years</t>
  </si>
  <si>
    <t>SHREDDER</t>
  </si>
  <si>
    <t>hp Laserjest printer M201</t>
  </si>
  <si>
    <t>Rebuild Dell Desktop</t>
  </si>
  <si>
    <t>HP Laptop</t>
  </si>
  <si>
    <t>Upgrade HP Laptop</t>
  </si>
  <si>
    <t>Office Chair</t>
  </si>
  <si>
    <t>Dell Computer Tower</t>
  </si>
  <si>
    <t>Air Conditioner</t>
  </si>
  <si>
    <t>CELL PHONES</t>
  </si>
  <si>
    <t>1272 LEASEHOLD IMPROVEMENTS</t>
  </si>
  <si>
    <t>Gravel truckyard</t>
  </si>
  <si>
    <t>MONTH</t>
  </si>
  <si>
    <t xml:space="preserve">PER </t>
  </si>
  <si>
    <t xml:space="preserve">PROFORMA  </t>
  </si>
  <si>
    <t>FEDERAL INCOME TAX @21%</t>
  </si>
  <si>
    <t>COLLECTION EQUIPMENT LICENSING</t>
  </si>
  <si>
    <t>PA 6</t>
  </si>
  <si>
    <t>TO P A 6</t>
  </si>
  <si>
    <t>PA 5</t>
  </si>
  <si>
    <t>PA 4</t>
  </si>
  <si>
    <t>PA 7</t>
  </si>
  <si>
    <t>PA 8</t>
  </si>
  <si>
    <t xml:space="preserve">DISPOSAL FEES                                     </t>
  </si>
  <si>
    <t>PA 3</t>
  </si>
  <si>
    <t>PA 10</t>
  </si>
  <si>
    <t>4100 · EQUIPMENT MAINT/GARB EXP</t>
  </si>
  <si>
    <t>4160 · Tires &amp; Tubes</t>
  </si>
  <si>
    <t>6356853</t>
  </si>
  <si>
    <t>2067 · Superior Tire</t>
  </si>
  <si>
    <t>inv 6362284</t>
  </si>
  <si>
    <t>6363676</t>
  </si>
  <si>
    <t>6364563</t>
  </si>
  <si>
    <t>41855</t>
  </si>
  <si>
    <t>Les Schwab Tire Center</t>
  </si>
  <si>
    <t>#334-06923</t>
  </si>
  <si>
    <t>6376297</t>
  </si>
  <si>
    <t>6376331</t>
  </si>
  <si>
    <t>Credit Card Credit</t>
  </si>
  <si>
    <t>9036976</t>
  </si>
  <si>
    <t>5377711</t>
  </si>
  <si>
    <t>6381503</t>
  </si>
  <si>
    <t>6380506 tk5</t>
  </si>
  <si>
    <t>6384546 dbd trailer</t>
  </si>
  <si>
    <t>6384756  truck 5</t>
  </si>
  <si>
    <t>6385617</t>
  </si>
  <si>
    <t>6387269</t>
  </si>
  <si>
    <t>6389613  box trlr</t>
  </si>
  <si>
    <t>6389367 truck 2011</t>
  </si>
  <si>
    <t>6391272</t>
  </si>
  <si>
    <t>6391682</t>
  </si>
  <si>
    <t>6391969</t>
  </si>
  <si>
    <t>6391981</t>
  </si>
  <si>
    <t>6393034</t>
  </si>
  <si>
    <t>6395554</t>
  </si>
  <si>
    <t>6394461</t>
  </si>
  <si>
    <t>Tire Factory</t>
  </si>
  <si>
    <t>42409</t>
  </si>
  <si>
    <t>Superior Tire Service</t>
  </si>
  <si>
    <t>Oct invoices</t>
  </si>
  <si>
    <t>6405171</t>
  </si>
  <si>
    <t>42441</t>
  </si>
  <si>
    <t>#8138</t>
  </si>
  <si>
    <t>9238 bp</t>
  </si>
  <si>
    <t>6407903</t>
  </si>
  <si>
    <t>bpbp</t>
  </si>
  <si>
    <t>6412185</t>
  </si>
  <si>
    <t>6413238</t>
  </si>
  <si>
    <t>missing invoice</t>
  </si>
  <si>
    <t>6414732</t>
  </si>
  <si>
    <t>42519</t>
  </si>
  <si>
    <t>6413836</t>
  </si>
  <si>
    <t>6413929</t>
  </si>
  <si>
    <t>42550</t>
  </si>
  <si>
    <t>6418735</t>
  </si>
  <si>
    <t>chrysler tires</t>
  </si>
  <si>
    <t>2065 · Les Schwab</t>
  </si>
  <si>
    <t>42569</t>
  </si>
  <si>
    <t>6421368</t>
  </si>
  <si>
    <t>6421668</t>
  </si>
  <si>
    <t>42599</t>
  </si>
  <si>
    <t>6422630</t>
  </si>
  <si>
    <t>42626</t>
  </si>
  <si>
    <t>6420876</t>
  </si>
  <si>
    <t>6425264</t>
  </si>
  <si>
    <t>42656</t>
  </si>
  <si>
    <t>6426918</t>
  </si>
  <si>
    <t>6427258</t>
  </si>
  <si>
    <t>42686</t>
  </si>
  <si>
    <t>6427040</t>
  </si>
  <si>
    <t>42706</t>
  </si>
  <si>
    <t>42733</t>
  </si>
  <si>
    <t>42770</t>
  </si>
  <si>
    <t>42801</t>
  </si>
  <si>
    <t>42818</t>
  </si>
  <si>
    <t>42843</t>
  </si>
  <si>
    <t>6441838</t>
  </si>
  <si>
    <t>42868</t>
  </si>
  <si>
    <t>42893</t>
  </si>
  <si>
    <t>42929</t>
  </si>
  <si>
    <t>43036</t>
  </si>
  <si>
    <t>\</t>
  </si>
  <si>
    <t>43055</t>
  </si>
  <si>
    <t>6462194</t>
  </si>
  <si>
    <t>43103</t>
  </si>
  <si>
    <t>6465488</t>
  </si>
  <si>
    <t>BP BP</t>
  </si>
  <si>
    <t>64669808</t>
  </si>
  <si>
    <t>BPBP</t>
  </si>
  <si>
    <t>6471012</t>
  </si>
  <si>
    <t>6474287</t>
  </si>
  <si>
    <t>6480840</t>
  </si>
  <si>
    <t>Total 4160 · Tires &amp; Tubes</t>
  </si>
  <si>
    <t>TIRE EXPENSE</t>
  </si>
  <si>
    <t>PA 11</t>
  </si>
  <si>
    <t>THIS WORKSHEET IS TO REFLECT AND PROFORMA THE AVERAGE ANNUAL TIRE EXPENSE.</t>
  </si>
  <si>
    <t xml:space="preserve">2019 TIRE EXPENSE OF $3611  IS NOT A REPRESENTATION OF USUAL TIRE EXPENSE.  IT IS LOW DUE TO NEW TRUCKS COMING ON BOARD'   </t>
  </si>
  <si>
    <t>AVERAGE PER YR</t>
  </si>
  <si>
    <t>2019 ACTUAL</t>
  </si>
  <si>
    <t>PROFORMA ADJUSTMENT</t>
  </si>
  <si>
    <t>Total 4100 · EQUIPMENT MAINT/GARB EXP  5 YEARS</t>
  </si>
  <si>
    <t>THIS 5 YEAR HISTORY  IS BEING APPLIED TO PROFORMA EXPENSE.  SEE BOTTOM OF WORKSHEET FOR ANNUAL 5 YEAR EXPENSE RECORD</t>
  </si>
  <si>
    <t>5 YEAR TOTAL</t>
  </si>
  <si>
    <t>TO PA 11</t>
  </si>
  <si>
    <t>PA 2</t>
  </si>
  <si>
    <t>TO</t>
  </si>
  <si>
    <t>LABOR &amp; INDUSTRIES 2020 RATE APPLICATION</t>
  </si>
  <si>
    <t>DRIVER/HELPER</t>
  </si>
  <si>
    <t>HOURS</t>
  </si>
  <si>
    <t xml:space="preserve">CLERICAL </t>
  </si>
  <si>
    <t>RATE</t>
  </si>
  <si>
    <t xml:space="preserve">RATE </t>
  </si>
  <si>
    <t>PER HR</t>
  </si>
  <si>
    <t>DIFFERENCE</t>
  </si>
  <si>
    <t>TOTAL PA ADJUSTMENTS FOR PAYROLL</t>
  </si>
  <si>
    <t>5300 · OPERATING RENTS</t>
  </si>
  <si>
    <t>5350 Office Rent Expense</t>
  </si>
  <si>
    <t>43299</t>
  </si>
  <si>
    <t>Scarborough Building LLC</t>
  </si>
  <si>
    <t>43325</t>
  </si>
  <si>
    <t>monthly lease pmt</t>
  </si>
  <si>
    <t>43458</t>
  </si>
  <si>
    <t>43484</t>
  </si>
  <si>
    <t>43515</t>
  </si>
  <si>
    <t>43529</t>
  </si>
  <si>
    <t>Total 5350 Office Rent Expense</t>
  </si>
  <si>
    <t>Total 5300 · OPERATING RENTS</t>
  </si>
  <si>
    <t>OFFICE RENT PROFORMA</t>
  </si>
  <si>
    <t xml:space="preserve">PURPOSE:    ON 6/1/19 STANLEY'S SANITARY OFFICE MOVED  </t>
  </si>
  <si>
    <t>ADD 6 MONTHS LEASE EXPENSE TO 2019 TO REPRESENT 2020 OFFICE RENT</t>
  </si>
  <si>
    <t>PER MONTH</t>
  </si>
  <si>
    <t>TOTAL LEASE EXPENSE</t>
  </si>
  <si>
    <t>TO PA 2</t>
  </si>
  <si>
    <t>Premera Blue Cross</t>
  </si>
  <si>
    <t>Bill Pay</t>
  </si>
  <si>
    <t>GROUP 4004510 premium</t>
  </si>
  <si>
    <t>4651 · Group Insurance</t>
  </si>
  <si>
    <t>EMPLOYEE BENEFITS</t>
  </si>
  <si>
    <t>PA 12</t>
  </si>
  <si>
    <t>4600 · ADMIN &amp; GENERAL EXP</t>
  </si>
  <si>
    <t>4650 · Employee Welfare</t>
  </si>
  <si>
    <t>additional premium due</t>
  </si>
  <si>
    <t>Total 4651 · Group Insurance</t>
  </si>
  <si>
    <t>Total 4650 · Employee Welfare</t>
  </si>
  <si>
    <t>Total 4600 · ADMIN &amp; GENERAL EXP</t>
  </si>
  <si>
    <t xml:space="preserve">PROFORMA     </t>
  </si>
  <si>
    <t>12</t>
  </si>
  <si>
    <t>1051.62</t>
  </si>
  <si>
    <t>PROFORMA P12 TO RESULTS OF OPERATIONS</t>
  </si>
  <si>
    <t>TARIFF PREP EXPENSE</t>
  </si>
  <si>
    <t>PA 13</t>
  </si>
  <si>
    <t xml:space="preserve">POSTAGE </t>
  </si>
  <si>
    <t>STAMPS</t>
  </si>
  <si>
    <t>ADDED OFFICE LABOR</t>
  </si>
  <si>
    <t>PAYROLL TAXES- L&amp;I</t>
  </si>
  <si>
    <t>SOCIAL SEC/MEDICARE</t>
  </si>
  <si>
    <t>FUI</t>
  </si>
  <si>
    <t>SUI</t>
  </si>
  <si>
    <t>ENVELOPES</t>
  </si>
  <si>
    <t xml:space="preserve">PAPER </t>
  </si>
  <si>
    <t>J DAVIS ACCOUNTING</t>
  </si>
  <si>
    <t>EXPENSE TO PROFORMA</t>
  </si>
  <si>
    <t>PA 14</t>
  </si>
  <si>
    <t>REMOVE EWASTE INCOME</t>
  </si>
  <si>
    <t>NO LONGER CONTRACTED AS EWASTE COLLECTOR</t>
  </si>
  <si>
    <t>10 year expense           65529</t>
  </si>
  <si>
    <t>10 year average</t>
  </si>
  <si>
    <t>NOTE:</t>
  </si>
  <si>
    <t>% OF INCREASE</t>
  </si>
  <si>
    <t>**see note</t>
  </si>
  <si>
    <t>**NOTE:  RATE INCREASE NOT APPLIED TO CONTRACT REV BECAUSE THOSE RATES ALREADY EXCEED NEW TARIFF RATES:</t>
  </si>
  <si>
    <t>WAHKIAKUM CO RECYCLE HAUL RATES:</t>
  </si>
  <si>
    <t xml:space="preserve">        Cathlamet</t>
  </si>
  <si>
    <t>1 box</t>
  </si>
  <si>
    <t xml:space="preserve">       Skamokawa</t>
  </si>
  <si>
    <t>TARIFF</t>
  </si>
  <si>
    <t xml:space="preserve">        Puget Island</t>
  </si>
  <si>
    <t xml:space="preserve">TARIFF </t>
  </si>
  <si>
    <t>new</t>
  </si>
  <si>
    <t xml:space="preserve">rate </t>
  </si>
  <si>
    <t>RFV ABOVE</t>
  </si>
  <si>
    <t>REV</t>
  </si>
  <si>
    <t>%</t>
  </si>
  <si>
    <t>ACTUAL</t>
  </si>
  <si>
    <t>STANLEY'S SANITARY PROFORMA ADJUSTMENTS INDEC</t>
  </si>
  <si>
    <t>PA 1</t>
  </si>
  <si>
    <t xml:space="preserve">PA 2 </t>
  </si>
  <si>
    <t>PA 9</t>
  </si>
  <si>
    <t>REMOVE</t>
  </si>
  <si>
    <t>ECYCLE</t>
  </si>
  <si>
    <t>CONTRACT</t>
  </si>
  <si>
    <t>OFFICE</t>
  </si>
  <si>
    <t>RENT</t>
  </si>
  <si>
    <t>12 MONTHS</t>
  </si>
  <si>
    <t>REFLECT</t>
  </si>
  <si>
    <t>DISPOSAL</t>
  </si>
  <si>
    <t>FEE</t>
  </si>
  <si>
    <t>WAGE</t>
  </si>
  <si>
    <t>INCREASED</t>
  </si>
  <si>
    <t xml:space="preserve">COLLECTION </t>
  </si>
  <si>
    <t xml:space="preserve">EQUIP </t>
  </si>
  <si>
    <t>LICENSING</t>
  </si>
  <si>
    <t>MANAGER</t>
  </si>
  <si>
    <t>MEDICAL</t>
  </si>
  <si>
    <t>INSURANCE</t>
  </si>
  <si>
    <t xml:space="preserve">REFLECT </t>
  </si>
  <si>
    <t>LIAB &amp;</t>
  </si>
  <si>
    <t>PROPERTY</t>
  </si>
  <si>
    <t>5 YR AVG</t>
  </si>
  <si>
    <t xml:space="preserve">TIRE </t>
  </si>
  <si>
    <t>GROUP</t>
  </si>
  <si>
    <t>PREP</t>
  </si>
  <si>
    <t>&amp; MAILING</t>
  </si>
  <si>
    <t xml:space="preserve">PAS </t>
  </si>
  <si>
    <t xml:space="preserve">DECREASE </t>
  </si>
  <si>
    <t>EQ LOAN</t>
  </si>
  <si>
    <t>STANLEY'S SANITARY 2019 CUSTOMER CHARGES</t>
  </si>
  <si>
    <t>WRRA</t>
  </si>
  <si>
    <t>POLITICAL</t>
  </si>
  <si>
    <t>NOTE:  Wahkiakum County Recycle haul contract prices are set.  The contract amounts</t>
  </si>
  <si>
    <t xml:space="preserve">exceed drop box new rates and can not be increased until the expiration of the contract.  </t>
  </si>
  <si>
    <t xml:space="preserve">NEW </t>
  </si>
  <si>
    <t xml:space="preserve">PROPOSED </t>
  </si>
  <si>
    <t xml:space="preserve">ABOVE TARIFF </t>
  </si>
  <si>
    <t>INCOME</t>
  </si>
  <si>
    <t>Our office moved to this location on 7/1/2019</t>
  </si>
  <si>
    <t xml:space="preserve">Employer portion Payroll tax increases on $9660 PROFORMA </t>
  </si>
  <si>
    <t>2020 LABOR &amp; INDUSTRIES PA ADJUSTMENT  due to rate decrease</t>
  </si>
  <si>
    <t>Medical insurance rate increased in 2020.</t>
  </si>
  <si>
    <t>INSURANCE :   FIRE AND AUTO WORKSHEET</t>
  </si>
  <si>
    <t>FIRE THEFT &amp; COLLISION PREMIUMS PER GL</t>
  </si>
  <si>
    <t>LIABILITY PREMIUM PER GL</t>
  </si>
  <si>
    <t>6/1/20-5/31/21</t>
  </si>
  <si>
    <t>Renewal</t>
  </si>
  <si>
    <t xml:space="preserve">            APPLY PERCENTAGE INSCREASE TO PA 10</t>
  </si>
  <si>
    <t>STANLEY'S SANITARY BALANCE SHEET</t>
  </si>
  <si>
    <t>Dec 31, 19</t>
  </si>
  <si>
    <t>ASSETS</t>
  </si>
  <si>
    <t>Current Assets</t>
  </si>
  <si>
    <t>Checking/Savings</t>
  </si>
  <si>
    <t>Total Checking/Savings</t>
  </si>
  <si>
    <t>Accounts Receivable</t>
  </si>
  <si>
    <t>1120 · ACCOUNTS RECEIVABLE</t>
  </si>
  <si>
    <t>1121 · Customer Receivables</t>
  </si>
  <si>
    <t>Customer refunds</t>
  </si>
  <si>
    <t>Customer NSF chargebacks</t>
  </si>
  <si>
    <t>Total 1120 · ACCOUNTS RECEIVABLE</t>
  </si>
  <si>
    <t>Total Accounts Receivable</t>
  </si>
  <si>
    <t>Other Current Assets</t>
  </si>
  <si>
    <t>1040 · SPECIAL DEPOSITS</t>
  </si>
  <si>
    <t>1170 · PREPAYMENTS</t>
  </si>
  <si>
    <t>1171 · Prepaid Insurance</t>
  </si>
  <si>
    <t>1172 · Payroll Draws</t>
  </si>
  <si>
    <t>1173  Misc Prepaid Expense</t>
  </si>
  <si>
    <t>Total 1170 · PREPAYMENTS</t>
  </si>
  <si>
    <t>Total Other Current Assets</t>
  </si>
  <si>
    <t>Total Current Assets</t>
  </si>
  <si>
    <t>Fixed Assets</t>
  </si>
  <si>
    <t>1200 · OPERATING PROPERTY</t>
  </si>
  <si>
    <t>1222 · Garbage Collection Equipment</t>
  </si>
  <si>
    <t>1222.1 · Cost of Garbage Collection Eq</t>
  </si>
  <si>
    <t>1223 · Accum Deprec-Collection Eq</t>
  </si>
  <si>
    <t>Total 1222 · Garbage Collection Equipment</t>
  </si>
  <si>
    <t>1224 · Containers, Toters &amp; Dropboxes</t>
  </si>
  <si>
    <t>1224.1 · Cost of Cont/Toters/Dropboxes</t>
  </si>
  <si>
    <t>1225 · Accum Deprec-Cont/Toters/Dropbx</t>
  </si>
  <si>
    <t>Total 1224 · Containers, Toters &amp; Dropboxes</t>
  </si>
  <si>
    <t>1250 · Office Equipment</t>
  </si>
  <si>
    <t>1250.1 · Cost of Office Equipment</t>
  </si>
  <si>
    <t>1251 · Accum Deprec-Office Equipment</t>
  </si>
  <si>
    <t>Total 1250 · Office Equipment</t>
  </si>
  <si>
    <t>1270 Leasehold Improvements</t>
  </si>
  <si>
    <t>1272 Cost of Leasehold Improvmt</t>
  </si>
  <si>
    <t>1271 Accum Deprec Leasehold Imp</t>
  </si>
  <si>
    <t>Total 1270 Leasehold Improvements</t>
  </si>
  <si>
    <t>1400  Non Operating Property</t>
  </si>
  <si>
    <t>1401  accumulated depreciation</t>
  </si>
  <si>
    <t>1400  Non Operating Property - Other</t>
  </si>
  <si>
    <t>Total 1400  Non Operating Property</t>
  </si>
  <si>
    <t>Total 1200 · OPERATING PROPERTY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</si>
  <si>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</si>
  <si>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</si>
  <si>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</si>
  <si>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</si>
  <si>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</si>
  <si>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</si>
  <si>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2050 · Accounts Payable</t>
  </si>
  <si>
    <t>2051 · Payroll Liabilities</t>
  </si>
  <si>
    <t>2055 · Medicare Withheld</t>
  </si>
  <si>
    <t>Total 2051 · Payroll Liabilities</t>
  </si>
  <si>
    <t>2058 · Accounts Payable-Trade</t>
  </si>
  <si>
    <t>Total 2050 · Accounts Payable</t>
  </si>
  <si>
    <t>Total Accounts Payable</t>
  </si>
  <si>
    <t>Credit Cards</t>
  </si>
  <si>
    <t>2060 · Credit Card Balances</t>
  </si>
  <si>
    <t>Best Buy</t>
  </si>
  <si>
    <t>Dell</t>
  </si>
  <si>
    <t>2001 American Express</t>
  </si>
  <si>
    <t>Total 2060 · Credit Card Balances</t>
  </si>
  <si>
    <t>Total Credit Cards</t>
  </si>
  <si>
    <t>Other Current Liabilities</t>
  </si>
  <si>
    <t>2069 · Insurance Payable</t>
  </si>
  <si>
    <t>2120 · Accrued Taxes on Payroll</t>
  </si>
  <si>
    <t>2122 · FUI/Employer</t>
  </si>
  <si>
    <t>Total 2120 · Accrued Taxes on Payroll</t>
  </si>
  <si>
    <t>B&amp;O Tax Liability</t>
  </si>
  <si>
    <t>UNCLAIMED PROPERTY ACCRUAL</t>
  </si>
  <si>
    <t>2130 Retailing tax on Rent Sale</t>
  </si>
  <si>
    <t>2129 B&amp;O accrued</t>
  </si>
  <si>
    <t>2128  State 3.6% Refuse Tax</t>
  </si>
  <si>
    <t>2127 Accrued Sales Tax on Rent</t>
  </si>
  <si>
    <t>2126  Accrued 6% Town Tax</t>
  </si>
  <si>
    <t>Total B&amp;O Tax Liability</t>
  </si>
  <si>
    <t>Total Other Current Liabilities</t>
  </si>
  <si>
    <t>Total Current Liabilities</t>
  </si>
  <si>
    <t>Long Term Liabilities</t>
  </si>
  <si>
    <t>2310 · EQUIPMENT OBLIGATIONS</t>
  </si>
  <si>
    <t>Bank of Pacific - 61483601</t>
  </si>
  <si>
    <t>Total 2310 · EQUIPMENT OBLIGATIONS</t>
  </si>
  <si>
    <t>Total Long Term Liabilities</t>
  </si>
  <si>
    <t>Total Liabilities</t>
  </si>
  <si>
    <t>Equity</t>
  </si>
  <si>
    <t>2800 · SOLE PROPRIETOR'S CAPITAL (LLC)</t>
  </si>
  <si>
    <t>Additional Investments</t>
  </si>
  <si>
    <t>Prior period adjustments</t>
  </si>
  <si>
    <t>Withdrawals/draws</t>
  </si>
  <si>
    <t>2800 · SOLE PROPRIETOR'S CAPITAL (LLC) - Other</t>
  </si>
  <si>
    <t>Total 2800 · SOLE PROPRIETOR'S CAPITAL (LLC)</t>
  </si>
  <si>
    <t>2930 · Retained Earnings</t>
  </si>
  <si>
    <t>3006 · Opening Bal Equity</t>
  </si>
  <si>
    <t>Net Income</t>
  </si>
  <si>
    <t>Total Equity</t>
  </si>
  <si>
    <t>TOTAL LIABILITIES &amp; EQUITY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</si>
  <si>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</si>
  <si>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</si>
  <si>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</si>
  <si>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</si>
  <si>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</si>
  <si>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</si>
  <si>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</si>
  <si>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</si>
  <si>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</si>
  <si>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</si>
  <si>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</si>
  <si>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</si>
  <si>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Ordinary Income/Expense</t>
  </si>
  <si>
    <t>Income</t>
  </si>
  <si>
    <t>3000 · OPERATING REVENUE</t>
  </si>
  <si>
    <t>CUSTOMER REVENUE CHARGES</t>
  </si>
  <si>
    <t>3900  CONTRACT REVENUE</t>
  </si>
  <si>
    <t>3901  Wahkiakum Co Recycle Haul</t>
  </si>
  <si>
    <t>3902  E Cycle</t>
  </si>
  <si>
    <t>Total 3900  CONTRACT REVENUE</t>
  </si>
  <si>
    <t>Total 3000 · OPERATING REVENUE</t>
  </si>
  <si>
    <t>Total Income</t>
  </si>
  <si>
    <t>Expense</t>
  </si>
  <si>
    <t>66900 · Reconciliation Discrepancies</t>
  </si>
  <si>
    <t>4130 · Repair Garbage Collect Eq</t>
  </si>
  <si>
    <t>4132 · Repair- Dropbox/Cont</t>
  </si>
  <si>
    <t>4133 · Repair Garbage Collection Equip</t>
  </si>
  <si>
    <t>Total 4130 · Repair Garbage Collect Eq</t>
  </si>
  <si>
    <t>4180 · Maintenance &amp; Garage Supplies</t>
  </si>
  <si>
    <t>Total 4100 · EQUIPMENT MAINT/GARB EXP</t>
  </si>
  <si>
    <t>4200 · GARBAGE COLLECTION EXPENSE</t>
  </si>
  <si>
    <t>4213 · Wages/Driver-helper</t>
  </si>
  <si>
    <t>4240 · Fuel &amp; Oil</t>
  </si>
  <si>
    <t>4241  DIESEL PURCHASES/WILCOX</t>
  </si>
  <si>
    <t>4242 DEISEL PURCHASES/CATH CHEV</t>
  </si>
  <si>
    <t>4243  GAS PURCHASES CATH CHEV</t>
  </si>
  <si>
    <t>4245 GAS CHARGES CHEVRON</t>
  </si>
  <si>
    <t>4246 MISC VENDOR FUEL GAS</t>
  </si>
  <si>
    <t>4240 · Fuel &amp; Oil - Other</t>
  </si>
  <si>
    <t>Total 4240 · Fuel &amp; Oil</t>
  </si>
  <si>
    <t>4280 · Other Garbage/Refuse Collection</t>
  </si>
  <si>
    <t>Total 4200 · GARBAGE COLLECTION EXPENSE</t>
  </si>
  <si>
    <t>4400 · Advertising &amp; Promotion</t>
  </si>
  <si>
    <t>4450 · Advertising &amp; Promotion</t>
  </si>
  <si>
    <t>Total 4400 · Advertising &amp; Promotion</t>
  </si>
  <si>
    <t>4500 · INSURANCE &amp; SAFETY EXP</t>
  </si>
  <si>
    <t>4530 · Liab &amp; Prop Damage Ins</t>
  </si>
  <si>
    <t>4540 · Workman's Compensation Ins Exp</t>
  </si>
  <si>
    <t>4560 · Fire, Theft &amp; Collision Ins</t>
  </si>
  <si>
    <t>4580 · Other Insurance and Safety Exp</t>
  </si>
  <si>
    <t>4581 · Safety Meeting Exp</t>
  </si>
  <si>
    <t>Total 4580 · Other Insurance and Safety Exp</t>
  </si>
  <si>
    <t>Total 4500 · INSURANCE &amp; SAFETY EXP</t>
  </si>
  <si>
    <t>4613 Manager Salary</t>
  </si>
  <si>
    <t>4612 · Wages/Office-Billing</t>
  </si>
  <si>
    <t>4620 · Offfice Supplies &amp; Exp</t>
  </si>
  <si>
    <t>4626 Merchant Credit Card Fees</t>
  </si>
  <si>
    <t>4621 · Office Supplies &amp; Exp</t>
  </si>
  <si>
    <t>4622 · Postage</t>
  </si>
  <si>
    <t>4623 · Bank charges</t>
  </si>
  <si>
    <t>4625 · Employee Mileage</t>
  </si>
  <si>
    <t>Total 4620 · Offfice Supplies &amp; Exp</t>
  </si>
  <si>
    <t>4630 · Legal &amp; Accounting Exp</t>
  </si>
  <si>
    <t>4640 · Communications &amp; Utilities</t>
  </si>
  <si>
    <t>Telephone</t>
  </si>
  <si>
    <t>Water &amp; Electricity</t>
  </si>
  <si>
    <t>Total 4640 · Communications &amp; Utilities</t>
  </si>
  <si>
    <t>4611.1 · 4652 Manager Medical Insurance</t>
  </si>
  <si>
    <t>4653 HSA Acct-Employer Pd</t>
  </si>
  <si>
    <t>4652 · Misc Employee Benefits</t>
  </si>
  <si>
    <t>4654 · Sick Leave</t>
  </si>
  <si>
    <t>4670  Uncollectible Revenue</t>
  </si>
  <si>
    <t>4680 · Regulatory Expense</t>
  </si>
  <si>
    <t>4690 · Other General Expense</t>
  </si>
  <si>
    <t>4691 · Dues &amp; Subscriptions</t>
  </si>
  <si>
    <t>4694 · Community &amp; Customer Relations</t>
  </si>
  <si>
    <t>Total 4690 · Other General Expense</t>
  </si>
  <si>
    <t>5000 · DEPRECIATION EXPENSE</t>
  </si>
  <si>
    <t>5070 Leasehold Improvements</t>
  </si>
  <si>
    <t>5022 · Collection Equipment Deprec</t>
  </si>
  <si>
    <t>5024 · Container &amp; Drop Box Deprec</t>
  </si>
  <si>
    <t>5050 · Office Furn/Equip Deprec</t>
  </si>
  <si>
    <t>Total 5000 · DEPRECIATION EXPENSE</t>
  </si>
  <si>
    <t>5100 · Gain/Loss on Disp of Assets</t>
  </si>
  <si>
    <t>5230 · Real &amp; Personal Prop Taxes</t>
  </si>
  <si>
    <t>5240 · Social Securtiy (FICA) Tax</t>
  </si>
  <si>
    <t>5241 · Medicare Tax Expense</t>
  </si>
  <si>
    <t>5242 · Federal Unemployment Tax</t>
  </si>
  <si>
    <t>5243 · State Unemployment Tax</t>
  </si>
  <si>
    <t>5244 Family Leave Company pd</t>
  </si>
  <si>
    <t>5260 · State Revenue Taxes</t>
  </si>
  <si>
    <t>5261 · B&amp;O 1.5%</t>
  </si>
  <si>
    <t>5262 · Retailing Tax .00471%</t>
  </si>
  <si>
    <t>5263 · Use Tax</t>
  </si>
  <si>
    <t>5264  Tax Exp Adjustments</t>
  </si>
  <si>
    <t>Total 5260 · State Revenue Taxes</t>
  </si>
  <si>
    <t>5290 · Other Taxes &amp; Licenses</t>
  </si>
  <si>
    <t>5320 · 5320 Lease Land &amp; Building</t>
  </si>
  <si>
    <t>Total Expense</t>
  </si>
  <si>
    <t>Net Ordinary Income</t>
  </si>
  <si>
    <t>Other Income/Expense</t>
  </si>
  <si>
    <t>Other Expense</t>
  </si>
  <si>
    <t>7100 · INTEREST EXPENSE</t>
  </si>
  <si>
    <t>25531 · Bank of Pacific 61483601</t>
  </si>
  <si>
    <t>25530 Bank of Pacific</t>
  </si>
  <si>
    <t>Interest-Misc</t>
  </si>
  <si>
    <t>Total 7100 · INTEREST EXPENSE</t>
  </si>
  <si>
    <t>7500 · Other Deductions</t>
  </si>
  <si>
    <t>Total Other Expense</t>
  </si>
  <si>
    <t>Net Other Income</t>
  </si>
  <si>
    <t>LG</t>
  </si>
  <si>
    <t>Total</t>
  </si>
  <si>
    <t>Cost</t>
  </si>
  <si>
    <t>Investment</t>
  </si>
  <si>
    <t>Non-Public Companies</t>
  </si>
  <si>
    <t>nonpubco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</si>
  <si>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</si>
  <si>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CALCULATION TABLES</t>
  </si>
  <si>
    <t>Revenue Senstive Taxes (RevS)</t>
  </si>
  <si>
    <t>(b) + (c)</t>
  </si>
  <si>
    <t>(d) + (e)</t>
  </si>
  <si>
    <t>Regession</t>
  </si>
  <si>
    <t>Hauler</t>
  </si>
  <si>
    <t>Revenue Req</t>
  </si>
  <si>
    <t>Revenue</t>
  </si>
  <si>
    <t xml:space="preserve">Revenue </t>
  </si>
  <si>
    <t>INPUTS - Test Year</t>
  </si>
  <si>
    <t>(a)</t>
  </si>
  <si>
    <t>(b)</t>
  </si>
  <si>
    <t>(c)</t>
  </si>
  <si>
    <t>(d)</t>
  </si>
  <si>
    <t>(e)</t>
  </si>
  <si>
    <t>(f)</t>
  </si>
  <si>
    <t>Before Tax</t>
  </si>
  <si>
    <t>Less</t>
  </si>
  <si>
    <t>Adjusted</t>
  </si>
  <si>
    <t>After Tax</t>
  </si>
  <si>
    <t>Weighted Cost</t>
  </si>
  <si>
    <t>Before RevS</t>
  </si>
  <si>
    <t xml:space="preserve"> Increase Before</t>
  </si>
  <si>
    <t>Increase After</t>
  </si>
  <si>
    <t xml:space="preserve">RevS </t>
  </si>
  <si>
    <t xml:space="preserve">Total </t>
  </si>
  <si>
    <t>Operating Revenue</t>
  </si>
  <si>
    <t>Line</t>
  </si>
  <si>
    <t>Historical</t>
  </si>
  <si>
    <t>Proforma</t>
  </si>
  <si>
    <t>Add: Revenue</t>
  </si>
  <si>
    <t>Profit Ratio</t>
  </si>
  <si>
    <t>BTROI</t>
  </si>
  <si>
    <t>WCDebt</t>
  </si>
  <si>
    <t>BTROE</t>
  </si>
  <si>
    <t>ROE</t>
  </si>
  <si>
    <t>Equity BFT</t>
  </si>
  <si>
    <t>Debt</t>
  </si>
  <si>
    <t>BTROR</t>
  </si>
  <si>
    <t>Operating Ratio</t>
  </si>
  <si>
    <t>Taxes</t>
  </si>
  <si>
    <t>RevS Taxes</t>
  </si>
  <si>
    <t>Operating Expenses</t>
  </si>
  <si>
    <t>No.</t>
  </si>
  <si>
    <t>Change</t>
  </si>
  <si>
    <t xml:space="preserve"> Sensitive Taxes</t>
  </si>
  <si>
    <t>Requirment</t>
  </si>
  <si>
    <t>Capital Structure - Debt %</t>
  </si>
  <si>
    <t>Capital Structure - Debt Cost</t>
  </si>
  <si>
    <t>Operating Income</t>
  </si>
  <si>
    <t>Federal Income Tax Rate</t>
  </si>
  <si>
    <t>2nd Iteration</t>
  </si>
  <si>
    <t>B&amp;O Tax Rate</t>
  </si>
  <si>
    <t>Interest Expense</t>
  </si>
  <si>
    <t>WUTC Fee</t>
  </si>
  <si>
    <t>Income Tax Expense</t>
  </si>
  <si>
    <t>City Tax</t>
  </si>
  <si>
    <t>Bad Debts</t>
  </si>
  <si>
    <t>3rd Iteration</t>
  </si>
  <si>
    <t>Check when input is complete</t>
  </si>
  <si>
    <t xml:space="preserve">Operating Ratio </t>
  </si>
  <si>
    <t>No</t>
  </si>
  <si>
    <t>For Intial input: Uncheck Checkbox Until Completed</t>
  </si>
  <si>
    <t>Revenue Requirement</t>
  </si>
  <si>
    <t>Historical Revenue</t>
  </si>
  <si>
    <t>Revenue Increase before taxes</t>
  </si>
  <si>
    <t>Rate Increase</t>
  </si>
  <si>
    <t>Rev Sensitive Taxes</t>
  </si>
  <si>
    <t>4th Iteration</t>
  </si>
  <si>
    <t>2018 Version Update Changes</t>
  </si>
  <si>
    <t>● Allows Income Tax Rate Changes,</t>
  </si>
  <si>
    <t>Percent Increase</t>
  </si>
  <si>
    <t>● Minimizes impact of changes in test-year revenue from</t>
  </si>
  <si>
    <t xml:space="preserve">   resulting revenue requirment,</t>
  </si>
  <si>
    <t>Captial Structure Financing Investment</t>
  </si>
  <si>
    <t>Financing Cost</t>
  </si>
  <si>
    <t>● Corrects interest rate transposition in LG.</t>
  </si>
  <si>
    <t>Percent</t>
  </si>
  <si>
    <t>Cost of Capital</t>
  </si>
  <si>
    <t>Weighted</t>
  </si>
  <si>
    <t>5th Iteration</t>
  </si>
  <si>
    <t>Before</t>
  </si>
  <si>
    <t>After</t>
  </si>
  <si>
    <t>6th Iteration</t>
  </si>
  <si>
    <t>Operating Statistics</t>
  </si>
  <si>
    <t>Income Tax</t>
  </si>
  <si>
    <t>Return on Investment</t>
  </si>
  <si>
    <t>Return on Equity</t>
  </si>
  <si>
    <t>7th Iteration</t>
  </si>
  <si>
    <t>Profit Margin</t>
  </si>
  <si>
    <t>Final turnover</t>
  </si>
  <si>
    <t>Tax Rate</t>
  </si>
  <si>
    <t>Revenue Sensitive Taxes Charges</t>
  </si>
  <si>
    <t>Curve</t>
  </si>
  <si>
    <t>Lookup Table</t>
  </si>
  <si>
    <t xml:space="preserve"> B &amp; O Tax</t>
  </si>
  <si>
    <t xml:space="preserve"> WUTC Fee</t>
  </si>
  <si>
    <t xml:space="preserve"> City Tax</t>
  </si>
  <si>
    <t>Percent Chg</t>
  </si>
  <si>
    <t xml:space="preserve"> Bad Debts</t>
  </si>
  <si>
    <t>Revenue Sensitive</t>
  </si>
  <si>
    <t>Curve turnover</t>
  </si>
  <si>
    <t>@EXP(5.72260-(.68367*@LN(T)))</t>
  </si>
  <si>
    <t>Conversion Factor</t>
  </si>
  <si>
    <t>Curve No. used</t>
  </si>
  <si>
    <t>@EXP(5.70827-(.68367*@LN(T)))</t>
  </si>
  <si>
    <t>@EXP(5.69850-(.68367*@LN(T)))</t>
  </si>
  <si>
    <t>@EXP(5.69220-(.68367*@LN(T)))</t>
  </si>
  <si>
    <t>Base Utility from LG Sample Study</t>
  </si>
  <si>
    <t>Regression Results</t>
  </si>
  <si>
    <t>Y intercept (1)</t>
  </si>
  <si>
    <t>Y intercept (3)</t>
  </si>
  <si>
    <t>Y intercept (2)</t>
  </si>
  <si>
    <t>Y intercept (4)</t>
  </si>
  <si>
    <t>Pfd.</t>
  </si>
  <si>
    <t>Slope</t>
  </si>
  <si>
    <t>Pre-tax</t>
  </si>
  <si>
    <t>Percent Equity</t>
  </si>
  <si>
    <t>Percent Debt</t>
  </si>
  <si>
    <t>CUSTOMER COUNT PROFORMA</t>
  </si>
  <si>
    <t>G-86 &amp; TOWN OF CATHLAMET</t>
  </si>
  <si>
    <t>ANNUAL</t>
  </si>
  <si>
    <t>REV AT</t>
  </si>
  <si>
    <t>ALL SERVICES</t>
  </si>
  <si>
    <t>DROP BOX</t>
  </si>
  <si>
    <t>MONTHLY</t>
  </si>
  <si>
    <t>CUSTOMER COUNT 12/31/12</t>
  </si>
  <si>
    <t xml:space="preserve">CURRENT </t>
  </si>
  <si>
    <t>1 CAN WEEK</t>
  </si>
  <si>
    <t>2 CANS WEEK</t>
  </si>
  <si>
    <t>3 CANS WEEK</t>
  </si>
  <si>
    <t>4 CANS WEEK</t>
  </si>
  <si>
    <t>5 CANS WEEK</t>
  </si>
  <si>
    <t>1 CAN EOW</t>
  </si>
  <si>
    <t>2 CANS EOW</t>
  </si>
  <si>
    <t>1 CAN PER MONTH</t>
  </si>
  <si>
    <t>1 MINICAN WEEK</t>
  </si>
  <si>
    <t>CONTAINER RENT</t>
  </si>
  <si>
    <t>SPECIAL PICKUPS</t>
  </si>
  <si>
    <t>MISC CHARGES</t>
  </si>
  <si>
    <t>BASED ON CUSTOMER COUNT 12/31/19</t>
  </si>
  <si>
    <t>RESTATING</t>
  </si>
  <si>
    <t>ADJ.</t>
  </si>
  <si>
    <t>Percent Non-Regulated Revenue</t>
  </si>
  <si>
    <t>PER PFIS</t>
  </si>
  <si>
    <t>Matches GL Amount</t>
  </si>
  <si>
    <t>RESI</t>
  </si>
  <si>
    <t>NOT IN TARIFF</t>
  </si>
  <si>
    <t>CUSTOMERS</t>
  </si>
  <si>
    <t>Annual Cust.</t>
  </si>
  <si>
    <t>Monthly Cust.</t>
  </si>
  <si>
    <t>check</t>
  </si>
  <si>
    <t>6 CANS WEEK - (need to add to tariff)</t>
  </si>
  <si>
    <t>2 CAN PER MONTH</t>
  </si>
  <si>
    <t>64 GAL CART WEEK</t>
  </si>
  <si>
    <t>64 GAL CART EOW</t>
  </si>
  <si>
    <t>64 GAL CART MONTH</t>
  </si>
  <si>
    <t>96 GAL CART WEEK</t>
  </si>
  <si>
    <t>96 GAL CART EOW</t>
  </si>
  <si>
    <t>96 GAL CART MONTH</t>
  </si>
  <si>
    <t>1 MINICAN EOW</t>
  </si>
  <si>
    <t>1 MINICAN MONTH</t>
  </si>
  <si>
    <t>3 CANS EOW</t>
  </si>
  <si>
    <t>3 CANS MONTH</t>
  </si>
  <si>
    <t>4 CANS EOW</t>
  </si>
  <si>
    <t>4 CANS MONTH</t>
  </si>
  <si>
    <t>ITEM 100</t>
  </si>
  <si>
    <t>TOTAL ITEM 100</t>
  </si>
  <si>
    <t>EXTRA CAN OR UNIT</t>
  </si>
  <si>
    <t>EXTRA MINI CAN</t>
  </si>
  <si>
    <t>EXTRA 64 GAL</t>
  </si>
  <si>
    <t>EXTRA 96 GAL</t>
  </si>
  <si>
    <t>ON CALL</t>
  </si>
  <si>
    <t>PREPAID ON CALL</t>
  </si>
  <si>
    <t>EXTRA BAG</t>
  </si>
  <si>
    <t>COMM</t>
  </si>
  <si>
    <t>ROLLOFF</t>
  </si>
  <si>
    <t>TOTAL EXTRAS</t>
  </si>
  <si>
    <t>AVERAGE</t>
  </si>
  <si>
    <t>Convert to per pickup</t>
  </si>
  <si>
    <t>EXTRAS (ITEM 100)</t>
  </si>
  <si>
    <t>RETURNED CHECK</t>
  </si>
  <si>
    <t>RESTART FEES</t>
  </si>
  <si>
    <t>OVERSIZED/OVERWEIGHT CAN</t>
  </si>
  <si>
    <t>RETURN TRIP CAN</t>
  </si>
  <si>
    <t>RETURN TRIP 64 GAL</t>
  </si>
  <si>
    <t>RETURN TRIP 96 GAL</t>
  </si>
  <si>
    <t>CARRYOUT CANS &lt;5 FT</t>
  </si>
  <si>
    <t>CARRYOUT CANS &gt;25 FT</t>
  </si>
  <si>
    <t>CARRYOUT COMM &lt;5 FT</t>
  </si>
  <si>
    <t>CARRYOUT COMM &gt;25 FT</t>
  </si>
  <si>
    <t>DRIVE IN RESI 125-250</t>
  </si>
  <si>
    <t>DRIVE IN RESI 250-1/10</t>
  </si>
  <si>
    <t>DRIVE IN RESI OVER 1/10</t>
  </si>
  <si>
    <t>DRIVE IN COMM 125-251</t>
  </si>
  <si>
    <t>DRIVE IN COMM 250-1/11</t>
  </si>
  <si>
    <t>DRIVE IN COMM OVER 1/11</t>
  </si>
  <si>
    <t>RETURN TRIP DB</t>
  </si>
  <si>
    <t>RETURN TRIP COMM CONTAINER</t>
  </si>
  <si>
    <t>REDELIVERY DROP BOX</t>
  </si>
  <si>
    <t>REDELIVERY CONTAINER</t>
  </si>
  <si>
    <t>OVERTIME</t>
  </si>
  <si>
    <t>TOTAL MISC CHARGES</t>
  </si>
  <si>
    <t>1988 FREIGHTLNR - Salvage Recovery</t>
  </si>
  <si>
    <t>ROLLOFF TRAILER - Salvage Recovery</t>
  </si>
  <si>
    <t>2000 FREIGHTLNR DB WHITE - Salvage Recovery</t>
  </si>
  <si>
    <t>Test Year</t>
  </si>
  <si>
    <t>Beg. Accum</t>
  </si>
  <si>
    <t>Depr</t>
  </si>
  <si>
    <t>END ACCUM</t>
  </si>
  <si>
    <t>VALUE</t>
  </si>
  <si>
    <t>END BOOK</t>
  </si>
  <si>
    <t>TEST YEAR</t>
  </si>
  <si>
    <t xml:space="preserve">FULLY </t>
  </si>
  <si>
    <t>DEPR</t>
  </si>
  <si>
    <t>Rate Year</t>
  </si>
  <si>
    <t>TOTAL TEST YR DEPRECIATION</t>
  </si>
  <si>
    <t>TOTAL AVG INVESTMENT</t>
  </si>
  <si>
    <t>OVERFILLED/OVERWEIGHT PER YARD</t>
  </si>
  <si>
    <t>OVERFILLED/OVERWEIGHT ADDTNL YD</t>
  </si>
  <si>
    <t>BULKY 1-4</t>
  </si>
  <si>
    <t>BULKY MINIMUM CHARGE</t>
  </si>
  <si>
    <t>LOOSE CUSTOMER LOAD 1-4</t>
  </si>
  <si>
    <t>LOOSE ADDTNL PER YARD</t>
  </si>
  <si>
    <t>BULKY ADDTNL PER YARD</t>
  </si>
  <si>
    <t>LOOSE COMPANY LOAD 1-4</t>
  </si>
  <si>
    <t>LOOSE COMPANY LOAD ADDTNL PER YARD</t>
  </si>
  <si>
    <t>LOOSE COMPANY LOAD MINIMUM</t>
  </si>
  <si>
    <t>LARGE APPLIANCES</t>
  </si>
  <si>
    <t>SMALL APPLIANCES</t>
  </si>
  <si>
    <t>TIRES (PASSANGER)</t>
  </si>
  <si>
    <t>TIRES (TRUCK)</t>
  </si>
  <si>
    <t>MATTRESSES</t>
  </si>
  <si>
    <t>CHRISTMAS TREES</t>
  </si>
  <si>
    <t>TRUCK AND DRIVER NON-PACKER TRUCK</t>
  </si>
  <si>
    <t xml:space="preserve">NON-PACKER TRUCK EACH EXTRA </t>
  </si>
  <si>
    <t>NON-PACKER TRUCK MIN</t>
  </si>
  <si>
    <t>PACKER TRUCK AND DRIVER</t>
  </si>
  <si>
    <t>PACKER EACH EXTRA</t>
  </si>
  <si>
    <t>PACKER MINIMUM</t>
  </si>
  <si>
    <t>ROLLOUT PER CONTAINER</t>
  </si>
  <si>
    <t>ROLLOUT PER 5 FT</t>
  </si>
  <si>
    <t>CONTAINER PER PICKUP</t>
  </si>
  <si>
    <t>CONTAINER ADDTNL PICKUP</t>
  </si>
  <si>
    <t>TEMP SVC - DELIVERY</t>
  </si>
  <si>
    <t>TEMP SVC - PICKUP</t>
  </si>
  <si>
    <t>TEMP SVC - RENT PER DAY</t>
  </si>
  <si>
    <t>TEMP SVC - RENT PER MONTH</t>
  </si>
  <si>
    <t>ITEM 240</t>
  </si>
  <si>
    <t>ITEM 245</t>
  </si>
  <si>
    <t xml:space="preserve">COMMERCIAL </t>
  </si>
  <si>
    <t>32 GAL SCHEDULED PICKUP</t>
  </si>
  <si>
    <t>32 GAL SPECIAL PICKUP</t>
  </si>
  <si>
    <t>32 GAL MINIMUM</t>
  </si>
  <si>
    <t>32 GAL TEMP ON CALL</t>
  </si>
  <si>
    <t>SCHEDULE</t>
  </si>
  <si>
    <t>ITEM 260</t>
  </si>
  <si>
    <t>30 YD MONTHLY RENT</t>
  </si>
  <si>
    <t>30 YD FIRST PICKUP</t>
  </si>
  <si>
    <t>30 YD ADDTNL PICKUP</t>
  </si>
  <si>
    <t>30 YD DELIVERY</t>
  </si>
  <si>
    <t>TEMP - 30 YD DELIVERY</t>
  </si>
  <si>
    <t>TEMP - 30 YD PICKUP</t>
  </si>
  <si>
    <t>TEMP - 30 YD RENT PER DAY</t>
  </si>
  <si>
    <t>TEMP - 30 YD RENT PER MONTH</t>
  </si>
  <si>
    <t>EXCESS MILES</t>
  </si>
  <si>
    <t>ITEM 265</t>
  </si>
  <si>
    <t>CUST OWNED DB - EACH PICKUP</t>
  </si>
  <si>
    <t>CUST OWNED DB - SPECIAL PICKUP</t>
  </si>
  <si>
    <t>CUST OWNED DB - TEMP PICKUP</t>
  </si>
  <si>
    <t>Generated from Price Out</t>
  </si>
  <si>
    <t>Variance</t>
  </si>
  <si>
    <t>ITEM 50</t>
  </si>
  <si>
    <t>ITEM 51</t>
  </si>
  <si>
    <t>ITEM 52</t>
  </si>
  <si>
    <t>ITEM 55</t>
  </si>
  <si>
    <t>ITEM 60</t>
  </si>
  <si>
    <t>ITEM 70</t>
  </si>
  <si>
    <t>ITEM 80</t>
  </si>
  <si>
    <t>ITEM 150</t>
  </si>
  <si>
    <t>ITEM 160</t>
  </si>
  <si>
    <t>ITEM 205</t>
  </si>
  <si>
    <t>ITEM 207</t>
  </si>
  <si>
    <t xml:space="preserve">Lurito Gallagher Increase </t>
  </si>
  <si>
    <t>RETIRED ASSETS</t>
  </si>
  <si>
    <t>2008 Chrysler Aspen</t>
  </si>
  <si>
    <t>1999 VOLVO #5532</t>
  </si>
  <si>
    <t>1999 VOLVO #5441</t>
  </si>
  <si>
    <t>2009 Chrysler Aspen - Salvage Recovery</t>
  </si>
  <si>
    <t>2000 VOLVO #5532 - Salvage Recovery</t>
  </si>
  <si>
    <t>2000 VOLVO #5441 - Salvage Recovery</t>
  </si>
  <si>
    <t>Additional revenue generated from new tariff rates</t>
  </si>
  <si>
    <t>LG Additioanl Revenue requirement</t>
  </si>
  <si>
    <t xml:space="preserve">Variance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</si>
</sst>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_(&quot;$&quot;* #,##0_);_(&quot;$&quot;* \(#,##0\);_(&quot;$&quot;* &quot;-&quot;??_);_(@_)"/>
    <numFmt numFmtId="167" formatCode="0.0000"/>
    <numFmt numFmtId="168" formatCode="[$-409]mmm\-yy;@"/>
    <numFmt numFmtId="169" formatCode="[$-409]mmmm\-yy;@"/>
    <numFmt numFmtId="170" formatCode="&quot;$&quot;#,##0.0000_);[Red]\(&quot;$&quot;#,##0.0000\)"/>
    <numFmt numFmtId="171" formatCode="0.0%"/>
    <numFmt numFmtId="172" formatCode="#,##0.0000_);\(#,##0.0000\)"/>
    <numFmt numFmtId="173" formatCode="0.000%"/>
    <numFmt numFmtId="174" formatCode="#,##0.000_);\(#,##0.000\)"/>
    <numFmt numFmtId="175" formatCode="_(* #,##0_);_(* \(#,##0\);_(* &quot;-&quot;??_);_(@_)"/>
    <numFmt numFmtId="176" formatCode="#,##0.00000_);\(#,##0.00000\)"/>
    <numFmt numFmtId="177" formatCode="0.00000"/>
    <numFmt numFmtId="178" formatCode="#,##0.00000"/>
    <numFmt numFmtId="179" formatCode="#,##0.0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20"/>
      <name val="Arial"/>
      <family val="2"/>
    </font>
    <font>
      <sz val="10"/>
      <name val="Calibri"/>
      <family val="2"/>
      <scheme val="minor"/>
    </font>
    <font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0"/>
      <name val="Arial"/>
      <family val="2"/>
    </font>
    <font>
      <u val="singleAccounting"/>
      <sz val="11"/>
      <name val="Calibri"/>
      <family val="2"/>
      <scheme val="minor"/>
    </font>
    <font>
      <sz val="12"/>
      <name val="SWISS"/>
    </font>
    <font>
      <sz val="12"/>
      <color indexed="12"/>
      <name val="SWISS"/>
    </font>
    <font>
      <b/>
      <sz val="12"/>
      <name val="SWISS"/>
    </font>
    <font>
      <sz val="8"/>
      <color indexed="9"/>
      <name val="Calibri"/>
      <family val="2"/>
    </font>
    <font>
      <sz val="14"/>
      <color indexed="9"/>
      <name val="Calibri"/>
      <family val="2"/>
    </font>
    <font>
      <b/>
      <sz val="14"/>
      <name val="SWISS"/>
    </font>
    <font>
      <sz val="12"/>
      <name val="Times New Roman"/>
      <family val="1"/>
    </font>
    <font>
      <sz val="9"/>
      <color rgb="FF0070C0"/>
      <name val="SWISS"/>
    </font>
    <font>
      <b/>
      <sz val="12"/>
      <color indexed="12"/>
      <name val="Times New Roman"/>
      <family val="1"/>
    </font>
    <font>
      <sz val="12"/>
      <color indexed="39"/>
      <name val="SWISS"/>
    </font>
    <font>
      <sz val="12"/>
      <color indexed="39"/>
      <name val="Times New Roman"/>
      <family val="1"/>
    </font>
    <font>
      <sz val="10"/>
      <name val="Times New Roman"/>
      <family val="1"/>
    </font>
    <font>
      <b/>
      <sz val="12"/>
      <color indexed="39"/>
      <name val="Times New Roman"/>
      <family val="1"/>
    </font>
    <font>
      <sz val="12"/>
      <color indexed="10"/>
      <name val="SWISS"/>
    </font>
    <font>
      <sz val="12"/>
      <color indexed="8"/>
      <name val="SWISS"/>
    </font>
    <font>
      <sz val="9"/>
      <color indexed="39"/>
      <name val="Times New Roman"/>
      <family val="1"/>
    </font>
    <font>
      <u/>
      <sz val="12"/>
      <color indexed="12"/>
      <name val="Times New Roman"/>
      <family val="1"/>
    </font>
    <font>
      <b/>
      <u/>
      <sz val="12"/>
      <color indexed="39"/>
      <name val="Times New Roman"/>
      <family val="1"/>
    </font>
    <font>
      <sz val="12"/>
      <color indexed="18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2"/>
      <name val="SWISS"/>
    </font>
    <font>
      <sz val="12"/>
      <color indexed="18"/>
      <name val="SWISS"/>
    </font>
    <font>
      <b/>
      <sz val="10"/>
      <name val="SWISS"/>
    </font>
    <font>
      <sz val="12"/>
      <color indexed="56"/>
      <name val="SWISS"/>
    </font>
    <font>
      <i/>
      <sz val="12"/>
      <name val="SWISS"/>
    </font>
    <font>
      <sz val="11"/>
      <name val="Times New Roman"/>
      <family val="1"/>
    </font>
    <font>
      <sz val="10"/>
      <color indexed="39"/>
      <name val="Times New Roman"/>
      <family val="1"/>
    </font>
    <font>
      <sz val="10"/>
      <color indexed="1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u/>
      <sz val="10"/>
      <color theme="1"/>
      <name val="Times New Roman"/>
      <family val="1"/>
    </font>
    <font>
      <sz val="8"/>
      <name val="Calibri"/>
      <family val="2"/>
      <scheme val="minor"/>
    </font>
    <font>
      <b/>
      <u val="sing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0" fontId="29" fillId="2" borderId="0" applyNumberFormat="0" applyBorder="0" applyAlignment="0" applyProtection="0"/>
    <xf numFmtId="0" fontId="33" fillId="4" borderId="0"/>
    <xf numFmtId="41" fontId="44" fillId="7" borderId="0">
      <alignment horizontal="left"/>
    </xf>
    <xf numFmtId="10" fontId="44" fillId="7" borderId="0"/>
    <xf numFmtId="0" fontId="33" fillId="4" borderId="0"/>
    <xf numFmtId="43" fontId="5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49" fontId="3" fillId="0" borderId="0" xfId="0" applyNumberFormat="1" applyFont="1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14" fontId="0" fillId="0" borderId="0" xfId="0" applyNumberFormat="1"/>
    <xf numFmtId="8" fontId="0" fillId="0" borderId="0" xfId="0" applyNumberFormat="1"/>
    <xf numFmtId="44" fontId="0" fillId="0" borderId="0" xfId="1" applyFont="1"/>
    <xf numFmtId="4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4" fillId="0" borderId="0" xfId="0" applyNumberFormat="1" applyFont="1" applyBorder="1"/>
    <xf numFmtId="165" fontId="4" fillId="0" borderId="2" xfId="0" applyNumberFormat="1" applyFont="1" applyBorder="1"/>
    <xf numFmtId="165" fontId="3" fillId="0" borderId="3" xfId="0" applyNumberFormat="1" applyFont="1" applyBorder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8" fillId="0" borderId="0" xfId="0" applyFont="1"/>
    <xf numFmtId="14" fontId="8" fillId="0" borderId="0" xfId="0" applyNumberFormat="1" applyFont="1"/>
    <xf numFmtId="16" fontId="8" fillId="0" borderId="0" xfId="0" applyNumberFormat="1" applyFont="1"/>
    <xf numFmtId="2" fontId="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/>
    <xf numFmtId="1" fontId="6" fillId="0" borderId="0" xfId="0" applyNumberFormat="1" applyFont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/>
    <xf numFmtId="0" fontId="12" fillId="0" borderId="0" xfId="0" applyFont="1"/>
    <xf numFmtId="1" fontId="0" fillId="0" borderId="0" xfId="0" applyNumberFormat="1"/>
    <xf numFmtId="1" fontId="12" fillId="0" borderId="0" xfId="0" applyNumberFormat="1" applyFont="1"/>
    <xf numFmtId="166" fontId="0" fillId="0" borderId="0" xfId="1" applyNumberFormat="1" applyFont="1"/>
    <xf numFmtId="10" fontId="0" fillId="0" borderId="0" xfId="0" applyNumberFormat="1"/>
    <xf numFmtId="0" fontId="1" fillId="0" borderId="0" xfId="0" applyFont="1"/>
    <xf numFmtId="1" fontId="10" fillId="0" borderId="0" xfId="0" applyNumberFormat="1" applyFont="1"/>
    <xf numFmtId="1" fontId="1" fillId="0" borderId="0" xfId="0" applyNumberFormat="1" applyFont="1"/>
    <xf numFmtId="1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Font="1"/>
    <xf numFmtId="8" fontId="1" fillId="0" borderId="0" xfId="0" applyNumberFormat="1" applyFont="1"/>
    <xf numFmtId="9" fontId="0" fillId="0" borderId="0" xfId="0" applyNumberFormat="1"/>
    <xf numFmtId="0" fontId="22" fillId="0" borderId="0" xfId="0" applyFont="1"/>
    <xf numFmtId="0" fontId="23" fillId="0" borderId="0" xfId="0" applyFont="1"/>
    <xf numFmtId="17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168" fontId="0" fillId="0" borderId="0" xfId="0" applyNumberFormat="1"/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" fontId="1" fillId="0" borderId="0" xfId="0" applyNumberFormat="1" applyFont="1" applyAlignment="1"/>
    <xf numFmtId="0" fontId="0" fillId="0" borderId="0" xfId="0" applyAlignment="1">
      <alignment horizontal="right"/>
    </xf>
    <xf numFmtId="169" fontId="0" fillId="0" borderId="0" xfId="0" applyNumberFormat="1"/>
    <xf numFmtId="17" fontId="1" fillId="0" borderId="0" xfId="0" applyNumberFormat="1" applyFont="1"/>
    <xf numFmtId="41" fontId="12" fillId="0" borderId="0" xfId="0" applyNumberFormat="1" applyFont="1"/>
    <xf numFmtId="168" fontId="1" fillId="0" borderId="0" xfId="0" applyNumberFormat="1" applyFont="1"/>
    <xf numFmtId="1" fontId="24" fillId="0" borderId="0" xfId="0" applyNumberFormat="1" applyFont="1" applyAlignment="1">
      <alignment horizontal="right"/>
    </xf>
    <xf numFmtId="168" fontId="0" fillId="0" borderId="0" xfId="0" applyNumberFormat="1" applyFont="1"/>
    <xf numFmtId="0" fontId="21" fillId="0" borderId="0" xfId="0" applyNumberFormat="1" applyFont="1"/>
    <xf numFmtId="0" fontId="7" fillId="0" borderId="0" xfId="3"/>
    <xf numFmtId="0" fontId="2" fillId="0" borderId="0" xfId="0" applyNumberFormat="1" applyFont="1"/>
    <xf numFmtId="0" fontId="1" fillId="0" borderId="0" xfId="0" applyNumberFormat="1" applyFont="1" applyAlignment="1">
      <alignment horizontal="center"/>
    </xf>
    <xf numFmtId="165" fontId="25" fillId="0" borderId="2" xfId="0" applyNumberFormat="1" applyFont="1" applyBorder="1"/>
    <xf numFmtId="165" fontId="26" fillId="0" borderId="3" xfId="0" applyNumberFormat="1" applyFont="1" applyBorder="1"/>
    <xf numFmtId="0" fontId="21" fillId="0" borderId="0" xfId="0" applyFont="1"/>
    <xf numFmtId="6" fontId="0" fillId="0" borderId="0" xfId="0" applyNumberFormat="1"/>
    <xf numFmtId="165" fontId="0" fillId="0" borderId="0" xfId="0" applyNumberFormat="1"/>
    <xf numFmtId="6" fontId="1" fillId="0" borderId="0" xfId="0" applyNumberFormat="1" applyFont="1"/>
    <xf numFmtId="49" fontId="27" fillId="0" borderId="0" xfId="0" applyNumberFormat="1" applyFont="1" applyAlignment="1">
      <alignment horizontal="centerContinuous"/>
    </xf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 applyAlignment="1"/>
    <xf numFmtId="2" fontId="10" fillId="0" borderId="0" xfId="0" applyNumberFormat="1" applyFont="1"/>
    <xf numFmtId="39" fontId="0" fillId="0" borderId="0" xfId="0" applyNumberFormat="1"/>
    <xf numFmtId="170" fontId="0" fillId="0" borderId="0" xfId="0" applyNumberFormat="1"/>
    <xf numFmtId="40" fontId="0" fillId="0" borderId="0" xfId="0" applyNumberFormat="1"/>
    <xf numFmtId="0" fontId="28" fillId="0" borderId="0" xfId="0" applyFont="1"/>
    <xf numFmtId="1" fontId="0" fillId="0" borderId="0" xfId="0" applyNumberFormat="1" applyFont="1"/>
    <xf numFmtId="1" fontId="0" fillId="0" borderId="0" xfId="0" applyNumberFormat="1" applyFont="1" applyAlignment="1"/>
    <xf numFmtId="9" fontId="1" fillId="0" borderId="0" xfId="0" applyNumberFormat="1" applyFont="1" applyAlignment="1">
      <alignment horizontal="center"/>
    </xf>
    <xf numFmtId="8" fontId="0" fillId="0" borderId="0" xfId="1" applyNumberFormat="1" applyFont="1"/>
    <xf numFmtId="49" fontId="3" fillId="0" borderId="0" xfId="0" applyNumberFormat="1" applyFont="1" applyAlignment="1">
      <alignment horizontal="center"/>
    </xf>
    <xf numFmtId="165" fontId="4" fillId="0" borderId="4" xfId="0" applyNumberFormat="1" applyFont="1" applyBorder="1"/>
    <xf numFmtId="165" fontId="4" fillId="0" borderId="5" xfId="0" applyNumberFormat="1" applyFont="1" applyBorder="1"/>
    <xf numFmtId="0" fontId="3" fillId="0" borderId="0" xfId="0" applyNumberFormat="1" applyFont="1"/>
    <xf numFmtId="44" fontId="0" fillId="0" borderId="0" xfId="0" applyNumberFormat="1"/>
    <xf numFmtId="44" fontId="0" fillId="0" borderId="6" xfId="0" applyNumberFormat="1" applyBorder="1"/>
    <xf numFmtId="166" fontId="6" fillId="0" borderId="0" xfId="1" applyNumberFormat="1" applyFont="1"/>
    <xf numFmtId="166" fontId="10" fillId="0" borderId="0" xfId="1" applyNumberFormat="1" applyFont="1"/>
    <xf numFmtId="166" fontId="1" fillId="0" borderId="0" xfId="1" applyNumberFormat="1" applyFont="1"/>
    <xf numFmtId="166" fontId="14" fillId="0" borderId="0" xfId="1" applyNumberFormat="1" applyFont="1"/>
    <xf numFmtId="166" fontId="12" fillId="0" borderId="0" xfId="1" applyNumberFormat="1" applyFont="1"/>
    <xf numFmtId="166" fontId="18" fillId="0" borderId="0" xfId="1" applyNumberFormat="1" applyFont="1"/>
    <xf numFmtId="166" fontId="0" fillId="0" borderId="0" xfId="1" applyNumberFormat="1" applyFont="1" applyAlignment="1">
      <alignment horizontal="right"/>
    </xf>
    <xf numFmtId="166" fontId="20" fillId="0" borderId="0" xfId="1" applyNumberFormat="1" applyFont="1"/>
    <xf numFmtId="166" fontId="0" fillId="0" borderId="6" xfId="1" applyNumberFormat="1" applyFont="1" applyBorder="1"/>
    <xf numFmtId="166" fontId="30" fillId="0" borderId="0" xfId="1" applyNumberFormat="1" applyFont="1"/>
    <xf numFmtId="166" fontId="31" fillId="0" borderId="0" xfId="1" applyNumberFormat="1" applyFont="1"/>
    <xf numFmtId="166" fontId="32" fillId="0" borderId="0" xfId="1" applyNumberFormat="1" applyFont="1"/>
    <xf numFmtId="166" fontId="5" fillId="0" borderId="0" xfId="1" applyNumberFormat="1" applyFont="1" applyAlignment="1">
      <alignment horizontal="right"/>
    </xf>
    <xf numFmtId="166" fontId="15" fillId="0" borderId="0" xfId="1" applyNumberFormat="1" applyFont="1"/>
    <xf numFmtId="166" fontId="16" fillId="0" borderId="0" xfId="1" applyNumberFormat="1" applyFont="1"/>
    <xf numFmtId="166" fontId="19" fillId="0" borderId="0" xfId="1" applyNumberFormat="1" applyFont="1"/>
    <xf numFmtId="166" fontId="0" fillId="0" borderId="0" xfId="1" applyNumberFormat="1" applyFont="1" applyAlignment="1"/>
    <xf numFmtId="166" fontId="17" fillId="0" borderId="0" xfId="1" applyNumberFormat="1" applyFont="1"/>
    <xf numFmtId="0" fontId="33" fillId="5" borderId="0" xfId="6" applyFill="1"/>
    <xf numFmtId="0" fontId="34" fillId="5" borderId="0" xfId="6" applyFont="1" applyFill="1"/>
    <xf numFmtId="0" fontId="34" fillId="5" borderId="4" xfId="6" applyFont="1" applyFill="1" applyBorder="1"/>
    <xf numFmtId="0" fontId="34" fillId="0" borderId="7" xfId="6" applyFont="1" applyFill="1" applyBorder="1"/>
    <xf numFmtId="0" fontId="34" fillId="0" borderId="0" xfId="6" applyFont="1" applyFill="1" applyAlignment="1">
      <alignment horizontal="center"/>
    </xf>
    <xf numFmtId="0" fontId="34" fillId="0" borderId="0" xfId="6" applyFont="1" applyFill="1"/>
    <xf numFmtId="0" fontId="36" fillId="2" borderId="8" xfId="5" applyNumberFormat="1" applyFont="1" applyBorder="1" applyAlignment="1">
      <alignment horizontal="centerContinuous"/>
    </xf>
    <xf numFmtId="0" fontId="37" fillId="2" borderId="5" xfId="5" applyNumberFormat="1" applyFont="1" applyBorder="1" applyAlignment="1">
      <alignment horizontal="centerContinuous"/>
    </xf>
    <xf numFmtId="0" fontId="37" fillId="2" borderId="5" xfId="5" applyNumberFormat="1" applyFont="1" applyBorder="1" applyAlignment="1">
      <alignment horizontal="left"/>
    </xf>
    <xf numFmtId="0" fontId="33" fillId="4" borderId="0" xfId="6"/>
    <xf numFmtId="0" fontId="33" fillId="4" borderId="7" xfId="6" applyBorder="1"/>
    <xf numFmtId="0" fontId="38" fillId="4" borderId="9" xfId="6" applyFont="1" applyBorder="1" applyAlignment="1">
      <alignment horizontal="centerContinuous"/>
    </xf>
    <xf numFmtId="0" fontId="38" fillId="4" borderId="10" xfId="6" applyFont="1" applyBorder="1" applyAlignment="1">
      <alignment horizontal="centerContinuous"/>
    </xf>
    <xf numFmtId="0" fontId="33" fillId="4" borderId="10" xfId="6" applyBorder="1" applyAlignment="1">
      <alignment horizontal="centerContinuous"/>
    </xf>
    <xf numFmtId="0" fontId="39" fillId="4" borderId="12" xfId="6" applyFont="1" applyBorder="1"/>
    <xf numFmtId="0" fontId="39" fillId="4" borderId="0" xfId="6" applyFont="1"/>
    <xf numFmtId="0" fontId="40" fillId="4" borderId="0" xfId="6" applyFont="1" applyAlignment="1">
      <alignment horizontal="center"/>
    </xf>
    <xf numFmtId="0" fontId="33" fillId="4" borderId="0" xfId="6" applyAlignment="1">
      <alignment horizontal="center"/>
    </xf>
    <xf numFmtId="0" fontId="37" fillId="2" borderId="13" xfId="5" applyNumberFormat="1" applyFont="1" applyBorder="1" applyAlignment="1">
      <alignment horizontal="left"/>
    </xf>
    <xf numFmtId="0" fontId="37" fillId="2" borderId="9" xfId="5" applyNumberFormat="1" applyFont="1" applyBorder="1" applyAlignment="1">
      <alignment horizontal="left"/>
    </xf>
    <xf numFmtId="0" fontId="33" fillId="3" borderId="0" xfId="6" applyFill="1"/>
    <xf numFmtId="0" fontId="39" fillId="4" borderId="7" xfId="6" applyFont="1" applyBorder="1"/>
    <xf numFmtId="0" fontId="41" fillId="6" borderId="0" xfId="6" applyFont="1" applyFill="1" applyAlignment="1">
      <alignment horizontal="center"/>
    </xf>
    <xf numFmtId="0" fontId="42" fillId="5" borderId="0" xfId="6" applyFont="1" applyFill="1"/>
    <xf numFmtId="0" fontId="43" fillId="4" borderId="14" xfId="6" applyFont="1" applyBorder="1" applyAlignment="1">
      <alignment horizontal="right"/>
    </xf>
    <xf numFmtId="41" fontId="39" fillId="0" borderId="15" xfId="7" applyFont="1" applyFill="1" applyBorder="1">
      <alignment horizontal="left"/>
    </xf>
    <xf numFmtId="0" fontId="43" fillId="4" borderId="7" xfId="6" applyFont="1" applyBorder="1"/>
    <xf numFmtId="0" fontId="43" fillId="4" borderId="0" xfId="6" applyFont="1"/>
    <xf numFmtId="0" fontId="45" fillId="6" borderId="0" xfId="6" applyFont="1" applyFill="1" applyAlignment="1">
      <alignment horizontal="center"/>
    </xf>
    <xf numFmtId="41" fontId="33" fillId="5" borderId="0" xfId="6" applyNumberFormat="1" applyFill="1"/>
    <xf numFmtId="0" fontId="44" fillId="4" borderId="0" xfId="6" applyFont="1"/>
    <xf numFmtId="41" fontId="39" fillId="0" borderId="10" xfId="7" applyFont="1" applyFill="1" applyBorder="1">
      <alignment horizontal="left"/>
    </xf>
    <xf numFmtId="0" fontId="43" fillId="4" borderId="16" xfId="6" applyFont="1" applyBorder="1"/>
    <xf numFmtId="0" fontId="41" fillId="6" borderId="6" xfId="6" applyFont="1" applyFill="1" applyBorder="1"/>
    <xf numFmtId="0" fontId="45" fillId="6" borderId="6" xfId="6" applyFont="1" applyFill="1" applyBorder="1" applyAlignment="1">
      <alignment horizontal="center"/>
    </xf>
    <xf numFmtId="0" fontId="45" fillId="6" borderId="6" xfId="6" applyFont="1" applyFill="1" applyBorder="1"/>
    <xf numFmtId="0" fontId="33" fillId="4" borderId="17" xfId="6" applyBorder="1" applyAlignment="1">
      <alignment horizontal="center"/>
    </xf>
    <xf numFmtId="2" fontId="33" fillId="4" borderId="17" xfId="6" applyNumberFormat="1" applyBorder="1" applyAlignment="1">
      <alignment horizontal="center"/>
    </xf>
    <xf numFmtId="172" fontId="33" fillId="4" borderId="18" xfId="6" applyNumberFormat="1" applyBorder="1"/>
    <xf numFmtId="10" fontId="46" fillId="4" borderId="18" xfId="6" applyNumberFormat="1" applyFont="1" applyBorder="1"/>
    <xf numFmtId="41" fontId="33" fillId="4" borderId="19" xfId="6" applyNumberFormat="1" applyBorder="1"/>
    <xf numFmtId="41" fontId="33" fillId="4" borderId="17" xfId="6" applyNumberFormat="1" applyBorder="1"/>
    <xf numFmtId="41" fontId="33" fillId="4" borderId="18" xfId="6" applyNumberFormat="1" applyBorder="1"/>
    <xf numFmtId="0" fontId="43" fillId="4" borderId="20" xfId="6" applyFont="1" applyBorder="1" applyAlignment="1">
      <alignment horizontal="center"/>
    </xf>
    <xf numFmtId="0" fontId="43" fillId="4" borderId="0" xfId="6" applyFont="1" applyAlignment="1">
      <alignment horizontal="right"/>
    </xf>
    <xf numFmtId="41" fontId="43" fillId="4" borderId="0" xfId="6" applyNumberFormat="1" applyFont="1"/>
    <xf numFmtId="0" fontId="47" fillId="4" borderId="7" xfId="6" applyFont="1" applyBorder="1" applyAlignment="1">
      <alignment horizontal="center"/>
    </xf>
    <xf numFmtId="2" fontId="33" fillId="4" borderId="7" xfId="6" applyNumberFormat="1" applyBorder="1" applyAlignment="1">
      <alignment horizontal="center"/>
    </xf>
    <xf numFmtId="172" fontId="33" fillId="4" borderId="0" xfId="6" applyNumberFormat="1"/>
    <xf numFmtId="10" fontId="46" fillId="4" borderId="0" xfId="6" applyNumberFormat="1" applyFont="1"/>
    <xf numFmtId="41" fontId="33" fillId="4" borderId="21" xfId="6" applyNumberFormat="1" applyBorder="1"/>
    <xf numFmtId="41" fontId="33" fillId="4" borderId="7" xfId="6" applyNumberFormat="1" applyBorder="1"/>
    <xf numFmtId="41" fontId="33" fillId="4" borderId="0" xfId="6" applyNumberFormat="1"/>
    <xf numFmtId="10" fontId="39" fillId="0" borderId="10" xfId="8" applyFont="1" applyFill="1" applyBorder="1"/>
    <xf numFmtId="0" fontId="43" fillId="4" borderId="14" xfId="6" applyFont="1" applyBorder="1" applyAlignment="1">
      <alignment horizontal="center"/>
    </xf>
    <xf numFmtId="0" fontId="33" fillId="4" borderId="7" xfId="6" applyBorder="1" applyAlignment="1">
      <alignment horizontal="center"/>
    </xf>
    <xf numFmtId="41" fontId="43" fillId="4" borderId="22" xfId="6" applyNumberFormat="1" applyFont="1" applyBorder="1"/>
    <xf numFmtId="5" fontId="43" fillId="4" borderId="22" xfId="6" applyNumberFormat="1" applyFont="1" applyBorder="1"/>
    <xf numFmtId="0" fontId="33" fillId="4" borderId="16" xfId="6" applyBorder="1" applyAlignment="1">
      <alignment horizontal="center"/>
    </xf>
    <xf numFmtId="0" fontId="45" fillId="4" borderId="14" xfId="6" applyFont="1" applyBorder="1" applyAlignment="1">
      <alignment horizontal="right"/>
    </xf>
    <xf numFmtId="173" fontId="39" fillId="0" borderId="10" xfId="8" applyNumberFormat="1" applyFont="1" applyFill="1" applyBorder="1"/>
    <xf numFmtId="172" fontId="47" fillId="4" borderId="0" xfId="6" applyNumberFormat="1" applyFont="1"/>
    <xf numFmtId="0" fontId="43" fillId="4" borderId="23" xfId="6" applyFont="1" applyBorder="1" applyAlignment="1">
      <alignment horizontal="right"/>
    </xf>
    <xf numFmtId="41" fontId="43" fillId="4" borderId="24" xfId="6" applyNumberFormat="1" applyFont="1" applyBorder="1"/>
    <xf numFmtId="172" fontId="33" fillId="4" borderId="6" xfId="6" applyNumberFormat="1" applyBorder="1"/>
    <xf numFmtId="41" fontId="39" fillId="4" borderId="0" xfId="6" applyNumberFormat="1" applyFont="1"/>
    <xf numFmtId="0" fontId="43" fillId="4" borderId="25" xfId="9" applyFont="1" applyBorder="1" applyAlignment="1">
      <alignment horizontal="right"/>
    </xf>
    <xf numFmtId="0" fontId="43" fillId="4" borderId="0" xfId="9" applyFont="1" applyAlignment="1">
      <alignment horizontal="right"/>
    </xf>
    <xf numFmtId="10" fontId="43" fillId="4" borderId="0" xfId="9" applyNumberFormat="1" applyFont="1" applyAlignment="1">
      <alignment horizontal="right"/>
    </xf>
    <xf numFmtId="41" fontId="39" fillId="7" borderId="0" xfId="7" applyFont="1" applyAlignment="1">
      <alignment horizontal="right"/>
    </xf>
    <xf numFmtId="0" fontId="33" fillId="4" borderId="0" xfId="9" applyAlignment="1">
      <alignment horizontal="right"/>
    </xf>
    <xf numFmtId="0" fontId="33" fillId="4" borderId="26" xfId="6" applyBorder="1" applyAlignment="1">
      <alignment horizontal="center"/>
    </xf>
    <xf numFmtId="2" fontId="33" fillId="4" borderId="26" xfId="6" applyNumberFormat="1" applyBorder="1" applyAlignment="1">
      <alignment horizontal="center"/>
    </xf>
    <xf numFmtId="172" fontId="33" fillId="4" borderId="27" xfId="6" applyNumberFormat="1" applyBorder="1"/>
    <xf numFmtId="10" fontId="46" fillId="4" borderId="27" xfId="6" applyNumberFormat="1" applyFont="1" applyBorder="1"/>
    <xf numFmtId="41" fontId="33" fillId="4" borderId="28" xfId="6" applyNumberFormat="1" applyBorder="1"/>
    <xf numFmtId="41" fontId="33" fillId="4" borderId="26" xfId="6" applyNumberFormat="1" applyBorder="1"/>
    <xf numFmtId="41" fontId="33" fillId="4" borderId="27" xfId="6" applyNumberFormat="1" applyBorder="1"/>
    <xf numFmtId="0" fontId="39" fillId="4" borderId="0" xfId="9" applyFont="1"/>
    <xf numFmtId="0" fontId="33" fillId="4" borderId="0" xfId="9"/>
    <xf numFmtId="10" fontId="43" fillId="4" borderId="0" xfId="6" applyNumberFormat="1" applyFont="1" applyAlignment="1">
      <alignment horizontal="right"/>
    </xf>
    <xf numFmtId="0" fontId="41" fillId="6" borderId="26" xfId="9" applyFont="1" applyFill="1" applyBorder="1" applyAlignment="1">
      <alignment horizontal="left"/>
    </xf>
    <xf numFmtId="0" fontId="33" fillId="4" borderId="27" xfId="9" applyBorder="1"/>
    <xf numFmtId="0" fontId="33" fillId="4" borderId="28" xfId="9" applyBorder="1"/>
    <xf numFmtId="0" fontId="39" fillId="4" borderId="7" xfId="9" applyFont="1" applyBorder="1"/>
    <xf numFmtId="41" fontId="43" fillId="4" borderId="0" xfId="9" applyNumberFormat="1" applyFont="1"/>
    <xf numFmtId="0" fontId="48" fillId="4" borderId="0" xfId="9" applyFont="1" applyAlignment="1">
      <alignment horizontal="left"/>
    </xf>
    <xf numFmtId="41" fontId="43" fillId="4" borderId="21" xfId="9" applyNumberFormat="1" applyFont="1" applyBorder="1"/>
    <xf numFmtId="0" fontId="35" fillId="5" borderId="0" xfId="6" applyFont="1" applyFill="1"/>
    <xf numFmtId="0" fontId="45" fillId="4" borderId="0" xfId="9" applyFont="1" applyAlignment="1">
      <alignment horizontal="right"/>
    </xf>
    <xf numFmtId="41" fontId="45" fillId="4" borderId="30" xfId="9" applyNumberFormat="1" applyFont="1" applyBorder="1"/>
    <xf numFmtId="41" fontId="45" fillId="4" borderId="31" xfId="9" applyNumberFormat="1" applyFont="1" applyBorder="1"/>
    <xf numFmtId="0" fontId="33" fillId="4" borderId="16" xfId="9" applyBorder="1"/>
    <xf numFmtId="0" fontId="33" fillId="4" borderId="6" xfId="9" applyBorder="1"/>
    <xf numFmtId="0" fontId="43" fillId="4" borderId="6" xfId="9" applyFont="1" applyBorder="1" applyAlignment="1">
      <alignment horizontal="right" vertical="center"/>
    </xf>
    <xf numFmtId="10" fontId="45" fillId="4" borderId="6" xfId="9" applyNumberFormat="1" applyFont="1" applyBorder="1" applyAlignment="1">
      <alignment horizontal="center" vertical="center"/>
    </xf>
    <xf numFmtId="0" fontId="33" fillId="4" borderId="15" xfId="9" applyBorder="1"/>
    <xf numFmtId="0" fontId="41" fillId="6" borderId="0" xfId="6" applyFont="1" applyFill="1" applyAlignment="1">
      <alignment horizontal="right"/>
    </xf>
    <xf numFmtId="0" fontId="41" fillId="7" borderId="0" xfId="6" applyFont="1" applyFill="1" applyAlignment="1">
      <alignment horizontal="centerContinuous"/>
    </xf>
    <xf numFmtId="0" fontId="49" fillId="4" borderId="0" xfId="6" applyFont="1" applyAlignment="1">
      <alignment horizontal="right"/>
    </xf>
    <xf numFmtId="41" fontId="49" fillId="4" borderId="0" xfId="6" applyNumberFormat="1" applyFont="1" applyAlignment="1">
      <alignment horizontal="center"/>
    </xf>
    <xf numFmtId="0" fontId="49" fillId="4" borderId="0" xfId="6" applyFont="1" applyAlignment="1">
      <alignment horizontal="center"/>
    </xf>
    <xf numFmtId="37" fontId="33" fillId="4" borderId="0" xfId="6" applyNumberFormat="1"/>
    <xf numFmtId="39" fontId="33" fillId="4" borderId="0" xfId="6" applyNumberFormat="1"/>
    <xf numFmtId="10" fontId="43" fillId="4" borderId="0" xfId="6" applyNumberFormat="1" applyFont="1" applyAlignment="1">
      <alignment horizontal="center"/>
    </xf>
    <xf numFmtId="41" fontId="43" fillId="4" borderId="0" xfId="6" applyNumberFormat="1" applyFont="1" applyProtection="1">
      <protection locked="0"/>
    </xf>
    <xf numFmtId="41" fontId="43" fillId="4" borderId="6" xfId="6" applyNumberFormat="1" applyFont="1" applyBorder="1" applyProtection="1">
      <protection locked="0"/>
    </xf>
    <xf numFmtId="9" fontId="43" fillId="4" borderId="0" xfId="6" applyNumberFormat="1" applyFont="1" applyAlignment="1">
      <alignment horizontal="center"/>
    </xf>
    <xf numFmtId="41" fontId="43" fillId="4" borderId="32" xfId="6" applyNumberFormat="1" applyFont="1" applyBorder="1"/>
    <xf numFmtId="0" fontId="39" fillId="4" borderId="0" xfId="6" applyFont="1" applyAlignment="1">
      <alignment horizontal="right"/>
    </xf>
    <xf numFmtId="10" fontId="43" fillId="4" borderId="32" xfId="6" applyNumberFormat="1" applyFont="1" applyBorder="1" applyAlignment="1">
      <alignment horizontal="center"/>
    </xf>
    <xf numFmtId="0" fontId="45" fillId="4" borderId="0" xfId="6" applyFont="1" applyAlignment="1">
      <alignment horizontal="center"/>
    </xf>
    <xf numFmtId="0" fontId="50" fillId="4" borderId="0" xfId="6" applyFont="1"/>
    <xf numFmtId="0" fontId="45" fillId="4" borderId="0" xfId="6" applyFont="1"/>
    <xf numFmtId="0" fontId="50" fillId="4" borderId="0" xfId="6" applyFont="1" applyAlignment="1">
      <alignment horizontal="right"/>
    </xf>
    <xf numFmtId="10" fontId="43" fillId="4" borderId="0" xfId="6" applyNumberFormat="1" applyFont="1"/>
    <xf numFmtId="10" fontId="33" fillId="5" borderId="0" xfId="6" applyNumberFormat="1" applyFill="1"/>
    <xf numFmtId="0" fontId="43" fillId="4" borderId="0" xfId="6" quotePrefix="1" applyFont="1" applyAlignment="1">
      <alignment horizontal="left"/>
    </xf>
    <xf numFmtId="174" fontId="33" fillId="4" borderId="0" xfId="6" applyNumberFormat="1"/>
    <xf numFmtId="0" fontId="51" fillId="4" borderId="0" xfId="6" applyFont="1"/>
    <xf numFmtId="39" fontId="43" fillId="4" borderId="0" xfId="6" applyNumberFormat="1" applyFont="1"/>
    <xf numFmtId="0" fontId="33" fillId="4" borderId="14" xfId="6" applyBorder="1"/>
    <xf numFmtId="0" fontId="52" fillId="4" borderId="0" xfId="6" applyFont="1"/>
    <xf numFmtId="0" fontId="33" fillId="4" borderId="26" xfId="6" applyBorder="1" applyAlignment="1">
      <alignment horizontal="centerContinuous"/>
    </xf>
    <xf numFmtId="0" fontId="33" fillId="4" borderId="28" xfId="6" applyBorder="1" applyAlignment="1">
      <alignment horizontal="centerContinuous"/>
    </xf>
    <xf numFmtId="0" fontId="33" fillId="4" borderId="27" xfId="6" applyBorder="1"/>
    <xf numFmtId="0" fontId="33" fillId="4" borderId="28" xfId="6" applyBorder="1"/>
    <xf numFmtId="10" fontId="44" fillId="7" borderId="0" xfId="8"/>
    <xf numFmtId="0" fontId="45" fillId="4" borderId="6" xfId="6" applyFont="1" applyBorder="1" applyAlignment="1">
      <alignment horizontal="right"/>
    </xf>
    <xf numFmtId="0" fontId="45" fillId="4" borderId="6" xfId="6" applyFont="1" applyBorder="1" applyAlignment="1">
      <alignment horizontal="center"/>
    </xf>
    <xf numFmtId="0" fontId="33" fillId="4" borderId="7" xfId="6" applyBorder="1" applyAlignment="1">
      <alignment horizontal="centerContinuous"/>
    </xf>
    <xf numFmtId="0" fontId="33" fillId="4" borderId="21" xfId="6" applyBorder="1" applyAlignment="1">
      <alignment horizontal="centerContinuous"/>
    </xf>
    <xf numFmtId="0" fontId="33" fillId="4" borderId="21" xfId="6" applyBorder="1"/>
    <xf numFmtId="0" fontId="53" fillId="4" borderId="0" xfId="6" applyFont="1"/>
    <xf numFmtId="173" fontId="43" fillId="4" borderId="0" xfId="6" applyNumberFormat="1" applyFont="1"/>
    <xf numFmtId="175" fontId="43" fillId="4" borderId="0" xfId="6" applyNumberFormat="1" applyFont="1" applyProtection="1">
      <protection locked="0"/>
    </xf>
    <xf numFmtId="0" fontId="33" fillId="4" borderId="21" xfId="6" applyBorder="1" applyAlignment="1">
      <alignment horizontal="center"/>
    </xf>
    <xf numFmtId="0" fontId="33" fillId="4" borderId="0" xfId="6" quotePrefix="1" applyAlignment="1">
      <alignment horizontal="right"/>
    </xf>
    <xf numFmtId="10" fontId="33" fillId="4" borderId="21" xfId="6" applyNumberFormat="1" applyBorder="1"/>
    <xf numFmtId="10" fontId="33" fillId="4" borderId="0" xfId="6" applyNumberFormat="1" applyAlignment="1">
      <alignment horizontal="center"/>
    </xf>
    <xf numFmtId="10" fontId="33" fillId="4" borderId="21" xfId="6" applyNumberFormat="1" applyBorder="1" applyAlignment="1">
      <alignment horizontal="right"/>
    </xf>
    <xf numFmtId="0" fontId="33" fillId="4" borderId="15" xfId="6" applyBorder="1" applyAlignment="1">
      <alignment horizontal="center"/>
    </xf>
    <xf numFmtId="0" fontId="33" fillId="4" borderId="6" xfId="6" applyBorder="1"/>
    <xf numFmtId="0" fontId="33" fillId="4" borderId="15" xfId="6" applyBorder="1"/>
    <xf numFmtId="173" fontId="43" fillId="4" borderId="32" xfId="6" applyNumberFormat="1" applyFont="1" applyBorder="1"/>
    <xf numFmtId="39" fontId="33" fillId="4" borderId="26" xfId="6" applyNumberFormat="1" applyBorder="1" applyAlignment="1">
      <alignment horizontal="center"/>
    </xf>
    <xf numFmtId="0" fontId="33" fillId="4" borderId="27" xfId="6" quotePrefix="1" applyBorder="1" applyAlignment="1">
      <alignment horizontal="left"/>
    </xf>
    <xf numFmtId="0" fontId="33" fillId="4" borderId="0" xfId="6" quotePrefix="1" applyAlignment="1">
      <alignment horizontal="left"/>
    </xf>
    <xf numFmtId="0" fontId="54" fillId="5" borderId="0" xfId="6" applyFont="1" applyFill="1"/>
    <xf numFmtId="2" fontId="54" fillId="5" borderId="0" xfId="6" applyNumberFormat="1" applyFont="1" applyFill="1"/>
    <xf numFmtId="10" fontId="33" fillId="4" borderId="16" xfId="6" applyNumberFormat="1" applyBorder="1" applyAlignment="1">
      <alignment horizontal="center"/>
    </xf>
    <xf numFmtId="0" fontId="55" fillId="4" borderId="15" xfId="6" applyFont="1" applyBorder="1"/>
    <xf numFmtId="0" fontId="55" fillId="5" borderId="0" xfId="6" applyFont="1" applyFill="1"/>
    <xf numFmtId="176" fontId="33" fillId="4" borderId="0" xfId="6" applyNumberFormat="1"/>
    <xf numFmtId="0" fontId="35" fillId="4" borderId="0" xfId="6" applyFont="1" applyAlignment="1">
      <alignment horizontal="centerContinuous"/>
    </xf>
    <xf numFmtId="0" fontId="33" fillId="4" borderId="0" xfId="6" applyAlignment="1">
      <alignment horizontal="centerContinuous"/>
    </xf>
    <xf numFmtId="0" fontId="33" fillId="5" borderId="0" xfId="6" applyFill="1" applyAlignment="1">
      <alignment horizontal="right"/>
    </xf>
    <xf numFmtId="0" fontId="33" fillId="4" borderId="26" xfId="6" applyBorder="1"/>
    <xf numFmtId="0" fontId="56" fillId="4" borderId="27" xfId="6" applyFont="1" applyBorder="1" applyAlignment="1">
      <alignment horizontal="center"/>
    </xf>
    <xf numFmtId="0" fontId="56" fillId="4" borderId="28" xfId="6" applyFont="1" applyBorder="1" applyAlignment="1">
      <alignment horizontal="center"/>
    </xf>
    <xf numFmtId="0" fontId="33" fillId="4" borderId="26" xfId="6" applyBorder="1" applyAlignment="1">
      <alignment horizontal="left"/>
    </xf>
    <xf numFmtId="177" fontId="57" fillId="4" borderId="27" xfId="6" applyNumberFormat="1" applyFont="1" applyBorder="1" applyAlignment="1">
      <alignment horizontal="center"/>
    </xf>
    <xf numFmtId="0" fontId="33" fillId="4" borderId="27" xfId="6" applyBorder="1" applyAlignment="1">
      <alignment horizontal="left"/>
    </xf>
    <xf numFmtId="177" fontId="57" fillId="4" borderId="28" xfId="6" applyNumberFormat="1" applyFont="1" applyBorder="1" applyAlignment="1">
      <alignment horizontal="center"/>
    </xf>
    <xf numFmtId="10" fontId="33" fillId="4" borderId="0" xfId="6" applyNumberFormat="1"/>
    <xf numFmtId="0" fontId="33" fillId="4" borderId="7" xfId="6" applyBorder="1" applyAlignment="1">
      <alignment horizontal="left"/>
    </xf>
    <xf numFmtId="177" fontId="57" fillId="4" borderId="0" xfId="6" applyNumberFormat="1" applyFont="1" applyAlignment="1">
      <alignment horizontal="center"/>
    </xf>
    <xf numFmtId="0" fontId="33" fillId="4" borderId="0" xfId="6" applyAlignment="1">
      <alignment horizontal="left"/>
    </xf>
    <xf numFmtId="177" fontId="57" fillId="4" borderId="21" xfId="6" applyNumberFormat="1" applyFont="1" applyBorder="1" applyAlignment="1">
      <alignment horizontal="center"/>
    </xf>
    <xf numFmtId="0" fontId="58" fillId="4" borderId="0" xfId="6" applyFont="1" applyAlignment="1">
      <alignment horizontal="centerContinuous"/>
    </xf>
    <xf numFmtId="177" fontId="33" fillId="4" borderId="21" xfId="6" applyNumberFormat="1" applyBorder="1" applyAlignment="1">
      <alignment horizontal="center"/>
    </xf>
    <xf numFmtId="0" fontId="55" fillId="5" borderId="0" xfId="6" applyFont="1" applyFill="1" applyAlignment="1">
      <alignment horizontal="fill"/>
    </xf>
    <xf numFmtId="10" fontId="33" fillId="4" borderId="6" xfId="6" applyNumberFormat="1" applyBorder="1"/>
    <xf numFmtId="10" fontId="59" fillId="7" borderId="0" xfId="8" applyFont="1"/>
    <xf numFmtId="173" fontId="59" fillId="7" borderId="21" xfId="8" applyNumberFormat="1" applyFont="1" applyBorder="1"/>
    <xf numFmtId="0" fontId="33" fillId="4" borderId="16" xfId="6" applyBorder="1"/>
    <xf numFmtId="0" fontId="33" fillId="4" borderId="6" xfId="6" applyBorder="1" applyAlignment="1">
      <alignment horizontal="right"/>
    </xf>
    <xf numFmtId="177" fontId="57" fillId="4" borderId="6" xfId="6" applyNumberFormat="1" applyFont="1" applyBorder="1" applyAlignment="1">
      <alignment horizontal="left"/>
    </xf>
    <xf numFmtId="177" fontId="33" fillId="4" borderId="15" xfId="6" applyNumberFormat="1" applyBorder="1" applyAlignment="1">
      <alignment horizontal="center"/>
    </xf>
    <xf numFmtId="10" fontId="59" fillId="7" borderId="6" xfId="8" applyFont="1" applyBorder="1"/>
    <xf numFmtId="10" fontId="59" fillId="7" borderId="15" xfId="8" applyFont="1" applyBorder="1"/>
    <xf numFmtId="177" fontId="33" fillId="4" borderId="0" xfId="6" applyNumberFormat="1"/>
    <xf numFmtId="0" fontId="60" fillId="4" borderId="27" xfId="6" applyFont="1" applyBorder="1"/>
    <xf numFmtId="0" fontId="60" fillId="4" borderId="7" xfId="6" applyFont="1" applyBorder="1"/>
    <xf numFmtId="0" fontId="60" fillId="4" borderId="0" xfId="6" applyFont="1"/>
    <xf numFmtId="0" fontId="60" fillId="4" borderId="21" xfId="6" applyFont="1" applyBorder="1"/>
    <xf numFmtId="0" fontId="33" fillId="7" borderId="0" xfId="6" applyFill="1"/>
    <xf numFmtId="0" fontId="61" fillId="4" borderId="0" xfId="6" applyFont="1"/>
    <xf numFmtId="10" fontId="59" fillId="7" borderId="21" xfId="8" applyFont="1" applyBorder="1"/>
    <xf numFmtId="39" fontId="33" fillId="4" borderId="6" xfId="6" applyNumberFormat="1" applyBorder="1"/>
    <xf numFmtId="174" fontId="33" fillId="4" borderId="6" xfId="6" applyNumberFormat="1" applyBorder="1"/>
    <xf numFmtId="172" fontId="33" fillId="4" borderId="15" xfId="6" applyNumberFormat="1" applyBorder="1"/>
    <xf numFmtId="9" fontId="0" fillId="0" borderId="0" xfId="4" applyFont="1"/>
    <xf numFmtId="4" fontId="62" fillId="0" borderId="0" xfId="0" applyNumberFormat="1" applyFont="1"/>
    <xf numFmtId="4" fontId="63" fillId="0" borderId="0" xfId="0" applyNumberFormat="1" applyFont="1"/>
    <xf numFmtId="4" fontId="64" fillId="0" borderId="0" xfId="0" applyNumberFormat="1" applyFont="1"/>
    <xf numFmtId="4" fontId="62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/>
    </xf>
    <xf numFmtId="4" fontId="44" fillId="0" borderId="0" xfId="0" applyNumberFormat="1" applyFont="1"/>
    <xf numFmtId="4" fontId="65" fillId="0" borderId="0" xfId="0" applyNumberFormat="1" applyFont="1"/>
    <xf numFmtId="4" fontId="66" fillId="0" borderId="0" xfId="0" applyNumberFormat="1" applyFont="1"/>
    <xf numFmtId="4" fontId="65" fillId="0" borderId="0" xfId="0" applyNumberFormat="1" applyFont="1" applyAlignment="1">
      <alignment horizontal="center"/>
    </xf>
    <xf numFmtId="178" fontId="63" fillId="0" borderId="0" xfId="0" applyNumberFormat="1" applyFont="1"/>
    <xf numFmtId="0" fontId="0" fillId="3" borderId="0" xfId="0" applyFill="1"/>
    <xf numFmtId="166" fontId="17" fillId="0" borderId="6" xfId="1" applyNumberFormat="1" applyFont="1" applyBorder="1"/>
    <xf numFmtId="166" fontId="6" fillId="0" borderId="6" xfId="1" applyNumberFormat="1" applyFont="1" applyBorder="1"/>
    <xf numFmtId="166" fontId="10" fillId="3" borderId="0" xfId="1" applyNumberFormat="1" applyFont="1" applyFill="1"/>
    <xf numFmtId="0" fontId="0" fillId="0" borderId="0" xfId="0" applyFill="1"/>
    <xf numFmtId="171" fontId="0" fillId="0" borderId="0" xfId="4" applyNumberFormat="1" applyFont="1"/>
    <xf numFmtId="0" fontId="0" fillId="8" borderId="0" xfId="0" applyFill="1"/>
    <xf numFmtId="175" fontId="0" fillId="0" borderId="0" xfId="10" applyNumberFormat="1" applyFont="1"/>
    <xf numFmtId="179" fontId="63" fillId="0" borderId="0" xfId="0" applyNumberFormat="1" applyFont="1"/>
    <xf numFmtId="0" fontId="0" fillId="9" borderId="0" xfId="0" applyFill="1"/>
    <xf numFmtId="4" fontId="63" fillId="3" borderId="0" xfId="0" applyNumberFormat="1" applyFont="1" applyFill="1"/>
    <xf numFmtId="44" fontId="0" fillId="3" borderId="0" xfId="1" applyFont="1" applyFill="1"/>
    <xf numFmtId="4" fontId="67" fillId="0" borderId="0" xfId="0" applyNumberFormat="1" applyFont="1"/>
    <xf numFmtId="4" fontId="63" fillId="0" borderId="6" xfId="0" applyNumberFormat="1" applyFont="1" applyBorder="1"/>
    <xf numFmtId="4" fontId="62" fillId="0" borderId="0" xfId="0" applyNumberFormat="1" applyFont="1" applyAlignment="1">
      <alignment horizontal="left" indent="1"/>
    </xf>
    <xf numFmtId="43" fontId="0" fillId="0" borderId="0" xfId="0" applyNumberFormat="1"/>
    <xf numFmtId="166" fontId="63" fillId="0" borderId="0" xfId="1" applyNumberFormat="1" applyFont="1"/>
    <xf numFmtId="166" fontId="63" fillId="0" borderId="6" xfId="1" applyNumberFormat="1" applyFont="1" applyBorder="1"/>
    <xf numFmtId="175" fontId="0" fillId="0" borderId="0" xfId="0" applyNumberFormat="1"/>
    <xf numFmtId="4" fontId="62" fillId="0" borderId="0" xfId="0" applyNumberFormat="1" applyFont="1" applyAlignment="1">
      <alignment horizontal="left"/>
    </xf>
    <xf numFmtId="0" fontId="0" fillId="10" borderId="0" xfId="0" applyFill="1"/>
    <xf numFmtId="0" fontId="0" fillId="0" borderId="0" xfId="10" applyNumberFormat="1" applyFont="1"/>
    <xf numFmtId="0" fontId="0" fillId="0" borderId="0" xfId="1" applyNumberFormat="1" applyFont="1"/>
    <xf numFmtId="166" fontId="0" fillId="10" borderId="0" xfId="1" applyNumberFormat="1" applyFont="1" applyFill="1"/>
    <xf numFmtId="166" fontId="1" fillId="0" borderId="0" xfId="1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10" borderId="6" xfId="1" applyNumberFormat="1" applyFont="1" applyFill="1" applyBorder="1"/>
    <xf numFmtId="1" fontId="0" fillId="0" borderId="6" xfId="0" applyNumberFormat="1" applyBorder="1" applyAlignment="1"/>
    <xf numFmtId="1" fontId="0" fillId="0" borderId="6" xfId="0" applyNumberFormat="1" applyBorder="1" applyAlignment="1">
      <alignment horizontal="right"/>
    </xf>
    <xf numFmtId="0" fontId="0" fillId="0" borderId="6" xfId="1" applyNumberFormat="1" applyFont="1" applyBorder="1"/>
    <xf numFmtId="1" fontId="0" fillId="0" borderId="6" xfId="0" applyNumberFormat="1" applyBorder="1"/>
    <xf numFmtId="0" fontId="0" fillId="0" borderId="6" xfId="0" applyBorder="1" applyAlignment="1">
      <alignment horizontal="right"/>
    </xf>
    <xf numFmtId="1" fontId="0" fillId="10" borderId="0" xfId="0" applyNumberFormat="1" applyFill="1" applyAlignment="1"/>
    <xf numFmtId="1" fontId="12" fillId="0" borderId="0" xfId="0" applyNumberFormat="1" applyFont="1" applyAlignment="1">
      <alignment horizontal="left"/>
    </xf>
    <xf numFmtId="166" fontId="69" fillId="0" borderId="0" xfId="1" applyNumberFormat="1" applyFont="1" applyAlignment="1">
      <alignment horizontal="center"/>
    </xf>
    <xf numFmtId="0" fontId="0" fillId="0" borderId="6" xfId="0" applyBorder="1"/>
    <xf numFmtId="167" fontId="0" fillId="0" borderId="6" xfId="0" applyNumberFormat="1" applyBorder="1"/>
    <xf numFmtId="166" fontId="0" fillId="0" borderId="6" xfId="1" applyNumberFormat="1" applyFont="1" applyFill="1" applyBorder="1"/>
    <xf numFmtId="4" fontId="63" fillId="0" borderId="0" xfId="0" applyNumberFormat="1" applyFont="1" applyFill="1"/>
    <xf numFmtId="166" fontId="63" fillId="0" borderId="0" xfId="1" applyNumberFormat="1" applyFont="1" applyBorder="1"/>
    <xf numFmtId="44" fontId="0" fillId="0" borderId="0" xfId="1" applyFont="1" applyFill="1"/>
    <xf numFmtId="171" fontId="63" fillId="0" borderId="0" xfId="4" applyNumberFormat="1" applyFont="1"/>
    <xf numFmtId="4" fontId="65" fillId="0" borderId="0" xfId="0" applyNumberFormat="1" applyFont="1" applyAlignment="1">
      <alignment horizontal="right"/>
    </xf>
    <xf numFmtId="4" fontId="64" fillId="0" borderId="0" xfId="0" applyNumberFormat="1" applyFont="1" applyAlignment="1">
      <alignment horizontal="right"/>
    </xf>
    <xf numFmtId="166" fontId="62" fillId="0" borderId="0" xfId="1" applyNumberFormat="1" applyFont="1"/>
    <xf numFmtId="10" fontId="65" fillId="0" borderId="0" xfId="4" applyNumberFormat="1" applyFont="1"/>
    <xf numFmtId="166" fontId="65" fillId="0" borderId="0" xfId="1" applyNumberFormat="1" applyFont="1"/>
    <xf numFmtId="166" fontId="65" fillId="0" borderId="0" xfId="1" applyNumberFormat="1" applyFont="1" applyAlignment="1">
      <alignment horizontal="center"/>
    </xf>
    <xf numFmtId="44" fontId="63" fillId="0" borderId="0" xfId="1" applyNumberFormat="1" applyFont="1"/>
    <xf numFmtId="44" fontId="63" fillId="9" borderId="0" xfId="1" applyNumberFormat="1" applyFont="1" applyFill="1"/>
    <xf numFmtId="44" fontId="63" fillId="3" borderId="0" xfId="1" applyNumberFormat="1" applyFont="1" applyFill="1"/>
    <xf numFmtId="10" fontId="2" fillId="0" borderId="0" xfId="4" applyNumberFormat="1" applyFont="1"/>
    <xf numFmtId="166" fontId="10" fillId="10" borderId="0" xfId="1" applyNumberFormat="1" applyFont="1" applyFill="1"/>
    <xf numFmtId="166" fontId="32" fillId="10" borderId="0" xfId="1" applyNumberFormat="1" applyFont="1" applyFill="1"/>
    <xf numFmtId="166" fontId="10" fillId="10" borderId="6" xfId="1" applyNumberFormat="1" applyFont="1" applyFill="1" applyBorder="1"/>
    <xf numFmtId="0" fontId="0" fillId="0" borderId="0" xfId="0" applyNumberFormat="1" applyFont="1"/>
    <xf numFmtId="166" fontId="5" fillId="0" borderId="0" xfId="1" applyNumberFormat="1" applyFont="1"/>
    <xf numFmtId="0" fontId="0" fillId="10" borderId="0" xfId="0" applyFont="1" applyFill="1"/>
    <xf numFmtId="166" fontId="5" fillId="0" borderId="6" xfId="1" applyNumberFormat="1" applyFont="1" applyBorder="1" applyAlignment="1">
      <alignment horizontal="right"/>
    </xf>
    <xf numFmtId="166" fontId="5" fillId="0" borderId="6" xfId="1" applyNumberFormat="1" applyFont="1" applyBorder="1"/>
    <xf numFmtId="1" fontId="1" fillId="0" borderId="6" xfId="0" applyNumberFormat="1" applyFont="1" applyBorder="1"/>
    <xf numFmtId="4" fontId="62" fillId="0" borderId="0" xfId="0" applyNumberFormat="1" applyFont="1" applyAlignment="1">
      <alignment horizontal="center" wrapText="1"/>
    </xf>
    <xf numFmtId="0" fontId="39" fillId="5" borderId="29" xfId="6" applyFont="1" applyFill="1" applyBorder="1" applyAlignment="1">
      <alignment horizontal="center"/>
    </xf>
    <xf numFmtId="0" fontId="35" fillId="5" borderId="0" xfId="6" applyFont="1" applyFill="1" applyAlignment="1">
      <alignment horizontal="center"/>
    </xf>
    <xf numFmtId="0" fontId="33" fillId="4" borderId="11" xfId="6" applyBorder="1" applyAlignment="1">
      <alignment horizontal="center"/>
    </xf>
    <xf numFmtId="0" fontId="33" fillId="4" borderId="5" xfId="6" applyBorder="1" applyAlignment="1">
      <alignment horizontal="center"/>
    </xf>
    <xf numFmtId="0" fontId="33" fillId="4" borderId="8" xfId="6" applyBorder="1" applyAlignment="1">
      <alignment horizontal="center"/>
    </xf>
    <xf numFmtId="0" fontId="39" fillId="5" borderId="0" xfId="6" applyFont="1" applyFill="1" applyAlignment="1">
      <alignment horizontal="center"/>
    </xf>
    <xf numFmtId="0" fontId="39" fillId="5" borderId="27" xfId="6" applyFont="1" applyFill="1" applyBorder="1" applyAlignment="1">
      <alignment horizontal="center"/>
    </xf>
  </cellXfs>
  <cellStyles count="11">
    <cellStyle name="Accent5" xfId="5" builtinId="45"/>
    <cellStyle name="Comma" xfId="10" builtinId="3"/>
    <cellStyle name="Comma 2" xfId="7"/>
    <cellStyle name="Currency" xfId="1" builtinId="4"/>
    <cellStyle name="Normal" xfId="0" builtinId="0"/>
    <cellStyle name="Normal 2" xfId="2"/>
    <cellStyle name="Normal 2 2" xfId="9"/>
    <cellStyle name="Normal 3" xfId="3"/>
    <cellStyle name="Normal 4" xfId="6"/>
    <cellStyle name="Percent" xfId="4" builtinId="5"/>
    <cellStyle name="Percent 2" xfId="8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</xdr:row>
          <xdr:rowOff>175260</xdr:rowOff>
        </xdr:from>
        <xdr:to>
          <xdr:col>2</xdr:col>
          <xdr:colOff>365760</xdr:colOff>
          <xdr:row>16</xdr:row>
          <xdr:rowOff>30480</xdr:rowOff>
        </xdr:to>
        <xdr:sp macro="" textlink="">
          <xdr:nvSpPr>
            <xdr:cNvPr id="23553" name="Check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xmlns="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518160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9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518160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9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99060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B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99060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B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mmond, Greg (UTC)" id="{768142D9-A177-4B85-838E-41054787F953}" userId="S::greg.hammond@utc.wa.gov::1a12d6dc-9091-421a-bf06-5f0772164ea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0-06-04T16:45:02.21" personId="{768142D9-A177-4B85-838E-41054787F953}" id="{2E584306-0D63-46C5-AEFA-11FE8F2CA16C}">
    <text>Linked to LG - which was added to this workbook</text>
  </threadedComment>
  <threadedComment ref="F12" dT="2020-06-08T22:12:29.59" personId="{768142D9-A177-4B85-838E-41054787F953}" id="{B14B71E7-BD6C-44D6-8EDD-95936E7FD5B9}">
    <text>Remove passthrough revenue and expense</text>
  </threadedComment>
  <threadedComment ref="F33" dT="2020-06-08T22:12:46.97" personId="{768142D9-A177-4B85-838E-41054787F953}" id="{602BC910-AFBF-447D-8F8B-091A14C16248}">
    <text>Remove passthrough revenue and expense</text>
  </threadedComment>
  <threadedComment ref="F46" dT="2020-06-09T21:11:48.96" personId="{768142D9-A177-4B85-838E-41054787F953}" id="{1810CA86-12EB-44A9-B10E-354B0511989D}">
    <text>Updated based on Sch. PA 3 DEPREC</text>
  </threadedComment>
  <threadedComment ref="F47" dT="2020-06-04T17:04:44.82" personId="{768142D9-A177-4B85-838E-41054787F953}" id="{168289E4-31BC-4F49-86B1-D3C1E4139F17}">
    <text>Where is the calculation for this?</text>
  </threadedComment>
  <threadedComment ref="F63" dT="2020-06-08T20:52:18.76" personId="{768142D9-A177-4B85-838E-41054787F953}" id="{EB64AC0B-0B49-4289-9331-A3BF57F63F25}">
    <text>gains/losses are handled on the depreciation schdule through salvage recovery items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7" dT="2020-06-08T20:48:01.62" personId="{768142D9-A177-4B85-838E-41054787F953}" id="{CE77A8C6-C033-4471-BE93-7EFAF69DBFE0}">
    <text>Linked to Depr. Schedule</text>
  </threadedComment>
  <threadedComment ref="C8" dT="2020-06-04T16:42:36.32" personId="{768142D9-A177-4B85-838E-41054787F953}" id="{26C57EBB-DBA3-46A6-8C10-EF5641685D4B}">
    <text>Linked to debt percentage from the balance sheet</text>
  </threadedComment>
  <threadedComment ref="C11" dT="2020-06-04T16:31:44.43" personId="{768142D9-A177-4B85-838E-41054787F953}" id="{9177ACE9-2D87-481B-8F69-7BCE7FB49955}">
    <text>Updated to new B&amp;O rate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142" dT="2020-06-10T16:32:04.20" personId="{768142D9-A177-4B85-838E-41054787F953}" id="{788BB9D8-B199-4A56-BEAA-9087852A5C51}">
    <text>This variance is caused by the non-regulated revenue which is included in the LG input and cannot be increased here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47" dT="2020-06-09T20:34:37.08" personId="{768142D9-A177-4B85-838E-41054787F953}" id="{13FCACB0-58D2-42E8-A75B-89502C0F6E8B}">
    <text>Not in the tariff</text>
  </threadedComment>
  <threadedComment ref="M48" dT="2020-06-09T20:32:21.66" personId="{768142D9-A177-4B85-838E-41054787F953}" id="{3EC2C12A-3966-4C56-B452-1438C6A3D444}">
    <text>these are not in the tariff</text>
  </threadedComment>
  <threadedComment ref="M101" dT="2020-06-05T17:25:24.45" personId="{768142D9-A177-4B85-838E-41054787F953}" id="{96950A01-9200-491C-92C0-0C3B04BBC8B1}">
    <text>Wrong tariff rate - should be 18.71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microsoft.com/office/2017/10/relationships/threadedComment" Target="../threadedComments/threadedComment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C9" sqref="C9"/>
    </sheetView>
  </sheetViews>
  <sheetFormatPr defaultRowHeight="14.4"/>
  <cols>
    <col min="1" max="1" width="30.109375" customWidth="1"/>
    <col min="2" max="3" width="14.33203125" bestFit="1" customWidth="1"/>
    <col min="5" max="5" width="13.109375" bestFit="1" customWidth="1"/>
    <col min="6" max="6" width="14.6640625" customWidth="1"/>
    <col min="7" max="7" width="7" customWidth="1"/>
    <col min="8" max="8" width="14.88671875" customWidth="1"/>
    <col min="9" max="9" width="12.109375" bestFit="1" customWidth="1"/>
    <col min="10" max="10" width="16.88671875" customWidth="1"/>
    <col min="11" max="11" width="9.88671875" customWidth="1"/>
    <col min="12" max="12" width="13.5546875" customWidth="1"/>
  </cols>
  <sheetData>
    <row r="1" spans="1:12" ht="17.399999999999999">
      <c r="A1" s="35" t="s">
        <v>340</v>
      </c>
      <c r="B1" s="36"/>
      <c r="C1" s="36"/>
      <c r="D1" s="36"/>
      <c r="E1" s="38"/>
      <c r="F1" s="34"/>
      <c r="G1" s="34"/>
      <c r="H1" s="34"/>
      <c r="I1" s="9"/>
      <c r="J1" s="9"/>
      <c r="K1" s="9"/>
      <c r="L1" s="9"/>
    </row>
    <row r="2" spans="1:12" ht="25.8">
      <c r="A2" s="39" t="s">
        <v>341</v>
      </c>
      <c r="B2" s="36"/>
      <c r="C2" s="36"/>
      <c r="D2" s="36"/>
      <c r="E2" s="38"/>
      <c r="F2" s="34"/>
      <c r="G2" s="1" t="s">
        <v>941</v>
      </c>
      <c r="H2" s="384">
        <f ca="1">'LG Nonpublic 2018 V5.2a'!K22</f>
        <v>0.1322493934817468</v>
      </c>
      <c r="I2" s="34"/>
      <c r="J2" s="34"/>
      <c r="K2" s="34"/>
      <c r="L2" s="34"/>
    </row>
    <row r="3" spans="1:12">
      <c r="A3" s="36" t="s">
        <v>398</v>
      </c>
      <c r="B3" s="37"/>
      <c r="C3" s="36"/>
      <c r="D3" s="36"/>
      <c r="E3" s="38"/>
      <c r="F3" s="34"/>
      <c r="G3" s="34"/>
      <c r="H3" s="34"/>
      <c r="I3" s="34"/>
      <c r="J3" s="3"/>
      <c r="K3" s="34"/>
      <c r="L3" s="34"/>
    </row>
    <row r="4" spans="1:12">
      <c r="A4" s="36" t="s">
        <v>342</v>
      </c>
      <c r="B4" s="41"/>
      <c r="C4" s="36"/>
      <c r="D4" s="41"/>
      <c r="E4" s="38"/>
      <c r="F4" s="34"/>
      <c r="G4" s="34"/>
      <c r="H4" s="3"/>
      <c r="I4" s="3"/>
      <c r="J4" s="3" t="s">
        <v>343</v>
      </c>
      <c r="K4" s="34"/>
      <c r="L4" s="34"/>
    </row>
    <row r="5" spans="1:12">
      <c r="A5" s="36"/>
      <c r="B5" s="41" t="s">
        <v>344</v>
      </c>
      <c r="C5" s="36"/>
      <c r="D5" s="41"/>
      <c r="E5" s="38"/>
      <c r="F5" s="34"/>
      <c r="G5" s="34"/>
      <c r="H5" s="3"/>
      <c r="I5" s="3" t="s">
        <v>345</v>
      </c>
      <c r="J5" s="3" t="s">
        <v>346</v>
      </c>
      <c r="K5" s="34"/>
      <c r="L5" s="34"/>
    </row>
    <row r="6" spans="1:12">
      <c r="A6" s="36"/>
      <c r="B6" s="3" t="s">
        <v>347</v>
      </c>
      <c r="C6" s="40" t="s">
        <v>1089</v>
      </c>
      <c r="D6" s="36"/>
      <c r="E6" s="40" t="s">
        <v>348</v>
      </c>
      <c r="F6" s="32" t="s">
        <v>13</v>
      </c>
      <c r="G6" s="3" t="s">
        <v>1090</v>
      </c>
      <c r="H6" s="3" t="s">
        <v>348</v>
      </c>
      <c r="I6" s="3" t="s">
        <v>349</v>
      </c>
      <c r="J6" s="3" t="s">
        <v>349</v>
      </c>
      <c r="K6" s="3"/>
      <c r="L6" s="3"/>
    </row>
    <row r="7" spans="1:12">
      <c r="A7" s="36"/>
      <c r="B7" s="55">
        <v>43830</v>
      </c>
      <c r="C7" s="40" t="s">
        <v>350</v>
      </c>
      <c r="D7" s="37" t="s">
        <v>351</v>
      </c>
      <c r="E7" s="40" t="s">
        <v>343</v>
      </c>
      <c r="F7" s="32" t="s">
        <v>400</v>
      </c>
      <c r="G7" s="3" t="s">
        <v>351</v>
      </c>
      <c r="H7" s="3" t="s">
        <v>13</v>
      </c>
      <c r="I7" s="3" t="s">
        <v>352</v>
      </c>
      <c r="J7" s="3" t="s">
        <v>352</v>
      </c>
      <c r="K7" s="3"/>
      <c r="L7" s="3"/>
    </row>
    <row r="8" spans="1:12" ht="15.6">
      <c r="A8" s="42" t="s">
        <v>353</v>
      </c>
      <c r="B8" s="34"/>
      <c r="C8" s="44"/>
      <c r="D8" s="36"/>
      <c r="E8" s="45"/>
      <c r="F8" s="38"/>
      <c r="G8" s="34"/>
      <c r="H8" s="34"/>
      <c r="I8" s="34"/>
      <c r="J8" s="59"/>
      <c r="K8" s="34"/>
      <c r="L8" s="34"/>
    </row>
    <row r="9" spans="1:12">
      <c r="A9" s="36" t="s">
        <v>354</v>
      </c>
      <c r="B9" s="49">
        <v>292333</v>
      </c>
      <c r="C9" s="111"/>
      <c r="D9" s="111"/>
      <c r="E9" s="111">
        <f>B9+C9</f>
        <v>292333</v>
      </c>
      <c r="F9" s="112"/>
      <c r="G9" s="49"/>
      <c r="H9" s="49">
        <f t="shared" ref="H9:H16" si="0">E9+F9</f>
        <v>292333</v>
      </c>
      <c r="I9" s="49">
        <f ca="1">H9*H2</f>
        <v>38660.861944699485</v>
      </c>
      <c r="J9" s="49">
        <f ca="1">SUM(H9:I9)</f>
        <v>330993.86194469949</v>
      </c>
      <c r="K9" s="34"/>
      <c r="L9" s="34"/>
    </row>
    <row r="10" spans="1:12">
      <c r="A10" s="36" t="s">
        <v>355</v>
      </c>
      <c r="B10" s="49">
        <v>172643</v>
      </c>
      <c r="C10" s="111"/>
      <c r="D10" s="111"/>
      <c r="E10" s="111">
        <f t="shared" ref="E10:E13" si="1">B10+C10</f>
        <v>172643</v>
      </c>
      <c r="F10" s="112"/>
      <c r="G10" s="49"/>
      <c r="H10" s="49">
        <f t="shared" si="0"/>
        <v>172643</v>
      </c>
      <c r="I10" s="49">
        <f ca="1">H10*H2</f>
        <v>22831.932038869214</v>
      </c>
      <c r="J10" s="49">
        <f t="shared" ref="J10:J13" ca="1" si="2">SUM(H10:I10)</f>
        <v>195474.93203886921</v>
      </c>
      <c r="K10" s="34"/>
      <c r="L10" s="34"/>
    </row>
    <row r="11" spans="1:12">
      <c r="A11" s="36" t="s">
        <v>356</v>
      </c>
      <c r="B11" s="49">
        <v>27514</v>
      </c>
      <c r="C11" s="111"/>
      <c r="D11" s="111"/>
      <c r="E11" s="111">
        <f t="shared" si="1"/>
        <v>27514</v>
      </c>
      <c r="F11" s="112"/>
      <c r="G11" s="49"/>
      <c r="H11" s="49">
        <f t="shared" si="0"/>
        <v>27514</v>
      </c>
      <c r="I11" s="49">
        <f ca="1">H11*H2</f>
        <v>3638.7098122567813</v>
      </c>
      <c r="J11" s="49">
        <f t="shared" ca="1" si="2"/>
        <v>31152.70981225678</v>
      </c>
      <c r="K11" s="34"/>
      <c r="L11" s="34"/>
    </row>
    <row r="12" spans="1:12" ht="16.2">
      <c r="A12" s="36" t="s">
        <v>357</v>
      </c>
      <c r="B12" s="120">
        <v>10082</v>
      </c>
      <c r="C12" s="121"/>
      <c r="D12" s="121"/>
      <c r="E12" s="121">
        <f t="shared" si="1"/>
        <v>10082</v>
      </c>
      <c r="F12" s="386">
        <f>-E12</f>
        <v>-10082</v>
      </c>
      <c r="G12" s="120"/>
      <c r="H12" s="120">
        <f t="shared" si="0"/>
        <v>0</v>
      </c>
      <c r="I12" s="120">
        <f ca="1">H12*H2</f>
        <v>0</v>
      </c>
      <c r="J12" s="120">
        <f t="shared" ca="1" si="2"/>
        <v>0</v>
      </c>
      <c r="K12" s="34"/>
      <c r="L12" s="34"/>
    </row>
    <row r="13" spans="1:12">
      <c r="A13" s="46" t="s">
        <v>399</v>
      </c>
      <c r="B13" s="113">
        <f>SUM(B9:B12)</f>
        <v>502572</v>
      </c>
      <c r="C13" s="114"/>
      <c r="D13" s="114"/>
      <c r="E13" s="115">
        <f t="shared" si="1"/>
        <v>502572</v>
      </c>
      <c r="F13" s="116">
        <f>SUM(F9:F12)</f>
        <v>-10082</v>
      </c>
      <c r="G13" s="113"/>
      <c r="H13" s="113">
        <f>SUM(H9:H12)</f>
        <v>492490</v>
      </c>
      <c r="I13" s="113">
        <f ca="1">SUM(I9:I12)</f>
        <v>65131.503795825483</v>
      </c>
      <c r="J13" s="113">
        <f t="shared" ca="1" si="2"/>
        <v>557621.50379582553</v>
      </c>
      <c r="K13" s="34"/>
      <c r="L13" s="34"/>
    </row>
    <row r="14" spans="1:12">
      <c r="A14" s="34"/>
      <c r="B14" s="49"/>
      <c r="C14" s="49"/>
      <c r="D14" s="49"/>
      <c r="E14" s="111"/>
      <c r="F14" s="112"/>
      <c r="G14" s="49"/>
      <c r="H14" s="49"/>
      <c r="I14" s="49"/>
      <c r="J14" s="49"/>
      <c r="K14" s="34"/>
      <c r="L14" s="34"/>
    </row>
    <row r="15" spans="1:12">
      <c r="A15" s="36" t="s">
        <v>358</v>
      </c>
      <c r="B15" s="49">
        <v>41237</v>
      </c>
      <c r="C15" s="111"/>
      <c r="D15" s="111"/>
      <c r="E15" s="111">
        <f>B15+C15</f>
        <v>41237</v>
      </c>
      <c r="F15" s="112"/>
      <c r="G15" s="49"/>
      <c r="H15" s="49">
        <f t="shared" si="0"/>
        <v>41237</v>
      </c>
      <c r="I15" s="49">
        <v>0</v>
      </c>
      <c r="J15" s="49">
        <f>H15+I15</f>
        <v>41237</v>
      </c>
      <c r="K15" s="34" t="s">
        <v>667</v>
      </c>
      <c r="L15" s="34"/>
    </row>
    <row r="16" spans="1:12" ht="16.2">
      <c r="A16" s="36" t="s">
        <v>359</v>
      </c>
      <c r="B16" s="120">
        <v>1218</v>
      </c>
      <c r="C16" s="121"/>
      <c r="D16" s="121"/>
      <c r="E16" s="121">
        <f t="shared" ref="E16:E17" si="3">B16+C16</f>
        <v>1218</v>
      </c>
      <c r="F16" s="122">
        <f>-E16</f>
        <v>-1218</v>
      </c>
      <c r="G16" s="123" t="s">
        <v>660</v>
      </c>
      <c r="H16" s="120">
        <f t="shared" si="0"/>
        <v>0</v>
      </c>
      <c r="I16" s="120">
        <v>0</v>
      </c>
      <c r="J16" s="120">
        <f>H16+I16</f>
        <v>0</v>
      </c>
      <c r="K16" s="34"/>
      <c r="L16" s="336"/>
    </row>
    <row r="17" spans="1:12">
      <c r="A17" s="51" t="s">
        <v>360</v>
      </c>
      <c r="B17" s="113">
        <f>SUM(B15:B16)</f>
        <v>42455</v>
      </c>
      <c r="C17" s="113"/>
      <c r="D17" s="113"/>
      <c r="E17" s="115">
        <f t="shared" si="3"/>
        <v>42455</v>
      </c>
      <c r="F17" s="116">
        <f>SUM(F15:F16)</f>
        <v>-1218</v>
      </c>
      <c r="G17" s="113"/>
      <c r="H17" s="113">
        <f>SUM(H15:H16)</f>
        <v>41237</v>
      </c>
      <c r="I17" s="113"/>
      <c r="J17" s="113">
        <f>SUM(H17:I17)</f>
        <v>41237</v>
      </c>
      <c r="K17" s="34"/>
      <c r="L17" s="34"/>
    </row>
    <row r="18" spans="1:12">
      <c r="A18" s="34"/>
      <c r="B18" s="119"/>
      <c r="C18" s="119"/>
      <c r="D18" s="119"/>
      <c r="E18" s="119"/>
      <c r="F18" s="119"/>
      <c r="G18" s="119"/>
      <c r="H18" s="119"/>
      <c r="I18" s="119"/>
      <c r="J18" s="119"/>
      <c r="K18" s="34"/>
      <c r="L18" s="34"/>
    </row>
    <row r="19" spans="1:12">
      <c r="A19" s="34" t="s">
        <v>361</v>
      </c>
      <c r="B19" s="113">
        <f>B13+B17</f>
        <v>545027</v>
      </c>
      <c r="C19" s="49">
        <f>SUM(C9:C17)</f>
        <v>0</v>
      </c>
      <c r="D19" s="49"/>
      <c r="E19" s="118">
        <f>E13+E17</f>
        <v>545027</v>
      </c>
      <c r="F19" s="118">
        <f>F13+F17</f>
        <v>-11300</v>
      </c>
      <c r="G19" s="118"/>
      <c r="H19" s="118">
        <f>H13+H17</f>
        <v>533727</v>
      </c>
      <c r="I19" s="118">
        <f ca="1">I17+I13</f>
        <v>65131.503795825483</v>
      </c>
      <c r="J19" s="118">
        <f ca="1">H19+I19</f>
        <v>598858.50379582553</v>
      </c>
      <c r="K19" s="34"/>
      <c r="L19" s="34"/>
    </row>
    <row r="20" spans="1: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>
      <c r="A21" s="34"/>
      <c r="B21" s="321">
        <f>B15/B19</f>
        <v>7.5660471866531381E-2</v>
      </c>
      <c r="C21" s="34" t="s">
        <v>1091</v>
      </c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5.6">
      <c r="A22" s="42" t="s">
        <v>362</v>
      </c>
      <c r="B22" s="34"/>
      <c r="C22" s="43"/>
      <c r="D22" s="36"/>
      <c r="E22" s="43"/>
      <c r="F22" s="38"/>
      <c r="G22" s="34"/>
      <c r="H22" s="34"/>
      <c r="I22" s="34"/>
      <c r="J22" s="34"/>
      <c r="K22" s="34"/>
      <c r="L22" s="34"/>
    </row>
    <row r="23" spans="1:12">
      <c r="A23" s="36"/>
      <c r="B23" s="34"/>
      <c r="C23" s="43"/>
      <c r="D23" s="36"/>
      <c r="E23" s="36"/>
      <c r="F23" s="38"/>
      <c r="G23" s="34"/>
      <c r="H23" s="34"/>
      <c r="I23" s="34"/>
      <c r="J23" s="34"/>
      <c r="K23" s="34"/>
      <c r="L23" s="34" t="s">
        <v>666</v>
      </c>
    </row>
    <row r="24" spans="1:12">
      <c r="A24" s="36"/>
      <c r="B24" s="34"/>
      <c r="C24" s="43"/>
      <c r="D24" s="36"/>
      <c r="E24" s="36"/>
      <c r="F24" s="38"/>
      <c r="G24" s="34"/>
      <c r="H24" s="34"/>
      <c r="I24" s="34"/>
      <c r="J24" s="34"/>
      <c r="K24" s="34"/>
      <c r="L24" s="34"/>
    </row>
    <row r="25" spans="1:12">
      <c r="A25" s="36" t="s">
        <v>363</v>
      </c>
      <c r="B25" s="49">
        <v>8583</v>
      </c>
      <c r="C25" s="111"/>
      <c r="D25" s="111"/>
      <c r="E25" s="111">
        <f>B25+C25</f>
        <v>8583</v>
      </c>
      <c r="F25" s="112"/>
      <c r="G25" s="117"/>
      <c r="H25" s="49">
        <f>E25+F25</f>
        <v>8583</v>
      </c>
      <c r="I25" s="49"/>
      <c r="J25" s="49"/>
      <c r="K25" s="34"/>
      <c r="L25" s="34"/>
    </row>
    <row r="26" spans="1:12">
      <c r="A26" s="36" t="s">
        <v>364</v>
      </c>
      <c r="B26" s="49">
        <v>3611</v>
      </c>
      <c r="C26" s="111"/>
      <c r="D26" s="111"/>
      <c r="E26" s="111">
        <f t="shared" ref="E26:E73" si="4">B26+C26</f>
        <v>3611</v>
      </c>
      <c r="F26" s="112">
        <f>'PA 11 TIRES'!U118</f>
        <v>5736</v>
      </c>
      <c r="G26" s="117" t="s">
        <v>592</v>
      </c>
      <c r="H26" s="49">
        <f t="shared" ref="H26:H63" si="5">E26+F26</f>
        <v>9347</v>
      </c>
      <c r="I26" s="49"/>
      <c r="J26" s="49"/>
      <c r="K26" s="34"/>
      <c r="L26" s="34">
        <f>F26/F64</f>
        <v>0.10469399454841435</v>
      </c>
    </row>
    <row r="27" spans="1:12">
      <c r="A27" s="36" t="s">
        <v>365</v>
      </c>
      <c r="B27" s="49">
        <v>622</v>
      </c>
      <c r="C27" s="111"/>
      <c r="D27" s="111"/>
      <c r="E27" s="111">
        <f t="shared" si="4"/>
        <v>622</v>
      </c>
      <c r="F27" s="112"/>
      <c r="G27" s="117"/>
      <c r="H27" s="49">
        <f t="shared" si="5"/>
        <v>622</v>
      </c>
      <c r="I27" s="49"/>
      <c r="J27" s="49"/>
      <c r="K27" s="34"/>
      <c r="L27" s="34"/>
    </row>
    <row r="28" spans="1:12">
      <c r="A28" s="36" t="s">
        <v>366</v>
      </c>
      <c r="B28" s="49">
        <v>109187</v>
      </c>
      <c r="C28" s="111"/>
      <c r="D28" s="111"/>
      <c r="E28" s="111">
        <f t="shared" si="4"/>
        <v>109187</v>
      </c>
      <c r="F28" s="112">
        <f>'PA 5 PAYROLL'!H14</f>
        <v>3009</v>
      </c>
      <c r="G28" s="117" t="s">
        <v>497</v>
      </c>
      <c r="H28" s="49">
        <f t="shared" si="5"/>
        <v>112196</v>
      </c>
      <c r="I28" s="49"/>
      <c r="J28" s="49"/>
      <c r="K28" s="34"/>
      <c r="L28" s="34">
        <f>F28/F64</f>
        <v>5.4920542119278028E-2</v>
      </c>
    </row>
    <row r="29" spans="1:12">
      <c r="A29" s="36" t="s">
        <v>367</v>
      </c>
      <c r="B29" s="49">
        <v>26055</v>
      </c>
      <c r="C29" s="111"/>
      <c r="D29" s="111"/>
      <c r="E29" s="111">
        <f t="shared" si="4"/>
        <v>26055</v>
      </c>
      <c r="F29" s="112"/>
      <c r="G29" s="117"/>
      <c r="H29" s="49">
        <f t="shared" si="5"/>
        <v>26055</v>
      </c>
      <c r="I29" s="49"/>
      <c r="J29" s="49"/>
      <c r="K29" s="34"/>
      <c r="L29" s="34">
        <f t="shared" ref="L29:L31" si="6">F29/F67</f>
        <v>0</v>
      </c>
    </row>
    <row r="30" spans="1:12">
      <c r="A30" s="36"/>
      <c r="B30" s="49"/>
      <c r="C30" s="111"/>
      <c r="D30" s="111"/>
      <c r="E30" s="111">
        <f t="shared" si="4"/>
        <v>0</v>
      </c>
      <c r="F30" s="112"/>
      <c r="G30" s="117"/>
      <c r="H30" s="49">
        <f t="shared" si="5"/>
        <v>0</v>
      </c>
      <c r="I30" s="49"/>
      <c r="J30" s="49"/>
      <c r="K30" s="34"/>
      <c r="L30" s="34"/>
    </row>
    <row r="31" spans="1:12">
      <c r="A31" s="36" t="s">
        <v>368</v>
      </c>
      <c r="B31" s="49">
        <v>445</v>
      </c>
      <c r="C31" s="111"/>
      <c r="D31" s="111"/>
      <c r="E31" s="111">
        <f t="shared" si="4"/>
        <v>445</v>
      </c>
      <c r="F31" s="112"/>
      <c r="G31" s="117"/>
      <c r="H31" s="49">
        <f t="shared" si="5"/>
        <v>445</v>
      </c>
      <c r="I31" s="49"/>
      <c r="J31" s="49"/>
      <c r="K31" s="34"/>
      <c r="L31" s="34">
        <f t="shared" si="6"/>
        <v>0</v>
      </c>
    </row>
    <row r="32" spans="1:12">
      <c r="A32" s="36" t="s">
        <v>369</v>
      </c>
      <c r="B32" s="49">
        <v>53596</v>
      </c>
      <c r="C32" s="111"/>
      <c r="D32" s="111"/>
      <c r="E32" s="111">
        <f t="shared" si="4"/>
        <v>53596</v>
      </c>
      <c r="F32" s="112">
        <f>'PA 4 DISPOSAL FEE'!V21</f>
        <v>5031.7307000000037</v>
      </c>
      <c r="G32" s="117" t="s">
        <v>498</v>
      </c>
      <c r="H32" s="49">
        <f t="shared" si="5"/>
        <v>58627.7307</v>
      </c>
      <c r="I32" s="49"/>
      <c r="J32" s="49"/>
      <c r="K32" s="34"/>
      <c r="L32" s="34">
        <f>F32/F64</f>
        <v>9.1839607126026762E-2</v>
      </c>
    </row>
    <row r="33" spans="1:12">
      <c r="A33" s="36" t="s">
        <v>357</v>
      </c>
      <c r="B33" s="49">
        <v>10082</v>
      </c>
      <c r="C33" s="111"/>
      <c r="D33" s="111"/>
      <c r="E33" s="111">
        <f t="shared" si="4"/>
        <v>10082</v>
      </c>
      <c r="F33" s="385">
        <f>-E33</f>
        <v>-10082</v>
      </c>
      <c r="G33" s="117" t="s">
        <v>498</v>
      </c>
      <c r="H33" s="49">
        <f t="shared" si="5"/>
        <v>0</v>
      </c>
      <c r="I33" s="49"/>
      <c r="J33" s="49"/>
      <c r="K33" s="34"/>
      <c r="L33" s="34">
        <f>F33/F64</f>
        <v>-0.18401758246811603</v>
      </c>
    </row>
    <row r="34" spans="1:12">
      <c r="A34" s="36" t="s">
        <v>370</v>
      </c>
      <c r="B34" s="49">
        <v>423</v>
      </c>
      <c r="C34" s="111"/>
      <c r="D34" s="111"/>
      <c r="E34" s="111">
        <f t="shared" si="4"/>
        <v>423</v>
      </c>
      <c r="F34" s="112"/>
      <c r="G34" s="117"/>
      <c r="H34" s="49">
        <f t="shared" si="5"/>
        <v>423</v>
      </c>
      <c r="I34" s="49"/>
      <c r="J34" s="49"/>
      <c r="K34" s="34"/>
      <c r="L34" s="34"/>
    </row>
    <row r="35" spans="1:12">
      <c r="A35" s="36" t="s">
        <v>371</v>
      </c>
      <c r="B35" s="49">
        <v>2011</v>
      </c>
      <c r="C35" s="111"/>
      <c r="D35" s="111"/>
      <c r="E35" s="111">
        <f t="shared" si="4"/>
        <v>2011</v>
      </c>
      <c r="F35" s="112">
        <f>'PA 10 INSURANCE'!H8</f>
        <v>535.54</v>
      </c>
      <c r="G35" s="117" t="s">
        <v>503</v>
      </c>
      <c r="H35" s="49">
        <f t="shared" si="5"/>
        <v>2546.54</v>
      </c>
      <c r="I35" s="49"/>
      <c r="J35" s="49"/>
      <c r="K35" s="34"/>
      <c r="L35" s="34">
        <f>F35/F64</f>
        <v>9.7747248675833023E-3</v>
      </c>
    </row>
    <row r="36" spans="1:12">
      <c r="A36" s="36" t="s">
        <v>372</v>
      </c>
      <c r="B36" s="49">
        <v>11454</v>
      </c>
      <c r="C36" s="111"/>
      <c r="D36" s="111"/>
      <c r="E36" s="111">
        <f t="shared" si="4"/>
        <v>11454</v>
      </c>
      <c r="F36" s="112">
        <f>'PA 10 INSURANCE'!H6</f>
        <v>3049.5999999999985</v>
      </c>
      <c r="G36" s="117" t="s">
        <v>503</v>
      </c>
      <c r="H36" s="49">
        <f t="shared" si="5"/>
        <v>14503.599999999999</v>
      </c>
      <c r="I36" s="49"/>
      <c r="J36" s="49"/>
      <c r="K36" s="34"/>
      <c r="L36" s="34">
        <f>F36/F64</f>
        <v>5.5661577017929613E-2</v>
      </c>
    </row>
    <row r="37" spans="1:12">
      <c r="A37" s="36" t="s">
        <v>373</v>
      </c>
      <c r="B37" s="49">
        <v>8779</v>
      </c>
      <c r="C37" s="111"/>
      <c r="D37" s="111"/>
      <c r="E37" s="111">
        <f t="shared" si="4"/>
        <v>8779</v>
      </c>
      <c r="F37" s="112">
        <f>'PA 5 PAYROLL'!H45</f>
        <v>-723.17589999999961</v>
      </c>
      <c r="G37" s="117" t="s">
        <v>497</v>
      </c>
      <c r="H37" s="49">
        <f t="shared" si="5"/>
        <v>8055.8241000000007</v>
      </c>
      <c r="I37" s="49"/>
      <c r="J37" s="49"/>
      <c r="K37" s="34"/>
      <c r="L37" s="34">
        <f>F37/F64</f>
        <v>-1.3199472407975E-2</v>
      </c>
    </row>
    <row r="38" spans="1:12">
      <c r="A38" s="36" t="s">
        <v>374</v>
      </c>
      <c r="B38" s="49">
        <v>2000</v>
      </c>
      <c r="C38" s="111"/>
      <c r="D38" s="111"/>
      <c r="E38" s="111">
        <f t="shared" si="4"/>
        <v>2000</v>
      </c>
      <c r="F38" s="112"/>
      <c r="G38" s="117"/>
      <c r="H38" s="49">
        <f t="shared" si="5"/>
        <v>2000</v>
      </c>
      <c r="I38" s="49"/>
      <c r="J38" s="49"/>
      <c r="K38" s="34"/>
      <c r="L38" s="34"/>
    </row>
    <row r="39" spans="1:12">
      <c r="A39" s="36" t="s">
        <v>401</v>
      </c>
      <c r="B39" s="49">
        <v>95500</v>
      </c>
      <c r="C39" s="111"/>
      <c r="D39" s="111"/>
      <c r="E39" s="111">
        <f t="shared" si="4"/>
        <v>95500</v>
      </c>
      <c r="F39" s="112"/>
      <c r="G39" s="117"/>
      <c r="H39" s="49">
        <f t="shared" si="5"/>
        <v>95500</v>
      </c>
      <c r="I39" s="49"/>
      <c r="J39" s="49"/>
      <c r="K39" s="34"/>
      <c r="L39" s="34"/>
    </row>
    <row r="40" spans="1:12">
      <c r="A40" s="36" t="s">
        <v>376</v>
      </c>
      <c r="B40" s="49">
        <v>13017</v>
      </c>
      <c r="C40" s="111"/>
      <c r="D40" s="49"/>
      <c r="E40" s="111">
        <f t="shared" si="4"/>
        <v>13017</v>
      </c>
      <c r="F40" s="112">
        <f>'PA 5 PAYROLL'!H21</f>
        <v>6657</v>
      </c>
      <c r="G40" s="117" t="s">
        <v>497</v>
      </c>
      <c r="H40" s="49">
        <f t="shared" si="5"/>
        <v>19674</v>
      </c>
      <c r="I40" s="49"/>
      <c r="J40" s="49"/>
      <c r="K40" s="34"/>
      <c r="L40" s="34">
        <f>F40/F64</f>
        <v>0.12150417045132397</v>
      </c>
    </row>
    <row r="41" spans="1:12">
      <c r="A41" s="36" t="s">
        <v>377</v>
      </c>
      <c r="B41" s="49">
        <v>18070</v>
      </c>
      <c r="C41" s="111"/>
      <c r="D41" s="111"/>
      <c r="E41" s="111">
        <f t="shared" si="4"/>
        <v>18070</v>
      </c>
      <c r="F41" s="112"/>
      <c r="G41" s="117"/>
      <c r="H41" s="49">
        <f t="shared" si="5"/>
        <v>18070</v>
      </c>
      <c r="I41" s="49"/>
      <c r="J41" s="49"/>
      <c r="K41" s="34"/>
      <c r="L41" s="34"/>
    </row>
    <row r="42" spans="1:12">
      <c r="A42" s="36" t="s">
        <v>378</v>
      </c>
      <c r="B42" s="49">
        <v>500</v>
      </c>
      <c r="C42" s="111"/>
      <c r="D42" s="111"/>
      <c r="E42" s="111">
        <f t="shared" si="4"/>
        <v>500</v>
      </c>
      <c r="F42" s="112"/>
      <c r="G42" s="117"/>
      <c r="H42" s="49">
        <f t="shared" si="5"/>
        <v>500</v>
      </c>
      <c r="I42" s="49"/>
      <c r="J42" s="49"/>
      <c r="K42" s="34"/>
      <c r="L42" s="34"/>
    </row>
    <row r="43" spans="1:12">
      <c r="A43" s="36" t="s">
        <v>379</v>
      </c>
      <c r="B43" s="49">
        <v>9132</v>
      </c>
      <c r="C43" s="111"/>
      <c r="D43" s="111"/>
      <c r="E43" s="111">
        <f t="shared" si="4"/>
        <v>9132</v>
      </c>
      <c r="F43" s="112"/>
      <c r="G43" s="117"/>
      <c r="H43" s="49">
        <f t="shared" si="5"/>
        <v>9132</v>
      </c>
      <c r="I43" s="49"/>
      <c r="J43" s="49"/>
      <c r="K43" s="34"/>
      <c r="L43" s="34"/>
    </row>
    <row r="44" spans="1:12">
      <c r="A44" s="34" t="s">
        <v>375</v>
      </c>
      <c r="B44" s="49">
        <v>4043</v>
      </c>
      <c r="C44" s="111"/>
      <c r="D44" s="111"/>
      <c r="E44" s="111">
        <f t="shared" si="4"/>
        <v>4043</v>
      </c>
      <c r="F44" s="112">
        <f>'MANAGER MEDICAL PA 7'!E15</f>
        <v>4018.54</v>
      </c>
      <c r="G44" s="117" t="s">
        <v>499</v>
      </c>
      <c r="H44" s="49">
        <f t="shared" si="5"/>
        <v>8061.54</v>
      </c>
      <c r="I44" s="49"/>
      <c r="J44" s="49"/>
      <c r="K44" s="34"/>
      <c r="L44" s="34">
        <f>F44/F64</f>
        <v>7.3346758168163356E-2</v>
      </c>
    </row>
    <row r="45" spans="1:12">
      <c r="A45" s="36" t="s">
        <v>380</v>
      </c>
      <c r="B45" s="49">
        <v>23635</v>
      </c>
      <c r="C45" s="111"/>
      <c r="D45" s="124"/>
      <c r="E45" s="111">
        <f t="shared" si="4"/>
        <v>23635</v>
      </c>
      <c r="F45" s="112">
        <f>'PA 12 BENEFITS'!U30</f>
        <v>1704.5699999999979</v>
      </c>
      <c r="G45" s="117" t="s">
        <v>636</v>
      </c>
      <c r="H45" s="49">
        <f t="shared" si="5"/>
        <v>25339.57</v>
      </c>
      <c r="I45" s="49"/>
      <c r="J45" s="49"/>
      <c r="K45" s="34"/>
      <c r="L45" s="34">
        <f>F45/F64</f>
        <v>3.1111966925974621E-2</v>
      </c>
    </row>
    <row r="46" spans="1:12">
      <c r="A46" s="36" t="s">
        <v>381</v>
      </c>
      <c r="B46" s="49">
        <v>29556</v>
      </c>
      <c r="C46" s="111"/>
      <c r="D46" s="111"/>
      <c r="E46" s="111">
        <f t="shared" si="4"/>
        <v>29556</v>
      </c>
      <c r="F46" s="385">
        <f>'PA 3 DEPREC'!L107-'RESULTS OF OPERATIONS'!E46</f>
        <v>42539.126666666663</v>
      </c>
      <c r="G46" s="117" t="s">
        <v>502</v>
      </c>
      <c r="H46" s="49">
        <f t="shared" si="5"/>
        <v>72095.126666666663</v>
      </c>
      <c r="I46" s="49"/>
      <c r="J46" s="49"/>
      <c r="K46" s="34"/>
      <c r="L46" s="34">
        <f>F46/F64</f>
        <v>0.77642801522564631</v>
      </c>
    </row>
    <row r="47" spans="1:12">
      <c r="A47" s="36" t="s">
        <v>382</v>
      </c>
      <c r="B47" s="49">
        <v>3802</v>
      </c>
      <c r="C47" s="111"/>
      <c r="D47" s="111"/>
      <c r="E47" s="111">
        <f t="shared" si="4"/>
        <v>3802</v>
      </c>
      <c r="F47" s="335">
        <v>-576</v>
      </c>
      <c r="G47" s="117" t="s">
        <v>685</v>
      </c>
      <c r="H47" s="49">
        <f t="shared" si="5"/>
        <v>3226</v>
      </c>
      <c r="I47" s="49"/>
      <c r="J47" s="49"/>
      <c r="K47" s="34"/>
      <c r="L47" s="34"/>
    </row>
    <row r="48" spans="1:12">
      <c r="A48" s="36" t="s">
        <v>383</v>
      </c>
      <c r="B48" s="49">
        <v>7487</v>
      </c>
      <c r="C48" s="49"/>
      <c r="D48" s="111"/>
      <c r="E48" s="111">
        <f t="shared" si="4"/>
        <v>7487</v>
      </c>
      <c r="F48" s="111">
        <f>'PA 6 LICENSING'!W26</f>
        <v>-916</v>
      </c>
      <c r="G48" s="117" t="s">
        <v>495</v>
      </c>
      <c r="H48" s="49">
        <f t="shared" si="5"/>
        <v>6571</v>
      </c>
      <c r="I48" s="49"/>
      <c r="J48" s="49"/>
      <c r="K48" s="34"/>
      <c r="L48" s="34">
        <f>F48/F64</f>
        <v>-1.6718915447410661E-2</v>
      </c>
    </row>
    <row r="49" spans="1:12">
      <c r="A49" s="36" t="s">
        <v>384</v>
      </c>
      <c r="B49" s="49">
        <v>933</v>
      </c>
      <c r="C49" s="49"/>
      <c r="D49" s="111"/>
      <c r="E49" s="111">
        <f t="shared" si="4"/>
        <v>933</v>
      </c>
      <c r="F49" s="111"/>
      <c r="G49" s="117"/>
      <c r="H49" s="49">
        <f t="shared" si="5"/>
        <v>933</v>
      </c>
      <c r="I49" s="49"/>
      <c r="J49" s="49"/>
      <c r="K49" s="34"/>
      <c r="L49" s="34"/>
    </row>
    <row r="50" spans="1:12">
      <c r="A50" s="36" t="s">
        <v>385</v>
      </c>
      <c r="B50" s="49">
        <v>14130</v>
      </c>
      <c r="C50" s="49"/>
      <c r="D50" s="125"/>
      <c r="E50" s="111">
        <f t="shared" si="4"/>
        <v>14130</v>
      </c>
      <c r="F50" s="126">
        <f>'PA 5 PAYROLL'!H33</f>
        <v>599.29200000000003</v>
      </c>
      <c r="G50" s="117" t="s">
        <v>497</v>
      </c>
      <c r="H50" s="49">
        <f t="shared" si="5"/>
        <v>14729.291999999999</v>
      </c>
      <c r="I50" s="49"/>
      <c r="J50" s="49"/>
      <c r="K50" s="34"/>
      <c r="L50" s="34">
        <f>F50/F64</f>
        <v>1.0938332179377326E-2</v>
      </c>
    </row>
    <row r="51" spans="1:12">
      <c r="A51" s="36" t="s">
        <v>402</v>
      </c>
      <c r="B51" s="49">
        <v>3305</v>
      </c>
      <c r="C51" s="49"/>
      <c r="D51" s="125"/>
      <c r="E51" s="111">
        <f t="shared" si="4"/>
        <v>3305</v>
      </c>
      <c r="F51" s="111">
        <f>'PA 5 PAYROLL'!H32</f>
        <v>140.15700000000001</v>
      </c>
      <c r="G51" s="117" t="s">
        <v>497</v>
      </c>
      <c r="H51" s="49">
        <f t="shared" si="5"/>
        <v>3445.1570000000002</v>
      </c>
      <c r="I51" s="49"/>
      <c r="J51" s="49"/>
      <c r="K51" s="34"/>
      <c r="L51" s="34">
        <f>F51/F64</f>
        <v>2.5581583322737294E-3</v>
      </c>
    </row>
    <row r="52" spans="1:12">
      <c r="A52" s="36" t="s">
        <v>386</v>
      </c>
      <c r="B52" s="49">
        <v>250</v>
      </c>
      <c r="C52" s="49"/>
      <c r="D52" s="125"/>
      <c r="E52" s="111">
        <f t="shared" si="4"/>
        <v>250</v>
      </c>
      <c r="F52" s="126">
        <f>'PA 5 PAYROLL'!H31</f>
        <v>10.6326</v>
      </c>
      <c r="G52" s="117" t="s">
        <v>497</v>
      </c>
      <c r="H52" s="49">
        <f t="shared" si="5"/>
        <v>260.63260000000002</v>
      </c>
      <c r="I52" s="49"/>
      <c r="J52" s="49"/>
      <c r="K52" s="34"/>
      <c r="L52" s="34">
        <f>F52/F64</f>
        <v>1.9406718382766221E-4</v>
      </c>
    </row>
    <row r="53" spans="1:12">
      <c r="A53" s="36" t="s">
        <v>387</v>
      </c>
      <c r="B53" s="49">
        <v>460</v>
      </c>
      <c r="C53" s="49"/>
      <c r="D53" s="125"/>
      <c r="E53" s="111">
        <f t="shared" si="4"/>
        <v>460</v>
      </c>
      <c r="F53" s="126">
        <f>'PA 5 PAYROLL'!H34</f>
        <v>12.565799999999999</v>
      </c>
      <c r="G53" s="117" t="s">
        <v>497</v>
      </c>
      <c r="H53" s="49">
        <f t="shared" si="5"/>
        <v>472.56580000000002</v>
      </c>
      <c r="I53" s="49"/>
      <c r="J53" s="49"/>
      <c r="K53" s="34"/>
      <c r="L53" s="34">
        <f>F53/F64</f>
        <v>2.293521263417826E-4</v>
      </c>
    </row>
    <row r="54" spans="1:12">
      <c r="A54" s="36" t="s">
        <v>403</v>
      </c>
      <c r="B54" s="49">
        <v>9</v>
      </c>
      <c r="C54" s="49"/>
      <c r="D54" s="125"/>
      <c r="E54" s="111">
        <f t="shared" si="4"/>
        <v>9</v>
      </c>
      <c r="F54" s="111"/>
      <c r="G54" s="117"/>
      <c r="H54" s="49">
        <f t="shared" si="5"/>
        <v>9</v>
      </c>
      <c r="I54" s="49"/>
      <c r="J54" s="49"/>
      <c r="K54" s="34"/>
      <c r="L54" s="34"/>
    </row>
    <row r="55" spans="1:12">
      <c r="A55" s="36" t="s">
        <v>388</v>
      </c>
      <c r="B55" s="49">
        <v>8053</v>
      </c>
      <c r="C55" s="49"/>
      <c r="D55" s="125"/>
      <c r="E55" s="111">
        <f t="shared" si="4"/>
        <v>8053</v>
      </c>
      <c r="F55" s="49"/>
      <c r="G55" s="117"/>
      <c r="H55" s="49">
        <f t="shared" si="5"/>
        <v>8053</v>
      </c>
      <c r="I55" s="49"/>
      <c r="J55" s="49"/>
      <c r="K55" s="34"/>
      <c r="L55" s="34"/>
    </row>
    <row r="56" spans="1:12">
      <c r="A56" s="36" t="s">
        <v>389</v>
      </c>
      <c r="B56" s="49">
        <v>273</v>
      </c>
      <c r="C56" s="125"/>
      <c r="D56" s="125"/>
      <c r="E56" s="111">
        <f t="shared" si="4"/>
        <v>273</v>
      </c>
      <c r="F56" s="49"/>
      <c r="G56" s="117"/>
      <c r="H56" s="49">
        <f t="shared" si="5"/>
        <v>273</v>
      </c>
      <c r="I56" s="49"/>
      <c r="J56" s="49"/>
      <c r="K56" s="34"/>
      <c r="L56" s="34"/>
    </row>
    <row r="57" spans="1:12">
      <c r="A57" s="36" t="s">
        <v>404</v>
      </c>
      <c r="B57" s="127">
        <v>30000</v>
      </c>
      <c r="C57" s="128"/>
      <c r="D57" s="125"/>
      <c r="E57" s="111">
        <f t="shared" si="4"/>
        <v>30000</v>
      </c>
      <c r="F57" s="49"/>
      <c r="G57" s="117"/>
      <c r="H57" s="49">
        <f t="shared" si="5"/>
        <v>30000</v>
      </c>
      <c r="I57" s="49"/>
      <c r="J57" s="49"/>
      <c r="K57" s="34"/>
      <c r="L57" s="34"/>
    </row>
    <row r="58" spans="1:12">
      <c r="A58" s="36" t="s">
        <v>409</v>
      </c>
      <c r="B58" s="127">
        <v>3600</v>
      </c>
      <c r="C58" s="125"/>
      <c r="D58" s="111"/>
      <c r="E58" s="111">
        <f t="shared" si="4"/>
        <v>3600</v>
      </c>
      <c r="F58" s="49">
        <f>'PA 2 OFFICE RENT'!V18</f>
        <v>3600</v>
      </c>
      <c r="G58" s="117" t="s">
        <v>602</v>
      </c>
      <c r="H58" s="49">
        <f t="shared" si="5"/>
        <v>7200</v>
      </c>
      <c r="I58" s="49"/>
      <c r="J58" s="49"/>
      <c r="K58" s="34"/>
      <c r="L58" s="34">
        <f>F58/F64</f>
        <v>6.5707527959255871E-2</v>
      </c>
    </row>
    <row r="59" spans="1:12">
      <c r="A59" s="36"/>
      <c r="B59" s="49"/>
      <c r="C59" s="125"/>
      <c r="D59" s="111"/>
      <c r="E59" s="111">
        <f t="shared" si="4"/>
        <v>0</v>
      </c>
      <c r="F59" s="112"/>
      <c r="G59" s="117"/>
      <c r="H59" s="49">
        <f t="shared" si="5"/>
        <v>0</v>
      </c>
      <c r="I59" s="49"/>
      <c r="J59" s="49"/>
      <c r="K59" s="34"/>
      <c r="L59" s="34"/>
    </row>
    <row r="60" spans="1:12">
      <c r="A60" s="36" t="s">
        <v>391</v>
      </c>
      <c r="B60" s="49">
        <v>763</v>
      </c>
      <c r="C60" s="112"/>
      <c r="D60" s="49"/>
      <c r="E60" s="111">
        <f t="shared" si="4"/>
        <v>763</v>
      </c>
      <c r="F60" s="112"/>
      <c r="G60" s="117"/>
      <c r="H60" s="49">
        <f t="shared" si="5"/>
        <v>763</v>
      </c>
      <c r="I60" s="49"/>
      <c r="J60" s="49"/>
      <c r="K60" s="34"/>
      <c r="L60" s="34"/>
    </row>
    <row r="61" spans="1:12">
      <c r="A61" s="36" t="s">
        <v>392</v>
      </c>
      <c r="B61" s="49">
        <v>1624</v>
      </c>
      <c r="C61" s="111"/>
      <c r="D61" s="49"/>
      <c r="E61" s="111">
        <f t="shared" si="4"/>
        <v>1624</v>
      </c>
      <c r="F61" s="49"/>
      <c r="G61" s="117"/>
      <c r="H61" s="49">
        <f t="shared" si="5"/>
        <v>1624</v>
      </c>
      <c r="I61" s="49"/>
      <c r="J61" s="49"/>
      <c r="K61" s="34"/>
      <c r="L61" s="34"/>
    </row>
    <row r="62" spans="1:12">
      <c r="A62" s="36" t="s">
        <v>390</v>
      </c>
      <c r="B62" s="49"/>
      <c r="C62" s="49"/>
      <c r="D62" s="49"/>
      <c r="E62" s="111">
        <f t="shared" si="4"/>
        <v>0</v>
      </c>
      <c r="F62" s="49">
        <f>'PA 13 TARIFF PREP'!F25</f>
        <v>806.66399999999999</v>
      </c>
      <c r="G62" s="117" t="s">
        <v>648</v>
      </c>
      <c r="H62" s="49">
        <f t="shared" si="5"/>
        <v>806.66399999999999</v>
      </c>
      <c r="I62" s="49"/>
      <c r="J62" s="49"/>
      <c r="K62" s="34"/>
      <c r="L62" s="34">
        <f>F62/F64</f>
        <v>1.4723304814923659E-2</v>
      </c>
    </row>
    <row r="63" spans="1:12">
      <c r="A63" s="36" t="s">
        <v>408</v>
      </c>
      <c r="B63" s="370">
        <v>10365</v>
      </c>
      <c r="C63" s="333"/>
      <c r="D63" s="333"/>
      <c r="E63" s="334">
        <f t="shared" si="4"/>
        <v>10365</v>
      </c>
      <c r="F63" s="387">
        <f>-E63</f>
        <v>-10365</v>
      </c>
      <c r="G63" s="119"/>
      <c r="H63" s="119">
        <f t="shared" si="5"/>
        <v>0</v>
      </c>
      <c r="I63" s="119"/>
      <c r="J63" s="119"/>
      <c r="K63" s="34"/>
      <c r="L63" s="34">
        <f>F63/F64</f>
        <v>-0.18918292424935751</v>
      </c>
    </row>
    <row r="64" spans="1:12">
      <c r="A64" s="46" t="s">
        <v>393</v>
      </c>
      <c r="B64" s="113">
        <f>SUM(B25:B63)</f>
        <v>515355</v>
      </c>
      <c r="C64" s="49">
        <f>SUM(C31:C62)</f>
        <v>0</v>
      </c>
      <c r="D64" s="49"/>
      <c r="E64" s="115">
        <f>SUM(E25:E63)</f>
        <v>515355</v>
      </c>
      <c r="F64" s="115">
        <f t="shared" ref="F64:H64" si="7">SUM(F25:F63)</f>
        <v>54788.242866666653</v>
      </c>
      <c r="G64" s="115">
        <f t="shared" si="7"/>
        <v>0</v>
      </c>
      <c r="H64" s="115">
        <f t="shared" si="7"/>
        <v>570143.24286666664</v>
      </c>
      <c r="I64" s="49"/>
      <c r="J64" s="49"/>
      <c r="K64" s="34"/>
      <c r="L64" s="34"/>
    </row>
    <row r="65" spans="1:12">
      <c r="A65" s="36" t="s">
        <v>405</v>
      </c>
      <c r="B65" s="113">
        <f>B19-B64</f>
        <v>29672</v>
      </c>
      <c r="C65" s="49"/>
      <c r="D65" s="49"/>
      <c r="E65" s="115">
        <f t="shared" si="4"/>
        <v>29672</v>
      </c>
      <c r="F65" s="116"/>
      <c r="G65" s="113"/>
      <c r="H65" s="113">
        <f>H19-H64</f>
        <v>-36416.242866666638</v>
      </c>
      <c r="I65" s="49"/>
      <c r="J65" s="49"/>
      <c r="K65" s="34"/>
      <c r="L65" s="34">
        <f>SUM(L25:L63)</f>
        <v>1.010513204473481</v>
      </c>
    </row>
    <row r="66" spans="1:12">
      <c r="A66" s="51" t="s">
        <v>406</v>
      </c>
      <c r="B66" s="49"/>
      <c r="C66" s="49"/>
      <c r="D66" s="49"/>
      <c r="E66" s="111">
        <f t="shared" si="4"/>
        <v>0</v>
      </c>
      <c r="F66" s="112"/>
      <c r="G66" s="49"/>
      <c r="H66" s="49"/>
      <c r="I66" s="49"/>
      <c r="J66" s="49"/>
      <c r="K66" s="34"/>
      <c r="L66" s="34"/>
    </row>
    <row r="67" spans="1:12">
      <c r="A67" s="34" t="s">
        <v>407</v>
      </c>
      <c r="B67" s="49">
        <v>6879</v>
      </c>
      <c r="C67" s="49"/>
      <c r="D67" s="49"/>
      <c r="E67" s="111">
        <f t="shared" si="4"/>
        <v>6879</v>
      </c>
      <c r="F67" s="112">
        <v>10275</v>
      </c>
      <c r="G67" s="49" t="s">
        <v>500</v>
      </c>
      <c r="H67" s="49">
        <f>E67+F67</f>
        <v>17154</v>
      </c>
      <c r="I67" s="49"/>
      <c r="J67" s="49"/>
      <c r="K67" s="34"/>
      <c r="L67" s="34"/>
    </row>
    <row r="68" spans="1:12">
      <c r="A68" s="34"/>
      <c r="B68" s="49"/>
      <c r="C68" s="49"/>
      <c r="D68" s="115"/>
      <c r="E68" s="111">
        <f t="shared" si="4"/>
        <v>0</v>
      </c>
      <c r="F68" s="112"/>
      <c r="G68" s="49"/>
      <c r="H68" s="49"/>
      <c r="I68" s="49"/>
      <c r="J68" s="49"/>
      <c r="K68" s="34"/>
      <c r="L68" s="34"/>
    </row>
    <row r="69" spans="1:12">
      <c r="A69" s="46" t="s">
        <v>394</v>
      </c>
      <c r="B69" s="49">
        <f>B65-B67</f>
        <v>22793</v>
      </c>
      <c r="C69" s="49"/>
      <c r="D69" s="111"/>
      <c r="E69" s="115">
        <f t="shared" si="4"/>
        <v>22793</v>
      </c>
      <c r="F69" s="116">
        <f>F64-F67</f>
        <v>44513.242866666653</v>
      </c>
      <c r="G69" s="113"/>
      <c r="H69" s="113">
        <f>H65-H67</f>
        <v>-53570.242866666638</v>
      </c>
      <c r="I69" s="49"/>
      <c r="J69" s="49"/>
      <c r="K69" s="34"/>
      <c r="L69" s="34"/>
    </row>
    <row r="70" spans="1:12">
      <c r="A70" s="34" t="s">
        <v>493</v>
      </c>
      <c r="B70" s="49">
        <f>B69*0.21</f>
        <v>4786.53</v>
      </c>
      <c r="C70" s="115">
        <v>0</v>
      </c>
      <c r="D70" s="115"/>
      <c r="E70" s="111">
        <f t="shared" si="4"/>
        <v>4786.53</v>
      </c>
      <c r="F70" s="112"/>
      <c r="G70" s="49"/>
      <c r="H70" s="49"/>
      <c r="I70" s="49"/>
      <c r="J70" s="49"/>
      <c r="K70" s="34"/>
      <c r="L70" s="34"/>
    </row>
    <row r="71" spans="1:12">
      <c r="A71" s="34"/>
      <c r="B71" s="49"/>
      <c r="C71" s="115"/>
      <c r="D71" s="111"/>
      <c r="E71" s="111">
        <f t="shared" si="4"/>
        <v>0</v>
      </c>
      <c r="F71" s="112"/>
      <c r="G71" s="49"/>
      <c r="H71" s="49"/>
      <c r="I71" s="49"/>
      <c r="J71" s="49"/>
      <c r="K71" s="34"/>
      <c r="L71" s="34"/>
    </row>
    <row r="72" spans="1:12">
      <c r="A72" s="36"/>
      <c r="B72" s="49"/>
      <c r="C72" s="115">
        <v>0</v>
      </c>
      <c r="D72" s="49"/>
      <c r="E72" s="111">
        <f t="shared" si="4"/>
        <v>0</v>
      </c>
      <c r="F72" s="112"/>
      <c r="G72" s="49"/>
      <c r="H72" s="49"/>
      <c r="I72" s="49"/>
      <c r="J72" s="49"/>
      <c r="K72" s="34"/>
      <c r="L72" s="34"/>
    </row>
    <row r="73" spans="1:12" ht="15.6">
      <c r="A73" s="46" t="s">
        <v>395</v>
      </c>
      <c r="B73" s="49">
        <f>B69-B70</f>
        <v>18006.47</v>
      </c>
      <c r="C73" s="49"/>
      <c r="D73" s="49"/>
      <c r="E73" s="111">
        <f t="shared" si="4"/>
        <v>18006.47</v>
      </c>
      <c r="F73" s="112"/>
      <c r="G73" s="49"/>
      <c r="H73" s="49"/>
      <c r="I73" s="49"/>
      <c r="J73" s="49"/>
      <c r="K73" s="34"/>
      <c r="L73" s="34"/>
    </row>
    <row r="74" spans="1:12">
      <c r="A74" s="34"/>
      <c r="B74" s="34"/>
      <c r="C74" s="34"/>
      <c r="D74" s="36"/>
      <c r="E74" s="36"/>
      <c r="F74" s="38"/>
      <c r="G74" s="34"/>
      <c r="H74" s="34"/>
      <c r="I74" s="34"/>
      <c r="J74" s="34"/>
      <c r="K74" s="34"/>
      <c r="L74" s="34"/>
    </row>
    <row r="75" spans="1:12">
      <c r="A75" s="34"/>
      <c r="B75" s="34"/>
      <c r="C75" s="43"/>
      <c r="D75" s="34"/>
      <c r="E75" s="38"/>
      <c r="F75" s="38"/>
      <c r="G75" s="34"/>
      <c r="H75" s="34"/>
      <c r="I75" s="34"/>
      <c r="J75" s="34"/>
      <c r="K75" s="34"/>
      <c r="L75" s="34"/>
    </row>
    <row r="76" spans="1:12">
      <c r="A76" s="36"/>
      <c r="B76" s="34"/>
      <c r="C76" s="49"/>
      <c r="D76" s="34"/>
      <c r="E76" s="38"/>
      <c r="F76" s="38"/>
      <c r="G76" s="34"/>
      <c r="H76" s="34"/>
      <c r="I76" s="34"/>
      <c r="J76" s="34"/>
      <c r="K76" s="34"/>
      <c r="L76" s="34"/>
    </row>
    <row r="77" spans="1:12">
      <c r="A77" s="34" t="s">
        <v>396</v>
      </c>
      <c r="B77" s="34">
        <f>B19/B64</f>
        <v>1.0575758457762126</v>
      </c>
      <c r="C77" s="50"/>
      <c r="D77" s="34"/>
      <c r="E77" s="34">
        <f>E19/E64</f>
        <v>1.0575758457762126</v>
      </c>
      <c r="F77" s="38"/>
      <c r="G77" s="34"/>
      <c r="H77" s="34">
        <f>H19/H64</f>
        <v>0.93612790588630568</v>
      </c>
      <c r="I77" s="34"/>
      <c r="J77" s="34">
        <f ca="1">H64/J19</f>
        <v>0.95205000722683386</v>
      </c>
      <c r="K77" s="34"/>
      <c r="L77" s="34"/>
    </row>
    <row r="78" spans="1:12">
      <c r="A78" s="34" t="s">
        <v>397</v>
      </c>
      <c r="B78" s="34"/>
      <c r="C78" s="34"/>
      <c r="D78" s="34"/>
      <c r="E78" s="34"/>
      <c r="F78" s="38"/>
      <c r="G78" s="34"/>
      <c r="H78" s="34"/>
      <c r="I78" s="34"/>
      <c r="J78" s="34"/>
      <c r="K78" s="34"/>
      <c r="L78" s="34"/>
    </row>
    <row r="79" spans="1:12">
      <c r="A79" s="34"/>
      <c r="B79" s="34"/>
      <c r="C79" s="34"/>
      <c r="D79" s="34"/>
      <c r="E79" s="38"/>
      <c r="F79" s="38"/>
      <c r="G79" s="34"/>
      <c r="H79" s="34"/>
      <c r="I79" s="34"/>
      <c r="J79" s="34"/>
      <c r="K79" s="34"/>
      <c r="L79" s="34"/>
    </row>
    <row r="80" spans="1:12">
      <c r="A80" s="51" t="s">
        <v>668</v>
      </c>
      <c r="B80" s="51"/>
      <c r="C80" s="51"/>
      <c r="D80" s="54"/>
      <c r="E80" s="33"/>
      <c r="F80" s="33"/>
      <c r="G80" s="51"/>
      <c r="H80" s="51"/>
      <c r="I80" s="51"/>
      <c r="J80" s="34"/>
      <c r="K80" s="34"/>
      <c r="L80" s="34"/>
    </row>
    <row r="81" spans="1:12">
      <c r="A81" s="51" t="s">
        <v>669</v>
      </c>
      <c r="B81" s="34"/>
      <c r="C81" s="52"/>
      <c r="D81" s="52"/>
      <c r="E81" s="38" t="s">
        <v>411</v>
      </c>
      <c r="F81" s="34" t="s">
        <v>412</v>
      </c>
      <c r="G81" s="34"/>
      <c r="I81" s="34" t="s">
        <v>678</v>
      </c>
      <c r="J81" s="34"/>
      <c r="K81" s="34"/>
      <c r="L81" s="34"/>
    </row>
    <row r="82" spans="1:12">
      <c r="D82" s="53"/>
      <c r="E82" s="34" t="s">
        <v>675</v>
      </c>
      <c r="F82" s="34" t="s">
        <v>673</v>
      </c>
      <c r="G82" s="34" t="s">
        <v>23</v>
      </c>
      <c r="I82" s="34" t="s">
        <v>673</v>
      </c>
      <c r="J82" s="34"/>
      <c r="K82" s="34"/>
      <c r="L82" s="34"/>
    </row>
    <row r="83" spans="1:12">
      <c r="A83" s="51" t="s">
        <v>670</v>
      </c>
      <c r="B83" s="34" t="s">
        <v>671</v>
      </c>
      <c r="C83" s="96">
        <v>326.98</v>
      </c>
      <c r="D83" s="47"/>
      <c r="E83" s="4">
        <v>221.62</v>
      </c>
      <c r="F83" s="4">
        <f>2.48*25</f>
        <v>62</v>
      </c>
      <c r="G83" s="4">
        <f>SUM(E83:F83)</f>
        <v>283.62</v>
      </c>
      <c r="I83" s="4">
        <f>C83-G83</f>
        <v>43.360000000000014</v>
      </c>
      <c r="J83" s="4"/>
      <c r="K83" s="34"/>
      <c r="L83" s="34"/>
    </row>
    <row r="84" spans="1:12">
      <c r="A84" s="51" t="s">
        <v>672</v>
      </c>
      <c r="B84" s="34" t="s">
        <v>671</v>
      </c>
      <c r="C84" s="4">
        <v>425.96</v>
      </c>
      <c r="D84" s="34"/>
      <c r="E84" s="4">
        <v>221.62</v>
      </c>
      <c r="F84" s="4">
        <f>2.48*29</f>
        <v>71.92</v>
      </c>
      <c r="G84" s="4">
        <f>SUM(E84:F84)</f>
        <v>293.54000000000002</v>
      </c>
      <c r="I84" s="4">
        <f t="shared" ref="I84:I85" si="8">C84-G84</f>
        <v>132.41999999999996</v>
      </c>
      <c r="J84" s="4"/>
      <c r="K84" s="34"/>
      <c r="L84" s="34"/>
    </row>
    <row r="85" spans="1:12">
      <c r="A85" s="51" t="s">
        <v>674</v>
      </c>
      <c r="B85" s="34" t="s">
        <v>671</v>
      </c>
      <c r="C85" s="4">
        <v>332.36</v>
      </c>
      <c r="D85" s="34"/>
      <c r="E85" s="4">
        <v>221.62</v>
      </c>
      <c r="F85" s="4">
        <f>2.48*35</f>
        <v>86.8</v>
      </c>
      <c r="G85" s="4">
        <f>SUM(E85:F85)</f>
        <v>308.42</v>
      </c>
      <c r="I85" s="4">
        <f t="shared" si="8"/>
        <v>23.939999999999998</v>
      </c>
      <c r="J85" s="4"/>
      <c r="K85" s="34"/>
      <c r="L85" s="34"/>
    </row>
    <row r="86" spans="1:12">
      <c r="E86" s="34"/>
      <c r="F86" s="34"/>
      <c r="G86" s="4"/>
      <c r="H86" s="4"/>
      <c r="I86" s="4"/>
      <c r="J86" s="4"/>
      <c r="K86" s="34"/>
      <c r="L86" s="34"/>
    </row>
    <row r="87" spans="1:12">
      <c r="A87" s="34"/>
      <c r="B87" s="34"/>
      <c r="C87" s="4"/>
      <c r="D87" s="34"/>
      <c r="E87" s="34"/>
      <c r="F87" s="34"/>
      <c r="G87" s="4"/>
      <c r="H87" s="4"/>
      <c r="I87" s="4"/>
      <c r="J87" s="4"/>
      <c r="K87" s="34"/>
      <c r="L87" s="34"/>
    </row>
    <row r="88" spans="1:12">
      <c r="A88" s="34"/>
      <c r="B88" s="34"/>
      <c r="C88" s="4"/>
      <c r="D88" s="34"/>
      <c r="E88" s="34"/>
      <c r="F88" s="34"/>
      <c r="G88" s="4"/>
      <c r="H88" s="4"/>
      <c r="I88" s="4"/>
      <c r="J88" s="4"/>
      <c r="K88" s="34"/>
      <c r="L88" s="34"/>
    </row>
    <row r="89" spans="1:12">
      <c r="D89" s="34"/>
      <c r="E89" s="34"/>
      <c r="F89" s="34"/>
      <c r="G89" s="4"/>
      <c r="H89" s="34"/>
      <c r="I89" s="34"/>
      <c r="J89" s="34"/>
      <c r="K89" s="34"/>
      <c r="L89" s="34"/>
    </row>
    <row r="90" spans="1:12">
      <c r="A90" s="34"/>
      <c r="B90" s="34"/>
      <c r="C90" s="4"/>
      <c r="D90" s="34"/>
      <c r="E90" s="34"/>
      <c r="F90" s="34"/>
      <c r="G90" s="4"/>
      <c r="H90" s="34"/>
      <c r="I90" s="34"/>
      <c r="J90" s="34"/>
      <c r="K90" s="34"/>
      <c r="L90" s="34"/>
    </row>
    <row r="91" spans="1:12">
      <c r="A91" s="34"/>
      <c r="B91" s="34"/>
      <c r="C91" s="4"/>
      <c r="D91" s="34"/>
      <c r="E91" s="34"/>
      <c r="F91" s="34"/>
      <c r="G91" s="4"/>
      <c r="H91" s="34"/>
      <c r="I91" s="34"/>
      <c r="J91" s="34"/>
      <c r="K91" s="34"/>
      <c r="L91" s="34"/>
    </row>
    <row r="92" spans="1: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37"/>
  <sheetViews>
    <sheetView workbookViewId="0"/>
  </sheetViews>
  <sheetFormatPr defaultRowHeight="14.4"/>
  <cols>
    <col min="1" max="2" width="3" style="26" customWidth="1"/>
    <col min="3" max="3" width="28.33203125" style="26" customWidth="1"/>
    <col min="4" max="5" width="2.33203125" style="26" customWidth="1"/>
    <col min="6" max="6" width="13.109375" style="26" bestFit="1" customWidth="1"/>
    <col min="7" max="7" width="2.33203125" style="26" customWidth="1"/>
    <col min="8" max="8" width="7.88671875" style="26" bestFit="1" customWidth="1"/>
    <col min="9" max="9" width="2" style="26" customWidth="1"/>
    <col min="10" max="10" width="4" style="26" hidden="1" customWidth="1"/>
    <col min="11" max="11" width="2.33203125" style="26" hidden="1" customWidth="1"/>
    <col min="12" max="12" width="4.88671875" style="26" hidden="1" customWidth="1"/>
    <col min="13" max="13" width="2.33203125" style="26" hidden="1" customWidth="1"/>
    <col min="14" max="14" width="5.5546875" style="26" customWidth="1"/>
    <col min="15" max="15" width="2.33203125" style="26" customWidth="1"/>
    <col min="16" max="16" width="2.6640625" style="26" bestFit="1" customWidth="1"/>
    <col min="17" max="17" width="2.33203125" style="26" customWidth="1"/>
    <col min="18" max="18" width="20" style="26" bestFit="1" customWidth="1"/>
    <col min="19" max="19" width="2.33203125" style="26" customWidth="1"/>
    <col min="20" max="20" width="7.109375" style="26" bestFit="1" customWidth="1"/>
    <col min="21" max="21" width="12.33203125" customWidth="1"/>
    <col min="22" max="22" width="9.33203125" customWidth="1"/>
  </cols>
  <sheetData>
    <row r="1" spans="1:22" s="9" customFormat="1"/>
    <row r="2" spans="1:22" ht="25.8">
      <c r="A2" s="84" t="s">
        <v>501</v>
      </c>
      <c r="U2" s="84" t="s">
        <v>498</v>
      </c>
    </row>
    <row r="4" spans="1:22">
      <c r="A4" s="83"/>
    </row>
    <row r="5" spans="1:22">
      <c r="A5" s="83"/>
      <c r="B5" s="83"/>
      <c r="C5" s="83"/>
      <c r="D5" s="83"/>
      <c r="E5" s="83"/>
      <c r="F5" s="83" t="s">
        <v>257</v>
      </c>
      <c r="G5" s="83"/>
      <c r="H5" s="83" t="s">
        <v>258</v>
      </c>
      <c r="I5" s="83"/>
      <c r="J5" s="83" t="s">
        <v>259</v>
      </c>
      <c r="K5" s="83"/>
      <c r="L5" s="83" t="s">
        <v>260</v>
      </c>
      <c r="M5" s="83"/>
      <c r="N5" s="83" t="s">
        <v>261</v>
      </c>
      <c r="O5" s="83"/>
      <c r="P5" s="83" t="s">
        <v>262</v>
      </c>
      <c r="Q5" s="83"/>
      <c r="R5" s="83" t="s">
        <v>263</v>
      </c>
      <c r="S5" s="83"/>
      <c r="T5" s="83" t="s">
        <v>42</v>
      </c>
      <c r="U5" s="83" t="s">
        <v>295</v>
      </c>
      <c r="V5" s="83" t="s">
        <v>13</v>
      </c>
    </row>
    <row r="6" spans="1:22">
      <c r="A6" s="83"/>
      <c r="B6" s="83" t="s">
        <v>24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 t="s">
        <v>293</v>
      </c>
      <c r="O6" s="83"/>
      <c r="P6" s="83"/>
      <c r="Q6" s="83"/>
      <c r="R6" s="83"/>
      <c r="S6" s="83"/>
      <c r="T6" s="83"/>
      <c r="U6" s="83" t="s">
        <v>296</v>
      </c>
      <c r="V6" s="83"/>
    </row>
    <row r="7" spans="1:22">
      <c r="A7" s="83"/>
      <c r="B7" s="83"/>
      <c r="C7" s="83" t="s">
        <v>25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>
        <v>55.81</v>
      </c>
      <c r="V7" s="83"/>
    </row>
    <row r="8" spans="1:22">
      <c r="A8" s="83"/>
      <c r="B8" s="83"/>
      <c r="C8" s="83"/>
      <c r="D8" s="83"/>
      <c r="E8" s="83"/>
      <c r="F8" s="83" t="s">
        <v>266</v>
      </c>
      <c r="G8" s="83"/>
      <c r="H8" s="83">
        <v>43496</v>
      </c>
      <c r="I8" s="83"/>
      <c r="J8" s="83"/>
      <c r="K8" s="83"/>
      <c r="L8" s="83"/>
      <c r="M8" s="83"/>
      <c r="N8" s="83" t="s">
        <v>267</v>
      </c>
      <c r="O8" s="83"/>
      <c r="P8" s="83"/>
      <c r="Q8" s="83"/>
      <c r="R8" s="83" t="s">
        <v>292</v>
      </c>
      <c r="S8" s="83"/>
      <c r="T8" s="83">
        <v>3922.94</v>
      </c>
      <c r="U8" s="83">
        <f>U7*N8</f>
        <v>4291.2309000000005</v>
      </c>
      <c r="V8" s="83">
        <f>U8-T8</f>
        <v>368.29090000000042</v>
      </c>
    </row>
    <row r="9" spans="1:22">
      <c r="A9" s="83"/>
      <c r="B9" s="83"/>
      <c r="C9" s="83"/>
      <c r="D9" s="83"/>
      <c r="E9" s="83"/>
      <c r="F9" s="83" t="s">
        <v>266</v>
      </c>
      <c r="G9" s="83"/>
      <c r="H9" s="83">
        <v>43524</v>
      </c>
      <c r="I9" s="83"/>
      <c r="J9" s="83"/>
      <c r="K9" s="83"/>
      <c r="L9" s="83"/>
      <c r="M9" s="83"/>
      <c r="N9" s="83" t="s">
        <v>268</v>
      </c>
      <c r="O9" s="83"/>
      <c r="P9" s="83"/>
      <c r="Q9" s="83"/>
      <c r="R9" s="83" t="s">
        <v>292</v>
      </c>
      <c r="S9" s="83"/>
      <c r="T9" s="83">
        <v>4206.1000000000004</v>
      </c>
      <c r="U9" s="83">
        <f>U7*N9</f>
        <v>4600.9764000000005</v>
      </c>
      <c r="V9" s="83">
        <f>U9-T9</f>
        <v>394.8764000000001</v>
      </c>
    </row>
    <row r="10" spans="1:22">
      <c r="A10" s="83"/>
      <c r="B10" s="83"/>
      <c r="C10" s="83"/>
      <c r="D10" s="83"/>
      <c r="E10" s="83"/>
      <c r="F10" s="83" t="s">
        <v>266</v>
      </c>
      <c r="G10" s="83"/>
      <c r="H10" s="83">
        <v>43555</v>
      </c>
      <c r="I10" s="83"/>
      <c r="J10" s="83"/>
      <c r="K10" s="83"/>
      <c r="L10" s="83"/>
      <c r="M10" s="83"/>
      <c r="N10" s="83" t="s">
        <v>269</v>
      </c>
      <c r="O10" s="83"/>
      <c r="P10" s="83"/>
      <c r="Q10" s="83"/>
      <c r="R10" s="83" t="s">
        <v>292</v>
      </c>
      <c r="S10" s="83"/>
      <c r="T10" s="83">
        <v>4470.37</v>
      </c>
      <c r="U10" s="83">
        <f>U7*N10</f>
        <v>4890.0722000000005</v>
      </c>
      <c r="V10" s="83">
        <f t="shared" ref="V10:V20" si="0">U10-T10</f>
        <v>419.70220000000063</v>
      </c>
    </row>
    <row r="11" spans="1:22">
      <c r="A11" s="83"/>
      <c r="B11" s="83"/>
      <c r="C11" s="83"/>
      <c r="D11" s="83"/>
      <c r="E11" s="83"/>
      <c r="F11" s="83" t="s">
        <v>266</v>
      </c>
      <c r="G11" s="83"/>
      <c r="H11" s="83">
        <v>43585</v>
      </c>
      <c r="I11" s="83"/>
      <c r="J11" s="83"/>
      <c r="K11" s="83"/>
      <c r="L11" s="83"/>
      <c r="M11" s="83"/>
      <c r="N11" s="83" t="s">
        <v>270</v>
      </c>
      <c r="O11" s="83"/>
      <c r="P11" s="83"/>
      <c r="Q11" s="83"/>
      <c r="R11" s="83" t="s">
        <v>292</v>
      </c>
      <c r="S11" s="83"/>
      <c r="T11" s="83">
        <v>3153.03</v>
      </c>
      <c r="U11" s="83">
        <f>U7*N11</f>
        <v>3449.058</v>
      </c>
      <c r="V11" s="83">
        <f t="shared" si="0"/>
        <v>296.02799999999979</v>
      </c>
    </row>
    <row r="12" spans="1:22">
      <c r="A12" s="83"/>
      <c r="B12" s="83"/>
      <c r="C12" s="83"/>
      <c r="D12" s="83"/>
      <c r="E12" s="83"/>
      <c r="F12" s="83" t="s">
        <v>266</v>
      </c>
      <c r="G12" s="83"/>
      <c r="H12" s="83">
        <v>43616</v>
      </c>
      <c r="I12" s="83"/>
      <c r="J12" s="83"/>
      <c r="K12" s="83"/>
      <c r="L12" s="83"/>
      <c r="M12" s="83"/>
      <c r="N12" s="83" t="s">
        <v>271</v>
      </c>
      <c r="O12" s="83"/>
      <c r="P12" s="83"/>
      <c r="Q12" s="83"/>
      <c r="R12" s="83" t="s">
        <v>292</v>
      </c>
      <c r="S12" s="83"/>
      <c r="T12" s="83">
        <v>934.18</v>
      </c>
      <c r="U12" s="83">
        <f>U7*N12</f>
        <v>1021.8810999999999</v>
      </c>
      <c r="V12" s="83">
        <f t="shared" si="0"/>
        <v>87.701099999999997</v>
      </c>
    </row>
    <row r="13" spans="1:22">
      <c r="A13" s="83"/>
      <c r="B13" s="83"/>
      <c r="C13" s="83"/>
      <c r="D13" s="83"/>
      <c r="E13" s="83"/>
      <c r="F13" s="83" t="s">
        <v>266</v>
      </c>
      <c r="G13" s="83"/>
      <c r="H13" s="83">
        <v>43616</v>
      </c>
      <c r="I13" s="83"/>
      <c r="J13" s="83"/>
      <c r="K13" s="83"/>
      <c r="L13" s="83"/>
      <c r="M13" s="83"/>
      <c r="N13" s="83" t="s">
        <v>272</v>
      </c>
      <c r="O13" s="83"/>
      <c r="P13" s="83"/>
      <c r="Q13" s="83"/>
      <c r="R13" s="83" t="s">
        <v>292</v>
      </c>
      <c r="S13" s="83"/>
      <c r="T13" s="83">
        <v>4198.43</v>
      </c>
      <c r="U13" s="83">
        <f>U7*N13</f>
        <v>4592.6049000000003</v>
      </c>
      <c r="V13" s="83">
        <f t="shared" si="0"/>
        <v>394.17489999999998</v>
      </c>
    </row>
    <row r="14" spans="1:22">
      <c r="A14" s="83"/>
      <c r="B14" s="83"/>
      <c r="C14" s="83"/>
      <c r="D14" s="83"/>
      <c r="E14" s="83"/>
      <c r="F14" s="83" t="s">
        <v>266</v>
      </c>
      <c r="G14" s="83"/>
      <c r="H14" s="83">
        <v>43646</v>
      </c>
      <c r="I14" s="83"/>
      <c r="J14" s="83"/>
      <c r="K14" s="83"/>
      <c r="L14" s="83"/>
      <c r="M14" s="83"/>
      <c r="N14" s="83" t="s">
        <v>273</v>
      </c>
      <c r="O14" s="83"/>
      <c r="P14" s="83"/>
      <c r="Q14" s="83"/>
      <c r="R14" s="83" t="s">
        <v>292</v>
      </c>
      <c r="S14" s="83"/>
      <c r="T14" s="83">
        <v>4478.03</v>
      </c>
      <c r="U14" s="83">
        <f>U7*N14</f>
        <v>4898.4436999999998</v>
      </c>
      <c r="V14" s="83">
        <f t="shared" si="0"/>
        <v>420.41370000000006</v>
      </c>
    </row>
    <row r="15" spans="1:22">
      <c r="A15" s="83"/>
      <c r="B15" s="83"/>
      <c r="C15" s="83"/>
      <c r="D15" s="83"/>
      <c r="E15" s="83"/>
      <c r="F15" s="83" t="s">
        <v>266</v>
      </c>
      <c r="G15" s="83"/>
      <c r="H15" s="83">
        <v>43677</v>
      </c>
      <c r="I15" s="83"/>
      <c r="J15" s="83"/>
      <c r="K15" s="83"/>
      <c r="L15" s="83"/>
      <c r="M15" s="83"/>
      <c r="N15" s="83" t="s">
        <v>274</v>
      </c>
      <c r="O15" s="83"/>
      <c r="P15" s="83"/>
      <c r="Q15" s="83"/>
      <c r="R15" s="83" t="s">
        <v>292</v>
      </c>
      <c r="S15" s="83"/>
      <c r="T15" s="83">
        <v>5429.03</v>
      </c>
      <c r="U15" s="83">
        <f>U7*N15</f>
        <v>5938.7421000000004</v>
      </c>
      <c r="V15" s="83">
        <f t="shared" si="0"/>
        <v>509.71210000000065</v>
      </c>
    </row>
    <row r="16" spans="1:22">
      <c r="A16" s="83"/>
      <c r="B16" s="83"/>
      <c r="C16" s="83"/>
      <c r="D16" s="83"/>
      <c r="E16" s="83"/>
      <c r="F16" s="83" t="s">
        <v>266</v>
      </c>
      <c r="G16" s="83"/>
      <c r="H16" s="83">
        <v>43708</v>
      </c>
      <c r="I16" s="83"/>
      <c r="J16" s="83"/>
      <c r="K16" s="83"/>
      <c r="L16" s="83"/>
      <c r="M16" s="83"/>
      <c r="N16" s="83" t="s">
        <v>275</v>
      </c>
      <c r="O16" s="83"/>
      <c r="P16" s="83"/>
      <c r="Q16" s="83"/>
      <c r="R16" s="83" t="s">
        <v>292</v>
      </c>
      <c r="S16" s="83"/>
      <c r="T16" s="83">
        <v>4847.92</v>
      </c>
      <c r="U16" s="83">
        <f>U7*N16</f>
        <v>5303.0662000000002</v>
      </c>
      <c r="V16" s="83">
        <f t="shared" si="0"/>
        <v>455.14620000000014</v>
      </c>
    </row>
    <row r="17" spans="1:23">
      <c r="A17" s="83"/>
      <c r="B17" s="83"/>
      <c r="C17" s="83"/>
      <c r="D17" s="83"/>
      <c r="E17" s="83"/>
      <c r="F17" s="83" t="s">
        <v>266</v>
      </c>
      <c r="G17" s="83"/>
      <c r="H17" s="83">
        <v>43738</v>
      </c>
      <c r="I17" s="83"/>
      <c r="J17" s="83"/>
      <c r="K17" s="83"/>
      <c r="L17" s="83"/>
      <c r="M17" s="83"/>
      <c r="N17" s="83" t="s">
        <v>276</v>
      </c>
      <c r="O17" s="83"/>
      <c r="P17" s="83"/>
      <c r="Q17" s="83"/>
      <c r="R17" s="83" t="s">
        <v>292</v>
      </c>
      <c r="S17" s="83"/>
      <c r="T17" s="83">
        <v>4746.8999999999996</v>
      </c>
      <c r="U17" s="83">
        <f>U7*N17</f>
        <v>5192.5624000000007</v>
      </c>
      <c r="V17" s="83">
        <f t="shared" si="0"/>
        <v>445.66240000000107</v>
      </c>
    </row>
    <row r="18" spans="1:23">
      <c r="A18" s="83"/>
      <c r="B18" s="83"/>
      <c r="C18" s="83"/>
      <c r="D18" s="83"/>
      <c r="E18" s="83"/>
      <c r="F18" s="83" t="s">
        <v>266</v>
      </c>
      <c r="G18" s="83"/>
      <c r="H18" s="83">
        <v>43769</v>
      </c>
      <c r="I18" s="83"/>
      <c r="J18" s="83"/>
      <c r="K18" s="83"/>
      <c r="L18" s="83"/>
      <c r="M18" s="83"/>
      <c r="N18" s="83" t="s">
        <v>277</v>
      </c>
      <c r="O18" s="83"/>
      <c r="P18" s="83"/>
      <c r="Q18" s="83"/>
      <c r="R18" s="83" t="s">
        <v>292</v>
      </c>
      <c r="S18" s="83"/>
      <c r="T18" s="83">
        <v>4027.52</v>
      </c>
      <c r="U18" s="83">
        <f>U7*N18</f>
        <v>4405.6414000000004</v>
      </c>
      <c r="V18" s="83">
        <f t="shared" si="0"/>
        <v>378.12140000000045</v>
      </c>
    </row>
    <row r="19" spans="1:23">
      <c r="A19" s="83"/>
      <c r="B19" s="83"/>
      <c r="C19" s="83"/>
      <c r="D19" s="83"/>
      <c r="E19" s="83"/>
      <c r="F19" s="83" t="s">
        <v>266</v>
      </c>
      <c r="G19" s="83"/>
      <c r="H19" s="83">
        <v>43799</v>
      </c>
      <c r="I19" s="83"/>
      <c r="J19" s="83"/>
      <c r="K19" s="83"/>
      <c r="L19" s="83"/>
      <c r="M19" s="83"/>
      <c r="N19" s="83" t="s">
        <v>278</v>
      </c>
      <c r="O19" s="83"/>
      <c r="P19" s="83"/>
      <c r="Q19" s="83"/>
      <c r="R19" s="83" t="s">
        <v>292</v>
      </c>
      <c r="S19" s="83"/>
      <c r="T19" s="83">
        <v>4308.12</v>
      </c>
      <c r="U19" s="83">
        <f>U7*N19</f>
        <v>4712.5964000000004</v>
      </c>
      <c r="V19" s="83">
        <f t="shared" si="0"/>
        <v>404.47640000000047</v>
      </c>
    </row>
    <row r="20" spans="1:23">
      <c r="A20" s="83"/>
      <c r="B20" s="83"/>
      <c r="C20" s="83"/>
      <c r="D20" s="83"/>
      <c r="E20" s="83"/>
      <c r="F20" s="83" t="s">
        <v>266</v>
      </c>
      <c r="G20" s="83"/>
      <c r="H20" s="83">
        <v>43830</v>
      </c>
      <c r="I20" s="83"/>
      <c r="J20" s="83"/>
      <c r="K20" s="83"/>
      <c r="L20" s="83"/>
      <c r="M20" s="83"/>
      <c r="N20" s="83" t="s">
        <v>279</v>
      </c>
      <c r="O20" s="83"/>
      <c r="P20" s="83"/>
      <c r="Q20" s="83"/>
      <c r="R20" s="83" t="s">
        <v>292</v>
      </c>
      <c r="S20" s="83"/>
      <c r="T20" s="83">
        <v>4872.43</v>
      </c>
      <c r="U20" s="83">
        <f>U7*N20</f>
        <v>5329.8550000000005</v>
      </c>
      <c r="V20" s="83">
        <f t="shared" si="0"/>
        <v>457.42500000000018</v>
      </c>
    </row>
    <row r="21" spans="1:23">
      <c r="A21" s="83"/>
      <c r="B21" s="83"/>
      <c r="C21" s="83" t="s">
        <v>264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297</v>
      </c>
      <c r="O21" s="83"/>
      <c r="P21" s="83"/>
      <c r="Q21" s="83"/>
      <c r="R21" s="83"/>
      <c r="S21" s="83"/>
      <c r="T21" s="83">
        <f>ROUND(SUM(T7:T20),5)</f>
        <v>53595</v>
      </c>
      <c r="U21" s="83">
        <f>SUM(U8:U20)</f>
        <v>58626.730700000007</v>
      </c>
      <c r="V21" s="83">
        <f>SUM(V8:V20)</f>
        <v>5031.7307000000037</v>
      </c>
    </row>
    <row r="22" spans="1:23">
      <c r="A22" s="83"/>
      <c r="B22" s="83"/>
      <c r="C22" s="83" t="s">
        <v>26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 t="s">
        <v>294</v>
      </c>
      <c r="O22" s="83"/>
      <c r="P22" s="83"/>
      <c r="Q22" s="83"/>
      <c r="R22" s="83"/>
      <c r="S22" s="83"/>
      <c r="T22" s="83"/>
      <c r="U22" s="83"/>
      <c r="V22" s="83"/>
    </row>
    <row r="23" spans="1:23">
      <c r="A23" s="83"/>
      <c r="B23" s="83"/>
      <c r="C23" s="83"/>
      <c r="D23" s="83"/>
      <c r="E23" s="83"/>
      <c r="F23" s="83" t="s">
        <v>266</v>
      </c>
      <c r="G23" s="83"/>
      <c r="H23" s="83">
        <v>43496</v>
      </c>
      <c r="I23" s="83"/>
      <c r="J23" s="83"/>
      <c r="K23" s="83"/>
      <c r="L23" s="83"/>
      <c r="M23" s="83"/>
      <c r="N23" s="83" t="s">
        <v>280</v>
      </c>
      <c r="O23" s="83"/>
      <c r="P23" s="83"/>
      <c r="Q23" s="83"/>
      <c r="R23" s="83" t="s">
        <v>292</v>
      </c>
      <c r="S23" s="83"/>
      <c r="T23" s="83">
        <v>168.88</v>
      </c>
      <c r="U23" s="83">
        <f>N23*U7</f>
        <v>184.7311</v>
      </c>
      <c r="V23" s="83">
        <f>U23-T23</f>
        <v>15.851100000000002</v>
      </c>
    </row>
    <row r="24" spans="1:23">
      <c r="A24" s="83"/>
      <c r="B24" s="83"/>
      <c r="C24" s="83"/>
      <c r="D24" s="83"/>
      <c r="E24" s="83"/>
      <c r="F24" s="83" t="s">
        <v>266</v>
      </c>
      <c r="G24" s="83"/>
      <c r="H24" s="83">
        <v>43524</v>
      </c>
      <c r="I24" s="83"/>
      <c r="J24" s="83"/>
      <c r="K24" s="83"/>
      <c r="L24" s="83"/>
      <c r="M24" s="83"/>
      <c r="N24" s="83" t="s">
        <v>281</v>
      </c>
      <c r="O24" s="83"/>
      <c r="P24" s="83"/>
      <c r="Q24" s="83"/>
      <c r="R24" s="83" t="s">
        <v>292</v>
      </c>
      <c r="S24" s="83"/>
      <c r="T24" s="83">
        <v>212.24</v>
      </c>
      <c r="U24" s="83">
        <f>N24*U7</f>
        <v>248.9126</v>
      </c>
      <c r="V24" s="83">
        <f>U24-T24</f>
        <v>36.672599999999989</v>
      </c>
    </row>
    <row r="25" spans="1:23">
      <c r="A25" s="83"/>
      <c r="B25" s="83"/>
      <c r="C25" s="83"/>
      <c r="D25" s="83"/>
      <c r="E25" s="83"/>
      <c r="F25" s="83" t="s">
        <v>266</v>
      </c>
      <c r="G25" s="83"/>
      <c r="H25" s="83">
        <v>43555</v>
      </c>
      <c r="I25" s="83"/>
      <c r="J25" s="83"/>
      <c r="K25" s="83"/>
      <c r="L25" s="83"/>
      <c r="M25" s="83"/>
      <c r="N25" s="83" t="s">
        <v>282</v>
      </c>
      <c r="O25" s="83"/>
      <c r="P25" s="83"/>
      <c r="Q25" s="83"/>
      <c r="R25" s="83" t="s">
        <v>292</v>
      </c>
      <c r="S25" s="83"/>
      <c r="T25" s="83">
        <v>224.99</v>
      </c>
      <c r="U25" s="83">
        <f>N25*U7</f>
        <v>246.12210000000002</v>
      </c>
      <c r="V25" s="83">
        <f t="shared" ref="V25:V34" si="1">U25-T25</f>
        <v>21.132100000000008</v>
      </c>
    </row>
    <row r="26" spans="1:23">
      <c r="A26" s="83"/>
      <c r="B26" s="83"/>
      <c r="C26" s="83"/>
      <c r="D26" s="83"/>
      <c r="E26" s="83"/>
      <c r="F26" s="83" t="s">
        <v>266</v>
      </c>
      <c r="G26" s="83"/>
      <c r="H26" s="83">
        <v>43585</v>
      </c>
      <c r="I26" s="83"/>
      <c r="J26" s="83"/>
      <c r="K26" s="83"/>
      <c r="L26" s="83"/>
      <c r="M26" s="83"/>
      <c r="N26" s="83" t="s">
        <v>283</v>
      </c>
      <c r="O26" s="83"/>
      <c r="P26" s="83"/>
      <c r="Q26" s="83"/>
      <c r="R26" s="83" t="s">
        <v>292</v>
      </c>
      <c r="S26" s="83"/>
      <c r="T26" s="83">
        <v>1339.8</v>
      </c>
      <c r="U26" s="83">
        <f>N26*U7</f>
        <v>1465.5706000000002</v>
      </c>
      <c r="V26" s="83">
        <f t="shared" si="1"/>
        <v>125.77060000000029</v>
      </c>
    </row>
    <row r="27" spans="1:23">
      <c r="A27" s="83"/>
      <c r="B27" s="83"/>
      <c r="C27" s="83"/>
      <c r="D27" s="83"/>
      <c r="E27" s="83"/>
      <c r="F27" s="83" t="s">
        <v>266</v>
      </c>
      <c r="G27" s="83"/>
      <c r="H27" s="83">
        <v>43616</v>
      </c>
      <c r="I27" s="83"/>
      <c r="J27" s="83"/>
      <c r="K27" s="83"/>
      <c r="L27" s="83"/>
      <c r="M27" s="83"/>
      <c r="N27" s="83" t="s">
        <v>284</v>
      </c>
      <c r="O27" s="83"/>
      <c r="P27" s="83"/>
      <c r="Q27" s="83"/>
      <c r="R27" s="83" t="s">
        <v>292</v>
      </c>
      <c r="S27" s="83"/>
      <c r="T27" s="83">
        <v>1108.1400000000001</v>
      </c>
      <c r="U27" s="83">
        <f>N27*U7</f>
        <v>1212.1931999999999</v>
      </c>
      <c r="V27" s="83">
        <f t="shared" si="1"/>
        <v>104.05319999999983</v>
      </c>
    </row>
    <row r="28" spans="1:23">
      <c r="A28" s="83"/>
      <c r="B28" s="83"/>
      <c r="C28" s="83"/>
      <c r="D28" s="83"/>
      <c r="E28" s="83"/>
      <c r="F28" s="83" t="s">
        <v>266</v>
      </c>
      <c r="G28" s="83"/>
      <c r="H28" s="83">
        <v>43646</v>
      </c>
      <c r="I28" s="83"/>
      <c r="J28" s="83"/>
      <c r="K28" s="83"/>
      <c r="L28" s="83"/>
      <c r="M28" s="83"/>
      <c r="N28" s="83" t="s">
        <v>285</v>
      </c>
      <c r="O28" s="83"/>
      <c r="P28" s="83"/>
      <c r="Q28" s="83"/>
      <c r="R28" s="83" t="s">
        <v>292</v>
      </c>
      <c r="S28" s="83"/>
      <c r="T28" s="83">
        <v>930.1</v>
      </c>
      <c r="U28" s="83">
        <f>N28*U7</f>
        <v>1017.4163000000001</v>
      </c>
      <c r="V28" s="83">
        <f t="shared" si="1"/>
        <v>87.316300000000069</v>
      </c>
    </row>
    <row r="29" spans="1:23">
      <c r="A29" s="83"/>
      <c r="B29" s="83"/>
      <c r="C29" s="83"/>
      <c r="D29" s="83"/>
      <c r="E29" s="83"/>
      <c r="F29" s="83" t="s">
        <v>266</v>
      </c>
      <c r="G29" s="83"/>
      <c r="H29" s="83">
        <v>43677</v>
      </c>
      <c r="I29" s="83"/>
      <c r="J29" s="83"/>
      <c r="K29" s="83"/>
      <c r="L29" s="83"/>
      <c r="M29" s="83"/>
      <c r="N29" s="83" t="s">
        <v>286</v>
      </c>
      <c r="O29" s="83"/>
      <c r="P29" s="83"/>
      <c r="Q29" s="83"/>
      <c r="R29" s="83" t="s">
        <v>292</v>
      </c>
      <c r="S29" s="83"/>
      <c r="T29" s="83">
        <v>1066.33</v>
      </c>
      <c r="U29" s="83">
        <f>N29*U7</f>
        <v>1166.4289999999999</v>
      </c>
      <c r="V29" s="83">
        <f t="shared" si="1"/>
        <v>100.09899999999993</v>
      </c>
    </row>
    <row r="30" spans="1:23">
      <c r="A30" s="83"/>
      <c r="B30" s="83"/>
      <c r="C30" s="83"/>
      <c r="D30" s="83"/>
      <c r="E30" s="83"/>
      <c r="F30" s="83" t="s">
        <v>266</v>
      </c>
      <c r="G30" s="83"/>
      <c r="H30" s="83">
        <v>43708</v>
      </c>
      <c r="I30" s="83"/>
      <c r="J30" s="83"/>
      <c r="K30" s="83"/>
      <c r="L30" s="83"/>
      <c r="M30" s="83"/>
      <c r="N30" s="83" t="s">
        <v>287</v>
      </c>
      <c r="O30" s="83"/>
      <c r="P30" s="83"/>
      <c r="Q30" s="83"/>
      <c r="R30" s="83" t="s">
        <v>292</v>
      </c>
      <c r="S30" s="83"/>
      <c r="T30" s="83">
        <v>1233.67</v>
      </c>
      <c r="U30" s="83">
        <f>U7*N30</f>
        <v>1349.4857999999999</v>
      </c>
      <c r="V30" s="83">
        <f t="shared" si="1"/>
        <v>115.81579999999985</v>
      </c>
    </row>
    <row r="31" spans="1:23">
      <c r="A31" s="83"/>
      <c r="B31" s="83"/>
      <c r="C31" s="83"/>
      <c r="D31" s="83"/>
      <c r="E31" s="83"/>
      <c r="F31" s="83" t="s">
        <v>266</v>
      </c>
      <c r="G31" s="83"/>
      <c r="H31" s="83">
        <v>43738</v>
      </c>
      <c r="I31" s="83"/>
      <c r="J31" s="83"/>
      <c r="K31" s="83"/>
      <c r="L31" s="83"/>
      <c r="M31" s="83"/>
      <c r="N31" s="83" t="s">
        <v>288</v>
      </c>
      <c r="O31" s="83"/>
      <c r="P31" s="83"/>
      <c r="Q31" s="83"/>
      <c r="R31" s="83" t="s">
        <v>292</v>
      </c>
      <c r="S31" s="83"/>
      <c r="T31" s="83">
        <v>1479.58</v>
      </c>
      <c r="U31" s="83">
        <f>U7*N31</f>
        <v>1618.49</v>
      </c>
      <c r="V31" s="83">
        <f t="shared" si="1"/>
        <v>138.91000000000008</v>
      </c>
    </row>
    <row r="32" spans="1:23">
      <c r="A32" s="83"/>
      <c r="B32" s="83"/>
      <c r="C32" s="83"/>
      <c r="D32" s="83"/>
      <c r="E32" s="83"/>
      <c r="F32" s="83" t="s">
        <v>266</v>
      </c>
      <c r="G32" s="83"/>
      <c r="H32" s="83">
        <v>43769</v>
      </c>
      <c r="I32" s="83"/>
      <c r="J32" s="83"/>
      <c r="K32" s="83"/>
      <c r="L32" s="83"/>
      <c r="M32" s="83"/>
      <c r="N32" s="83" t="s">
        <v>289</v>
      </c>
      <c r="O32" s="83"/>
      <c r="P32" s="83"/>
      <c r="Q32" s="83"/>
      <c r="R32" s="83" t="s">
        <v>292</v>
      </c>
      <c r="S32" s="83"/>
      <c r="T32" s="83">
        <v>1200.51</v>
      </c>
      <c r="U32" s="83">
        <f>U7*N32</f>
        <v>1313.2093000000002</v>
      </c>
      <c r="V32" s="83">
        <f t="shared" si="1"/>
        <v>112.69930000000022</v>
      </c>
      <c r="W32" s="7"/>
    </row>
    <row r="33" spans="1:23" s="7" customFormat="1">
      <c r="A33" s="83"/>
      <c r="B33" s="83"/>
      <c r="C33" s="83"/>
      <c r="D33" s="83"/>
      <c r="E33" s="83"/>
      <c r="F33" s="83" t="s">
        <v>266</v>
      </c>
      <c r="G33" s="83"/>
      <c r="H33" s="83">
        <v>43799</v>
      </c>
      <c r="I33" s="83"/>
      <c r="J33" s="83"/>
      <c r="K33" s="83"/>
      <c r="L33" s="83"/>
      <c r="M33" s="83"/>
      <c r="N33" s="83" t="s">
        <v>290</v>
      </c>
      <c r="O33" s="83"/>
      <c r="P33" s="83"/>
      <c r="Q33" s="83"/>
      <c r="R33" s="83" t="s">
        <v>292</v>
      </c>
      <c r="S33" s="83"/>
      <c r="T33" s="83">
        <v>852.54</v>
      </c>
      <c r="U33" s="83">
        <f>U7*N33</f>
        <v>932.58510000000012</v>
      </c>
      <c r="V33" s="83">
        <f t="shared" si="1"/>
        <v>80.045100000000161</v>
      </c>
      <c r="W33"/>
    </row>
    <row r="34" spans="1:23">
      <c r="A34" s="83"/>
      <c r="B34" s="83"/>
      <c r="C34" s="83"/>
      <c r="D34" s="83"/>
      <c r="E34" s="83"/>
      <c r="F34" s="83" t="s">
        <v>266</v>
      </c>
      <c r="G34" s="83"/>
      <c r="H34" s="83">
        <v>43830</v>
      </c>
      <c r="I34" s="83"/>
      <c r="J34" s="83"/>
      <c r="K34" s="83"/>
      <c r="L34" s="83"/>
      <c r="M34" s="83"/>
      <c r="N34" s="83" t="s">
        <v>291</v>
      </c>
      <c r="O34" s="83"/>
      <c r="P34" s="83"/>
      <c r="Q34" s="83"/>
      <c r="R34" s="83" t="s">
        <v>292</v>
      </c>
      <c r="S34" s="83"/>
      <c r="T34" s="83">
        <v>265.81</v>
      </c>
      <c r="U34" s="83">
        <f>U7*N34</f>
        <v>290.77010000000001</v>
      </c>
      <c r="V34" s="83">
        <f t="shared" si="1"/>
        <v>24.960100000000011</v>
      </c>
    </row>
    <row r="35" spans="1:23">
      <c r="A35" s="83" t="s">
        <v>23</v>
      </c>
      <c r="B35" s="83"/>
      <c r="C35" s="83" t="s">
        <v>265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 t="s">
        <v>298</v>
      </c>
      <c r="O35" s="83"/>
      <c r="P35" s="83"/>
      <c r="Q35" s="83"/>
      <c r="R35" s="83"/>
      <c r="S35" s="83"/>
      <c r="T35" s="83">
        <f>ROUND(SUM(T22:T34),5)</f>
        <v>10082.59</v>
      </c>
      <c r="U35" s="83">
        <f>SUM(U23:U34)</f>
        <v>11045.915199999999</v>
      </c>
      <c r="V35" s="83">
        <f>SUM(V23:V34)</f>
        <v>963.32520000000045</v>
      </c>
    </row>
    <row r="36" spans="1:23">
      <c r="B36" s="83" t="s">
        <v>27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>
        <f>ROUND(T21+T35,5)</f>
        <v>63677.59</v>
      </c>
      <c r="U36" s="83">
        <f>U21+U35</f>
        <v>69672.645900000003</v>
      </c>
      <c r="V36" s="83">
        <f>V21+V35</f>
        <v>5995.0559000000039</v>
      </c>
    </row>
    <row r="37" spans="1:23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>
        <f>T36</f>
        <v>63677.59</v>
      </c>
      <c r="U37" s="83">
        <f>U36</f>
        <v>69672.645900000003</v>
      </c>
      <c r="V37" s="83">
        <f>V36</f>
        <v>5995.0559000000039</v>
      </c>
    </row>
  </sheetData>
  <printOptions gridLines="1"/>
  <pageMargins left="0" right="0" top="0" bottom="0" header="0.3" footer="0.3"/>
  <pageSetup orientation="landscape" r:id="rId1"/>
  <headerFooter>
    <oddHeader>&amp;L&amp;"Arial,Bold"&amp;8 1:16 PM
&amp;"Arial,Bold"&amp;8 05/21/20
&amp;"Arial,Bold"&amp;8 Accrual Basis&amp;C&amp;"Arial,Bold"&amp;12 STANLEY'S SANITARY SERVICE LLC
&amp;"Arial,Bold"&amp;14 Transaction Detail By Account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45720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45720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4.4"/>
  <cols>
    <col min="1" max="1" width="18.5546875" customWidth="1"/>
    <col min="4" max="4" width="11.33203125" customWidth="1"/>
    <col min="5" max="5" width="10.6640625" customWidth="1"/>
    <col min="7" max="7" width="9.5546875" bestFit="1" customWidth="1"/>
    <col min="8" max="8" width="12.44140625" customWidth="1"/>
  </cols>
  <sheetData>
    <row r="1" spans="1:28" ht="25.8">
      <c r="A1" s="1" t="s">
        <v>0</v>
      </c>
      <c r="B1" s="1"/>
      <c r="C1" s="1"/>
      <c r="D1" s="1"/>
      <c r="E1" s="1"/>
      <c r="F1" s="1"/>
      <c r="G1" s="1" t="s">
        <v>497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3"/>
      <c r="B3" s="3"/>
      <c r="C3" s="3" t="s">
        <v>12</v>
      </c>
      <c r="D3" s="3" t="s">
        <v>13</v>
      </c>
      <c r="E3" s="3">
        <v>2019</v>
      </c>
      <c r="F3" s="2" t="s">
        <v>16</v>
      </c>
      <c r="G3" s="3" t="s">
        <v>34</v>
      </c>
      <c r="H3" s="3" t="s">
        <v>400</v>
      </c>
    </row>
    <row r="4" spans="1:28">
      <c r="A4" s="3" t="s">
        <v>1</v>
      </c>
      <c r="B4" s="3" t="s">
        <v>3</v>
      </c>
      <c r="C4" s="3" t="s">
        <v>7</v>
      </c>
      <c r="D4" s="3" t="s">
        <v>14</v>
      </c>
      <c r="E4" s="3" t="s">
        <v>15</v>
      </c>
      <c r="F4" s="3" t="s">
        <v>17</v>
      </c>
      <c r="G4" s="3" t="s">
        <v>34</v>
      </c>
      <c r="H4" s="3" t="s">
        <v>603</v>
      </c>
    </row>
    <row r="5" spans="1:28">
      <c r="G5" s="3" t="s">
        <v>35</v>
      </c>
      <c r="H5" s="3" t="s">
        <v>497</v>
      </c>
    </row>
    <row r="6" spans="1:28">
      <c r="G6" s="3" t="s">
        <v>36</v>
      </c>
    </row>
    <row r="7" spans="1:28">
      <c r="A7" s="51" t="s">
        <v>8</v>
      </c>
    </row>
    <row r="8" spans="1:28">
      <c r="H8" s="51"/>
    </row>
    <row r="9" spans="1:28">
      <c r="A9" t="s">
        <v>2</v>
      </c>
      <c r="B9">
        <v>762</v>
      </c>
      <c r="C9">
        <v>26</v>
      </c>
      <c r="D9">
        <f>C9*B9</f>
        <v>19812</v>
      </c>
      <c r="E9">
        <v>19138</v>
      </c>
      <c r="F9">
        <f>D9-E9</f>
        <v>674</v>
      </c>
      <c r="G9" s="12">
        <v>43739</v>
      </c>
      <c r="H9" s="51"/>
    </row>
    <row r="10" spans="1:28">
      <c r="A10" t="s">
        <v>4</v>
      </c>
      <c r="B10">
        <v>1122</v>
      </c>
      <c r="C10">
        <v>16</v>
      </c>
      <c r="D10">
        <f t="shared" ref="D10:D18" si="0">C10*B10</f>
        <v>17952</v>
      </c>
      <c r="E10">
        <v>17071</v>
      </c>
      <c r="F10">
        <f t="shared" ref="F10:F13" si="1">D10-E10</f>
        <v>881</v>
      </c>
      <c r="G10" s="12">
        <v>43739</v>
      </c>
      <c r="H10" s="51"/>
    </row>
    <row r="11" spans="1:28">
      <c r="A11" t="s">
        <v>5</v>
      </c>
      <c r="B11">
        <v>892</v>
      </c>
      <c r="C11">
        <v>25</v>
      </c>
      <c r="D11">
        <f t="shared" si="0"/>
        <v>22300</v>
      </c>
      <c r="E11">
        <v>20846</v>
      </c>
      <c r="F11">
        <f t="shared" si="1"/>
        <v>1454</v>
      </c>
      <c r="G11" s="12">
        <v>43739</v>
      </c>
      <c r="H11" s="51"/>
    </row>
    <row r="12" spans="1:28">
      <c r="A12" t="s">
        <v>6</v>
      </c>
      <c r="B12">
        <v>1736</v>
      </c>
      <c r="C12">
        <v>30</v>
      </c>
      <c r="D12">
        <v>52080</v>
      </c>
      <c r="E12">
        <v>52080</v>
      </c>
      <c r="F12">
        <f t="shared" si="1"/>
        <v>0</v>
      </c>
      <c r="G12" s="12">
        <v>43466</v>
      </c>
      <c r="H12" s="51"/>
    </row>
    <row r="13" spans="1:28">
      <c r="A13" t="s">
        <v>31</v>
      </c>
      <c r="B13">
        <v>4</v>
      </c>
      <c r="C13">
        <v>15</v>
      </c>
      <c r="D13" s="10">
        <v>52</v>
      </c>
      <c r="E13" s="10">
        <v>52</v>
      </c>
      <c r="F13">
        <f t="shared" si="1"/>
        <v>0</v>
      </c>
      <c r="G13" t="s">
        <v>37</v>
      </c>
      <c r="H13" s="51"/>
    </row>
    <row r="14" spans="1:28">
      <c r="B14" s="51">
        <f>SUM(B9:B13)</f>
        <v>4516</v>
      </c>
      <c r="D14" s="2">
        <f>SUM(D9:D13)</f>
        <v>112196</v>
      </c>
      <c r="E14" s="11">
        <f>SUM(E9:E13)</f>
        <v>109187</v>
      </c>
      <c r="F14" s="2">
        <f>SUM(F9:F13)</f>
        <v>3009</v>
      </c>
      <c r="H14" s="51">
        <f>F14</f>
        <v>3009</v>
      </c>
    </row>
    <row r="15" spans="1:28">
      <c r="H15" s="51"/>
    </row>
    <row r="16" spans="1:28">
      <c r="A16" s="51" t="s">
        <v>9</v>
      </c>
      <c r="H16" s="51"/>
    </row>
    <row r="17" spans="1:8">
      <c r="H17" s="51"/>
    </row>
    <row r="18" spans="1:8">
      <c r="A18" t="s">
        <v>10</v>
      </c>
      <c r="B18" s="51">
        <v>1093</v>
      </c>
      <c r="C18">
        <v>18</v>
      </c>
      <c r="D18">
        <f t="shared" si="0"/>
        <v>19674</v>
      </c>
      <c r="E18">
        <v>13017</v>
      </c>
      <c r="F18">
        <f>D18-E18</f>
        <v>6657</v>
      </c>
      <c r="G18" s="12">
        <v>43739</v>
      </c>
      <c r="H18" s="51" t="s">
        <v>38</v>
      </c>
    </row>
    <row r="19" spans="1:8">
      <c r="A19" t="s">
        <v>11</v>
      </c>
      <c r="D19">
        <v>95500</v>
      </c>
      <c r="E19">
        <v>95500</v>
      </c>
      <c r="F19">
        <f>D19-E19</f>
        <v>0</v>
      </c>
      <c r="H19" s="51"/>
    </row>
    <row r="20" spans="1:8">
      <c r="H20" s="51"/>
    </row>
    <row r="21" spans="1:8">
      <c r="D21" s="2">
        <f>SUM(D18:D20)</f>
        <v>115174</v>
      </c>
      <c r="E21" s="2">
        <f>SUM(E18:E20)</f>
        <v>108517</v>
      </c>
      <c r="F21" s="2">
        <f>SUM(F18:F20)</f>
        <v>6657</v>
      </c>
      <c r="H21" s="51">
        <f>F21</f>
        <v>6657</v>
      </c>
    </row>
    <row r="22" spans="1:8">
      <c r="H22" s="51"/>
    </row>
    <row r="23" spans="1:8">
      <c r="D23" s="2">
        <f>D14+D21</f>
        <v>227370</v>
      </c>
      <c r="E23" s="2">
        <f>E14+E21</f>
        <v>217704</v>
      </c>
      <c r="F23" s="2">
        <f>F14+F18</f>
        <v>9666</v>
      </c>
      <c r="H23" s="51"/>
    </row>
    <row r="24" spans="1:8">
      <c r="H24" s="51"/>
    </row>
    <row r="25" spans="1:8">
      <c r="H25" s="51"/>
    </row>
    <row r="26" spans="1:8">
      <c r="A26" t="s">
        <v>18</v>
      </c>
      <c r="H26" s="51"/>
    </row>
    <row r="27" spans="1:8">
      <c r="A27" t="s">
        <v>19</v>
      </c>
      <c r="H27" s="51"/>
    </row>
    <row r="28" spans="1:8">
      <c r="H28" s="51"/>
    </row>
    <row r="29" spans="1:8">
      <c r="H29" s="51"/>
    </row>
    <row r="30" spans="1:8">
      <c r="A30" t="s">
        <v>724</v>
      </c>
      <c r="H30" s="51"/>
    </row>
    <row r="31" spans="1:8">
      <c r="A31" t="s">
        <v>20</v>
      </c>
      <c r="B31">
        <v>1.1000000000000001E-3</v>
      </c>
      <c r="D31">
        <f>F23</f>
        <v>9666</v>
      </c>
      <c r="F31" s="10">
        <f>B31*D31</f>
        <v>10.6326</v>
      </c>
      <c r="H31" s="53">
        <f>F31</f>
        <v>10.6326</v>
      </c>
    </row>
    <row r="32" spans="1:8">
      <c r="A32" t="s">
        <v>32</v>
      </c>
      <c r="B32">
        <v>1.4500000000000001E-2</v>
      </c>
      <c r="D32">
        <f>F23</f>
        <v>9666</v>
      </c>
      <c r="F32" s="10">
        <f t="shared" ref="F32:F34" si="2">B32*D32</f>
        <v>140.15700000000001</v>
      </c>
      <c r="H32" s="53">
        <f>F32</f>
        <v>140.15700000000001</v>
      </c>
    </row>
    <row r="33" spans="1:8">
      <c r="A33" t="s">
        <v>33</v>
      </c>
      <c r="B33">
        <v>6.2E-2</v>
      </c>
      <c r="D33">
        <f>F23</f>
        <v>9666</v>
      </c>
      <c r="F33" s="10">
        <f t="shared" si="2"/>
        <v>599.29200000000003</v>
      </c>
      <c r="H33" s="53">
        <f>F33</f>
        <v>599.29200000000003</v>
      </c>
    </row>
    <row r="34" spans="1:8">
      <c r="A34" t="s">
        <v>21</v>
      </c>
      <c r="B34">
        <v>1.2999999999999999E-3</v>
      </c>
      <c r="D34">
        <f>F23</f>
        <v>9666</v>
      </c>
      <c r="F34" s="10">
        <f t="shared" si="2"/>
        <v>12.565799999999999</v>
      </c>
      <c r="H34" s="53">
        <f>F34</f>
        <v>12.565799999999999</v>
      </c>
    </row>
    <row r="35" spans="1:8">
      <c r="F35" s="10"/>
      <c r="H35" s="51"/>
    </row>
    <row r="36" spans="1:8">
      <c r="A36" s="2" t="s">
        <v>22</v>
      </c>
      <c r="F36" s="53">
        <f>SUM(F31:F35)</f>
        <v>762.64739999999995</v>
      </c>
      <c r="H36" s="51"/>
    </row>
    <row r="37" spans="1:8">
      <c r="H37" s="51"/>
    </row>
    <row r="38" spans="1:8" ht="23.4">
      <c r="A38" s="88" t="s">
        <v>604</v>
      </c>
      <c r="F38" s="10"/>
      <c r="H38" s="51"/>
    </row>
    <row r="39" spans="1:8">
      <c r="B39" s="3">
        <v>2019</v>
      </c>
      <c r="C39" s="3">
        <v>2019</v>
      </c>
      <c r="D39" s="3">
        <v>2020</v>
      </c>
      <c r="E39" s="3"/>
      <c r="F39" s="10"/>
      <c r="H39" s="51"/>
    </row>
    <row r="40" spans="1:8">
      <c r="B40" s="3" t="s">
        <v>606</v>
      </c>
      <c r="C40" s="3" t="s">
        <v>608</v>
      </c>
      <c r="D40" s="3" t="s">
        <v>609</v>
      </c>
      <c r="E40" s="3" t="s">
        <v>608</v>
      </c>
      <c r="F40" s="11"/>
      <c r="H40" s="51"/>
    </row>
    <row r="41" spans="1:8">
      <c r="C41" s="3" t="s">
        <v>610</v>
      </c>
      <c r="D41" s="3" t="s">
        <v>610</v>
      </c>
      <c r="E41" s="51" t="s">
        <v>611</v>
      </c>
      <c r="H41" s="51"/>
    </row>
    <row r="42" spans="1:8">
      <c r="H42" s="51"/>
    </row>
    <row r="43" spans="1:8">
      <c r="A43" t="s">
        <v>605</v>
      </c>
      <c r="B43">
        <f>B14</f>
        <v>4516</v>
      </c>
      <c r="C43">
        <v>2.0110999999999999</v>
      </c>
      <c r="D43">
        <v>1.8491</v>
      </c>
      <c r="E43">
        <f>D43-C43</f>
        <v>-0.16199999999999992</v>
      </c>
      <c r="F43" s="10">
        <f>B43*E43</f>
        <v>-731.59199999999964</v>
      </c>
      <c r="H43" s="51"/>
    </row>
    <row r="44" spans="1:8">
      <c r="A44" t="s">
        <v>607</v>
      </c>
      <c r="B44">
        <f>B18</f>
        <v>1093</v>
      </c>
      <c r="C44">
        <v>0.14080000000000001</v>
      </c>
      <c r="D44">
        <v>0.14849999999999999</v>
      </c>
      <c r="E44" s="34">
        <f>D44-C44</f>
        <v>7.6999999999999846E-3</v>
      </c>
      <c r="F44" s="47">
        <f>B44*E44</f>
        <v>8.4160999999999824</v>
      </c>
      <c r="H44" s="51"/>
    </row>
    <row r="45" spans="1:8">
      <c r="F45" s="53">
        <f>SUM(F43:F44)</f>
        <v>-723.17589999999961</v>
      </c>
      <c r="G45" s="51"/>
      <c r="H45" s="53">
        <f>F45</f>
        <v>-723.17589999999961</v>
      </c>
    </row>
    <row r="46" spans="1:8">
      <c r="A46" t="s">
        <v>725</v>
      </c>
    </row>
    <row r="49" spans="1:8">
      <c r="A49" s="51" t="s">
        <v>612</v>
      </c>
      <c r="B49" s="51"/>
      <c r="C49" s="51"/>
      <c r="D49" s="51"/>
      <c r="E49" s="51"/>
      <c r="F49" s="51"/>
      <c r="G49" s="51"/>
      <c r="H49" s="53">
        <f>SUM(H14:H47)</f>
        <v>9705.4714999999997</v>
      </c>
    </row>
  </sheetData>
  <printOptions gridLines="1"/>
  <pageMargins left="0" right="0" top="0" bottom="0.2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6"/>
  <sheetViews>
    <sheetView workbookViewId="0"/>
  </sheetViews>
  <sheetFormatPr defaultRowHeight="14.4"/>
  <cols>
    <col min="1" max="2" width="3" style="26" customWidth="1"/>
    <col min="3" max="3" width="6.33203125" style="26" customWidth="1"/>
    <col min="4" max="5" width="2.33203125" style="26" hidden="1" customWidth="1"/>
    <col min="6" max="6" width="8.5546875" style="26" customWidth="1"/>
    <col min="7" max="7" width="2.33203125" style="26" hidden="1" customWidth="1"/>
    <col min="8" max="8" width="7.88671875" style="26" bestFit="1" customWidth="1"/>
    <col min="9" max="9" width="2.33203125" style="26" customWidth="1"/>
    <col min="10" max="10" width="4.44140625" style="26" customWidth="1"/>
    <col min="11" max="11" width="2.33203125" style="26" hidden="1" customWidth="1"/>
    <col min="12" max="12" width="9.6640625" style="26" bestFit="1" customWidth="1"/>
    <col min="13" max="13" width="0.88671875" style="26" customWidth="1"/>
    <col min="14" max="14" width="27" style="26" customWidth="1"/>
    <col min="15" max="15" width="2.33203125" style="26" hidden="1" customWidth="1"/>
    <col min="16" max="16" width="1.109375" style="26" hidden="1" customWidth="1"/>
    <col min="17" max="17" width="2.33203125" style="26" hidden="1" customWidth="1"/>
    <col min="18" max="18" width="18.109375" style="26" bestFit="1" customWidth="1"/>
    <col min="19" max="19" width="2.33203125" style="26" customWidth="1"/>
    <col min="20" max="20" width="6.33203125" style="26" bestFit="1" customWidth="1"/>
    <col min="21" max="21" width="2.33203125" style="26" customWidth="1"/>
    <col min="22" max="23" width="5.88671875" customWidth="1"/>
    <col min="24" max="24" width="16" customWidth="1"/>
  </cols>
  <sheetData>
    <row r="1" spans="1:25" s="9" customFormat="1"/>
    <row r="2" spans="1:25" ht="23.4">
      <c r="A2" s="82" t="s">
        <v>494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 t="s">
        <v>495</v>
      </c>
      <c r="S2" s="82"/>
      <c r="T2" s="82"/>
    </row>
    <row r="5" spans="1:25" ht="15" thickBot="1">
      <c r="A5" s="25"/>
      <c r="B5" s="25"/>
      <c r="C5" s="25"/>
      <c r="D5" s="25"/>
      <c r="E5" s="25"/>
      <c r="F5" s="8" t="s">
        <v>257</v>
      </c>
      <c r="G5" s="25"/>
      <c r="H5" s="8" t="s">
        <v>258</v>
      </c>
      <c r="I5" s="25"/>
      <c r="J5" s="8" t="s">
        <v>259</v>
      </c>
      <c r="K5" s="25"/>
      <c r="L5" s="8" t="s">
        <v>260</v>
      </c>
      <c r="M5" s="25"/>
      <c r="N5" s="8" t="s">
        <v>261</v>
      </c>
      <c r="O5" s="25"/>
      <c r="P5" s="8" t="s">
        <v>262</v>
      </c>
      <c r="Q5" s="25"/>
      <c r="R5" s="8" t="s">
        <v>263</v>
      </c>
      <c r="S5" s="25"/>
      <c r="T5" s="8" t="s">
        <v>42</v>
      </c>
      <c r="U5" s="25"/>
      <c r="V5" s="9"/>
      <c r="W5" s="9">
        <v>2020</v>
      </c>
      <c r="X5" s="9"/>
      <c r="Y5" s="9"/>
    </row>
    <row r="6" spans="1:25" ht="15" thickTop="1">
      <c r="A6" s="6"/>
      <c r="B6" s="6" t="s">
        <v>28</v>
      </c>
      <c r="C6" s="6"/>
      <c r="D6" s="6"/>
      <c r="E6" s="6"/>
      <c r="F6" s="6"/>
      <c r="G6" s="6"/>
      <c r="H6" s="1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7"/>
      <c r="U6" s="6"/>
      <c r="W6" t="s">
        <v>329</v>
      </c>
    </row>
    <row r="7" spans="1:25">
      <c r="A7" s="6"/>
      <c r="B7" s="6"/>
      <c r="C7" s="6" t="s">
        <v>29</v>
      </c>
      <c r="D7" s="6"/>
      <c r="E7" s="6"/>
      <c r="F7" s="6"/>
      <c r="G7" s="6"/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"/>
      <c r="U7" s="6"/>
    </row>
    <row r="8" spans="1:25">
      <c r="A8" s="18"/>
      <c r="B8" s="18"/>
      <c r="C8" s="18"/>
      <c r="D8" s="18"/>
      <c r="E8" s="18"/>
      <c r="F8" s="18" t="s">
        <v>300</v>
      </c>
      <c r="G8" s="18"/>
      <c r="H8" s="19">
        <v>43472</v>
      </c>
      <c r="I8" s="18"/>
      <c r="J8" s="18" t="s">
        <v>301</v>
      </c>
      <c r="K8" s="18"/>
      <c r="L8" s="18" t="s">
        <v>309</v>
      </c>
      <c r="M8" s="18"/>
      <c r="N8" s="18" t="s">
        <v>313</v>
      </c>
      <c r="O8" s="18"/>
      <c r="P8" s="20"/>
      <c r="Q8" s="18"/>
      <c r="R8" s="18" t="s">
        <v>323</v>
      </c>
      <c r="S8" s="18"/>
      <c r="T8" s="21">
        <v>994</v>
      </c>
      <c r="U8" s="18"/>
      <c r="V8" s="10"/>
      <c r="W8">
        <v>994</v>
      </c>
    </row>
    <row r="9" spans="1:25">
      <c r="A9" s="18"/>
      <c r="B9" s="18"/>
      <c r="C9" s="18"/>
      <c r="D9" s="18"/>
      <c r="E9" s="18"/>
      <c r="F9" s="18" t="s">
        <v>300</v>
      </c>
      <c r="G9" s="18"/>
      <c r="H9" s="19">
        <v>43566</v>
      </c>
      <c r="I9" s="18"/>
      <c r="J9" s="18" t="s">
        <v>302</v>
      </c>
      <c r="K9" s="18"/>
      <c r="L9" s="18" t="s">
        <v>309</v>
      </c>
      <c r="M9" s="18"/>
      <c r="N9" s="18" t="s">
        <v>314</v>
      </c>
      <c r="O9" s="18"/>
      <c r="P9" s="20"/>
      <c r="Q9" s="18"/>
      <c r="R9" s="18" t="s">
        <v>323</v>
      </c>
      <c r="S9" s="18"/>
      <c r="T9" s="21">
        <v>866</v>
      </c>
      <c r="U9" s="18"/>
      <c r="V9" s="10">
        <v>-866</v>
      </c>
      <c r="X9" t="s">
        <v>325</v>
      </c>
    </row>
    <row r="10" spans="1:25">
      <c r="A10" s="18"/>
      <c r="B10" s="18"/>
      <c r="C10" s="18"/>
      <c r="D10" s="18"/>
      <c r="E10" s="18"/>
      <c r="F10" s="18" t="s">
        <v>266</v>
      </c>
      <c r="G10" s="18"/>
      <c r="H10" s="19">
        <v>43574</v>
      </c>
      <c r="I10" s="18"/>
      <c r="J10" s="18"/>
      <c r="K10" s="18"/>
      <c r="L10" s="18" t="s">
        <v>310</v>
      </c>
      <c r="M10" s="18"/>
      <c r="N10" s="18" t="s">
        <v>315</v>
      </c>
      <c r="O10" s="18"/>
      <c r="P10" s="20"/>
      <c r="Q10" s="18"/>
      <c r="R10" s="18" t="s">
        <v>324</v>
      </c>
      <c r="S10" s="18"/>
      <c r="T10" s="21">
        <v>672</v>
      </c>
      <c r="U10" s="18"/>
      <c r="V10" s="10">
        <v>-672</v>
      </c>
      <c r="X10" t="s">
        <v>325</v>
      </c>
    </row>
    <row r="11" spans="1:25">
      <c r="A11" s="18"/>
      <c r="B11" s="18"/>
      <c r="C11" s="18"/>
      <c r="D11" s="18"/>
      <c r="E11" s="18"/>
      <c r="F11" s="18" t="s">
        <v>266</v>
      </c>
      <c r="G11" s="18"/>
      <c r="H11" s="19">
        <v>43574</v>
      </c>
      <c r="I11" s="18"/>
      <c r="J11" s="18"/>
      <c r="K11" s="18"/>
      <c r="L11" s="18" t="s">
        <v>310</v>
      </c>
      <c r="M11" s="18"/>
      <c r="N11" s="18" t="s">
        <v>316</v>
      </c>
      <c r="O11" s="18"/>
      <c r="P11" s="20"/>
      <c r="Q11" s="18"/>
      <c r="R11" s="18" t="s">
        <v>324</v>
      </c>
      <c r="S11" s="18"/>
      <c r="T11" s="21">
        <v>672</v>
      </c>
      <c r="U11" s="18"/>
      <c r="V11" s="10">
        <v>-672</v>
      </c>
      <c r="X11" t="s">
        <v>325</v>
      </c>
    </row>
    <row r="12" spans="1:25">
      <c r="A12" s="18"/>
      <c r="B12" s="18"/>
      <c r="C12" s="18"/>
      <c r="D12" s="18"/>
      <c r="E12" s="18"/>
      <c r="F12" s="18" t="s">
        <v>300</v>
      </c>
      <c r="G12" s="18"/>
      <c r="H12" s="19">
        <v>43575</v>
      </c>
      <c r="I12" s="18"/>
      <c r="J12" s="18" t="s">
        <v>303</v>
      </c>
      <c r="K12" s="18"/>
      <c r="L12" s="18" t="s">
        <v>309</v>
      </c>
      <c r="M12" s="18"/>
      <c r="N12" s="18" t="s">
        <v>317</v>
      </c>
      <c r="O12" s="18"/>
      <c r="P12" s="20"/>
      <c r="Q12" s="18"/>
      <c r="R12" s="18" t="s">
        <v>323</v>
      </c>
      <c r="S12" s="18"/>
      <c r="T12" s="21">
        <v>866</v>
      </c>
      <c r="U12" s="18"/>
      <c r="V12" s="10">
        <v>-866</v>
      </c>
      <c r="X12" t="s">
        <v>325</v>
      </c>
    </row>
    <row r="13" spans="1:25">
      <c r="A13" s="18"/>
      <c r="B13" s="18"/>
      <c r="C13" s="18"/>
      <c r="D13" s="18"/>
      <c r="E13" s="18"/>
      <c r="F13" s="18" t="s">
        <v>266</v>
      </c>
      <c r="G13" s="18"/>
      <c r="H13" s="19">
        <v>43684</v>
      </c>
      <c r="I13" s="18"/>
      <c r="J13" s="18"/>
      <c r="K13" s="18"/>
      <c r="L13" s="18" t="s">
        <v>311</v>
      </c>
      <c r="M13" s="18"/>
      <c r="N13" s="18" t="s">
        <v>318</v>
      </c>
      <c r="O13" s="18"/>
      <c r="P13" s="20"/>
      <c r="Q13" s="18"/>
      <c r="R13" s="18" t="s">
        <v>324</v>
      </c>
      <c r="S13" s="18"/>
      <c r="T13" s="21">
        <v>42.89</v>
      </c>
      <c r="U13" s="18"/>
      <c r="V13" s="10"/>
      <c r="W13">
        <v>43</v>
      </c>
    </row>
    <row r="14" spans="1:25">
      <c r="A14" s="18"/>
      <c r="B14" s="18"/>
      <c r="C14" s="18"/>
      <c r="D14" s="18"/>
      <c r="E14" s="18"/>
      <c r="F14" s="18" t="s">
        <v>300</v>
      </c>
      <c r="G14" s="18"/>
      <c r="H14" s="19">
        <v>43690</v>
      </c>
      <c r="I14" s="18"/>
      <c r="J14" s="18" t="s">
        <v>304</v>
      </c>
      <c r="K14" s="18"/>
      <c r="L14" s="18" t="s">
        <v>312</v>
      </c>
      <c r="M14" s="18"/>
      <c r="N14" s="18" t="s">
        <v>319</v>
      </c>
      <c r="O14" s="18"/>
      <c r="P14" s="20"/>
      <c r="Q14" s="18"/>
      <c r="R14" s="18" t="s">
        <v>323</v>
      </c>
      <c r="S14" s="18"/>
      <c r="T14" s="21">
        <v>550</v>
      </c>
      <c r="U14" s="18"/>
      <c r="V14" s="10"/>
      <c r="W14">
        <v>550</v>
      </c>
    </row>
    <row r="15" spans="1:25">
      <c r="A15" s="18"/>
      <c r="B15" s="18"/>
      <c r="C15" s="18"/>
      <c r="D15" s="18"/>
      <c r="E15" s="18"/>
      <c r="F15" s="18" t="s">
        <v>300</v>
      </c>
      <c r="G15" s="18"/>
      <c r="H15" s="19">
        <v>43691</v>
      </c>
      <c r="I15" s="18"/>
      <c r="J15" s="18" t="s">
        <v>305</v>
      </c>
      <c r="K15" s="18"/>
      <c r="L15" s="18" t="s">
        <v>309</v>
      </c>
      <c r="M15" s="18"/>
      <c r="N15" s="18" t="s">
        <v>330</v>
      </c>
      <c r="O15" s="18"/>
      <c r="P15" s="20"/>
      <c r="Q15" s="18"/>
      <c r="R15" s="18" t="s">
        <v>323</v>
      </c>
      <c r="S15" s="18"/>
      <c r="T15" s="21">
        <v>1367</v>
      </c>
      <c r="U15" s="18"/>
      <c r="V15" s="10"/>
      <c r="W15">
        <v>1367</v>
      </c>
    </row>
    <row r="16" spans="1:25">
      <c r="A16" s="18"/>
      <c r="B16" s="18"/>
      <c r="C16" s="18"/>
      <c r="D16" s="18"/>
      <c r="E16" s="18"/>
      <c r="F16" s="18" t="s">
        <v>300</v>
      </c>
      <c r="G16" s="18"/>
      <c r="H16" s="19">
        <v>43725</v>
      </c>
      <c r="I16" s="18"/>
      <c r="J16" s="18" t="s">
        <v>306</v>
      </c>
      <c r="K16" s="18"/>
      <c r="L16" s="18" t="s">
        <v>309</v>
      </c>
      <c r="M16" s="18"/>
      <c r="N16" s="18" t="s">
        <v>320</v>
      </c>
      <c r="O16" s="18"/>
      <c r="P16" s="20"/>
      <c r="Q16" s="18"/>
      <c r="R16" s="18" t="s">
        <v>323</v>
      </c>
      <c r="S16" s="18"/>
      <c r="T16" s="21">
        <v>47.25</v>
      </c>
      <c r="U16" s="18"/>
      <c r="V16" s="10"/>
      <c r="W16">
        <v>47</v>
      </c>
    </row>
    <row r="17" spans="1:25" s="7" customFormat="1">
      <c r="A17" s="18"/>
      <c r="B17" s="18"/>
      <c r="C17" s="18"/>
      <c r="D17" s="18"/>
      <c r="E17" s="18"/>
      <c r="F17" s="18" t="s">
        <v>300</v>
      </c>
      <c r="G17" s="18"/>
      <c r="H17" s="19">
        <v>43809</v>
      </c>
      <c r="I17" s="18"/>
      <c r="J17" s="18" t="s">
        <v>307</v>
      </c>
      <c r="K17" s="18"/>
      <c r="L17" s="18" t="s">
        <v>309</v>
      </c>
      <c r="M17" s="18"/>
      <c r="N17" s="18" t="s">
        <v>321</v>
      </c>
      <c r="O17" s="18"/>
      <c r="P17" s="20"/>
      <c r="Q17" s="18"/>
      <c r="R17" s="18" t="s">
        <v>323</v>
      </c>
      <c r="S17" s="18"/>
      <c r="T17" s="21">
        <v>1230</v>
      </c>
      <c r="U17" s="18"/>
      <c r="V17" s="10"/>
      <c r="W17">
        <v>1230</v>
      </c>
      <c r="X17"/>
      <c r="Y17"/>
    </row>
    <row r="18" spans="1:25" ht="15" thickBot="1">
      <c r="A18" s="18"/>
      <c r="B18" s="18"/>
      <c r="C18" s="18"/>
      <c r="D18" s="18"/>
      <c r="E18" s="18"/>
      <c r="F18" s="18" t="s">
        <v>300</v>
      </c>
      <c r="G18" s="18"/>
      <c r="H18" s="19">
        <v>43812</v>
      </c>
      <c r="I18" s="18"/>
      <c r="J18" s="18" t="s">
        <v>308</v>
      </c>
      <c r="K18" s="18"/>
      <c r="L18" s="18" t="s">
        <v>310</v>
      </c>
      <c r="M18" s="18"/>
      <c r="N18" s="18" t="s">
        <v>322</v>
      </c>
      <c r="O18" s="18"/>
      <c r="P18" s="20"/>
      <c r="Q18" s="18"/>
      <c r="R18" s="18" t="s">
        <v>323</v>
      </c>
      <c r="S18" s="18"/>
      <c r="T18" s="22">
        <v>180</v>
      </c>
      <c r="U18" s="18"/>
      <c r="V18" s="10">
        <f>W18-T18</f>
        <v>2160</v>
      </c>
      <c r="W18">
        <v>2340</v>
      </c>
      <c r="X18" t="s">
        <v>326</v>
      </c>
    </row>
    <row r="19" spans="1:25" ht="15" thickBot="1">
      <c r="A19" s="18"/>
      <c r="B19" s="18"/>
      <c r="C19" s="18" t="s">
        <v>299</v>
      </c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3">
        <f>ROUND(SUM(T7:T18),5)</f>
        <v>7487.14</v>
      </c>
      <c r="U19" s="18"/>
      <c r="V19" s="10"/>
    </row>
    <row r="20" spans="1:25" ht="15" thickBot="1">
      <c r="A20" s="18"/>
      <c r="B20" s="18" t="s">
        <v>30</v>
      </c>
      <c r="C20" s="18"/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3">
        <f>T19</f>
        <v>7487.14</v>
      </c>
      <c r="U20" s="18"/>
      <c r="V20" s="10">
        <f>SUM(V8:V18)</f>
        <v>-916</v>
      </c>
      <c r="W20">
        <f>SUM(W8:W19)</f>
        <v>6571</v>
      </c>
    </row>
    <row r="21" spans="1:25" ht="15" thickBot="1">
      <c r="A21" s="6" t="s">
        <v>23</v>
      </c>
      <c r="B21" s="6"/>
      <c r="C21" s="6"/>
      <c r="D21" s="6"/>
      <c r="E21" s="6"/>
      <c r="F21" s="6"/>
      <c r="G21" s="6"/>
      <c r="H21" s="1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4">
        <f>T20</f>
        <v>7487.14</v>
      </c>
      <c r="U21" s="6"/>
      <c r="V21" s="7"/>
      <c r="W21" s="7"/>
      <c r="X21" s="7"/>
      <c r="Y21" s="7"/>
    </row>
    <row r="22" spans="1:25" ht="15" thickTop="1"/>
    <row r="23" spans="1:25">
      <c r="R23" s="26" t="s">
        <v>327</v>
      </c>
      <c r="W23">
        <v>7487</v>
      </c>
    </row>
    <row r="26" spans="1:25">
      <c r="R26" s="27" t="s">
        <v>328</v>
      </c>
      <c r="W26" s="2">
        <f>W20-W23</f>
        <v>-916</v>
      </c>
      <c r="X26" t="s">
        <v>496</v>
      </c>
    </row>
  </sheetData>
  <pageMargins left="0.25" right="0.25" top="0.75" bottom="0.75" header="0.3" footer="0.3"/>
  <pageSetup orientation="landscape" r:id="rId1"/>
  <headerFooter>
    <oddHeader>&amp;L&amp;"Arial,Bold"&amp;8 3:03 PM
&amp;"Arial,Bold"&amp;8 05/21/20
&amp;"Arial,Bold"&amp;8 Accrual Basis&amp;C&amp;"Arial,Bold"&amp;12 STANLEY'S SANITARY SERVICE LLC
&amp;"Arial,Bold"&amp;14 Transaction Detail By Account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68580</xdr:colOff>
                <xdr:row>1</xdr:row>
                <xdr:rowOff>45720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68580</xdr:colOff>
                <xdr:row>1</xdr:row>
                <xdr:rowOff>45720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/>
  </sheetViews>
  <sheetFormatPr defaultRowHeight="14.4"/>
  <sheetData>
    <row r="1" spans="1:23" ht="25.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8">
      <c r="A2" s="1" t="s">
        <v>375</v>
      </c>
      <c r="B2" s="1"/>
      <c r="C2" s="1"/>
      <c r="D2" s="1"/>
      <c r="E2" s="1"/>
      <c r="F2" s="1"/>
      <c r="G2" s="1"/>
      <c r="H2" s="1"/>
      <c r="I2" s="1" t="s">
        <v>499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1:23">
      <c r="B4" s="51" t="s">
        <v>421</v>
      </c>
      <c r="C4" s="51" t="s">
        <v>491</v>
      </c>
    </row>
    <row r="5" spans="1:23">
      <c r="B5" s="51" t="s">
        <v>490</v>
      </c>
      <c r="C5" s="51" t="s">
        <v>414</v>
      </c>
      <c r="E5" s="51" t="s">
        <v>415</v>
      </c>
    </row>
    <row r="8" spans="1:23">
      <c r="A8">
        <v>2019</v>
      </c>
      <c r="E8" s="4">
        <v>4043.3</v>
      </c>
    </row>
    <row r="9" spans="1:23">
      <c r="E9" s="4"/>
    </row>
    <row r="10" spans="1:23">
      <c r="E10" s="4"/>
    </row>
    <row r="11" spans="1:23">
      <c r="A11">
        <v>2020</v>
      </c>
      <c r="B11">
        <v>671.82</v>
      </c>
      <c r="C11">
        <f>B11*12</f>
        <v>8061.84</v>
      </c>
      <c r="E11" s="4">
        <f>C11</f>
        <v>8061.84</v>
      </c>
    </row>
    <row r="15" spans="1:23">
      <c r="A15" t="s">
        <v>492</v>
      </c>
      <c r="C15" t="s">
        <v>16</v>
      </c>
      <c r="E15" s="5">
        <f>E11-E8</f>
        <v>4018.54</v>
      </c>
    </row>
    <row r="17" spans="1:1">
      <c r="A17" t="s">
        <v>726</v>
      </c>
    </row>
  </sheetData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workbookViewId="0"/>
  </sheetViews>
  <sheetFormatPr defaultRowHeight="14.4"/>
  <cols>
    <col min="1" max="1" width="16.6640625" customWidth="1"/>
    <col min="2" max="2" width="3" customWidth="1"/>
    <col min="3" max="3" width="13.6640625" customWidth="1"/>
    <col min="4" max="4" width="14.6640625" customWidth="1"/>
    <col min="5" max="5" width="16.5546875" customWidth="1"/>
    <col min="6" max="6" width="13.33203125" customWidth="1"/>
    <col min="7" max="7" width="1" customWidth="1"/>
    <col min="8" max="9" width="8.88671875" hidden="1" customWidth="1"/>
    <col min="10" max="10" width="16.33203125" customWidth="1"/>
    <col min="11" max="11" width="20.5546875" customWidth="1"/>
  </cols>
  <sheetData>
    <row r="2" spans="1:13" ht="25.8">
      <c r="A2" s="1" t="s">
        <v>331</v>
      </c>
      <c r="K2" s="1" t="s">
        <v>500</v>
      </c>
    </row>
    <row r="5" spans="1:13" ht="21">
      <c r="A5" s="29">
        <v>43831</v>
      </c>
      <c r="B5" s="28" t="s">
        <v>332</v>
      </c>
      <c r="C5" s="28"/>
      <c r="D5" s="28"/>
      <c r="E5" s="28"/>
      <c r="F5" s="28"/>
      <c r="G5" s="28"/>
      <c r="H5" s="28"/>
      <c r="I5" s="28"/>
      <c r="J5" s="28">
        <v>258785.08</v>
      </c>
      <c r="K5" s="28"/>
      <c r="L5" s="28"/>
      <c r="M5" s="28"/>
    </row>
    <row r="6" spans="1:13" ht="21">
      <c r="A6" s="28"/>
      <c r="B6" s="28"/>
      <c r="C6" s="28" t="s">
        <v>333</v>
      </c>
      <c r="D6" s="28" t="s">
        <v>334</v>
      </c>
      <c r="E6" s="28" t="s">
        <v>335</v>
      </c>
      <c r="F6" s="28"/>
      <c r="G6" s="28"/>
      <c r="H6" s="28"/>
      <c r="I6" s="28"/>
      <c r="J6" s="28"/>
      <c r="K6" s="28"/>
      <c r="L6" s="28"/>
      <c r="M6" s="28"/>
    </row>
    <row r="7" spans="1:13" ht="21">
      <c r="A7" s="30">
        <v>43835</v>
      </c>
      <c r="B7" s="28"/>
      <c r="C7" s="28">
        <v>3658.52</v>
      </c>
      <c r="D7" s="28">
        <v>2271.83</v>
      </c>
      <c r="E7" s="28">
        <v>1386.69</v>
      </c>
      <c r="F7" s="28"/>
      <c r="G7" s="28"/>
      <c r="H7" s="28"/>
      <c r="I7" s="28"/>
      <c r="J7" s="28"/>
      <c r="K7" s="28"/>
      <c r="L7" s="28"/>
      <c r="M7" s="28"/>
    </row>
    <row r="8" spans="1:13" ht="21">
      <c r="A8" s="30">
        <v>43866</v>
      </c>
      <c r="B8" s="28"/>
      <c r="C8" s="28">
        <v>3658.52</v>
      </c>
      <c r="D8" s="28">
        <v>2277.98</v>
      </c>
      <c r="E8" s="28">
        <v>1380.54</v>
      </c>
      <c r="F8" s="28"/>
      <c r="G8" s="28"/>
      <c r="H8" s="28"/>
      <c r="I8" s="28"/>
      <c r="J8" s="28"/>
      <c r="K8" s="28"/>
      <c r="L8" s="28"/>
      <c r="M8" s="28"/>
    </row>
    <row r="9" spans="1:13" ht="21">
      <c r="A9" s="30">
        <v>43895</v>
      </c>
      <c r="B9" s="28"/>
      <c r="C9" s="28">
        <v>3658.52</v>
      </c>
      <c r="D9" s="28">
        <v>2378.52</v>
      </c>
      <c r="E9" s="31">
        <v>1280</v>
      </c>
      <c r="F9" s="28"/>
      <c r="G9" s="28"/>
      <c r="H9" s="28"/>
      <c r="I9" s="28"/>
      <c r="J9" s="28"/>
      <c r="K9" s="28"/>
      <c r="L9" s="28"/>
      <c r="M9" s="28"/>
    </row>
    <row r="10" spans="1:13" ht="21">
      <c r="A10" s="30">
        <v>43926</v>
      </c>
      <c r="B10" s="28"/>
      <c r="C10" s="28">
        <v>3658.52</v>
      </c>
      <c r="D10" s="28">
        <v>2303.04</v>
      </c>
      <c r="E10" s="28">
        <v>1355.48</v>
      </c>
      <c r="F10" s="28"/>
      <c r="G10" s="28"/>
      <c r="H10" s="28"/>
      <c r="I10" s="28"/>
      <c r="J10" s="28"/>
      <c r="K10" s="28"/>
      <c r="L10" s="28"/>
      <c r="M10" s="28"/>
    </row>
    <row r="11" spans="1:13" ht="21">
      <c r="A11" s="30">
        <v>43929</v>
      </c>
      <c r="E11" s="28"/>
      <c r="F11" s="28">
        <v>2602.5100000000002</v>
      </c>
      <c r="G11" s="28"/>
      <c r="H11" s="28"/>
      <c r="I11" s="28"/>
      <c r="J11" s="28">
        <f>J5+F11</f>
        <v>261387.59</v>
      </c>
      <c r="K11" s="28" t="s">
        <v>336</v>
      </c>
      <c r="L11" s="28"/>
      <c r="M11" s="28"/>
    </row>
    <row r="12" spans="1:13" ht="21">
      <c r="A12" s="30">
        <v>43956</v>
      </c>
      <c r="B12" s="28"/>
      <c r="C12" s="31">
        <v>3658.52</v>
      </c>
      <c r="D12" s="31">
        <f t="shared" ref="D12:D19" si="0">C12-E12</f>
        <v>2297.126302083333</v>
      </c>
      <c r="E12" s="31">
        <f>J11*0.0625/12</f>
        <v>1361.3936979166667</v>
      </c>
      <c r="F12" s="28"/>
      <c r="G12" s="28"/>
      <c r="H12" s="28"/>
      <c r="I12" s="28"/>
      <c r="J12" s="31">
        <f t="shared" ref="J12:J19" si="1">J11-D12</f>
        <v>259090.46369791665</v>
      </c>
      <c r="K12" s="28"/>
      <c r="L12" s="28"/>
      <c r="M12" s="28"/>
    </row>
    <row r="13" spans="1:13" ht="21">
      <c r="A13" s="30">
        <v>43987</v>
      </c>
      <c r="B13" s="28"/>
      <c r="C13" s="31">
        <v>3658.52</v>
      </c>
      <c r="D13" s="31">
        <f t="shared" si="0"/>
        <v>2309.0905015733506</v>
      </c>
      <c r="E13" s="31">
        <f>J12*0.0625/12</f>
        <v>1349.4294984266492</v>
      </c>
      <c r="F13" s="28"/>
      <c r="G13" s="28"/>
      <c r="H13" s="28"/>
      <c r="I13" s="28"/>
      <c r="J13" s="31">
        <f t="shared" si="1"/>
        <v>256781.37319634331</v>
      </c>
      <c r="K13" s="28"/>
      <c r="L13" s="28"/>
      <c r="M13" s="28"/>
    </row>
    <row r="14" spans="1:13" ht="21">
      <c r="A14" s="30">
        <v>44017</v>
      </c>
      <c r="B14" s="28"/>
      <c r="C14" s="31">
        <v>3658.52</v>
      </c>
      <c r="D14" s="31">
        <f t="shared" si="0"/>
        <v>2321.1170146023787</v>
      </c>
      <c r="E14" s="31">
        <f>J13*0.0625/12</f>
        <v>1337.4029853976215</v>
      </c>
      <c r="F14" s="28"/>
      <c r="G14" s="28"/>
      <c r="H14" s="28"/>
      <c r="I14" s="28"/>
      <c r="J14" s="31">
        <f t="shared" si="1"/>
        <v>254460.25618174093</v>
      </c>
      <c r="K14" s="28"/>
      <c r="L14" s="28"/>
      <c r="M14" s="28"/>
    </row>
    <row r="15" spans="1:13" ht="21">
      <c r="A15" s="30">
        <v>44048</v>
      </c>
      <c r="B15" s="28"/>
      <c r="C15" s="31">
        <v>3658.52</v>
      </c>
      <c r="D15" s="31">
        <f t="shared" si="0"/>
        <v>2333.2061657200993</v>
      </c>
      <c r="E15" s="31">
        <f>J14*0.0625/12</f>
        <v>1325.3138342799007</v>
      </c>
      <c r="F15" s="28"/>
      <c r="G15" s="28"/>
      <c r="H15" s="28"/>
      <c r="I15" s="28"/>
      <c r="J15" s="31">
        <f t="shared" si="1"/>
        <v>252127.05001602083</v>
      </c>
      <c r="K15" s="28"/>
      <c r="L15" s="28"/>
      <c r="M15" s="28"/>
    </row>
    <row r="16" spans="1:13" ht="21">
      <c r="A16" s="30">
        <v>44079</v>
      </c>
      <c r="B16" s="28"/>
      <c r="C16" s="31">
        <v>3658.52</v>
      </c>
      <c r="D16" s="31">
        <f t="shared" si="0"/>
        <v>2345.3582811665583</v>
      </c>
      <c r="E16" s="31">
        <f t="shared" ref="E16:E18" si="2">J15*0.0625/12</f>
        <v>1313.1617188334419</v>
      </c>
      <c r="F16" s="28"/>
      <c r="G16" s="28"/>
      <c r="H16" s="28"/>
      <c r="I16" s="28"/>
      <c r="J16" s="31">
        <f t="shared" si="1"/>
        <v>249781.69173485428</v>
      </c>
      <c r="K16" s="28"/>
      <c r="L16" s="28"/>
      <c r="M16" s="28"/>
    </row>
    <row r="17" spans="1:13" ht="21">
      <c r="A17" s="30">
        <v>44109</v>
      </c>
      <c r="B17" s="28"/>
      <c r="C17" s="31">
        <v>3658.52</v>
      </c>
      <c r="D17" s="31">
        <f t="shared" si="0"/>
        <v>2357.573688880967</v>
      </c>
      <c r="E17" s="31">
        <f t="shared" si="2"/>
        <v>1300.9463111190328</v>
      </c>
      <c r="F17" s="28"/>
      <c r="G17" s="28"/>
      <c r="H17" s="28"/>
      <c r="I17" s="28"/>
      <c r="J17" s="31">
        <f t="shared" si="1"/>
        <v>247424.1180459733</v>
      </c>
      <c r="K17" s="28"/>
      <c r="L17" s="28"/>
      <c r="M17" s="28"/>
    </row>
    <row r="18" spans="1:13" ht="21">
      <c r="A18" s="30">
        <v>44140</v>
      </c>
      <c r="B18" s="28"/>
      <c r="C18" s="31">
        <v>3658.52</v>
      </c>
      <c r="D18" s="31">
        <f t="shared" si="0"/>
        <v>2369.8527185105559</v>
      </c>
      <c r="E18" s="31">
        <f t="shared" si="2"/>
        <v>1288.6672814894443</v>
      </c>
      <c r="F18" s="28"/>
      <c r="G18" s="28"/>
      <c r="H18" s="28"/>
      <c r="I18" s="28"/>
      <c r="J18" s="31">
        <f t="shared" si="1"/>
        <v>245054.26532746275</v>
      </c>
      <c r="K18" s="28"/>
      <c r="L18" s="28"/>
      <c r="M18" s="28"/>
    </row>
    <row r="19" spans="1:13" ht="21">
      <c r="A19" s="30">
        <v>44170</v>
      </c>
      <c r="B19" s="28"/>
      <c r="C19" s="31">
        <v>3658.52</v>
      </c>
      <c r="D19" s="31">
        <f t="shared" si="0"/>
        <v>2382.195701419465</v>
      </c>
      <c r="E19" s="31">
        <f>J18*0.0625/12</f>
        <v>1276.3242985805352</v>
      </c>
      <c r="F19" s="28"/>
      <c r="G19" s="28"/>
      <c r="H19" s="28"/>
      <c r="I19" s="28"/>
      <c r="J19" s="31">
        <f t="shared" si="1"/>
        <v>242672.06962604329</v>
      </c>
      <c r="K19" s="28"/>
      <c r="L19" s="28"/>
      <c r="M19" s="28"/>
    </row>
    <row r="20" spans="1:13" ht="21">
      <c r="A20" s="28"/>
      <c r="B20" s="28"/>
      <c r="C20" s="31"/>
      <c r="D20" s="31"/>
      <c r="E20" s="31"/>
      <c r="F20" s="28"/>
      <c r="G20" s="28"/>
      <c r="H20" s="28"/>
      <c r="I20" s="28"/>
      <c r="J20" s="28"/>
      <c r="K20" s="28"/>
      <c r="L20" s="28"/>
      <c r="M20" s="28"/>
    </row>
    <row r="21" spans="1:13" ht="21">
      <c r="A21" s="28"/>
      <c r="B21" s="28"/>
      <c r="C21" s="31">
        <f>SUM(C12:C20)</f>
        <v>29268.16</v>
      </c>
      <c r="D21" s="31">
        <f>SUM(D12:D20)</f>
        <v>18715.520373956708</v>
      </c>
      <c r="E21" s="31">
        <f>SUM(E7:E20)</f>
        <v>15955.349626043293</v>
      </c>
      <c r="F21" s="28"/>
      <c r="G21" s="28"/>
      <c r="H21" s="28"/>
      <c r="I21" s="28"/>
      <c r="J21" s="28"/>
      <c r="K21" s="28"/>
      <c r="L21" s="28"/>
      <c r="M21" s="28"/>
    </row>
    <row r="22" spans="1:13" ht="21">
      <c r="A22" s="28"/>
      <c r="B22" s="28"/>
      <c r="C22" s="28"/>
      <c r="D22" s="28"/>
      <c r="E22" s="31"/>
      <c r="F22" s="28"/>
      <c r="G22" s="28"/>
      <c r="H22" s="28"/>
      <c r="I22" s="28"/>
      <c r="J22" s="28"/>
      <c r="K22" s="28"/>
      <c r="L22" s="28"/>
      <c r="M22" s="28"/>
    </row>
    <row r="23" spans="1:13" ht="21">
      <c r="A23" s="28" t="s">
        <v>337</v>
      </c>
      <c r="B23" s="28"/>
      <c r="C23" s="28"/>
      <c r="D23" s="28"/>
      <c r="E23" s="28">
        <v>5680.04</v>
      </c>
      <c r="F23" s="28"/>
      <c r="G23" s="28"/>
      <c r="H23" s="28"/>
      <c r="I23" s="28"/>
      <c r="J23" s="28"/>
      <c r="K23" s="28"/>
      <c r="L23" s="28"/>
      <c r="M23" s="28"/>
    </row>
    <row r="24" spans="1:13" ht="2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">
      <c r="A25" s="28" t="s">
        <v>338</v>
      </c>
      <c r="B25" s="28"/>
      <c r="C25" s="28"/>
      <c r="D25" s="28"/>
      <c r="E25" s="31">
        <f>E21-E23</f>
        <v>10275.309626043294</v>
      </c>
      <c r="F25" s="28"/>
      <c r="G25" s="28"/>
      <c r="H25" s="28"/>
      <c r="I25" s="28"/>
      <c r="J25" s="28"/>
      <c r="K25" s="28"/>
      <c r="L25" s="28"/>
      <c r="M25" s="28"/>
    </row>
    <row r="26" spans="1:13" ht="2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2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2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2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2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2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2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2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2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2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2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2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2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2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2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2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2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2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2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2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2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2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2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2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2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2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2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2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2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2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2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2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</sheetData>
  <printOptions gridLines="1"/>
  <pageMargins left="0" right="0" top="0" bottom="0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workbookViewId="0"/>
  </sheetViews>
  <sheetFormatPr defaultRowHeight="14.4"/>
  <cols>
    <col min="1" max="1" width="2.33203125" customWidth="1"/>
    <col min="2" max="2" width="41" customWidth="1"/>
    <col min="5" max="5" width="13.6640625" customWidth="1"/>
    <col min="7" max="7" width="13.6640625" customWidth="1"/>
    <col min="8" max="8" width="10.5546875" customWidth="1"/>
  </cols>
  <sheetData>
    <row r="2" spans="1:24" ht="25.8">
      <c r="B2" s="1" t="s">
        <v>727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5"/>
      <c r="G3" s="3" t="s">
        <v>731</v>
      </c>
    </row>
    <row r="4" spans="1:24">
      <c r="A4" s="6"/>
      <c r="E4" s="3">
        <v>2019</v>
      </c>
      <c r="F4" s="9"/>
      <c r="G4" s="3">
        <v>2020</v>
      </c>
      <c r="H4" s="3" t="s">
        <v>503</v>
      </c>
    </row>
    <row r="5" spans="1:24">
      <c r="A5" s="6"/>
      <c r="G5" t="s">
        <v>730</v>
      </c>
    </row>
    <row r="6" spans="1:24">
      <c r="A6" s="18"/>
      <c r="B6" t="s">
        <v>728</v>
      </c>
      <c r="E6">
        <v>11453.04</v>
      </c>
      <c r="G6">
        <v>14502.64</v>
      </c>
      <c r="H6" s="5">
        <f>G6-E6</f>
        <v>3049.5999999999985</v>
      </c>
    </row>
    <row r="7" spans="1:24">
      <c r="A7" s="18"/>
      <c r="H7" s="5"/>
    </row>
    <row r="8" spans="1:24">
      <c r="A8" s="18"/>
      <c r="B8" t="s">
        <v>729</v>
      </c>
      <c r="E8">
        <v>2011.23</v>
      </c>
      <c r="G8">
        <v>2546.77</v>
      </c>
      <c r="H8" s="5">
        <f>G8-E8</f>
        <v>535.54</v>
      </c>
      <c r="I8" s="57"/>
    </row>
    <row r="9" spans="1:24">
      <c r="A9" s="18"/>
      <c r="H9" s="5"/>
    </row>
    <row r="10" spans="1:24">
      <c r="A10" s="18"/>
      <c r="H10" s="5"/>
    </row>
    <row r="11" spans="1:24">
      <c r="A11" s="18"/>
      <c r="E11">
        <f>SUM(E6:E10)</f>
        <v>13464.27</v>
      </c>
      <c r="G11">
        <f>SUM(G6:G10)</f>
        <v>17049.41</v>
      </c>
      <c r="H11" s="5">
        <f>SUM(H6:H10)</f>
        <v>3585.1399999999985</v>
      </c>
    </row>
    <row r="12" spans="1:24">
      <c r="A12" s="18"/>
    </row>
    <row r="13" spans="1:24">
      <c r="A13" s="18"/>
      <c r="B13" t="s">
        <v>732</v>
      </c>
      <c r="C13">
        <f>G11/E11</f>
        <v>1.266270655594399</v>
      </c>
    </row>
    <row r="14" spans="1:24">
      <c r="A14" s="18"/>
    </row>
    <row r="15" spans="1:24">
      <c r="A15" s="18"/>
    </row>
    <row r="16" spans="1:24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6"/>
    </row>
    <row r="23" spans="1:1">
      <c r="A23" s="26"/>
    </row>
  </sheetData>
  <printOptions gridLines="1"/>
  <pageMargins left="0" right="0" top="0" bottom="0" header="0.05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workbookViewId="0"/>
  </sheetViews>
  <sheetFormatPr defaultRowHeight="14.4"/>
  <cols>
    <col min="1" max="1" width="2.5546875" customWidth="1"/>
    <col min="2" max="2" width="3.44140625" customWidth="1"/>
    <col min="3" max="4" width="8.88671875" hidden="1" customWidth="1"/>
    <col min="8" max="8" width="2" customWidth="1"/>
    <col min="10" max="10" width="1.33203125" customWidth="1"/>
    <col min="14" max="14" width="5.6640625" customWidth="1"/>
    <col min="15" max="15" width="8.88671875" hidden="1" customWidth="1"/>
    <col min="16" max="16" width="2.109375" customWidth="1"/>
    <col min="20" max="20" width="1.109375" customWidth="1"/>
  </cols>
  <sheetData>
    <row r="1" spans="1:2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5.8">
      <c r="A2" s="84" t="s">
        <v>591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 t="s">
        <v>592</v>
      </c>
      <c r="T2" s="84"/>
      <c r="U2" s="84"/>
    </row>
    <row r="3" spans="1:21" ht="25.8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>
      <c r="A4" s="26" t="s">
        <v>593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26" t="s">
        <v>594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26" t="s">
        <v>599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" thickBot="1">
      <c r="A7" s="25"/>
      <c r="B7" s="25"/>
      <c r="C7" s="25"/>
      <c r="D7" s="25"/>
      <c r="E7" s="8" t="s">
        <v>257</v>
      </c>
      <c r="F7" s="25"/>
      <c r="G7" s="8" t="s">
        <v>258</v>
      </c>
      <c r="H7" s="25"/>
      <c r="I7" s="8" t="s">
        <v>259</v>
      </c>
      <c r="J7" s="25"/>
      <c r="K7" s="8" t="s">
        <v>260</v>
      </c>
      <c r="L7" s="25"/>
      <c r="M7" s="8" t="s">
        <v>261</v>
      </c>
      <c r="N7" s="25"/>
      <c r="O7" s="8" t="s">
        <v>262</v>
      </c>
      <c r="P7" s="25"/>
      <c r="Q7" s="8" t="s">
        <v>263</v>
      </c>
      <c r="R7" s="25"/>
      <c r="S7" s="8" t="s">
        <v>42</v>
      </c>
      <c r="T7" s="25"/>
      <c r="U7" s="8" t="s">
        <v>339</v>
      </c>
    </row>
    <row r="8" spans="1:21" ht="15" thickTop="1">
      <c r="A8" s="6" t="s">
        <v>504</v>
      </c>
      <c r="B8" s="25"/>
      <c r="C8" s="6"/>
      <c r="D8" s="6"/>
      <c r="E8" s="6"/>
      <c r="F8" s="6"/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7"/>
      <c r="T8" s="6"/>
      <c r="U8" s="17"/>
    </row>
    <row r="9" spans="1:21">
      <c r="A9" s="6"/>
      <c r="B9" s="6" t="s">
        <v>505</v>
      </c>
      <c r="C9" s="6"/>
      <c r="D9" s="6"/>
      <c r="E9" s="6"/>
      <c r="F9" s="6"/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7"/>
      <c r="T9" s="6"/>
      <c r="U9" s="17"/>
    </row>
    <row r="10" spans="1:21">
      <c r="A10" s="18"/>
      <c r="B10" s="18"/>
      <c r="C10" s="18"/>
      <c r="D10" s="18"/>
      <c r="E10" s="18" t="s">
        <v>266</v>
      </c>
      <c r="F10" s="18"/>
      <c r="G10" s="19">
        <v>41646</v>
      </c>
      <c r="H10" s="18"/>
      <c r="I10" s="18"/>
      <c r="J10" s="18"/>
      <c r="K10" s="18"/>
      <c r="L10" s="18"/>
      <c r="M10" s="18" t="s">
        <v>506</v>
      </c>
      <c r="N10" s="18"/>
      <c r="O10" s="20"/>
      <c r="P10" s="18"/>
      <c r="Q10" s="18" t="s">
        <v>507</v>
      </c>
      <c r="R10" s="18"/>
      <c r="S10" s="21">
        <v>586.29999999999995</v>
      </c>
      <c r="T10" s="18"/>
      <c r="U10" s="21">
        <f t="shared" ref="U10:U41" si="0">ROUND(U9+S10,5)</f>
        <v>586.29999999999995</v>
      </c>
    </row>
    <row r="11" spans="1:21">
      <c r="A11" s="18"/>
      <c r="B11" s="18"/>
      <c r="C11" s="18"/>
      <c r="D11" s="18"/>
      <c r="E11" s="18" t="s">
        <v>266</v>
      </c>
      <c r="F11" s="18"/>
      <c r="G11" s="19">
        <v>41722</v>
      </c>
      <c r="H11" s="18"/>
      <c r="I11" s="18"/>
      <c r="J11" s="18"/>
      <c r="K11" s="18"/>
      <c r="L11" s="18"/>
      <c r="M11" s="18" t="s">
        <v>508</v>
      </c>
      <c r="N11" s="18"/>
      <c r="O11" s="20"/>
      <c r="P11" s="18"/>
      <c r="Q11" s="18" t="s">
        <v>507</v>
      </c>
      <c r="R11" s="18"/>
      <c r="S11" s="21">
        <v>66.37</v>
      </c>
      <c r="T11" s="18"/>
      <c r="U11" s="21">
        <f t="shared" si="0"/>
        <v>652.66999999999996</v>
      </c>
    </row>
    <row r="12" spans="1:21">
      <c r="A12" s="18"/>
      <c r="B12" s="18"/>
      <c r="C12" s="18"/>
      <c r="D12" s="18"/>
      <c r="E12" s="18" t="s">
        <v>266</v>
      </c>
      <c r="F12" s="18"/>
      <c r="G12" s="19">
        <v>41740</v>
      </c>
      <c r="H12" s="18"/>
      <c r="I12" s="18"/>
      <c r="J12" s="18"/>
      <c r="K12" s="18"/>
      <c r="L12" s="18"/>
      <c r="M12" s="18" t="s">
        <v>509</v>
      </c>
      <c r="N12" s="18"/>
      <c r="O12" s="20"/>
      <c r="P12" s="18"/>
      <c r="Q12" s="18" t="s">
        <v>507</v>
      </c>
      <c r="R12" s="18"/>
      <c r="S12" s="21">
        <v>1635.12</v>
      </c>
      <c r="T12" s="18"/>
      <c r="U12" s="21">
        <f t="shared" si="0"/>
        <v>2287.79</v>
      </c>
    </row>
    <row r="13" spans="1:21">
      <c r="A13" s="18"/>
      <c r="B13" s="18"/>
      <c r="C13" s="18"/>
      <c r="D13" s="18"/>
      <c r="E13" s="18" t="s">
        <v>266</v>
      </c>
      <c r="F13" s="18"/>
      <c r="G13" s="19">
        <v>41752</v>
      </c>
      <c r="H13" s="18"/>
      <c r="I13" s="18"/>
      <c r="J13" s="18"/>
      <c r="K13" s="18"/>
      <c r="L13" s="18"/>
      <c r="M13" s="18" t="s">
        <v>510</v>
      </c>
      <c r="N13" s="18"/>
      <c r="O13" s="20"/>
      <c r="P13" s="18"/>
      <c r="Q13" s="18" t="s">
        <v>507</v>
      </c>
      <c r="R13" s="18"/>
      <c r="S13" s="21">
        <v>754.17</v>
      </c>
      <c r="T13" s="18"/>
      <c r="U13" s="21">
        <f t="shared" si="0"/>
        <v>3041.96</v>
      </c>
    </row>
    <row r="14" spans="1:21">
      <c r="A14" s="18"/>
      <c r="B14" s="18"/>
      <c r="C14" s="18"/>
      <c r="D14" s="18"/>
      <c r="E14" s="18" t="s">
        <v>300</v>
      </c>
      <c r="F14" s="18"/>
      <c r="G14" s="19">
        <v>41759</v>
      </c>
      <c r="H14" s="18"/>
      <c r="I14" s="18" t="s">
        <v>511</v>
      </c>
      <c r="J14" s="18"/>
      <c r="K14" s="18" t="s">
        <v>512</v>
      </c>
      <c r="L14" s="18"/>
      <c r="M14" s="18" t="s">
        <v>513</v>
      </c>
      <c r="N14" s="18"/>
      <c r="O14" s="20"/>
      <c r="P14" s="18"/>
      <c r="Q14" s="18" t="s">
        <v>323</v>
      </c>
      <c r="R14" s="18"/>
      <c r="S14" s="21">
        <v>582.38</v>
      </c>
      <c r="T14" s="18"/>
      <c r="U14" s="21">
        <f t="shared" si="0"/>
        <v>3624.34</v>
      </c>
    </row>
    <row r="15" spans="1:21">
      <c r="A15" s="18"/>
      <c r="B15" s="18"/>
      <c r="C15" s="18"/>
      <c r="D15" s="18"/>
      <c r="E15" s="18" t="s">
        <v>266</v>
      </c>
      <c r="F15" s="18"/>
      <c r="G15" s="19">
        <v>41880</v>
      </c>
      <c r="H15" s="18"/>
      <c r="I15" s="18"/>
      <c r="J15" s="18"/>
      <c r="K15" s="18"/>
      <c r="L15" s="18"/>
      <c r="M15" s="18"/>
      <c r="N15" s="18"/>
      <c r="O15" s="20"/>
      <c r="P15" s="18"/>
      <c r="Q15" s="18" t="s">
        <v>507</v>
      </c>
      <c r="R15" s="18"/>
      <c r="S15" s="21">
        <v>455.98</v>
      </c>
      <c r="T15" s="18"/>
      <c r="U15" s="21">
        <f t="shared" si="0"/>
        <v>4080.32</v>
      </c>
    </row>
    <row r="16" spans="1:21">
      <c r="A16" s="18"/>
      <c r="B16" s="18"/>
      <c r="C16" s="18"/>
      <c r="D16" s="18"/>
      <c r="E16" s="18" t="s">
        <v>266</v>
      </c>
      <c r="F16" s="18"/>
      <c r="G16" s="19">
        <v>41880</v>
      </c>
      <c r="H16" s="18"/>
      <c r="I16" s="18"/>
      <c r="J16" s="18"/>
      <c r="K16" s="18"/>
      <c r="L16" s="18"/>
      <c r="M16" s="18"/>
      <c r="N16" s="18"/>
      <c r="O16" s="20"/>
      <c r="P16" s="18"/>
      <c r="Q16" s="18" t="s">
        <v>507</v>
      </c>
      <c r="R16" s="18"/>
      <c r="S16" s="21">
        <v>61.02</v>
      </c>
      <c r="T16" s="18"/>
      <c r="U16" s="21">
        <f t="shared" si="0"/>
        <v>4141.34</v>
      </c>
    </row>
    <row r="17" spans="1:21">
      <c r="A17" s="18"/>
      <c r="B17" s="18"/>
      <c r="C17" s="18"/>
      <c r="D17" s="18"/>
      <c r="E17" s="18" t="s">
        <v>266</v>
      </c>
      <c r="F17" s="18"/>
      <c r="G17" s="19">
        <v>41912</v>
      </c>
      <c r="H17" s="18"/>
      <c r="I17" s="18"/>
      <c r="J17" s="18"/>
      <c r="K17" s="18"/>
      <c r="L17" s="18"/>
      <c r="M17" s="18" t="s">
        <v>514</v>
      </c>
      <c r="N17" s="18"/>
      <c r="O17" s="20"/>
      <c r="P17" s="18"/>
      <c r="Q17" s="18" t="s">
        <v>507</v>
      </c>
      <c r="R17" s="18"/>
      <c r="S17" s="21">
        <v>55.89</v>
      </c>
      <c r="T17" s="18"/>
      <c r="U17" s="21">
        <f t="shared" si="0"/>
        <v>4197.2299999999996</v>
      </c>
    </row>
    <row r="18" spans="1:21">
      <c r="A18" s="18"/>
      <c r="B18" s="18"/>
      <c r="C18" s="18"/>
      <c r="D18" s="18"/>
      <c r="E18" s="18" t="s">
        <v>266</v>
      </c>
      <c r="F18" s="18"/>
      <c r="G18" s="19">
        <v>41933</v>
      </c>
      <c r="H18" s="18"/>
      <c r="I18" s="18"/>
      <c r="J18" s="18"/>
      <c r="K18" s="18"/>
      <c r="L18" s="18"/>
      <c r="M18" s="18" t="s">
        <v>515</v>
      </c>
      <c r="N18" s="18"/>
      <c r="O18" s="20"/>
      <c r="P18" s="18"/>
      <c r="Q18" s="18" t="s">
        <v>507</v>
      </c>
      <c r="R18" s="18"/>
      <c r="S18" s="21">
        <v>1899.94</v>
      </c>
      <c r="T18" s="18"/>
      <c r="U18" s="21">
        <f t="shared" si="0"/>
        <v>6097.17</v>
      </c>
    </row>
    <row r="19" spans="1:21">
      <c r="A19" s="18"/>
      <c r="B19" s="18"/>
      <c r="C19" s="18"/>
      <c r="D19" s="18"/>
      <c r="E19" s="18" t="s">
        <v>516</v>
      </c>
      <c r="F19" s="18"/>
      <c r="G19" s="19">
        <v>41940</v>
      </c>
      <c r="H19" s="18"/>
      <c r="I19" s="18"/>
      <c r="J19" s="18"/>
      <c r="K19" s="18"/>
      <c r="L19" s="18"/>
      <c r="M19" s="18" t="s">
        <v>517</v>
      </c>
      <c r="N19" s="18"/>
      <c r="O19" s="20"/>
      <c r="P19" s="18"/>
      <c r="Q19" s="18" t="s">
        <v>507</v>
      </c>
      <c r="R19" s="18"/>
      <c r="S19" s="21">
        <v>-150</v>
      </c>
      <c r="T19" s="18"/>
      <c r="U19" s="21">
        <f t="shared" si="0"/>
        <v>5947.17</v>
      </c>
    </row>
    <row r="20" spans="1:21">
      <c r="A20" s="18"/>
      <c r="B20" s="18"/>
      <c r="C20" s="18"/>
      <c r="D20" s="18"/>
      <c r="E20" s="18" t="s">
        <v>266</v>
      </c>
      <c r="F20" s="18"/>
      <c r="G20" s="19">
        <v>41969</v>
      </c>
      <c r="H20" s="18"/>
      <c r="I20" s="18"/>
      <c r="J20" s="18"/>
      <c r="K20" s="18"/>
      <c r="L20" s="18"/>
      <c r="M20" s="18" t="s">
        <v>518</v>
      </c>
      <c r="N20" s="18"/>
      <c r="O20" s="20"/>
      <c r="P20" s="18"/>
      <c r="Q20" s="18" t="s">
        <v>507</v>
      </c>
      <c r="R20" s="18"/>
      <c r="S20" s="21">
        <v>1053.93</v>
      </c>
      <c r="T20" s="18"/>
      <c r="U20" s="21">
        <f t="shared" si="0"/>
        <v>7001.1</v>
      </c>
    </row>
    <row r="21" spans="1:21">
      <c r="A21" s="18"/>
      <c r="B21" s="18"/>
      <c r="C21" s="18"/>
      <c r="D21" s="18"/>
      <c r="E21" s="18" t="s">
        <v>266</v>
      </c>
      <c r="F21" s="18"/>
      <c r="G21" s="19">
        <v>42003</v>
      </c>
      <c r="H21" s="18"/>
      <c r="I21" s="18"/>
      <c r="J21" s="18"/>
      <c r="K21" s="18"/>
      <c r="L21" s="18"/>
      <c r="M21" s="18" t="s">
        <v>519</v>
      </c>
      <c r="N21" s="18"/>
      <c r="O21" s="20"/>
      <c r="P21" s="18"/>
      <c r="Q21" s="18" t="s">
        <v>507</v>
      </c>
      <c r="R21" s="18"/>
      <c r="S21" s="21">
        <v>5915.83</v>
      </c>
      <c r="T21" s="18"/>
      <c r="U21" s="21">
        <f t="shared" si="0"/>
        <v>12916.93</v>
      </c>
    </row>
    <row r="22" spans="1:21">
      <c r="A22" s="18"/>
      <c r="B22" s="18"/>
      <c r="C22" s="18"/>
      <c r="D22" s="18"/>
      <c r="E22" s="18" t="s">
        <v>266</v>
      </c>
      <c r="F22" s="18"/>
      <c r="G22" s="19">
        <v>42031</v>
      </c>
      <c r="H22" s="18"/>
      <c r="I22" s="18"/>
      <c r="J22" s="18"/>
      <c r="K22" s="18"/>
      <c r="L22" s="18"/>
      <c r="M22" s="18" t="s">
        <v>520</v>
      </c>
      <c r="N22" s="18"/>
      <c r="O22" s="20"/>
      <c r="P22" s="18"/>
      <c r="Q22" s="18" t="s">
        <v>507</v>
      </c>
      <c r="R22" s="18"/>
      <c r="S22" s="21">
        <v>1881.81</v>
      </c>
      <c r="T22" s="18"/>
      <c r="U22" s="21">
        <f t="shared" si="0"/>
        <v>14798.74</v>
      </c>
    </row>
    <row r="23" spans="1:21">
      <c r="A23" s="18"/>
      <c r="B23" s="18"/>
      <c r="C23" s="18"/>
      <c r="D23" s="18"/>
      <c r="E23" s="18" t="s">
        <v>266</v>
      </c>
      <c r="F23" s="18"/>
      <c r="G23" s="19">
        <v>42060</v>
      </c>
      <c r="H23" s="18"/>
      <c r="I23" s="18"/>
      <c r="J23" s="18"/>
      <c r="K23" s="18"/>
      <c r="L23" s="18"/>
      <c r="M23" s="18" t="s">
        <v>521</v>
      </c>
      <c r="N23" s="18"/>
      <c r="O23" s="20"/>
      <c r="P23" s="18"/>
      <c r="Q23" s="18" t="s">
        <v>507</v>
      </c>
      <c r="R23" s="18"/>
      <c r="S23" s="21">
        <v>696.93</v>
      </c>
      <c r="T23" s="18"/>
      <c r="U23" s="21">
        <f t="shared" si="0"/>
        <v>15495.67</v>
      </c>
    </row>
    <row r="24" spans="1:21">
      <c r="A24" s="18"/>
      <c r="B24" s="18"/>
      <c r="C24" s="18"/>
      <c r="D24" s="18"/>
      <c r="E24" s="18" t="s">
        <v>266</v>
      </c>
      <c r="F24" s="18"/>
      <c r="G24" s="19">
        <v>42060</v>
      </c>
      <c r="H24" s="18"/>
      <c r="I24" s="18"/>
      <c r="J24" s="18"/>
      <c r="K24" s="18"/>
      <c r="L24" s="18"/>
      <c r="M24" s="18" t="s">
        <v>522</v>
      </c>
      <c r="N24" s="18"/>
      <c r="O24" s="20"/>
      <c r="P24" s="18"/>
      <c r="Q24" s="18" t="s">
        <v>507</v>
      </c>
      <c r="R24" s="18"/>
      <c r="S24" s="21">
        <v>271.83</v>
      </c>
      <c r="T24" s="18"/>
      <c r="U24" s="21">
        <f t="shared" si="0"/>
        <v>15767.5</v>
      </c>
    </row>
    <row r="25" spans="1:21">
      <c r="A25" s="18"/>
      <c r="B25" s="18"/>
      <c r="C25" s="18"/>
      <c r="D25" s="18"/>
      <c r="E25" s="18" t="s">
        <v>266</v>
      </c>
      <c r="F25" s="18"/>
      <c r="G25" s="19">
        <v>42063</v>
      </c>
      <c r="H25" s="18"/>
      <c r="I25" s="18"/>
      <c r="J25" s="18"/>
      <c r="K25" s="18"/>
      <c r="L25" s="18"/>
      <c r="M25" s="18" t="s">
        <v>523</v>
      </c>
      <c r="N25" s="18"/>
      <c r="O25" s="20"/>
      <c r="P25" s="18"/>
      <c r="Q25" s="18" t="s">
        <v>507</v>
      </c>
      <c r="R25" s="18"/>
      <c r="S25" s="21">
        <v>1520.91</v>
      </c>
      <c r="T25" s="18"/>
      <c r="U25" s="21">
        <f t="shared" si="0"/>
        <v>17288.41</v>
      </c>
    </row>
    <row r="26" spans="1:21">
      <c r="A26" s="18"/>
      <c r="B26" s="18"/>
      <c r="C26" s="18"/>
      <c r="D26" s="18"/>
      <c r="E26" s="18" t="s">
        <v>266</v>
      </c>
      <c r="F26" s="18"/>
      <c r="G26" s="19">
        <v>42087</v>
      </c>
      <c r="H26" s="18"/>
      <c r="I26" s="18"/>
      <c r="J26" s="18"/>
      <c r="K26" s="18"/>
      <c r="L26" s="18"/>
      <c r="M26" s="18" t="s">
        <v>524</v>
      </c>
      <c r="N26" s="18"/>
      <c r="O26" s="20"/>
      <c r="P26" s="18"/>
      <c r="Q26" s="18" t="s">
        <v>507</v>
      </c>
      <c r="R26" s="18"/>
      <c r="S26" s="21">
        <v>207.63</v>
      </c>
      <c r="T26" s="18"/>
      <c r="U26" s="21">
        <f t="shared" si="0"/>
        <v>17496.04</v>
      </c>
    </row>
    <row r="27" spans="1:21">
      <c r="A27" s="18"/>
      <c r="B27" s="18"/>
      <c r="C27" s="18"/>
      <c r="D27" s="18"/>
      <c r="E27" s="18" t="s">
        <v>266</v>
      </c>
      <c r="F27" s="18"/>
      <c r="G27" s="19">
        <v>42115</v>
      </c>
      <c r="H27" s="18"/>
      <c r="I27" s="18"/>
      <c r="J27" s="18"/>
      <c r="K27" s="18"/>
      <c r="L27" s="18"/>
      <c r="M27" s="18" t="s">
        <v>525</v>
      </c>
      <c r="N27" s="18"/>
      <c r="O27" s="20"/>
      <c r="P27" s="18"/>
      <c r="Q27" s="18" t="s">
        <v>507</v>
      </c>
      <c r="R27" s="18"/>
      <c r="S27" s="21">
        <v>641.57000000000005</v>
      </c>
      <c r="T27" s="18"/>
      <c r="U27" s="21">
        <f t="shared" si="0"/>
        <v>18137.61</v>
      </c>
    </row>
    <row r="28" spans="1:21">
      <c r="A28" s="18"/>
      <c r="B28" s="18"/>
      <c r="C28" s="18"/>
      <c r="D28" s="18"/>
      <c r="E28" s="18" t="s">
        <v>266</v>
      </c>
      <c r="F28" s="18"/>
      <c r="G28" s="19">
        <v>42118</v>
      </c>
      <c r="H28" s="18"/>
      <c r="I28" s="18"/>
      <c r="J28" s="18"/>
      <c r="K28" s="18"/>
      <c r="L28" s="18"/>
      <c r="M28" s="18" t="s">
        <v>526</v>
      </c>
      <c r="N28" s="18"/>
      <c r="O28" s="20"/>
      <c r="P28" s="18"/>
      <c r="Q28" s="18" t="s">
        <v>507</v>
      </c>
      <c r="R28" s="18"/>
      <c r="S28" s="21">
        <v>850.78</v>
      </c>
      <c r="T28" s="18"/>
      <c r="U28" s="21">
        <f t="shared" si="0"/>
        <v>18988.39</v>
      </c>
    </row>
    <row r="29" spans="1:21">
      <c r="A29" s="18"/>
      <c r="B29" s="18"/>
      <c r="C29" s="18"/>
      <c r="D29" s="18"/>
      <c r="E29" s="18" t="s">
        <v>266</v>
      </c>
      <c r="F29" s="18"/>
      <c r="G29" s="19">
        <v>42146</v>
      </c>
      <c r="H29" s="18"/>
      <c r="I29" s="18"/>
      <c r="J29" s="18"/>
      <c r="K29" s="18"/>
      <c r="L29" s="18"/>
      <c r="M29" s="18" t="s">
        <v>527</v>
      </c>
      <c r="N29" s="18"/>
      <c r="O29" s="20"/>
      <c r="P29" s="18"/>
      <c r="Q29" s="18" t="s">
        <v>507</v>
      </c>
      <c r="R29" s="18"/>
      <c r="S29" s="21">
        <v>322</v>
      </c>
      <c r="T29" s="18"/>
      <c r="U29" s="21">
        <f t="shared" si="0"/>
        <v>19310.39</v>
      </c>
    </row>
    <row r="30" spans="1:21">
      <c r="A30" s="18"/>
      <c r="B30" s="18"/>
      <c r="C30" s="18"/>
      <c r="D30" s="18"/>
      <c r="E30" s="18" t="s">
        <v>266</v>
      </c>
      <c r="F30" s="18"/>
      <c r="G30" s="19">
        <v>42150</v>
      </c>
      <c r="H30" s="18"/>
      <c r="I30" s="18"/>
      <c r="J30" s="18"/>
      <c r="K30" s="18"/>
      <c r="L30" s="18"/>
      <c r="M30" s="18" t="s">
        <v>528</v>
      </c>
      <c r="N30" s="18"/>
      <c r="O30" s="20"/>
      <c r="P30" s="18"/>
      <c r="Q30" s="18" t="s">
        <v>507</v>
      </c>
      <c r="R30" s="18"/>
      <c r="S30" s="21">
        <v>86.94</v>
      </c>
      <c r="T30" s="18"/>
      <c r="U30" s="21">
        <f t="shared" si="0"/>
        <v>19397.330000000002</v>
      </c>
    </row>
    <row r="31" spans="1:21">
      <c r="A31" s="18"/>
      <c r="B31" s="18"/>
      <c r="C31" s="18"/>
      <c r="D31" s="18"/>
      <c r="E31" s="18" t="s">
        <v>266</v>
      </c>
      <c r="F31" s="18"/>
      <c r="G31" s="19">
        <v>42153</v>
      </c>
      <c r="H31" s="18"/>
      <c r="I31" s="18"/>
      <c r="J31" s="18"/>
      <c r="K31" s="18"/>
      <c r="L31" s="18"/>
      <c r="M31" s="18" t="s">
        <v>529</v>
      </c>
      <c r="N31" s="18"/>
      <c r="O31" s="20"/>
      <c r="P31" s="18"/>
      <c r="Q31" s="18" t="s">
        <v>507</v>
      </c>
      <c r="R31" s="18"/>
      <c r="S31" s="21">
        <v>309.17</v>
      </c>
      <c r="T31" s="18"/>
      <c r="U31" s="21">
        <f t="shared" si="0"/>
        <v>19706.5</v>
      </c>
    </row>
    <row r="32" spans="1:21">
      <c r="A32" s="18"/>
      <c r="B32" s="18"/>
      <c r="C32" s="18"/>
      <c r="D32" s="18"/>
      <c r="E32" s="18" t="s">
        <v>266</v>
      </c>
      <c r="F32" s="18"/>
      <c r="G32" s="19">
        <v>42153</v>
      </c>
      <c r="H32" s="18"/>
      <c r="I32" s="18"/>
      <c r="J32" s="18"/>
      <c r="K32" s="18"/>
      <c r="L32" s="18"/>
      <c r="M32" s="18" t="s">
        <v>530</v>
      </c>
      <c r="N32" s="18"/>
      <c r="O32" s="20"/>
      <c r="P32" s="18"/>
      <c r="Q32" s="18" t="s">
        <v>507</v>
      </c>
      <c r="R32" s="18"/>
      <c r="S32" s="21">
        <v>178.74</v>
      </c>
      <c r="T32" s="18"/>
      <c r="U32" s="21">
        <f t="shared" si="0"/>
        <v>19885.240000000002</v>
      </c>
    </row>
    <row r="33" spans="1:21">
      <c r="A33" s="18"/>
      <c r="B33" s="18"/>
      <c r="C33" s="18"/>
      <c r="D33" s="18"/>
      <c r="E33" s="18" t="s">
        <v>266</v>
      </c>
      <c r="F33" s="18"/>
      <c r="G33" s="19">
        <v>42177</v>
      </c>
      <c r="H33" s="18"/>
      <c r="I33" s="18"/>
      <c r="J33" s="18"/>
      <c r="K33" s="18"/>
      <c r="L33" s="18"/>
      <c r="M33" s="18" t="s">
        <v>531</v>
      </c>
      <c r="N33" s="18"/>
      <c r="O33" s="20"/>
      <c r="P33" s="18"/>
      <c r="Q33" s="18" t="s">
        <v>507</v>
      </c>
      <c r="R33" s="18"/>
      <c r="S33" s="21">
        <v>116.05</v>
      </c>
      <c r="T33" s="18"/>
      <c r="U33" s="21">
        <f t="shared" si="0"/>
        <v>20001.29</v>
      </c>
    </row>
    <row r="34" spans="1:21">
      <c r="A34" s="18"/>
      <c r="B34" s="18"/>
      <c r="C34" s="18"/>
      <c r="D34" s="18"/>
      <c r="E34" s="18" t="s">
        <v>266</v>
      </c>
      <c r="F34" s="18"/>
      <c r="G34" s="19">
        <v>42205</v>
      </c>
      <c r="H34" s="18"/>
      <c r="I34" s="18"/>
      <c r="J34" s="18"/>
      <c r="K34" s="18"/>
      <c r="L34" s="18"/>
      <c r="M34" s="18" t="s">
        <v>532</v>
      </c>
      <c r="N34" s="18"/>
      <c r="O34" s="20"/>
      <c r="P34" s="18"/>
      <c r="Q34" s="18" t="s">
        <v>507</v>
      </c>
      <c r="R34" s="18"/>
      <c r="S34" s="21">
        <v>226.8</v>
      </c>
      <c r="T34" s="18"/>
      <c r="U34" s="21">
        <f t="shared" si="0"/>
        <v>20228.09</v>
      </c>
    </row>
    <row r="35" spans="1:21">
      <c r="A35" s="18"/>
      <c r="B35" s="18"/>
      <c r="C35" s="18"/>
      <c r="D35" s="18"/>
      <c r="E35" s="18" t="s">
        <v>266</v>
      </c>
      <c r="F35" s="18"/>
      <c r="G35" s="19">
        <v>42216</v>
      </c>
      <c r="H35" s="18"/>
      <c r="I35" s="18"/>
      <c r="J35" s="18"/>
      <c r="K35" s="18"/>
      <c r="L35" s="18"/>
      <c r="M35" s="18" t="s">
        <v>533</v>
      </c>
      <c r="N35" s="18"/>
      <c r="O35" s="20"/>
      <c r="P35" s="18"/>
      <c r="Q35" s="18" t="s">
        <v>507</v>
      </c>
      <c r="R35" s="18"/>
      <c r="S35" s="21">
        <v>1864.25</v>
      </c>
      <c r="T35" s="18"/>
      <c r="U35" s="21">
        <f t="shared" si="0"/>
        <v>22092.34</v>
      </c>
    </row>
    <row r="36" spans="1:21">
      <c r="A36" s="18"/>
      <c r="B36" s="18"/>
      <c r="C36" s="18"/>
      <c r="D36" s="18"/>
      <c r="E36" s="18" t="s">
        <v>300</v>
      </c>
      <c r="F36" s="18"/>
      <c r="G36" s="19">
        <v>42233</v>
      </c>
      <c r="H36" s="18"/>
      <c r="I36" s="18" t="s">
        <v>308</v>
      </c>
      <c r="J36" s="18"/>
      <c r="K36" s="18" t="s">
        <v>534</v>
      </c>
      <c r="L36" s="18"/>
      <c r="M36" s="18"/>
      <c r="N36" s="18"/>
      <c r="O36" s="20"/>
      <c r="P36" s="18"/>
      <c r="Q36" s="18" t="s">
        <v>323</v>
      </c>
      <c r="R36" s="18"/>
      <c r="S36" s="21">
        <v>32.4</v>
      </c>
      <c r="T36" s="18"/>
      <c r="U36" s="21">
        <f t="shared" si="0"/>
        <v>22124.74</v>
      </c>
    </row>
    <row r="37" spans="1:21">
      <c r="A37" s="18"/>
      <c r="B37" s="18"/>
      <c r="C37" s="18"/>
      <c r="D37" s="18"/>
      <c r="E37" s="18" t="s">
        <v>300</v>
      </c>
      <c r="F37" s="18"/>
      <c r="G37" s="19">
        <v>42329</v>
      </c>
      <c r="H37" s="18"/>
      <c r="I37" s="18" t="s">
        <v>535</v>
      </c>
      <c r="J37" s="18"/>
      <c r="K37" s="18" t="s">
        <v>536</v>
      </c>
      <c r="L37" s="18"/>
      <c r="M37" s="18" t="s">
        <v>537</v>
      </c>
      <c r="N37" s="18"/>
      <c r="O37" s="20"/>
      <c r="P37" s="18"/>
      <c r="Q37" s="18" t="s">
        <v>323</v>
      </c>
      <c r="R37" s="18"/>
      <c r="S37" s="21">
        <v>663.1</v>
      </c>
      <c r="T37" s="18"/>
      <c r="U37" s="21">
        <f t="shared" si="0"/>
        <v>22787.84</v>
      </c>
    </row>
    <row r="38" spans="1:21">
      <c r="A38" s="18"/>
      <c r="B38" s="18"/>
      <c r="C38" s="18"/>
      <c r="D38" s="18"/>
      <c r="E38" s="18" t="s">
        <v>266</v>
      </c>
      <c r="F38" s="18"/>
      <c r="G38" s="19">
        <v>42333</v>
      </c>
      <c r="H38" s="18"/>
      <c r="I38" s="18"/>
      <c r="J38" s="18"/>
      <c r="K38" s="18"/>
      <c r="L38" s="18"/>
      <c r="M38" s="18" t="s">
        <v>538</v>
      </c>
      <c r="N38" s="18"/>
      <c r="O38" s="20"/>
      <c r="P38" s="18"/>
      <c r="Q38" s="18" t="s">
        <v>507</v>
      </c>
      <c r="R38" s="18"/>
      <c r="S38" s="21">
        <v>893.97</v>
      </c>
      <c r="T38" s="18"/>
      <c r="U38" s="21">
        <f t="shared" si="0"/>
        <v>23681.81</v>
      </c>
    </row>
    <row r="39" spans="1:21">
      <c r="A39" s="18"/>
      <c r="B39" s="18"/>
      <c r="C39" s="18"/>
      <c r="D39" s="18"/>
      <c r="E39" s="18" t="s">
        <v>300</v>
      </c>
      <c r="F39" s="18"/>
      <c r="G39" s="19">
        <v>42360</v>
      </c>
      <c r="H39" s="18"/>
      <c r="I39" s="18" t="s">
        <v>539</v>
      </c>
      <c r="J39" s="18"/>
      <c r="K39" s="18" t="s">
        <v>536</v>
      </c>
      <c r="L39" s="18"/>
      <c r="M39" s="18" t="s">
        <v>540</v>
      </c>
      <c r="N39" s="18"/>
      <c r="O39" s="20"/>
      <c r="P39" s="18"/>
      <c r="Q39" s="18" t="s">
        <v>323</v>
      </c>
      <c r="R39" s="18"/>
      <c r="S39" s="21"/>
      <c r="T39" s="18"/>
      <c r="U39" s="21">
        <f t="shared" si="0"/>
        <v>23681.81</v>
      </c>
    </row>
    <row r="40" spans="1:21">
      <c r="A40" s="18"/>
      <c r="B40" s="18"/>
      <c r="C40" s="18"/>
      <c r="D40" s="18"/>
      <c r="E40" s="18" t="s">
        <v>300</v>
      </c>
      <c r="F40" s="18"/>
      <c r="G40" s="19">
        <v>42397</v>
      </c>
      <c r="H40" s="18"/>
      <c r="I40" s="18" t="s">
        <v>541</v>
      </c>
      <c r="J40" s="18"/>
      <c r="K40" s="18" t="s">
        <v>536</v>
      </c>
      <c r="L40" s="18"/>
      <c r="M40" s="18" t="s">
        <v>540</v>
      </c>
      <c r="N40" s="18"/>
      <c r="O40" s="20"/>
      <c r="P40" s="18"/>
      <c r="Q40" s="18" t="s">
        <v>323</v>
      </c>
      <c r="R40" s="18"/>
      <c r="S40" s="21"/>
      <c r="T40" s="18"/>
      <c r="U40" s="21">
        <f t="shared" si="0"/>
        <v>23681.81</v>
      </c>
    </row>
    <row r="41" spans="1:21">
      <c r="A41" s="18"/>
      <c r="B41" s="18"/>
      <c r="C41" s="18"/>
      <c r="D41" s="18"/>
      <c r="E41" s="18" t="s">
        <v>266</v>
      </c>
      <c r="F41" s="18"/>
      <c r="G41" s="19">
        <v>42399</v>
      </c>
      <c r="H41" s="18"/>
      <c r="I41" s="18"/>
      <c r="J41" s="18"/>
      <c r="K41" s="18" t="s">
        <v>536</v>
      </c>
      <c r="L41" s="18"/>
      <c r="M41" s="18" t="s">
        <v>542</v>
      </c>
      <c r="N41" s="18"/>
      <c r="O41" s="20"/>
      <c r="P41" s="18"/>
      <c r="Q41" s="18" t="s">
        <v>507</v>
      </c>
      <c r="R41" s="18"/>
      <c r="S41" s="21">
        <v>889.34</v>
      </c>
      <c r="T41" s="18"/>
      <c r="U41" s="21">
        <f t="shared" si="0"/>
        <v>24571.15</v>
      </c>
    </row>
    <row r="42" spans="1:21">
      <c r="A42" s="18"/>
      <c r="B42" s="18"/>
      <c r="C42" s="18"/>
      <c r="D42" s="18"/>
      <c r="E42" s="18" t="s">
        <v>300</v>
      </c>
      <c r="F42" s="18"/>
      <c r="G42" s="19">
        <v>42410</v>
      </c>
      <c r="H42" s="18"/>
      <c r="I42" s="18" t="s">
        <v>543</v>
      </c>
      <c r="J42" s="18"/>
      <c r="K42" s="18" t="s">
        <v>536</v>
      </c>
      <c r="L42" s="18"/>
      <c r="M42" s="18" t="s">
        <v>540</v>
      </c>
      <c r="N42" s="18"/>
      <c r="O42" s="20"/>
      <c r="P42" s="18"/>
      <c r="Q42" s="18" t="s">
        <v>323</v>
      </c>
      <c r="R42" s="18"/>
      <c r="S42" s="21"/>
      <c r="T42" s="18"/>
      <c r="U42" s="21">
        <f t="shared" ref="U42:U73" si="1">ROUND(U41+S42,5)</f>
        <v>24571.15</v>
      </c>
    </row>
    <row r="43" spans="1:21">
      <c r="A43" s="18"/>
      <c r="B43" s="18"/>
      <c r="C43" s="18"/>
      <c r="D43" s="18"/>
      <c r="E43" s="18" t="s">
        <v>266</v>
      </c>
      <c r="F43" s="18"/>
      <c r="G43" s="19">
        <v>42438</v>
      </c>
      <c r="H43" s="18"/>
      <c r="I43" s="18"/>
      <c r="J43" s="18"/>
      <c r="K43" s="18"/>
      <c r="L43" s="18"/>
      <c r="M43" s="18" t="s">
        <v>544</v>
      </c>
      <c r="N43" s="18"/>
      <c r="O43" s="20"/>
      <c r="P43" s="18"/>
      <c r="Q43" s="18" t="s">
        <v>507</v>
      </c>
      <c r="R43" s="18"/>
      <c r="S43" s="21">
        <v>86.13</v>
      </c>
      <c r="T43" s="18"/>
      <c r="U43" s="21">
        <f t="shared" si="1"/>
        <v>24657.279999999999</v>
      </c>
    </row>
    <row r="44" spans="1:21">
      <c r="A44" s="18"/>
      <c r="B44" s="18"/>
      <c r="C44" s="18"/>
      <c r="D44" s="18"/>
      <c r="E44" s="18" t="s">
        <v>300</v>
      </c>
      <c r="F44" s="18"/>
      <c r="G44" s="19">
        <v>42452</v>
      </c>
      <c r="H44" s="18"/>
      <c r="I44" s="18" t="s">
        <v>543</v>
      </c>
      <c r="J44" s="18"/>
      <c r="K44" s="18" t="s">
        <v>536</v>
      </c>
      <c r="L44" s="18"/>
      <c r="M44" s="18" t="s">
        <v>540</v>
      </c>
      <c r="N44" s="18"/>
      <c r="O44" s="20"/>
      <c r="P44" s="18"/>
      <c r="Q44" s="18" t="s">
        <v>323</v>
      </c>
      <c r="R44" s="18"/>
      <c r="S44" s="21"/>
      <c r="T44" s="18"/>
      <c r="U44" s="21">
        <f t="shared" si="1"/>
        <v>24657.279999999999</v>
      </c>
    </row>
    <row r="45" spans="1:21">
      <c r="A45" s="18"/>
      <c r="B45" s="18"/>
      <c r="C45" s="18"/>
      <c r="D45" s="18"/>
      <c r="E45" s="18" t="s">
        <v>266</v>
      </c>
      <c r="F45" s="18"/>
      <c r="G45" s="19">
        <v>42458</v>
      </c>
      <c r="H45" s="18"/>
      <c r="I45" s="18"/>
      <c r="J45" s="18"/>
      <c r="K45" s="18"/>
      <c r="L45" s="18"/>
      <c r="M45" s="18" t="s">
        <v>545</v>
      </c>
      <c r="N45" s="18"/>
      <c r="O45" s="20"/>
      <c r="P45" s="18"/>
      <c r="Q45" s="18" t="s">
        <v>507</v>
      </c>
      <c r="R45" s="18"/>
      <c r="S45" s="21">
        <v>682.25</v>
      </c>
      <c r="T45" s="18"/>
      <c r="U45" s="21">
        <f t="shared" si="1"/>
        <v>25339.53</v>
      </c>
    </row>
    <row r="46" spans="1:21">
      <c r="A46" s="18"/>
      <c r="B46" s="18"/>
      <c r="C46" s="18"/>
      <c r="D46" s="18"/>
      <c r="E46" s="18" t="s">
        <v>266</v>
      </c>
      <c r="F46" s="18"/>
      <c r="G46" s="19">
        <v>42470</v>
      </c>
      <c r="H46" s="18"/>
      <c r="I46" s="18"/>
      <c r="J46" s="18"/>
      <c r="K46" s="18"/>
      <c r="L46" s="18"/>
      <c r="M46" s="18" t="s">
        <v>546</v>
      </c>
      <c r="N46" s="18"/>
      <c r="O46" s="20"/>
      <c r="P46" s="18"/>
      <c r="Q46" s="18" t="s">
        <v>507</v>
      </c>
      <c r="R46" s="18"/>
      <c r="S46" s="21">
        <v>42.07</v>
      </c>
      <c r="T46" s="18"/>
      <c r="U46" s="21">
        <f t="shared" si="1"/>
        <v>25381.599999999999</v>
      </c>
    </row>
    <row r="47" spans="1:21">
      <c r="A47" s="18"/>
      <c r="B47" s="18"/>
      <c r="C47" s="18"/>
      <c r="D47" s="18"/>
      <c r="E47" s="18" t="s">
        <v>266</v>
      </c>
      <c r="F47" s="18"/>
      <c r="G47" s="19">
        <v>42473</v>
      </c>
      <c r="H47" s="18"/>
      <c r="I47" s="18"/>
      <c r="J47" s="18"/>
      <c r="K47" s="18"/>
      <c r="L47" s="18"/>
      <c r="M47" s="18" t="s">
        <v>547</v>
      </c>
      <c r="N47" s="18"/>
      <c r="O47" s="20"/>
      <c r="P47" s="18"/>
      <c r="Q47" s="18" t="s">
        <v>507</v>
      </c>
      <c r="R47" s="18"/>
      <c r="S47" s="21">
        <v>238.68</v>
      </c>
      <c r="T47" s="18"/>
      <c r="U47" s="21">
        <f t="shared" si="1"/>
        <v>25620.28</v>
      </c>
    </row>
    <row r="48" spans="1:21">
      <c r="A48" s="18"/>
      <c r="B48" s="18"/>
      <c r="C48" s="18"/>
      <c r="D48" s="18"/>
      <c r="E48" s="18" t="s">
        <v>300</v>
      </c>
      <c r="F48" s="18"/>
      <c r="G48" s="19">
        <v>42480</v>
      </c>
      <c r="H48" s="18"/>
      <c r="I48" s="18" t="s">
        <v>548</v>
      </c>
      <c r="J48" s="18"/>
      <c r="K48" s="18" t="s">
        <v>536</v>
      </c>
      <c r="L48" s="18"/>
      <c r="M48" s="18" t="s">
        <v>540</v>
      </c>
      <c r="N48" s="18"/>
      <c r="O48" s="20"/>
      <c r="P48" s="18"/>
      <c r="Q48" s="18" t="s">
        <v>323</v>
      </c>
      <c r="R48" s="18"/>
      <c r="S48" s="21"/>
      <c r="T48" s="18"/>
      <c r="U48" s="21">
        <f t="shared" si="1"/>
        <v>25620.28</v>
      </c>
    </row>
    <row r="49" spans="1:21">
      <c r="A49" s="18"/>
      <c r="B49" s="18"/>
      <c r="C49" s="18"/>
      <c r="D49" s="18"/>
      <c r="E49" s="18" t="s">
        <v>266</v>
      </c>
      <c r="F49" s="18"/>
      <c r="G49" s="19">
        <v>42480</v>
      </c>
      <c r="H49" s="18"/>
      <c r="I49" s="18"/>
      <c r="J49" s="18"/>
      <c r="K49" s="18"/>
      <c r="L49" s="18"/>
      <c r="M49" s="18" t="s">
        <v>549</v>
      </c>
      <c r="N49" s="18"/>
      <c r="O49" s="20"/>
      <c r="P49" s="18"/>
      <c r="Q49" s="18" t="s">
        <v>507</v>
      </c>
      <c r="R49" s="18"/>
      <c r="S49" s="21">
        <v>345.6</v>
      </c>
      <c r="T49" s="18"/>
      <c r="U49" s="21">
        <f t="shared" si="1"/>
        <v>25965.88</v>
      </c>
    </row>
    <row r="50" spans="1:21">
      <c r="A50" s="18"/>
      <c r="B50" s="18"/>
      <c r="C50" s="18"/>
      <c r="D50" s="18"/>
      <c r="E50" s="18" t="s">
        <v>266</v>
      </c>
      <c r="F50" s="18"/>
      <c r="G50" s="19">
        <v>42489</v>
      </c>
      <c r="H50" s="18"/>
      <c r="I50" s="18"/>
      <c r="J50" s="18"/>
      <c r="K50" s="18"/>
      <c r="L50" s="18"/>
      <c r="M50" s="18" t="s">
        <v>550</v>
      </c>
      <c r="N50" s="18"/>
      <c r="O50" s="20"/>
      <c r="P50" s="18"/>
      <c r="Q50" s="18" t="s">
        <v>507</v>
      </c>
      <c r="R50" s="18"/>
      <c r="S50" s="21">
        <v>1859.76</v>
      </c>
      <c r="T50" s="18"/>
      <c r="U50" s="21">
        <f t="shared" si="1"/>
        <v>27825.64</v>
      </c>
    </row>
    <row r="51" spans="1:21">
      <c r="A51" s="18"/>
      <c r="B51" s="18"/>
      <c r="C51" s="18"/>
      <c r="D51" s="18"/>
      <c r="E51" s="18" t="s">
        <v>266</v>
      </c>
      <c r="F51" s="18"/>
      <c r="G51" s="19">
        <v>42514</v>
      </c>
      <c r="H51" s="18"/>
      <c r="I51" s="18"/>
      <c r="J51" s="18"/>
      <c r="K51" s="18"/>
      <c r="L51" s="18"/>
      <c r="M51" s="18"/>
      <c r="N51" s="18"/>
      <c r="O51" s="20"/>
      <c r="P51" s="18"/>
      <c r="Q51" s="18" t="s">
        <v>507</v>
      </c>
      <c r="R51" s="18"/>
      <c r="S51" s="21">
        <v>53.41</v>
      </c>
      <c r="T51" s="18"/>
      <c r="U51" s="21">
        <f t="shared" si="1"/>
        <v>27879.05</v>
      </c>
    </row>
    <row r="52" spans="1:21">
      <c r="A52" s="18"/>
      <c r="B52" s="18"/>
      <c r="C52" s="18"/>
      <c r="D52" s="18"/>
      <c r="E52" s="18" t="s">
        <v>300</v>
      </c>
      <c r="F52" s="18"/>
      <c r="G52" s="19">
        <v>42515</v>
      </c>
      <c r="H52" s="18"/>
      <c r="I52" s="18" t="s">
        <v>551</v>
      </c>
      <c r="J52" s="18"/>
      <c r="K52" s="18" t="s">
        <v>536</v>
      </c>
      <c r="L52" s="18"/>
      <c r="M52" s="18" t="s">
        <v>540</v>
      </c>
      <c r="N52" s="18"/>
      <c r="O52" s="20"/>
      <c r="P52" s="18"/>
      <c r="Q52" s="18" t="s">
        <v>323</v>
      </c>
      <c r="R52" s="18"/>
      <c r="S52" s="21"/>
      <c r="T52" s="18"/>
      <c r="U52" s="21">
        <f t="shared" si="1"/>
        <v>27879.05</v>
      </c>
    </row>
    <row r="53" spans="1:21">
      <c r="A53" s="18"/>
      <c r="B53" s="18"/>
      <c r="C53" s="18"/>
      <c r="D53" s="18"/>
      <c r="E53" s="18" t="s">
        <v>266</v>
      </c>
      <c r="F53" s="18"/>
      <c r="G53" s="19">
        <v>42531</v>
      </c>
      <c r="H53" s="18"/>
      <c r="I53" s="18"/>
      <c r="J53" s="18"/>
      <c r="K53" s="18"/>
      <c r="L53" s="18"/>
      <c r="M53" s="18" t="s">
        <v>552</v>
      </c>
      <c r="N53" s="18"/>
      <c r="O53" s="20"/>
      <c r="P53" s="18"/>
      <c r="Q53" s="18" t="s">
        <v>507</v>
      </c>
      <c r="R53" s="18"/>
      <c r="S53" s="21">
        <v>936.36</v>
      </c>
      <c r="T53" s="18"/>
      <c r="U53" s="21">
        <f t="shared" si="1"/>
        <v>28815.41</v>
      </c>
    </row>
    <row r="54" spans="1:21">
      <c r="A54" s="18"/>
      <c r="B54" s="18"/>
      <c r="C54" s="18"/>
      <c r="D54" s="18"/>
      <c r="E54" s="18" t="s">
        <v>266</v>
      </c>
      <c r="F54" s="18"/>
      <c r="G54" s="19">
        <v>42539</v>
      </c>
      <c r="H54" s="18"/>
      <c r="I54" s="18"/>
      <c r="J54" s="18"/>
      <c r="K54" s="18"/>
      <c r="L54" s="18"/>
      <c r="M54" s="18" t="s">
        <v>553</v>
      </c>
      <c r="N54" s="18"/>
      <c r="O54" s="20"/>
      <c r="P54" s="18"/>
      <c r="Q54" s="18" t="s">
        <v>554</v>
      </c>
      <c r="R54" s="18"/>
      <c r="S54" s="21">
        <v>1372.51</v>
      </c>
      <c r="T54" s="18"/>
      <c r="U54" s="21">
        <f t="shared" si="1"/>
        <v>30187.919999999998</v>
      </c>
    </row>
    <row r="55" spans="1:21">
      <c r="A55" s="18"/>
      <c r="B55" s="18"/>
      <c r="C55" s="18"/>
      <c r="D55" s="18"/>
      <c r="E55" s="18" t="s">
        <v>300</v>
      </c>
      <c r="F55" s="18"/>
      <c r="G55" s="19">
        <v>42548</v>
      </c>
      <c r="H55" s="18"/>
      <c r="I55" s="18" t="s">
        <v>555</v>
      </c>
      <c r="J55" s="18"/>
      <c r="K55" s="18" t="s">
        <v>536</v>
      </c>
      <c r="L55" s="18"/>
      <c r="M55" s="18" t="s">
        <v>540</v>
      </c>
      <c r="N55" s="18"/>
      <c r="O55" s="20"/>
      <c r="P55" s="18"/>
      <c r="Q55" s="18" t="s">
        <v>323</v>
      </c>
      <c r="R55" s="18"/>
      <c r="S55" s="21"/>
      <c r="T55" s="18"/>
      <c r="U55" s="21">
        <f t="shared" si="1"/>
        <v>30187.919999999998</v>
      </c>
    </row>
    <row r="56" spans="1:21">
      <c r="A56" s="18"/>
      <c r="B56" s="18"/>
      <c r="C56" s="18"/>
      <c r="D56" s="18"/>
      <c r="E56" s="18" t="s">
        <v>266</v>
      </c>
      <c r="F56" s="18"/>
      <c r="G56" s="19">
        <v>42566</v>
      </c>
      <c r="H56" s="18"/>
      <c r="I56" s="18"/>
      <c r="J56" s="18"/>
      <c r="K56" s="18"/>
      <c r="L56" s="18"/>
      <c r="M56" s="18" t="s">
        <v>556</v>
      </c>
      <c r="N56" s="18"/>
      <c r="O56" s="20"/>
      <c r="P56" s="18"/>
      <c r="Q56" s="18" t="s">
        <v>507</v>
      </c>
      <c r="R56" s="18"/>
      <c r="S56" s="21">
        <v>44.55</v>
      </c>
      <c r="T56" s="18"/>
      <c r="U56" s="21">
        <f t="shared" si="1"/>
        <v>30232.47</v>
      </c>
    </row>
    <row r="57" spans="1:21">
      <c r="A57" s="18"/>
      <c r="B57" s="18"/>
      <c r="C57" s="18"/>
      <c r="D57" s="18"/>
      <c r="E57" s="18" t="s">
        <v>266</v>
      </c>
      <c r="F57" s="18"/>
      <c r="G57" s="19">
        <v>42570</v>
      </c>
      <c r="H57" s="18"/>
      <c r="I57" s="18"/>
      <c r="J57" s="18"/>
      <c r="K57" s="18"/>
      <c r="L57" s="18"/>
      <c r="M57" s="18" t="s">
        <v>557</v>
      </c>
      <c r="N57" s="18"/>
      <c r="O57" s="20"/>
      <c r="P57" s="18"/>
      <c r="Q57" s="18" t="s">
        <v>507</v>
      </c>
      <c r="R57" s="18"/>
      <c r="S57" s="21">
        <v>56.43</v>
      </c>
      <c r="T57" s="18"/>
      <c r="U57" s="21">
        <f t="shared" si="1"/>
        <v>30288.9</v>
      </c>
    </row>
    <row r="58" spans="1:21">
      <c r="A58" s="18"/>
      <c r="B58" s="18"/>
      <c r="C58" s="18"/>
      <c r="D58" s="18"/>
      <c r="E58" s="18" t="s">
        <v>300</v>
      </c>
      <c r="F58" s="18"/>
      <c r="G58" s="19">
        <v>42572</v>
      </c>
      <c r="H58" s="18"/>
      <c r="I58" s="18" t="s">
        <v>558</v>
      </c>
      <c r="J58" s="18"/>
      <c r="K58" s="18" t="s">
        <v>536</v>
      </c>
      <c r="L58" s="18"/>
      <c r="M58" s="18" t="s">
        <v>540</v>
      </c>
      <c r="N58" s="18"/>
      <c r="O58" s="20"/>
      <c r="P58" s="18"/>
      <c r="Q58" s="18" t="s">
        <v>323</v>
      </c>
      <c r="R58" s="18"/>
      <c r="S58" s="21"/>
      <c r="T58" s="18"/>
      <c r="U58" s="21">
        <f t="shared" si="1"/>
        <v>30288.9</v>
      </c>
    </row>
    <row r="59" spans="1:21">
      <c r="A59" s="18"/>
      <c r="B59" s="18"/>
      <c r="C59" s="18"/>
      <c r="D59" s="18"/>
      <c r="E59" s="18" t="s">
        <v>266</v>
      </c>
      <c r="F59" s="18"/>
      <c r="G59" s="19">
        <v>42580</v>
      </c>
      <c r="H59" s="18"/>
      <c r="I59" s="18"/>
      <c r="J59" s="18"/>
      <c r="K59" s="18"/>
      <c r="L59" s="18"/>
      <c r="M59" s="18" t="s">
        <v>559</v>
      </c>
      <c r="N59" s="18"/>
      <c r="O59" s="20"/>
      <c r="P59" s="18"/>
      <c r="Q59" s="18" t="s">
        <v>507</v>
      </c>
      <c r="R59" s="18"/>
      <c r="S59" s="21">
        <v>219.24</v>
      </c>
      <c r="T59" s="18"/>
      <c r="U59" s="21">
        <f t="shared" si="1"/>
        <v>30508.14</v>
      </c>
    </row>
    <row r="60" spans="1:21">
      <c r="A60" s="18"/>
      <c r="B60" s="18"/>
      <c r="C60" s="18"/>
      <c r="D60" s="18"/>
      <c r="E60" s="18" t="s">
        <v>300</v>
      </c>
      <c r="F60" s="18"/>
      <c r="G60" s="19">
        <v>42605</v>
      </c>
      <c r="H60" s="18"/>
      <c r="I60" s="18" t="s">
        <v>560</v>
      </c>
      <c r="J60" s="18"/>
      <c r="K60" s="18" t="s">
        <v>536</v>
      </c>
      <c r="L60" s="18"/>
      <c r="M60" s="18" t="s">
        <v>540</v>
      </c>
      <c r="N60" s="18"/>
      <c r="O60" s="20"/>
      <c r="P60" s="18"/>
      <c r="Q60" s="18" t="s">
        <v>323</v>
      </c>
      <c r="R60" s="18"/>
      <c r="S60" s="21"/>
      <c r="T60" s="18"/>
      <c r="U60" s="21">
        <f t="shared" si="1"/>
        <v>30508.14</v>
      </c>
    </row>
    <row r="61" spans="1:21">
      <c r="A61" s="18"/>
      <c r="B61" s="18"/>
      <c r="C61" s="18"/>
      <c r="D61" s="18"/>
      <c r="E61" s="18" t="s">
        <v>266</v>
      </c>
      <c r="F61" s="18"/>
      <c r="G61" s="19">
        <v>42613</v>
      </c>
      <c r="H61" s="18"/>
      <c r="I61" s="18"/>
      <c r="J61" s="18"/>
      <c r="K61" s="18"/>
      <c r="L61" s="18"/>
      <c r="M61" s="18" t="s">
        <v>561</v>
      </c>
      <c r="N61" s="18"/>
      <c r="O61" s="20"/>
      <c r="P61" s="18"/>
      <c r="Q61" s="18" t="s">
        <v>507</v>
      </c>
      <c r="R61" s="18"/>
      <c r="S61" s="21">
        <v>11.88</v>
      </c>
      <c r="T61" s="18"/>
      <c r="U61" s="21">
        <f t="shared" si="1"/>
        <v>30520.02</v>
      </c>
    </row>
    <row r="62" spans="1:21">
      <c r="A62" s="18"/>
      <c r="B62" s="18"/>
      <c r="C62" s="18"/>
      <c r="D62" s="18"/>
      <c r="E62" s="18" t="s">
        <v>266</v>
      </c>
      <c r="F62" s="18"/>
      <c r="G62" s="19">
        <v>42613</v>
      </c>
      <c r="H62" s="18"/>
      <c r="I62" s="18"/>
      <c r="J62" s="18"/>
      <c r="K62" s="18"/>
      <c r="L62" s="18"/>
      <c r="M62" s="18" t="s">
        <v>562</v>
      </c>
      <c r="N62" s="18"/>
      <c r="O62" s="20"/>
      <c r="P62" s="18"/>
      <c r="Q62" s="18" t="s">
        <v>507</v>
      </c>
      <c r="R62" s="18"/>
      <c r="S62" s="21">
        <v>203.85</v>
      </c>
      <c r="T62" s="18"/>
      <c r="U62" s="21">
        <f t="shared" si="1"/>
        <v>30723.87</v>
      </c>
    </row>
    <row r="63" spans="1:21">
      <c r="A63" s="18"/>
      <c r="B63" s="18"/>
      <c r="C63" s="18"/>
      <c r="D63" s="18"/>
      <c r="E63" s="18" t="s">
        <v>300</v>
      </c>
      <c r="F63" s="18"/>
      <c r="G63" s="19">
        <v>42639</v>
      </c>
      <c r="H63" s="18"/>
      <c r="I63" s="18" t="s">
        <v>563</v>
      </c>
      <c r="J63" s="18"/>
      <c r="K63" s="18" t="s">
        <v>536</v>
      </c>
      <c r="L63" s="18"/>
      <c r="M63" s="18" t="s">
        <v>540</v>
      </c>
      <c r="N63" s="18"/>
      <c r="O63" s="20"/>
      <c r="P63" s="18"/>
      <c r="Q63" s="18" t="s">
        <v>323</v>
      </c>
      <c r="R63" s="18"/>
      <c r="S63" s="21"/>
      <c r="T63" s="18"/>
      <c r="U63" s="21">
        <f t="shared" si="1"/>
        <v>30723.87</v>
      </c>
    </row>
    <row r="64" spans="1:21">
      <c r="A64" s="18"/>
      <c r="B64" s="18"/>
      <c r="C64" s="18"/>
      <c r="D64" s="18"/>
      <c r="E64" s="18" t="s">
        <v>266</v>
      </c>
      <c r="F64" s="18"/>
      <c r="G64" s="19">
        <v>42643</v>
      </c>
      <c r="H64" s="18"/>
      <c r="I64" s="18"/>
      <c r="J64" s="18"/>
      <c r="K64" s="18"/>
      <c r="L64" s="18"/>
      <c r="M64" s="18" t="s">
        <v>564</v>
      </c>
      <c r="N64" s="18"/>
      <c r="O64" s="20"/>
      <c r="P64" s="18"/>
      <c r="Q64" s="18" t="s">
        <v>507</v>
      </c>
      <c r="R64" s="18"/>
      <c r="S64" s="21">
        <v>950.11</v>
      </c>
      <c r="T64" s="18"/>
      <c r="U64" s="21">
        <f t="shared" si="1"/>
        <v>31673.98</v>
      </c>
    </row>
    <row r="65" spans="1:21">
      <c r="A65" s="18"/>
      <c r="B65" s="18"/>
      <c r="C65" s="18"/>
      <c r="D65" s="18"/>
      <c r="E65" s="18" t="s">
        <v>266</v>
      </c>
      <c r="F65" s="18"/>
      <c r="G65" s="19">
        <v>42643</v>
      </c>
      <c r="H65" s="18"/>
      <c r="I65" s="18"/>
      <c r="J65" s="18"/>
      <c r="K65" s="18"/>
      <c r="L65" s="18"/>
      <c r="M65" s="18" t="s">
        <v>565</v>
      </c>
      <c r="N65" s="18"/>
      <c r="O65" s="20"/>
      <c r="P65" s="18"/>
      <c r="Q65" s="18" t="s">
        <v>507</v>
      </c>
      <c r="R65" s="18"/>
      <c r="S65" s="21">
        <v>327.47000000000003</v>
      </c>
      <c r="T65" s="18"/>
      <c r="U65" s="21">
        <f t="shared" si="1"/>
        <v>32001.45</v>
      </c>
    </row>
    <row r="66" spans="1:21">
      <c r="A66" s="18"/>
      <c r="B66" s="18"/>
      <c r="C66" s="18"/>
      <c r="D66" s="18"/>
      <c r="E66" s="18" t="s">
        <v>300</v>
      </c>
      <c r="F66" s="18"/>
      <c r="G66" s="19">
        <v>42668</v>
      </c>
      <c r="H66" s="18"/>
      <c r="I66" s="18" t="s">
        <v>566</v>
      </c>
      <c r="J66" s="18"/>
      <c r="K66" s="18" t="s">
        <v>536</v>
      </c>
      <c r="L66" s="18"/>
      <c r="M66" s="18" t="s">
        <v>540</v>
      </c>
      <c r="N66" s="18"/>
      <c r="O66" s="20"/>
      <c r="P66" s="18"/>
      <c r="Q66" s="18" t="s">
        <v>323</v>
      </c>
      <c r="R66" s="18"/>
      <c r="S66" s="21"/>
      <c r="T66" s="18"/>
      <c r="U66" s="21">
        <f t="shared" si="1"/>
        <v>32001.45</v>
      </c>
    </row>
    <row r="67" spans="1:21">
      <c r="A67" s="18"/>
      <c r="B67" s="18"/>
      <c r="C67" s="18"/>
      <c r="D67" s="18"/>
      <c r="E67" s="18" t="s">
        <v>266</v>
      </c>
      <c r="F67" s="18"/>
      <c r="G67" s="19">
        <v>42674</v>
      </c>
      <c r="H67" s="18"/>
      <c r="I67" s="18"/>
      <c r="J67" s="18"/>
      <c r="K67" s="18"/>
      <c r="L67" s="18"/>
      <c r="M67" s="18" t="s">
        <v>567</v>
      </c>
      <c r="N67" s="18"/>
      <c r="O67" s="20"/>
      <c r="P67" s="18"/>
      <c r="Q67" s="18" t="s">
        <v>507</v>
      </c>
      <c r="R67" s="18"/>
      <c r="S67" s="21">
        <v>950.11</v>
      </c>
      <c r="T67" s="18"/>
      <c r="U67" s="21">
        <f t="shared" si="1"/>
        <v>32951.56</v>
      </c>
    </row>
    <row r="68" spans="1:21">
      <c r="A68" s="18"/>
      <c r="B68" s="18"/>
      <c r="C68" s="18"/>
      <c r="D68" s="18"/>
      <c r="E68" s="18" t="s">
        <v>300</v>
      </c>
      <c r="F68" s="18"/>
      <c r="G68" s="19">
        <v>42702</v>
      </c>
      <c r="H68" s="18"/>
      <c r="I68" s="18" t="s">
        <v>568</v>
      </c>
      <c r="J68" s="18"/>
      <c r="K68" s="18" t="s">
        <v>536</v>
      </c>
      <c r="L68" s="18"/>
      <c r="M68" s="18" t="s">
        <v>540</v>
      </c>
      <c r="N68" s="18"/>
      <c r="O68" s="20"/>
      <c r="P68" s="18"/>
      <c r="Q68" s="18" t="s">
        <v>323</v>
      </c>
      <c r="R68" s="18"/>
      <c r="S68" s="21"/>
      <c r="T68" s="18"/>
      <c r="U68" s="21">
        <f t="shared" si="1"/>
        <v>32951.56</v>
      </c>
    </row>
    <row r="69" spans="1:21">
      <c r="A69" s="18"/>
      <c r="B69" s="18"/>
      <c r="C69" s="18"/>
      <c r="D69" s="18"/>
      <c r="E69" s="18" t="s">
        <v>266</v>
      </c>
      <c r="F69" s="18"/>
      <c r="G69" s="19">
        <v>42704</v>
      </c>
      <c r="H69" s="18"/>
      <c r="I69" s="18"/>
      <c r="J69" s="18"/>
      <c r="K69" s="18"/>
      <c r="L69" s="18"/>
      <c r="M69" s="18"/>
      <c r="N69" s="18"/>
      <c r="O69" s="20"/>
      <c r="P69" s="18"/>
      <c r="Q69" s="18" t="s">
        <v>507</v>
      </c>
      <c r="R69" s="18"/>
      <c r="S69" s="21">
        <v>1292.33</v>
      </c>
      <c r="T69" s="18"/>
      <c r="U69" s="21">
        <f t="shared" si="1"/>
        <v>34243.89</v>
      </c>
    </row>
    <row r="70" spans="1:21">
      <c r="A70" s="18"/>
      <c r="B70" s="18"/>
      <c r="C70" s="18"/>
      <c r="D70" s="18"/>
      <c r="E70" s="18" t="s">
        <v>300</v>
      </c>
      <c r="F70" s="18"/>
      <c r="G70" s="19">
        <v>42721</v>
      </c>
      <c r="H70" s="18"/>
      <c r="I70" s="18" t="s">
        <v>569</v>
      </c>
      <c r="J70" s="18"/>
      <c r="K70" s="18" t="s">
        <v>536</v>
      </c>
      <c r="L70" s="18"/>
      <c r="M70" s="18" t="s">
        <v>540</v>
      </c>
      <c r="N70" s="18"/>
      <c r="O70" s="20"/>
      <c r="P70" s="18"/>
      <c r="Q70" s="18" t="s">
        <v>323</v>
      </c>
      <c r="R70" s="18"/>
      <c r="S70" s="21"/>
      <c r="T70" s="18"/>
      <c r="U70" s="21">
        <f t="shared" si="1"/>
        <v>34243.89</v>
      </c>
    </row>
    <row r="71" spans="1:21">
      <c r="A71" s="18"/>
      <c r="B71" s="18"/>
      <c r="C71" s="18"/>
      <c r="D71" s="18"/>
      <c r="E71" s="18" t="s">
        <v>266</v>
      </c>
      <c r="F71" s="18"/>
      <c r="G71" s="19">
        <v>42732</v>
      </c>
      <c r="H71" s="18"/>
      <c r="I71" s="18"/>
      <c r="J71" s="18"/>
      <c r="K71" s="18"/>
      <c r="L71" s="18"/>
      <c r="M71" s="18"/>
      <c r="N71" s="18"/>
      <c r="O71" s="20"/>
      <c r="P71" s="18"/>
      <c r="Q71" s="18" t="s">
        <v>507</v>
      </c>
      <c r="R71" s="18"/>
      <c r="S71" s="21">
        <v>86.13</v>
      </c>
      <c r="T71" s="18"/>
      <c r="U71" s="21">
        <f t="shared" si="1"/>
        <v>34330.019999999997</v>
      </c>
    </row>
    <row r="72" spans="1:21">
      <c r="A72" s="18"/>
      <c r="B72" s="18"/>
      <c r="C72" s="18"/>
      <c r="D72" s="18"/>
      <c r="E72" s="18" t="s">
        <v>300</v>
      </c>
      <c r="F72" s="18"/>
      <c r="G72" s="19">
        <v>42757</v>
      </c>
      <c r="H72" s="18"/>
      <c r="I72" s="18" t="s">
        <v>570</v>
      </c>
      <c r="J72" s="18"/>
      <c r="K72" s="18" t="s">
        <v>536</v>
      </c>
      <c r="L72" s="18"/>
      <c r="M72" s="18" t="s">
        <v>540</v>
      </c>
      <c r="N72" s="18"/>
      <c r="O72" s="20"/>
      <c r="P72" s="18"/>
      <c r="Q72" s="18" t="s">
        <v>323</v>
      </c>
      <c r="R72" s="18"/>
      <c r="S72" s="21"/>
      <c r="T72" s="18"/>
      <c r="U72" s="21">
        <f t="shared" si="1"/>
        <v>34330.019999999997</v>
      </c>
    </row>
    <row r="73" spans="1:21">
      <c r="A73" s="18"/>
      <c r="B73" s="18"/>
      <c r="C73" s="18"/>
      <c r="D73" s="18"/>
      <c r="E73" s="18" t="s">
        <v>300</v>
      </c>
      <c r="F73" s="18"/>
      <c r="G73" s="19">
        <v>42789</v>
      </c>
      <c r="H73" s="18"/>
      <c r="I73" s="18" t="s">
        <v>571</v>
      </c>
      <c r="J73" s="18"/>
      <c r="K73" s="18" t="s">
        <v>536</v>
      </c>
      <c r="L73" s="18"/>
      <c r="M73" s="18" t="s">
        <v>540</v>
      </c>
      <c r="N73" s="18"/>
      <c r="O73" s="20"/>
      <c r="P73" s="18"/>
      <c r="Q73" s="18" t="s">
        <v>323</v>
      </c>
      <c r="R73" s="18"/>
      <c r="S73" s="21"/>
      <c r="T73" s="18"/>
      <c r="U73" s="21">
        <f t="shared" si="1"/>
        <v>34330.019999999997</v>
      </c>
    </row>
    <row r="74" spans="1:21">
      <c r="A74" s="18"/>
      <c r="B74" s="18"/>
      <c r="C74" s="18"/>
      <c r="D74" s="18"/>
      <c r="E74" s="18" t="s">
        <v>300</v>
      </c>
      <c r="F74" s="18"/>
      <c r="G74" s="19">
        <v>42821</v>
      </c>
      <c r="H74" s="18"/>
      <c r="I74" s="18" t="s">
        <v>572</v>
      </c>
      <c r="J74" s="18"/>
      <c r="K74" s="18" t="s">
        <v>536</v>
      </c>
      <c r="L74" s="18"/>
      <c r="M74" s="18" t="s">
        <v>540</v>
      </c>
      <c r="N74" s="18"/>
      <c r="O74" s="20"/>
      <c r="P74" s="18"/>
      <c r="Q74" s="18" t="s">
        <v>323</v>
      </c>
      <c r="R74" s="18"/>
      <c r="S74" s="21"/>
      <c r="T74" s="18"/>
      <c r="U74" s="21">
        <f t="shared" ref="U74:U106" si="2">ROUND(U73+S74,5)</f>
        <v>34330.019999999997</v>
      </c>
    </row>
    <row r="75" spans="1:21">
      <c r="A75" s="18"/>
      <c r="B75" s="18"/>
      <c r="C75" s="18"/>
      <c r="D75" s="18"/>
      <c r="E75" s="18" t="s">
        <v>266</v>
      </c>
      <c r="F75" s="18"/>
      <c r="G75" s="19">
        <v>42824</v>
      </c>
      <c r="H75" s="18"/>
      <c r="I75" s="18"/>
      <c r="J75" s="18"/>
      <c r="K75" s="18"/>
      <c r="L75" s="18"/>
      <c r="M75" s="18"/>
      <c r="N75" s="18"/>
      <c r="O75" s="20"/>
      <c r="P75" s="18"/>
      <c r="Q75" s="18" t="s">
        <v>507</v>
      </c>
      <c r="R75" s="18"/>
      <c r="S75" s="21">
        <v>292.41000000000003</v>
      </c>
      <c r="T75" s="18"/>
      <c r="U75" s="21">
        <f t="shared" si="2"/>
        <v>34622.43</v>
      </c>
    </row>
    <row r="76" spans="1:21">
      <c r="A76" s="18"/>
      <c r="B76" s="18"/>
      <c r="C76" s="18"/>
      <c r="D76" s="18"/>
      <c r="E76" s="18" t="s">
        <v>300</v>
      </c>
      <c r="F76" s="18"/>
      <c r="G76" s="19">
        <v>42836</v>
      </c>
      <c r="H76" s="18"/>
      <c r="I76" s="18" t="s">
        <v>573</v>
      </c>
      <c r="J76" s="18"/>
      <c r="K76" s="18" t="s">
        <v>536</v>
      </c>
      <c r="L76" s="18"/>
      <c r="M76" s="18" t="s">
        <v>540</v>
      </c>
      <c r="N76" s="18"/>
      <c r="O76" s="20"/>
      <c r="P76" s="18"/>
      <c r="Q76" s="18" t="s">
        <v>323</v>
      </c>
      <c r="R76" s="18"/>
      <c r="S76" s="21"/>
      <c r="T76" s="18"/>
      <c r="U76" s="21">
        <f t="shared" si="2"/>
        <v>34622.43</v>
      </c>
    </row>
    <row r="77" spans="1:21">
      <c r="A77" s="18"/>
      <c r="B77" s="18"/>
      <c r="C77" s="18"/>
      <c r="D77" s="18"/>
      <c r="E77" s="18" t="s">
        <v>266</v>
      </c>
      <c r="F77" s="18"/>
      <c r="G77" s="19">
        <v>42843</v>
      </c>
      <c r="H77" s="18"/>
      <c r="I77" s="18"/>
      <c r="J77" s="18"/>
      <c r="K77" s="18"/>
      <c r="L77" s="18"/>
      <c r="M77" s="18" t="s">
        <v>574</v>
      </c>
      <c r="N77" s="18"/>
      <c r="O77" s="20"/>
      <c r="P77" s="18"/>
      <c r="Q77" s="18" t="s">
        <v>507</v>
      </c>
      <c r="R77" s="18"/>
      <c r="S77" s="21">
        <v>946.84</v>
      </c>
      <c r="T77" s="18"/>
      <c r="U77" s="21">
        <f t="shared" si="2"/>
        <v>35569.269999999997</v>
      </c>
    </row>
    <row r="78" spans="1:21">
      <c r="A78" s="18"/>
      <c r="B78" s="18"/>
      <c r="C78" s="18"/>
      <c r="D78" s="18"/>
      <c r="E78" s="18" t="s">
        <v>300</v>
      </c>
      <c r="F78" s="18"/>
      <c r="G78" s="19">
        <v>42871</v>
      </c>
      <c r="H78" s="18"/>
      <c r="I78" s="18" t="s">
        <v>575</v>
      </c>
      <c r="J78" s="18"/>
      <c r="K78" s="18" t="s">
        <v>536</v>
      </c>
      <c r="L78" s="18"/>
      <c r="M78" s="18" t="s">
        <v>540</v>
      </c>
      <c r="N78" s="18"/>
      <c r="O78" s="20"/>
      <c r="P78" s="18"/>
      <c r="Q78" s="18" t="s">
        <v>323</v>
      </c>
      <c r="R78" s="18"/>
      <c r="S78" s="21"/>
      <c r="T78" s="18"/>
      <c r="U78" s="21">
        <f t="shared" si="2"/>
        <v>35569.269999999997</v>
      </c>
    </row>
    <row r="79" spans="1:21">
      <c r="A79" s="18"/>
      <c r="B79" s="18"/>
      <c r="C79" s="18"/>
      <c r="D79" s="18"/>
      <c r="E79" s="18" t="s">
        <v>266</v>
      </c>
      <c r="F79" s="18"/>
      <c r="G79" s="19">
        <v>42895</v>
      </c>
      <c r="H79" s="18"/>
      <c r="I79" s="18"/>
      <c r="J79" s="18"/>
      <c r="K79" s="18"/>
      <c r="L79" s="18"/>
      <c r="M79" s="18"/>
      <c r="N79" s="18"/>
      <c r="O79" s="20"/>
      <c r="P79" s="18"/>
      <c r="Q79" s="18" t="s">
        <v>507</v>
      </c>
      <c r="R79" s="18"/>
      <c r="S79" s="21">
        <v>118.77</v>
      </c>
      <c r="T79" s="18"/>
      <c r="U79" s="21">
        <f t="shared" si="2"/>
        <v>35688.04</v>
      </c>
    </row>
    <row r="80" spans="1:21">
      <c r="A80" s="18"/>
      <c r="B80" s="18"/>
      <c r="C80" s="18"/>
      <c r="D80" s="18"/>
      <c r="E80" s="18" t="s">
        <v>300</v>
      </c>
      <c r="F80" s="18"/>
      <c r="G80" s="19">
        <v>42899</v>
      </c>
      <c r="H80" s="18"/>
      <c r="I80" s="18" t="s">
        <v>576</v>
      </c>
      <c r="J80" s="18"/>
      <c r="K80" s="18" t="s">
        <v>536</v>
      </c>
      <c r="L80" s="18"/>
      <c r="M80" s="18" t="s">
        <v>540</v>
      </c>
      <c r="N80" s="18"/>
      <c r="O80" s="20"/>
      <c r="P80" s="18"/>
      <c r="Q80" s="18" t="s">
        <v>323</v>
      </c>
      <c r="R80" s="18"/>
      <c r="S80" s="21"/>
      <c r="T80" s="18"/>
      <c r="U80" s="21">
        <f t="shared" si="2"/>
        <v>35688.04</v>
      </c>
    </row>
    <row r="81" spans="1:21">
      <c r="A81" s="18"/>
      <c r="B81" s="18"/>
      <c r="C81" s="18"/>
      <c r="D81" s="18"/>
      <c r="E81" s="18" t="s">
        <v>300</v>
      </c>
      <c r="F81" s="18"/>
      <c r="G81" s="19">
        <v>42942</v>
      </c>
      <c r="H81" s="18"/>
      <c r="I81" s="18" t="s">
        <v>577</v>
      </c>
      <c r="J81" s="18"/>
      <c r="K81" s="18" t="s">
        <v>536</v>
      </c>
      <c r="L81" s="18"/>
      <c r="M81" s="18" t="s">
        <v>540</v>
      </c>
      <c r="N81" s="18"/>
      <c r="O81" s="20"/>
      <c r="P81" s="18"/>
      <c r="Q81" s="18" t="s">
        <v>323</v>
      </c>
      <c r="R81" s="18"/>
      <c r="S81" s="21"/>
      <c r="T81" s="18"/>
      <c r="U81" s="21">
        <f t="shared" si="2"/>
        <v>35688.04</v>
      </c>
    </row>
    <row r="82" spans="1:21">
      <c r="A82" s="18"/>
      <c r="B82" s="18"/>
      <c r="C82" s="18"/>
      <c r="D82" s="18"/>
      <c r="E82" s="18" t="s">
        <v>266</v>
      </c>
      <c r="F82" s="18"/>
      <c r="G82" s="19">
        <v>43028</v>
      </c>
      <c r="H82" s="18"/>
      <c r="I82" s="18"/>
      <c r="J82" s="18"/>
      <c r="K82" s="18"/>
      <c r="L82" s="18"/>
      <c r="M82" s="18"/>
      <c r="N82" s="18"/>
      <c r="O82" s="20"/>
      <c r="P82" s="18"/>
      <c r="Q82" s="18" t="s">
        <v>507</v>
      </c>
      <c r="R82" s="18"/>
      <c r="S82" s="21">
        <v>328.08</v>
      </c>
      <c r="T82" s="18"/>
      <c r="U82" s="21">
        <f t="shared" si="2"/>
        <v>36016.120000000003</v>
      </c>
    </row>
    <row r="83" spans="1:21">
      <c r="A83" s="18"/>
      <c r="B83" s="18"/>
      <c r="C83" s="18"/>
      <c r="D83" s="18"/>
      <c r="E83" s="18" t="s">
        <v>300</v>
      </c>
      <c r="F83" s="18"/>
      <c r="G83" s="19">
        <v>43066</v>
      </c>
      <c r="H83" s="18"/>
      <c r="I83" s="18" t="s">
        <v>578</v>
      </c>
      <c r="J83" s="18"/>
      <c r="K83" s="18" t="s">
        <v>536</v>
      </c>
      <c r="L83" s="18"/>
      <c r="M83" s="18" t="s">
        <v>540</v>
      </c>
      <c r="N83" s="18"/>
      <c r="O83" s="20"/>
      <c r="P83" s="18"/>
      <c r="Q83" s="18" t="s">
        <v>323</v>
      </c>
      <c r="R83" s="18"/>
      <c r="S83" s="21"/>
      <c r="T83" s="18"/>
      <c r="U83" s="21">
        <f t="shared" si="2"/>
        <v>36016.120000000003</v>
      </c>
    </row>
    <row r="84" spans="1:21">
      <c r="A84" s="18"/>
      <c r="B84" s="18"/>
      <c r="C84" s="18"/>
      <c r="D84" s="18"/>
      <c r="E84" s="18" t="s">
        <v>266</v>
      </c>
      <c r="F84" s="18"/>
      <c r="G84" s="19">
        <v>43080</v>
      </c>
      <c r="H84" s="18"/>
      <c r="I84" s="18"/>
      <c r="J84" s="18"/>
      <c r="K84" s="18"/>
      <c r="L84" s="18"/>
      <c r="M84" s="18" t="s">
        <v>579</v>
      </c>
      <c r="N84" s="18"/>
      <c r="O84" s="20"/>
      <c r="P84" s="18"/>
      <c r="Q84" s="18" t="s">
        <v>507</v>
      </c>
      <c r="R84" s="18"/>
      <c r="S84" s="21">
        <v>1384.18</v>
      </c>
      <c r="T84" s="18"/>
      <c r="U84" s="21">
        <f t="shared" si="2"/>
        <v>37400.300000000003</v>
      </c>
    </row>
    <row r="85" spans="1:21">
      <c r="A85" s="18"/>
      <c r="B85" s="18"/>
      <c r="C85" s="18"/>
      <c r="D85" s="18"/>
      <c r="E85" s="18" t="s">
        <v>300</v>
      </c>
      <c r="F85" s="18"/>
      <c r="G85" s="19">
        <v>43088</v>
      </c>
      <c r="H85" s="18"/>
      <c r="I85" s="18" t="s">
        <v>580</v>
      </c>
      <c r="J85" s="18"/>
      <c r="K85" s="18" t="s">
        <v>536</v>
      </c>
      <c r="L85" s="18"/>
      <c r="M85" s="18" t="s">
        <v>540</v>
      </c>
      <c r="N85" s="18"/>
      <c r="O85" s="20"/>
      <c r="P85" s="18"/>
      <c r="Q85" s="18" t="s">
        <v>323</v>
      </c>
      <c r="R85" s="18"/>
      <c r="S85" s="21"/>
      <c r="T85" s="18"/>
      <c r="U85" s="21">
        <f t="shared" si="2"/>
        <v>37400.300000000003</v>
      </c>
    </row>
    <row r="86" spans="1:21">
      <c r="A86" s="18"/>
      <c r="B86" s="18"/>
      <c r="C86" s="18"/>
      <c r="D86" s="18"/>
      <c r="E86" s="18" t="s">
        <v>266</v>
      </c>
      <c r="F86" s="18"/>
      <c r="G86" s="19">
        <v>43095</v>
      </c>
      <c r="H86" s="18"/>
      <c r="I86" s="18"/>
      <c r="J86" s="18"/>
      <c r="K86" s="18"/>
      <c r="L86" s="18"/>
      <c r="M86" s="18" t="s">
        <v>581</v>
      </c>
      <c r="N86" s="18"/>
      <c r="O86" s="20"/>
      <c r="P86" s="18"/>
      <c r="Q86" s="18" t="s">
        <v>507</v>
      </c>
      <c r="R86" s="18"/>
      <c r="S86" s="21">
        <v>1801.55</v>
      </c>
      <c r="T86" s="18"/>
      <c r="U86" s="21">
        <f t="shared" si="2"/>
        <v>39201.85</v>
      </c>
    </row>
    <row r="87" spans="1:21">
      <c r="A87" s="18"/>
      <c r="B87" s="18"/>
      <c r="C87" s="18"/>
      <c r="D87" s="18"/>
      <c r="E87" s="18" t="s">
        <v>300</v>
      </c>
      <c r="F87" s="18"/>
      <c r="G87" s="19">
        <v>43124</v>
      </c>
      <c r="H87" s="18"/>
      <c r="I87" s="18" t="s">
        <v>582</v>
      </c>
      <c r="J87" s="18"/>
      <c r="K87" s="18" t="s">
        <v>536</v>
      </c>
      <c r="L87" s="18"/>
      <c r="M87" s="18" t="s">
        <v>540</v>
      </c>
      <c r="N87" s="18"/>
      <c r="O87" s="20"/>
      <c r="P87" s="18"/>
      <c r="Q87" s="18" t="s">
        <v>323</v>
      </c>
      <c r="R87" s="18"/>
      <c r="S87" s="21"/>
      <c r="T87" s="18"/>
      <c r="U87" s="21">
        <f t="shared" si="2"/>
        <v>39201.85</v>
      </c>
    </row>
    <row r="88" spans="1:21">
      <c r="A88" s="18"/>
      <c r="B88" s="18"/>
      <c r="C88" s="18"/>
      <c r="D88" s="18"/>
      <c r="E88" s="18" t="s">
        <v>266</v>
      </c>
      <c r="F88" s="18"/>
      <c r="G88" s="19">
        <v>43144</v>
      </c>
      <c r="H88" s="18"/>
      <c r="I88" s="18"/>
      <c r="J88" s="18"/>
      <c r="K88" s="18"/>
      <c r="L88" s="18"/>
      <c r="M88" s="18" t="s">
        <v>583</v>
      </c>
      <c r="N88" s="18"/>
      <c r="O88" s="20"/>
      <c r="P88" s="18"/>
      <c r="Q88" s="18" t="s">
        <v>507</v>
      </c>
      <c r="R88" s="18"/>
      <c r="S88" s="21">
        <v>118.37</v>
      </c>
      <c r="T88" s="18"/>
      <c r="U88" s="21">
        <f t="shared" si="2"/>
        <v>39320.22</v>
      </c>
    </row>
    <row r="89" spans="1:21">
      <c r="A89" s="18"/>
      <c r="B89" s="18"/>
      <c r="C89" s="18"/>
      <c r="D89" s="18"/>
      <c r="E89" s="18" t="s">
        <v>300</v>
      </c>
      <c r="F89" s="18"/>
      <c r="G89" s="19">
        <v>43152</v>
      </c>
      <c r="H89" s="18"/>
      <c r="I89" s="18" t="s">
        <v>584</v>
      </c>
      <c r="J89" s="18"/>
      <c r="K89" s="18" t="s">
        <v>536</v>
      </c>
      <c r="L89" s="18"/>
      <c r="M89" s="18" t="s">
        <v>540</v>
      </c>
      <c r="N89" s="18"/>
      <c r="O89" s="20"/>
      <c r="P89" s="18"/>
      <c r="Q89" s="18" t="s">
        <v>323</v>
      </c>
      <c r="R89" s="18"/>
      <c r="S89" s="21"/>
      <c r="T89" s="18"/>
      <c r="U89" s="21">
        <f t="shared" si="2"/>
        <v>39320.22</v>
      </c>
    </row>
    <row r="90" spans="1:21">
      <c r="A90" s="18"/>
      <c r="B90" s="18"/>
      <c r="C90" s="18"/>
      <c r="D90" s="18"/>
      <c r="E90" s="18" t="s">
        <v>266</v>
      </c>
      <c r="F90" s="18"/>
      <c r="G90" s="19">
        <v>43165</v>
      </c>
      <c r="H90" s="18"/>
      <c r="I90" s="18"/>
      <c r="J90" s="18"/>
      <c r="K90" s="18"/>
      <c r="L90" s="18"/>
      <c r="M90" s="18" t="s">
        <v>585</v>
      </c>
      <c r="N90" s="18"/>
      <c r="O90" s="20"/>
      <c r="P90" s="18"/>
      <c r="Q90" s="18" t="s">
        <v>507</v>
      </c>
      <c r="R90" s="18"/>
      <c r="S90" s="21">
        <v>75.89</v>
      </c>
      <c r="T90" s="18"/>
      <c r="U90" s="21">
        <f t="shared" si="2"/>
        <v>39396.11</v>
      </c>
    </row>
    <row r="91" spans="1:21">
      <c r="A91" s="18"/>
      <c r="B91" s="18"/>
      <c r="C91" s="18"/>
      <c r="D91" s="18"/>
      <c r="E91" s="18" t="s">
        <v>300</v>
      </c>
      <c r="F91" s="18"/>
      <c r="G91" s="19">
        <v>43185</v>
      </c>
      <c r="H91" s="18"/>
      <c r="I91" s="18" t="s">
        <v>543</v>
      </c>
      <c r="J91" s="18"/>
      <c r="K91" s="18" t="s">
        <v>536</v>
      </c>
      <c r="L91" s="18"/>
      <c r="M91" s="18" t="s">
        <v>540</v>
      </c>
      <c r="N91" s="18"/>
      <c r="O91" s="20"/>
      <c r="P91" s="18"/>
      <c r="Q91" s="18" t="s">
        <v>323</v>
      </c>
      <c r="R91" s="18"/>
      <c r="S91" s="21"/>
      <c r="T91" s="18"/>
      <c r="U91" s="21">
        <f t="shared" si="2"/>
        <v>39396.11</v>
      </c>
    </row>
    <row r="92" spans="1:21">
      <c r="A92" s="18"/>
      <c r="B92" s="18"/>
      <c r="C92" s="18"/>
      <c r="D92" s="18"/>
      <c r="E92" s="18" t="s">
        <v>300</v>
      </c>
      <c r="F92" s="18"/>
      <c r="G92" s="19">
        <v>43207</v>
      </c>
      <c r="H92" s="18"/>
      <c r="I92" s="18" t="s">
        <v>586</v>
      </c>
      <c r="J92" s="18"/>
      <c r="K92" s="18" t="s">
        <v>536</v>
      </c>
      <c r="L92" s="18"/>
      <c r="M92" s="18" t="s">
        <v>540</v>
      </c>
      <c r="N92" s="18"/>
      <c r="O92" s="20"/>
      <c r="P92" s="18"/>
      <c r="Q92" s="18" t="s">
        <v>323</v>
      </c>
      <c r="R92" s="18"/>
      <c r="S92" s="21"/>
      <c r="T92" s="18"/>
      <c r="U92" s="21">
        <f t="shared" si="2"/>
        <v>39396.11</v>
      </c>
    </row>
    <row r="93" spans="1:21">
      <c r="A93" s="18"/>
      <c r="B93" s="18"/>
      <c r="C93" s="18"/>
      <c r="D93" s="18"/>
      <c r="E93" s="18" t="s">
        <v>266</v>
      </c>
      <c r="F93" s="18"/>
      <c r="G93" s="19">
        <v>43218</v>
      </c>
      <c r="H93" s="18"/>
      <c r="I93" s="18"/>
      <c r="J93" s="18"/>
      <c r="K93" s="18"/>
      <c r="L93" s="18"/>
      <c r="M93" s="18" t="s">
        <v>587</v>
      </c>
      <c r="N93" s="18"/>
      <c r="O93" s="20"/>
      <c r="P93" s="18"/>
      <c r="Q93" s="18" t="s">
        <v>507</v>
      </c>
      <c r="R93" s="18"/>
      <c r="S93" s="21">
        <v>576.98</v>
      </c>
      <c r="T93" s="18"/>
      <c r="U93" s="21">
        <f t="shared" si="2"/>
        <v>39973.089999999997</v>
      </c>
    </row>
    <row r="94" spans="1:21">
      <c r="A94" s="18"/>
      <c r="B94" s="18"/>
      <c r="C94" s="18"/>
      <c r="D94" s="18"/>
      <c r="E94" s="18" t="s">
        <v>300</v>
      </c>
      <c r="F94" s="18"/>
      <c r="G94" s="19">
        <v>43235</v>
      </c>
      <c r="H94" s="18"/>
      <c r="I94" s="18" t="s">
        <v>586</v>
      </c>
      <c r="J94" s="18"/>
      <c r="K94" s="18" t="s">
        <v>536</v>
      </c>
      <c r="L94" s="18"/>
      <c r="M94" s="18" t="s">
        <v>540</v>
      </c>
      <c r="N94" s="18"/>
      <c r="O94" s="20"/>
      <c r="P94" s="18"/>
      <c r="Q94" s="18" t="s">
        <v>323</v>
      </c>
      <c r="R94" s="18"/>
      <c r="S94" s="21"/>
      <c r="T94" s="18"/>
      <c r="U94" s="21">
        <f t="shared" si="2"/>
        <v>39973.089999999997</v>
      </c>
    </row>
    <row r="95" spans="1:21">
      <c r="A95" s="18"/>
      <c r="B95" s="18"/>
      <c r="C95" s="18"/>
      <c r="D95" s="18"/>
      <c r="E95" s="18" t="s">
        <v>300</v>
      </c>
      <c r="F95" s="18"/>
      <c r="G95" s="19">
        <v>43259</v>
      </c>
      <c r="H95" s="18"/>
      <c r="I95" s="18" t="s">
        <v>586</v>
      </c>
      <c r="J95" s="18"/>
      <c r="K95" s="18" t="s">
        <v>536</v>
      </c>
      <c r="L95" s="18"/>
      <c r="M95" s="18" t="s">
        <v>540</v>
      </c>
      <c r="N95" s="18"/>
      <c r="O95" s="20"/>
      <c r="P95" s="18"/>
      <c r="Q95" s="18" t="s">
        <v>323</v>
      </c>
      <c r="R95" s="18"/>
      <c r="S95" s="21"/>
      <c r="T95" s="18"/>
      <c r="U95" s="21">
        <f t="shared" si="2"/>
        <v>39973.089999999997</v>
      </c>
    </row>
    <row r="96" spans="1:21">
      <c r="A96" s="18"/>
      <c r="B96" s="18"/>
      <c r="C96" s="18"/>
      <c r="D96" s="18"/>
      <c r="E96" s="18" t="s">
        <v>266</v>
      </c>
      <c r="F96" s="18"/>
      <c r="G96" s="19">
        <v>43263</v>
      </c>
      <c r="H96" s="18"/>
      <c r="I96" s="18"/>
      <c r="J96" s="18"/>
      <c r="K96" s="18"/>
      <c r="L96" s="18"/>
      <c r="M96" s="18" t="s">
        <v>588</v>
      </c>
      <c r="N96" s="18"/>
      <c r="O96" s="20"/>
      <c r="P96" s="18"/>
      <c r="Q96" s="18" t="s">
        <v>507</v>
      </c>
      <c r="R96" s="18"/>
      <c r="S96" s="21">
        <v>1195.47</v>
      </c>
      <c r="T96" s="18"/>
      <c r="U96" s="21">
        <f t="shared" si="2"/>
        <v>41168.559999999998</v>
      </c>
    </row>
    <row r="97" spans="1:21">
      <c r="A97" s="18"/>
      <c r="B97" s="18"/>
      <c r="C97" s="18"/>
      <c r="D97" s="18"/>
      <c r="E97" s="18" t="s">
        <v>266</v>
      </c>
      <c r="F97" s="18"/>
      <c r="G97" s="19">
        <v>43270</v>
      </c>
      <c r="H97" s="18"/>
      <c r="I97" s="18"/>
      <c r="J97" s="18"/>
      <c r="K97" s="18"/>
      <c r="L97" s="18"/>
      <c r="M97" s="18"/>
      <c r="N97" s="18"/>
      <c r="O97" s="20"/>
      <c r="P97" s="18"/>
      <c r="Q97" s="18" t="s">
        <v>507</v>
      </c>
      <c r="R97" s="18"/>
      <c r="S97" s="21">
        <v>54.05</v>
      </c>
      <c r="T97" s="18"/>
      <c r="U97" s="21">
        <f t="shared" si="2"/>
        <v>41222.61</v>
      </c>
    </row>
    <row r="98" spans="1:21">
      <c r="A98" s="18"/>
      <c r="B98" s="18"/>
      <c r="C98" s="18"/>
      <c r="D98" s="18"/>
      <c r="E98" s="18" t="s">
        <v>300</v>
      </c>
      <c r="F98" s="18"/>
      <c r="G98" s="19">
        <v>43301</v>
      </c>
      <c r="H98" s="18"/>
      <c r="I98" s="18" t="s">
        <v>586</v>
      </c>
      <c r="J98" s="18"/>
      <c r="K98" s="18" t="s">
        <v>536</v>
      </c>
      <c r="L98" s="18"/>
      <c r="M98" s="18" t="s">
        <v>540</v>
      </c>
      <c r="N98" s="18"/>
      <c r="O98" s="20"/>
      <c r="P98" s="18"/>
      <c r="Q98" s="18" t="s">
        <v>323</v>
      </c>
      <c r="R98" s="18"/>
      <c r="S98" s="21"/>
      <c r="T98" s="18"/>
      <c r="U98" s="21">
        <f t="shared" si="2"/>
        <v>41222.61</v>
      </c>
    </row>
    <row r="99" spans="1:21">
      <c r="A99" s="18"/>
      <c r="B99" s="18"/>
      <c r="C99" s="18"/>
      <c r="D99" s="18"/>
      <c r="E99" s="18" t="s">
        <v>266</v>
      </c>
      <c r="F99" s="18"/>
      <c r="G99" s="19">
        <v>43312</v>
      </c>
      <c r="H99" s="18"/>
      <c r="I99" s="18"/>
      <c r="J99" s="18"/>
      <c r="K99" s="18"/>
      <c r="L99" s="18"/>
      <c r="M99" s="18"/>
      <c r="N99" s="18"/>
      <c r="O99" s="20"/>
      <c r="P99" s="18"/>
      <c r="Q99" s="18" t="s">
        <v>507</v>
      </c>
      <c r="R99" s="18"/>
      <c r="S99" s="21">
        <v>474.02</v>
      </c>
      <c r="T99" s="18"/>
      <c r="U99" s="21">
        <f t="shared" si="2"/>
        <v>41696.629999999997</v>
      </c>
    </row>
    <row r="100" spans="1:21">
      <c r="A100" s="18"/>
      <c r="B100" s="18"/>
      <c r="C100" s="18"/>
      <c r="D100" s="18"/>
      <c r="E100" s="18" t="s">
        <v>266</v>
      </c>
      <c r="F100" s="18"/>
      <c r="G100" s="19">
        <v>43336</v>
      </c>
      <c r="H100" s="18"/>
      <c r="I100" s="18"/>
      <c r="J100" s="18"/>
      <c r="K100" s="18"/>
      <c r="L100" s="18"/>
      <c r="M100" s="18"/>
      <c r="N100" s="18"/>
      <c r="O100" s="20"/>
      <c r="P100" s="18"/>
      <c r="Q100" s="18" t="s">
        <v>507</v>
      </c>
      <c r="R100" s="18"/>
      <c r="S100" s="21">
        <v>488.54</v>
      </c>
      <c r="T100" s="18"/>
      <c r="U100" s="21">
        <f t="shared" si="2"/>
        <v>42185.17</v>
      </c>
    </row>
    <row r="101" spans="1:21">
      <c r="A101" s="18"/>
      <c r="B101" s="18"/>
      <c r="C101" s="18"/>
      <c r="D101" s="18"/>
      <c r="E101" s="18" t="s">
        <v>266</v>
      </c>
      <c r="F101" s="18"/>
      <c r="G101" s="19">
        <v>43336</v>
      </c>
      <c r="H101" s="18"/>
      <c r="I101" s="18"/>
      <c r="J101" s="18"/>
      <c r="K101" s="18"/>
      <c r="L101" s="18"/>
      <c r="M101" s="18"/>
      <c r="N101" s="18"/>
      <c r="O101" s="20"/>
      <c r="P101" s="18"/>
      <c r="Q101" s="18" t="s">
        <v>507</v>
      </c>
      <c r="R101" s="18"/>
      <c r="S101" s="21">
        <v>1940.43</v>
      </c>
      <c r="T101" s="18"/>
      <c r="U101" s="21">
        <f t="shared" si="2"/>
        <v>44125.599999999999</v>
      </c>
    </row>
    <row r="102" spans="1:21">
      <c r="A102" s="18"/>
      <c r="B102" s="18"/>
      <c r="C102" s="18"/>
      <c r="D102" s="18"/>
      <c r="E102" s="18" t="s">
        <v>266</v>
      </c>
      <c r="F102" s="18"/>
      <c r="G102" s="19">
        <v>43341</v>
      </c>
      <c r="H102" s="18"/>
      <c r="I102" s="18"/>
      <c r="J102" s="18"/>
      <c r="K102" s="18" t="s">
        <v>536</v>
      </c>
      <c r="L102" s="18"/>
      <c r="M102" s="18" t="s">
        <v>589</v>
      </c>
      <c r="N102" s="18"/>
      <c r="O102" s="20"/>
      <c r="P102" s="18"/>
      <c r="Q102" s="18" t="s">
        <v>507</v>
      </c>
      <c r="R102" s="18"/>
      <c r="S102" s="21">
        <v>1761.86</v>
      </c>
      <c r="T102" s="18"/>
      <c r="U102" s="21">
        <f t="shared" si="2"/>
        <v>45887.46</v>
      </c>
    </row>
    <row r="103" spans="1:21">
      <c r="A103" s="18"/>
      <c r="B103" s="18"/>
      <c r="C103" s="18"/>
      <c r="D103" s="18"/>
      <c r="E103" s="18" t="s">
        <v>266</v>
      </c>
      <c r="F103" s="18"/>
      <c r="G103" s="19">
        <v>43374</v>
      </c>
      <c r="H103" s="18"/>
      <c r="I103" s="18"/>
      <c r="J103" s="18"/>
      <c r="K103" s="18"/>
      <c r="L103" s="18"/>
      <c r="M103" s="18"/>
      <c r="N103" s="18"/>
      <c r="O103" s="20"/>
      <c r="P103" s="18"/>
      <c r="Q103" s="18" t="s">
        <v>507</v>
      </c>
      <c r="R103" s="18"/>
      <c r="S103" s="21">
        <v>92.97</v>
      </c>
      <c r="T103" s="18"/>
      <c r="U103" s="21">
        <f t="shared" si="2"/>
        <v>45980.43</v>
      </c>
    </row>
    <row r="104" spans="1:21">
      <c r="A104" s="18"/>
      <c r="B104" s="18"/>
      <c r="C104" s="18"/>
      <c r="D104" s="18"/>
      <c r="E104" s="18" t="s">
        <v>266</v>
      </c>
      <c r="F104" s="18"/>
      <c r="G104" s="19">
        <v>43431</v>
      </c>
      <c r="H104" s="18"/>
      <c r="I104" s="18"/>
      <c r="J104" s="18"/>
      <c r="K104" s="18"/>
      <c r="L104" s="18"/>
      <c r="M104" s="18"/>
      <c r="N104" s="18"/>
      <c r="O104" s="20"/>
      <c r="P104" s="18"/>
      <c r="Q104" s="18" t="s">
        <v>507</v>
      </c>
      <c r="R104" s="18"/>
      <c r="S104" s="21">
        <v>56.21</v>
      </c>
      <c r="T104" s="18"/>
      <c r="U104" s="21">
        <f t="shared" si="2"/>
        <v>46036.639999999999</v>
      </c>
    </row>
    <row r="105" spans="1:21">
      <c r="A105" s="18"/>
      <c r="B105" s="18"/>
      <c r="C105" s="18"/>
      <c r="D105" s="18"/>
      <c r="E105" s="18" t="s">
        <v>266</v>
      </c>
      <c r="F105" s="18"/>
      <c r="G105" s="19">
        <v>43434</v>
      </c>
      <c r="H105" s="18"/>
      <c r="I105" s="18"/>
      <c r="J105" s="18"/>
      <c r="K105" s="18"/>
      <c r="L105" s="18"/>
      <c r="M105" s="18"/>
      <c r="N105" s="18"/>
      <c r="O105" s="20"/>
      <c r="P105" s="18"/>
      <c r="Q105" s="18" t="s">
        <v>507</v>
      </c>
      <c r="R105" s="18"/>
      <c r="S105" s="21">
        <v>123.74</v>
      </c>
      <c r="T105" s="18"/>
      <c r="U105" s="21">
        <f t="shared" si="2"/>
        <v>46160.38</v>
      </c>
    </row>
    <row r="106" spans="1:21" ht="15" thickBot="1">
      <c r="A106" s="18"/>
      <c r="B106" s="18"/>
      <c r="C106" s="18"/>
      <c r="D106" s="18"/>
      <c r="E106" s="18" t="s">
        <v>266</v>
      </c>
      <c r="F106" s="18"/>
      <c r="G106" s="19">
        <v>43438</v>
      </c>
      <c r="H106" s="18"/>
      <c r="I106" s="18"/>
      <c r="J106" s="18"/>
      <c r="K106" s="18"/>
      <c r="L106" s="18"/>
      <c r="M106" s="18"/>
      <c r="N106" s="18"/>
      <c r="O106" s="20"/>
      <c r="P106" s="18"/>
      <c r="Q106" s="18" t="s">
        <v>507</v>
      </c>
      <c r="R106" s="18"/>
      <c r="S106" s="22">
        <v>575.07000000000005</v>
      </c>
      <c r="T106" s="18"/>
      <c r="U106" s="22">
        <f t="shared" si="2"/>
        <v>46735.45</v>
      </c>
    </row>
    <row r="107" spans="1:21" ht="15" thickBot="1">
      <c r="A107" s="18"/>
      <c r="B107" s="18" t="s">
        <v>590</v>
      </c>
      <c r="C107" s="18"/>
      <c r="D107" s="18"/>
      <c r="E107" s="18"/>
      <c r="F107" s="18"/>
      <c r="G107" s="19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3">
        <f>ROUND(SUM(S9:S106),5)</f>
        <v>46735.45</v>
      </c>
      <c r="T107" s="18"/>
      <c r="U107" s="23">
        <f>U106</f>
        <v>46735.45</v>
      </c>
    </row>
    <row r="108" spans="1:21" ht="15" thickBot="1">
      <c r="A108" s="18" t="s">
        <v>598</v>
      </c>
      <c r="B108" s="18"/>
      <c r="C108" s="18"/>
      <c r="D108" s="18"/>
      <c r="E108" s="18"/>
      <c r="F108" s="18"/>
      <c r="G108" s="19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86"/>
      <c r="T108" s="18"/>
      <c r="U108" s="23"/>
    </row>
    <row r="109" spans="1:21" ht="15" thickBot="1">
      <c r="A109" s="6"/>
      <c r="B109" s="6"/>
      <c r="C109" s="6"/>
      <c r="D109" s="6"/>
      <c r="E109" s="6"/>
      <c r="F109" s="6"/>
      <c r="G109" s="16"/>
      <c r="H109" s="6"/>
      <c r="I109" s="6"/>
      <c r="J109" s="6"/>
      <c r="K109" s="6"/>
      <c r="L109" s="6"/>
      <c r="M109" s="6"/>
      <c r="N109" s="6"/>
      <c r="O109" s="6"/>
      <c r="P109" s="6"/>
      <c r="Q109" s="85" t="s">
        <v>414</v>
      </c>
      <c r="R109" s="6"/>
      <c r="S109" s="87"/>
      <c r="T109" s="6"/>
      <c r="U109" s="85" t="s">
        <v>415</v>
      </c>
    </row>
    <row r="110" spans="1:21" ht="15" thickTop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>
        <v>2014</v>
      </c>
      <c r="R110" s="26"/>
      <c r="T110" s="26"/>
      <c r="U110" s="26">
        <v>12917</v>
      </c>
    </row>
    <row r="111" spans="1:2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>
        <v>2015</v>
      </c>
      <c r="R111" s="26"/>
      <c r="T111" s="26"/>
      <c r="U111" s="26">
        <v>10765</v>
      </c>
    </row>
    <row r="112" spans="1:2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>
        <v>2016</v>
      </c>
      <c r="R112" s="26"/>
      <c r="T112" s="26"/>
      <c r="U112" s="26">
        <v>10648</v>
      </c>
    </row>
    <row r="113" spans="1:2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>
        <v>2017</v>
      </c>
      <c r="R113" s="26"/>
      <c r="T113" s="26"/>
      <c r="U113" s="26">
        <v>4871</v>
      </c>
    </row>
    <row r="114" spans="1:2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>
        <v>2018</v>
      </c>
      <c r="R114" s="26"/>
      <c r="T114" s="26"/>
      <c r="U114" s="26">
        <v>7534</v>
      </c>
    </row>
    <row r="115" spans="1:2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7" t="s">
        <v>600</v>
      </c>
      <c r="R115" s="26"/>
      <c r="T115" s="26"/>
      <c r="U115" s="27">
        <f>SUM(U110:U114)</f>
        <v>46735</v>
      </c>
    </row>
    <row r="116" spans="1:2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7" t="s">
        <v>595</v>
      </c>
      <c r="R116" s="26"/>
      <c r="T116" s="26"/>
      <c r="U116" s="27">
        <f>U115/5</f>
        <v>9347</v>
      </c>
    </row>
    <row r="117" spans="1:2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 t="s">
        <v>596</v>
      </c>
      <c r="R117" s="27"/>
      <c r="T117" s="26"/>
      <c r="U117" s="26">
        <v>3611</v>
      </c>
    </row>
    <row r="118" spans="1:2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7" t="s">
        <v>601</v>
      </c>
      <c r="L118" s="26"/>
      <c r="M118" s="26"/>
      <c r="N118" s="26"/>
      <c r="O118" s="26"/>
      <c r="P118" s="26"/>
      <c r="Q118" s="27" t="s">
        <v>597</v>
      </c>
      <c r="R118" s="27"/>
      <c r="S118" s="51"/>
      <c r="T118" s="27"/>
      <c r="U118" s="51">
        <f>U116-U117</f>
        <v>5736</v>
      </c>
    </row>
    <row r="119" spans="1:2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2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T120" s="26"/>
      <c r="U120" s="26"/>
    </row>
    <row r="121" spans="1: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 t="s">
        <v>665</v>
      </c>
      <c r="L121" s="26"/>
      <c r="M121" s="26"/>
      <c r="N121" s="26"/>
      <c r="O121" s="26"/>
      <c r="P121" s="26"/>
    </row>
    <row r="122" spans="1:2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 t="s">
        <v>663</v>
      </c>
      <c r="L122" s="26"/>
      <c r="M122" s="95"/>
      <c r="N122" s="26"/>
      <c r="O122" s="26"/>
      <c r="P122" s="26"/>
      <c r="Q122" s="26"/>
      <c r="R122" s="26"/>
      <c r="T122" s="26"/>
      <c r="U122" s="26"/>
    </row>
    <row r="123" spans="1:2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 t="s">
        <v>664</v>
      </c>
      <c r="L123" s="26"/>
      <c r="M123" s="26">
        <v>6553</v>
      </c>
      <c r="N123" s="26"/>
      <c r="O123" s="26"/>
      <c r="P123" s="26"/>
      <c r="Q123" s="26"/>
      <c r="R123" s="26"/>
      <c r="S123" s="26"/>
      <c r="T123" s="26"/>
      <c r="U123" s="27"/>
    </row>
    <row r="124" spans="1:2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2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</sheetData>
  <printOptions gridLines="1"/>
  <pageMargins left="0" right="0" top="0" bottom="0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workbookViewId="0">
      <selection activeCell="AH36" sqref="AH36"/>
    </sheetView>
  </sheetViews>
  <sheetFormatPr defaultRowHeight="14.4"/>
  <cols>
    <col min="2" max="2" width="1.6640625" customWidth="1"/>
    <col min="3" max="3" width="7.88671875" hidden="1" customWidth="1"/>
    <col min="4" max="4" width="8.88671875" hidden="1" customWidth="1"/>
    <col min="5" max="5" width="9.5546875" hidden="1" customWidth="1"/>
    <col min="6" max="6" width="0.5546875" customWidth="1"/>
    <col min="7" max="7" width="3" customWidth="1"/>
    <col min="8" max="8" width="1.5546875" customWidth="1"/>
    <col min="9" max="9" width="9.88671875" customWidth="1"/>
    <col min="10" max="10" width="2.44140625" customWidth="1"/>
    <col min="11" max="11" width="6" customWidth="1"/>
    <col min="12" max="12" width="0.5546875" customWidth="1"/>
    <col min="14" max="14" width="4.44140625" customWidth="1"/>
    <col min="16" max="16" width="0.6640625" customWidth="1"/>
    <col min="18" max="18" width="0.6640625" customWidth="1"/>
    <col min="19" max="19" width="9.6640625" bestFit="1" customWidth="1"/>
    <col min="22" max="22" width="0.6640625" customWidth="1"/>
  </cols>
  <sheetData>
    <row r="2" spans="1:24" ht="25.8">
      <c r="A2" s="1" t="s">
        <v>635</v>
      </c>
      <c r="O2" s="1" t="s">
        <v>636</v>
      </c>
    </row>
    <row r="3" spans="1:24">
      <c r="T3" s="34"/>
      <c r="U3" s="34"/>
    </row>
    <row r="4" spans="1:24">
      <c r="T4" s="34"/>
      <c r="U4" s="34"/>
    </row>
    <row r="5" spans="1:24" ht="15" thickBot="1">
      <c r="A5" s="25"/>
      <c r="B5" s="25"/>
      <c r="C5" s="25"/>
      <c r="D5" s="25"/>
      <c r="E5" s="25"/>
      <c r="F5" s="25"/>
      <c r="G5" s="8" t="s">
        <v>257</v>
      </c>
      <c r="H5" s="25"/>
      <c r="I5" s="8" t="s">
        <v>258</v>
      </c>
      <c r="J5" s="25"/>
      <c r="K5" s="8" t="s">
        <v>259</v>
      </c>
      <c r="L5" s="25"/>
      <c r="M5" s="8" t="s">
        <v>260</v>
      </c>
      <c r="N5" s="25"/>
      <c r="O5" s="8" t="s">
        <v>261</v>
      </c>
      <c r="P5" s="25"/>
      <c r="Q5" s="8" t="s">
        <v>262</v>
      </c>
      <c r="R5" s="25"/>
      <c r="S5" s="8" t="s">
        <v>263</v>
      </c>
      <c r="T5" s="25"/>
      <c r="U5" s="8" t="s">
        <v>42</v>
      </c>
      <c r="V5" s="25"/>
      <c r="W5" s="8" t="s">
        <v>339</v>
      </c>
      <c r="X5" s="9"/>
    </row>
    <row r="6" spans="1:24" ht="15" thickTop="1">
      <c r="A6" s="6"/>
      <c r="B6" s="6" t="s">
        <v>637</v>
      </c>
      <c r="C6" s="6"/>
      <c r="D6" s="6"/>
      <c r="E6" s="6"/>
      <c r="F6" s="6"/>
      <c r="G6" s="6"/>
      <c r="H6" s="6"/>
      <c r="I6" s="1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7"/>
      <c r="V6" s="6"/>
      <c r="W6" s="17"/>
      <c r="X6" s="34"/>
    </row>
    <row r="7" spans="1:24">
      <c r="A7" s="6"/>
      <c r="B7" s="6"/>
      <c r="C7" s="6" t="s">
        <v>638</v>
      </c>
      <c r="D7" s="6"/>
      <c r="E7" s="6"/>
      <c r="F7" s="6"/>
      <c r="G7" s="6"/>
      <c r="H7" s="6"/>
      <c r="I7" s="1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7"/>
      <c r="V7" s="6"/>
      <c r="W7" s="17"/>
      <c r="X7" s="34"/>
    </row>
    <row r="8" spans="1:24">
      <c r="A8" s="6"/>
      <c r="B8" s="6"/>
      <c r="C8" s="6"/>
      <c r="D8" s="6" t="s">
        <v>634</v>
      </c>
      <c r="E8" s="6"/>
      <c r="F8" s="6"/>
      <c r="G8" s="6"/>
      <c r="H8" s="6"/>
      <c r="I8" s="1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7"/>
      <c r="V8" s="6"/>
      <c r="W8" s="17"/>
      <c r="X8" s="34"/>
    </row>
    <row r="9" spans="1:24">
      <c r="A9" s="18"/>
      <c r="B9" s="18"/>
      <c r="C9" s="18"/>
      <c r="D9" s="18"/>
      <c r="E9" s="18"/>
      <c r="F9" s="18"/>
      <c r="G9" s="18" t="s">
        <v>300</v>
      </c>
      <c r="H9" s="18"/>
      <c r="I9" s="19">
        <v>43466</v>
      </c>
      <c r="J9" s="18"/>
      <c r="K9" s="18" t="s">
        <v>632</v>
      </c>
      <c r="L9" s="18"/>
      <c r="M9" s="18" t="s">
        <v>631</v>
      </c>
      <c r="N9" s="18"/>
      <c r="O9" s="18" t="s">
        <v>633</v>
      </c>
      <c r="P9" s="18"/>
      <c r="Q9" s="20"/>
      <c r="R9" s="18"/>
      <c r="S9" s="18" t="s">
        <v>323</v>
      </c>
      <c r="T9" s="18"/>
      <c r="U9" s="21">
        <v>510.25</v>
      </c>
      <c r="V9" s="18"/>
      <c r="W9" s="21">
        <f t="shared" ref="W9:W21" si="0">ROUND(W8+U9,5)</f>
        <v>510.25</v>
      </c>
      <c r="X9" s="34"/>
    </row>
    <row r="10" spans="1:24">
      <c r="A10" s="18"/>
      <c r="B10" s="18"/>
      <c r="C10" s="18"/>
      <c r="D10" s="18"/>
      <c r="E10" s="18"/>
      <c r="F10" s="18"/>
      <c r="G10" s="18" t="s">
        <v>300</v>
      </c>
      <c r="H10" s="18"/>
      <c r="I10" s="19">
        <v>43497</v>
      </c>
      <c r="J10" s="18"/>
      <c r="K10" s="18" t="s">
        <v>632</v>
      </c>
      <c r="L10" s="18"/>
      <c r="M10" s="18" t="s">
        <v>631</v>
      </c>
      <c r="N10" s="18"/>
      <c r="O10" s="18" t="s">
        <v>633</v>
      </c>
      <c r="P10" s="18"/>
      <c r="Q10" s="20"/>
      <c r="R10" s="18"/>
      <c r="S10" s="18" t="s">
        <v>323</v>
      </c>
      <c r="T10" s="18"/>
      <c r="U10" s="21">
        <v>935.3</v>
      </c>
      <c r="V10" s="18"/>
      <c r="W10" s="21">
        <f t="shared" si="0"/>
        <v>1445.55</v>
      </c>
      <c r="X10" s="34"/>
    </row>
    <row r="11" spans="1:24">
      <c r="A11" s="18"/>
      <c r="B11" s="18"/>
      <c r="C11" s="18"/>
      <c r="D11" s="18"/>
      <c r="E11" s="18"/>
      <c r="F11" s="18"/>
      <c r="G11" s="18" t="s">
        <v>300</v>
      </c>
      <c r="H11" s="18"/>
      <c r="I11" s="19">
        <v>43525</v>
      </c>
      <c r="J11" s="18"/>
      <c r="K11" s="18" t="s">
        <v>632</v>
      </c>
      <c r="L11" s="18"/>
      <c r="M11" s="18" t="s">
        <v>631</v>
      </c>
      <c r="N11" s="18"/>
      <c r="O11" s="18" t="s">
        <v>633</v>
      </c>
      <c r="P11" s="18"/>
      <c r="Q11" s="20"/>
      <c r="R11" s="18"/>
      <c r="S11" s="18" t="s">
        <v>323</v>
      </c>
      <c r="T11" s="18"/>
      <c r="U11" s="21">
        <v>935.3</v>
      </c>
      <c r="V11" s="18"/>
      <c r="W11" s="21">
        <f t="shared" si="0"/>
        <v>2380.85</v>
      </c>
      <c r="X11" s="34"/>
    </row>
    <row r="12" spans="1:24">
      <c r="A12" s="18"/>
      <c r="B12" s="18"/>
      <c r="C12" s="18"/>
      <c r="D12" s="18"/>
      <c r="E12" s="18"/>
      <c r="F12" s="18"/>
      <c r="G12" s="18" t="s">
        <v>300</v>
      </c>
      <c r="H12" s="18"/>
      <c r="I12" s="19">
        <v>43556</v>
      </c>
      <c r="J12" s="18"/>
      <c r="K12" s="18" t="s">
        <v>632</v>
      </c>
      <c r="L12" s="18"/>
      <c r="M12" s="18" t="s">
        <v>631</v>
      </c>
      <c r="N12" s="18"/>
      <c r="O12" s="18" t="s">
        <v>633</v>
      </c>
      <c r="P12" s="18"/>
      <c r="Q12" s="20"/>
      <c r="R12" s="18"/>
      <c r="S12" s="18" t="s">
        <v>323</v>
      </c>
      <c r="T12" s="18"/>
      <c r="U12" s="21">
        <v>935.3</v>
      </c>
      <c r="V12" s="18"/>
      <c r="W12" s="21">
        <f t="shared" si="0"/>
        <v>3316.15</v>
      </c>
      <c r="X12" s="34"/>
    </row>
    <row r="13" spans="1:24">
      <c r="A13" s="18"/>
      <c r="B13" s="18"/>
      <c r="C13" s="18"/>
      <c r="D13" s="18"/>
      <c r="E13" s="18"/>
      <c r="F13" s="18"/>
      <c r="G13" s="18" t="s">
        <v>300</v>
      </c>
      <c r="H13" s="18"/>
      <c r="I13" s="19">
        <v>43586</v>
      </c>
      <c r="J13" s="18"/>
      <c r="K13" s="18" t="s">
        <v>632</v>
      </c>
      <c r="L13" s="18"/>
      <c r="M13" s="18" t="s">
        <v>631</v>
      </c>
      <c r="N13" s="18"/>
      <c r="O13" s="18" t="s">
        <v>633</v>
      </c>
      <c r="P13" s="18"/>
      <c r="Q13" s="20"/>
      <c r="R13" s="18"/>
      <c r="S13" s="18" t="s">
        <v>323</v>
      </c>
      <c r="T13" s="18"/>
      <c r="U13" s="21">
        <v>935.3</v>
      </c>
      <c r="V13" s="18"/>
      <c r="W13" s="21">
        <f t="shared" si="0"/>
        <v>4251.45</v>
      </c>
      <c r="X13" s="34"/>
    </row>
    <row r="14" spans="1:24">
      <c r="A14" s="18"/>
      <c r="B14" s="18"/>
      <c r="C14" s="18"/>
      <c r="D14" s="18"/>
      <c r="E14" s="18"/>
      <c r="F14" s="18"/>
      <c r="G14" s="18" t="s">
        <v>300</v>
      </c>
      <c r="H14" s="18"/>
      <c r="I14" s="19">
        <v>43617</v>
      </c>
      <c r="J14" s="18"/>
      <c r="K14" s="18" t="s">
        <v>632</v>
      </c>
      <c r="L14" s="18"/>
      <c r="M14" s="18" t="s">
        <v>631</v>
      </c>
      <c r="N14" s="18"/>
      <c r="O14" s="18" t="s">
        <v>633</v>
      </c>
      <c r="P14" s="18"/>
      <c r="Q14" s="20"/>
      <c r="R14" s="18"/>
      <c r="S14" s="18" t="s">
        <v>323</v>
      </c>
      <c r="T14" s="18"/>
      <c r="U14" s="21">
        <v>935.3</v>
      </c>
      <c r="V14" s="18"/>
      <c r="W14" s="21">
        <f t="shared" si="0"/>
        <v>5186.75</v>
      </c>
      <c r="X14" s="34"/>
    </row>
    <row r="15" spans="1:24">
      <c r="A15" s="18"/>
      <c r="B15" s="18"/>
      <c r="C15" s="18"/>
      <c r="D15" s="18"/>
      <c r="E15" s="18"/>
      <c r="F15" s="18"/>
      <c r="G15" s="18" t="s">
        <v>300</v>
      </c>
      <c r="H15" s="18"/>
      <c r="I15" s="19">
        <v>43647</v>
      </c>
      <c r="J15" s="18"/>
      <c r="K15" s="18" t="s">
        <v>632</v>
      </c>
      <c r="L15" s="18"/>
      <c r="M15" s="18" t="s">
        <v>631</v>
      </c>
      <c r="N15" s="18"/>
      <c r="O15" s="18" t="s">
        <v>633</v>
      </c>
      <c r="P15" s="18"/>
      <c r="Q15" s="20"/>
      <c r="R15" s="18"/>
      <c r="S15" s="18" t="s">
        <v>323</v>
      </c>
      <c r="T15" s="18"/>
      <c r="U15" s="21">
        <v>935.3</v>
      </c>
      <c r="V15" s="18"/>
      <c r="W15" s="21">
        <f t="shared" si="0"/>
        <v>6122.05</v>
      </c>
      <c r="X15" s="34"/>
    </row>
    <row r="16" spans="1:24">
      <c r="A16" s="18"/>
      <c r="B16" s="18"/>
      <c r="C16" s="18"/>
      <c r="D16" s="18"/>
      <c r="E16" s="18"/>
      <c r="F16" s="18"/>
      <c r="G16" s="18" t="s">
        <v>300</v>
      </c>
      <c r="H16" s="18"/>
      <c r="I16" s="19">
        <v>43678</v>
      </c>
      <c r="J16" s="18"/>
      <c r="K16" s="18" t="s">
        <v>632</v>
      </c>
      <c r="L16" s="18"/>
      <c r="M16" s="18" t="s">
        <v>631</v>
      </c>
      <c r="N16" s="18"/>
      <c r="O16" s="18" t="s">
        <v>633</v>
      </c>
      <c r="P16" s="18"/>
      <c r="Q16" s="20"/>
      <c r="R16" s="18"/>
      <c r="S16" s="18" t="s">
        <v>323</v>
      </c>
      <c r="T16" s="18"/>
      <c r="U16" s="21">
        <v>935.3</v>
      </c>
      <c r="V16" s="18"/>
      <c r="W16" s="21">
        <f t="shared" si="0"/>
        <v>7057.35</v>
      </c>
      <c r="X16" s="34"/>
    </row>
    <row r="17" spans="1:24">
      <c r="A17" s="18"/>
      <c r="B17" s="18"/>
      <c r="C17" s="18"/>
      <c r="D17" s="18"/>
      <c r="E17" s="18"/>
      <c r="F17" s="18"/>
      <c r="G17" s="18" t="s">
        <v>300</v>
      </c>
      <c r="H17" s="18"/>
      <c r="I17" s="19">
        <v>43709</v>
      </c>
      <c r="J17" s="18"/>
      <c r="K17" s="18" t="s">
        <v>632</v>
      </c>
      <c r="L17" s="18"/>
      <c r="M17" s="18" t="s">
        <v>631</v>
      </c>
      <c r="N17" s="18"/>
      <c r="O17" s="18" t="s">
        <v>633</v>
      </c>
      <c r="P17" s="18"/>
      <c r="Q17" s="20"/>
      <c r="R17" s="18"/>
      <c r="S17" s="18" t="s">
        <v>323</v>
      </c>
      <c r="T17" s="18"/>
      <c r="U17" s="21">
        <v>935.3</v>
      </c>
      <c r="V17" s="18"/>
      <c r="W17" s="21">
        <f t="shared" si="0"/>
        <v>7992.65</v>
      </c>
      <c r="X17" s="34"/>
    </row>
    <row r="18" spans="1:24">
      <c r="A18" s="18"/>
      <c r="B18" s="18"/>
      <c r="C18" s="18"/>
      <c r="D18" s="18"/>
      <c r="E18" s="18"/>
      <c r="F18" s="18"/>
      <c r="G18" s="18" t="s">
        <v>300</v>
      </c>
      <c r="H18" s="18"/>
      <c r="I18" s="19">
        <v>43739</v>
      </c>
      <c r="J18" s="18"/>
      <c r="K18" s="18" t="s">
        <v>632</v>
      </c>
      <c r="L18" s="18"/>
      <c r="M18" s="18" t="s">
        <v>631</v>
      </c>
      <c r="N18" s="18"/>
      <c r="O18" s="18" t="s">
        <v>633</v>
      </c>
      <c r="P18" s="18"/>
      <c r="Q18" s="20"/>
      <c r="R18" s="18"/>
      <c r="S18" s="18" t="s">
        <v>323</v>
      </c>
      <c r="T18" s="18"/>
      <c r="U18" s="21">
        <v>935.3</v>
      </c>
      <c r="V18" s="18"/>
      <c r="W18" s="21">
        <f t="shared" si="0"/>
        <v>8927.9500000000007</v>
      </c>
      <c r="X18" s="34"/>
    </row>
    <row r="19" spans="1:24">
      <c r="A19" s="18"/>
      <c r="B19" s="18"/>
      <c r="C19" s="18"/>
      <c r="D19" s="18"/>
      <c r="E19" s="18"/>
      <c r="F19" s="18"/>
      <c r="G19" s="18" t="s">
        <v>300</v>
      </c>
      <c r="H19" s="18"/>
      <c r="I19" s="19">
        <v>43770</v>
      </c>
      <c r="J19" s="18"/>
      <c r="K19" s="18" t="s">
        <v>632</v>
      </c>
      <c r="L19" s="18"/>
      <c r="M19" s="18" t="s">
        <v>631</v>
      </c>
      <c r="N19" s="18"/>
      <c r="O19" s="18" t="s">
        <v>633</v>
      </c>
      <c r="P19" s="18"/>
      <c r="Q19" s="20"/>
      <c r="R19" s="18"/>
      <c r="S19" s="18" t="s">
        <v>323</v>
      </c>
      <c r="T19" s="18"/>
      <c r="U19" s="21">
        <v>935.3</v>
      </c>
      <c r="V19" s="18"/>
      <c r="W19" s="21">
        <f t="shared" si="0"/>
        <v>9863.25</v>
      </c>
      <c r="X19" s="34"/>
    </row>
    <row r="20" spans="1:24">
      <c r="A20" s="18"/>
      <c r="B20" s="18"/>
      <c r="C20" s="18"/>
      <c r="D20" s="18"/>
      <c r="E20" s="18"/>
      <c r="F20" s="18"/>
      <c r="G20" s="18" t="s">
        <v>300</v>
      </c>
      <c r="H20" s="18"/>
      <c r="I20" s="19">
        <v>43800</v>
      </c>
      <c r="J20" s="18"/>
      <c r="K20" s="18" t="s">
        <v>632</v>
      </c>
      <c r="L20" s="18"/>
      <c r="M20" s="18"/>
      <c r="N20" s="18"/>
      <c r="O20" s="18" t="s">
        <v>633</v>
      </c>
      <c r="P20" s="18"/>
      <c r="Q20" s="20"/>
      <c r="R20" s="18"/>
      <c r="S20" s="18" t="s">
        <v>323</v>
      </c>
      <c r="T20" s="18"/>
      <c r="U20" s="21">
        <v>935.3</v>
      </c>
      <c r="V20" s="18"/>
      <c r="W20" s="21">
        <f t="shared" si="0"/>
        <v>10798.55</v>
      </c>
      <c r="X20" s="34"/>
    </row>
    <row r="21" spans="1:24" ht="15" thickBot="1">
      <c r="A21" s="18"/>
      <c r="B21" s="18"/>
      <c r="C21" s="18"/>
      <c r="D21" s="18"/>
      <c r="E21" s="18"/>
      <c r="F21" s="18"/>
      <c r="G21" s="18" t="s">
        <v>300</v>
      </c>
      <c r="H21" s="18"/>
      <c r="I21" s="19">
        <v>43804</v>
      </c>
      <c r="J21" s="18"/>
      <c r="K21" s="18" t="s">
        <v>543</v>
      </c>
      <c r="L21" s="18"/>
      <c r="M21" s="18" t="s">
        <v>631</v>
      </c>
      <c r="N21" s="18"/>
      <c r="O21" s="18" t="s">
        <v>639</v>
      </c>
      <c r="P21" s="18"/>
      <c r="Q21" s="20"/>
      <c r="R21" s="18"/>
      <c r="S21" s="18" t="s">
        <v>323</v>
      </c>
      <c r="T21" s="18"/>
      <c r="U21" s="22">
        <v>116.32</v>
      </c>
      <c r="V21" s="18"/>
      <c r="W21" s="22">
        <f t="shared" si="0"/>
        <v>10914.87</v>
      </c>
      <c r="X21" s="34"/>
    </row>
    <row r="22" spans="1:24" ht="15" thickBot="1">
      <c r="A22" s="18"/>
      <c r="B22" s="18"/>
      <c r="C22" s="18"/>
      <c r="D22" s="18" t="s">
        <v>640</v>
      </c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3">
        <f>ROUND(SUM(U8:U21),5)</f>
        <v>10914.87</v>
      </c>
      <c r="V22" s="18"/>
      <c r="W22" s="23">
        <f>W21</f>
        <v>10914.87</v>
      </c>
      <c r="X22" s="34"/>
    </row>
    <row r="23" spans="1:24" ht="15" thickBot="1">
      <c r="A23" s="18"/>
      <c r="B23" s="18"/>
      <c r="C23" s="18" t="s">
        <v>641</v>
      </c>
      <c r="D23" s="18"/>
      <c r="E23" s="18"/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3">
        <f>U22</f>
        <v>10914.87</v>
      </c>
      <c r="V23" s="18"/>
      <c r="W23" s="23">
        <f>W22</f>
        <v>10914.87</v>
      </c>
      <c r="X23" s="34"/>
    </row>
    <row r="24" spans="1:24" ht="15" thickBot="1">
      <c r="A24" s="18"/>
      <c r="B24" s="18" t="s">
        <v>642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3">
        <f>U23</f>
        <v>10914.87</v>
      </c>
      <c r="V24" s="18"/>
      <c r="W24" s="23">
        <f>W23</f>
        <v>10914.87</v>
      </c>
      <c r="X24" s="34"/>
    </row>
    <row r="25" spans="1:24" ht="15" thickBot="1">
      <c r="A25" s="6" t="s">
        <v>23</v>
      </c>
      <c r="B25" s="6"/>
      <c r="C25" s="6"/>
      <c r="D25" s="6"/>
      <c r="E25" s="6"/>
      <c r="F25" s="6"/>
      <c r="G25" s="6"/>
      <c r="H25" s="6"/>
      <c r="I25" s="1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4">
        <f>U24</f>
        <v>10914.87</v>
      </c>
      <c r="V25" s="6"/>
      <c r="W25" s="24">
        <f>W24</f>
        <v>10914.87</v>
      </c>
      <c r="X25" s="7"/>
    </row>
    <row r="26" spans="1:24" ht="15" thickTop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34"/>
    </row>
    <row r="27" spans="1:24">
      <c r="A27" s="26"/>
      <c r="B27" s="26"/>
      <c r="C27" s="26"/>
      <c r="D27" s="26"/>
      <c r="E27" s="18"/>
      <c r="F27" s="18"/>
      <c r="G27" s="19"/>
      <c r="H27" s="18"/>
      <c r="I27" s="18"/>
      <c r="J27" s="18"/>
      <c r="K27" s="18"/>
      <c r="L27" s="18"/>
      <c r="M27" s="18"/>
      <c r="N27" s="18"/>
      <c r="O27" s="92"/>
      <c r="P27" s="18"/>
      <c r="Q27" s="18"/>
      <c r="R27" s="18"/>
      <c r="S27" s="21"/>
    </row>
    <row r="28" spans="1:24">
      <c r="E28" s="18"/>
      <c r="F28" s="18"/>
      <c r="G28" s="19"/>
      <c r="H28" s="18"/>
      <c r="I28" s="18"/>
      <c r="J28" s="18"/>
      <c r="K28" s="18"/>
      <c r="L28" s="18" t="s">
        <v>643</v>
      </c>
      <c r="M28" s="18"/>
      <c r="N28" s="18" t="s">
        <v>644</v>
      </c>
      <c r="O28" s="92" t="s">
        <v>645</v>
      </c>
      <c r="P28" s="18"/>
      <c r="Q28" s="18"/>
      <c r="R28" s="18"/>
      <c r="S28" s="21"/>
      <c r="U28" s="93">
        <f>N28*O28</f>
        <v>12619.439999999999</v>
      </c>
    </row>
    <row r="29" spans="1:24"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92"/>
      <c r="P29" s="18"/>
      <c r="Q29" s="18"/>
      <c r="R29" s="18"/>
      <c r="S29" s="21"/>
    </row>
    <row r="30" spans="1:24">
      <c r="O30" t="s">
        <v>646</v>
      </c>
      <c r="U30" s="94">
        <f>U28-U25</f>
        <v>1704.5699999999979</v>
      </c>
    </row>
    <row r="31" spans="1:24">
      <c r="K31" s="18"/>
    </row>
    <row r="34" spans="19:19">
      <c r="S34" s="90"/>
    </row>
  </sheetData>
  <printOptions gridLines="1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workbookViewId="0"/>
  </sheetViews>
  <sheetFormatPr defaultRowHeight="14.4"/>
  <cols>
    <col min="1" max="1" width="23.88671875" customWidth="1"/>
  </cols>
  <sheetData>
    <row r="3" spans="1:7" ht="25.8">
      <c r="A3" s="1" t="s">
        <v>647</v>
      </c>
      <c r="G3" s="1" t="s">
        <v>648</v>
      </c>
    </row>
    <row r="8" spans="1:7">
      <c r="B8" t="s">
        <v>650</v>
      </c>
    </row>
    <row r="9" spans="1:7">
      <c r="A9" t="s">
        <v>649</v>
      </c>
      <c r="B9">
        <v>1000</v>
      </c>
      <c r="C9">
        <v>0.45</v>
      </c>
      <c r="F9" s="47">
        <f>B9*C9</f>
        <v>450</v>
      </c>
    </row>
    <row r="10" spans="1:7">
      <c r="F10" s="47"/>
    </row>
    <row r="11" spans="1:7">
      <c r="A11" t="s">
        <v>651</v>
      </c>
      <c r="B11">
        <v>8</v>
      </c>
      <c r="C11">
        <v>18</v>
      </c>
      <c r="F11" s="47">
        <f>B11*C11</f>
        <v>144</v>
      </c>
    </row>
    <row r="12" spans="1:7">
      <c r="A12" t="s">
        <v>652</v>
      </c>
      <c r="B12">
        <v>8</v>
      </c>
      <c r="C12">
        <v>0.14849999999999999</v>
      </c>
      <c r="F12" s="47">
        <f>B12*C12</f>
        <v>1.1879999999999999</v>
      </c>
    </row>
    <row r="13" spans="1:7">
      <c r="A13" t="s">
        <v>653</v>
      </c>
      <c r="C13">
        <v>7.6499999999999999E-2</v>
      </c>
      <c r="F13" s="47">
        <f>C13*F11</f>
        <v>11.016</v>
      </c>
    </row>
    <row r="14" spans="1:7">
      <c r="A14" t="s">
        <v>654</v>
      </c>
      <c r="C14">
        <v>1.1000000000000001E-3</v>
      </c>
      <c r="F14" s="47">
        <f>F9*C14</f>
        <v>0.49500000000000005</v>
      </c>
    </row>
    <row r="15" spans="1:7">
      <c r="A15" t="s">
        <v>655</v>
      </c>
      <c r="C15">
        <v>1.2999999999999999E-3</v>
      </c>
      <c r="F15" s="47">
        <f>F9*C15</f>
        <v>0.58499999999999996</v>
      </c>
    </row>
    <row r="16" spans="1:7">
      <c r="F16" s="47"/>
    </row>
    <row r="17" spans="1:6">
      <c r="F17" s="47"/>
    </row>
    <row r="18" spans="1:6">
      <c r="A18" t="s">
        <v>656</v>
      </c>
      <c r="B18">
        <v>10</v>
      </c>
      <c r="C18">
        <v>14.99</v>
      </c>
      <c r="F18" s="47">
        <f>B18*C18</f>
        <v>149.9</v>
      </c>
    </row>
    <row r="19" spans="1:6">
      <c r="A19" t="s">
        <v>657</v>
      </c>
      <c r="B19">
        <v>2</v>
      </c>
      <c r="C19">
        <v>4.49</v>
      </c>
      <c r="F19" s="47">
        <f>B19*C19</f>
        <v>8.98</v>
      </c>
    </row>
    <row r="20" spans="1:6">
      <c r="F20" s="47"/>
    </row>
    <row r="21" spans="1:6">
      <c r="F21" s="47"/>
    </row>
    <row r="22" spans="1:6">
      <c r="A22" t="s">
        <v>658</v>
      </c>
      <c r="F22" s="47">
        <v>40.5</v>
      </c>
    </row>
    <row r="23" spans="1:6">
      <c r="F23" s="47"/>
    </row>
    <row r="24" spans="1:6">
      <c r="F24" s="47"/>
    </row>
    <row r="25" spans="1:6">
      <c r="A25" t="s">
        <v>659</v>
      </c>
      <c r="F25" s="53">
        <f>SUM(F9:F23)</f>
        <v>806.66399999999999</v>
      </c>
    </row>
    <row r="26" spans="1:6">
      <c r="F26" s="47"/>
    </row>
    <row r="27" spans="1:6">
      <c r="F27" s="47"/>
    </row>
    <row r="28" spans="1:6">
      <c r="F28" s="47"/>
    </row>
    <row r="29" spans="1:6">
      <c r="F29" s="47"/>
    </row>
    <row r="30" spans="1:6">
      <c r="F30" s="47"/>
    </row>
    <row r="31" spans="1:6">
      <c r="F31" s="47"/>
    </row>
    <row r="32" spans="1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</sheetData>
  <printOptions gridLine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workbookViewId="0"/>
  </sheetViews>
  <sheetFormatPr defaultRowHeight="14.4"/>
  <sheetData>
    <row r="1" spans="1:30" ht="25.8">
      <c r="A1" s="1" t="s">
        <v>733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thickBot="1">
      <c r="A3" s="105"/>
      <c r="B3" s="105"/>
      <c r="C3" s="105"/>
      <c r="D3" s="105"/>
      <c r="E3" s="105"/>
      <c r="F3" s="105"/>
      <c r="G3" s="105"/>
      <c r="H3" s="8" t="s">
        <v>734</v>
      </c>
    </row>
    <row r="4" spans="1:30" ht="15" thickTop="1">
      <c r="A4" s="6" t="s">
        <v>735</v>
      </c>
      <c r="B4" s="6"/>
      <c r="C4" s="6"/>
      <c r="D4" s="6"/>
      <c r="E4" s="6"/>
      <c r="F4" s="6"/>
      <c r="G4" s="6"/>
      <c r="H4" s="21"/>
    </row>
    <row r="5" spans="1:30">
      <c r="A5" s="6"/>
      <c r="B5" s="6" t="s">
        <v>736</v>
      </c>
      <c r="C5" s="6"/>
      <c r="D5" s="6"/>
      <c r="E5" s="6"/>
      <c r="F5" s="6"/>
      <c r="G5" s="6"/>
      <c r="H5" s="21"/>
    </row>
    <row r="6" spans="1:30">
      <c r="A6" s="6"/>
      <c r="B6" s="6"/>
      <c r="C6" s="6" t="s">
        <v>737</v>
      </c>
      <c r="D6" s="6"/>
      <c r="E6" s="6"/>
      <c r="F6" s="6"/>
      <c r="G6" s="6"/>
      <c r="H6" s="21"/>
    </row>
    <row r="7" spans="1:30" ht="15" thickBot="1">
      <c r="A7" s="6"/>
      <c r="B7" s="6"/>
      <c r="C7" s="6"/>
      <c r="D7" s="6" t="s">
        <v>323</v>
      </c>
      <c r="E7" s="6"/>
      <c r="F7" s="6"/>
      <c r="G7" s="6"/>
      <c r="H7" s="106">
        <v>5740.25</v>
      </c>
    </row>
    <row r="8" spans="1:30">
      <c r="A8" s="6"/>
      <c r="B8" s="6"/>
      <c r="C8" s="6" t="s">
        <v>738</v>
      </c>
      <c r="D8" s="6"/>
      <c r="E8" s="6"/>
      <c r="F8" s="6"/>
      <c r="G8" s="6"/>
      <c r="H8" s="21">
        <f>ROUND(SUM(H6:H7),5)</f>
        <v>5740.25</v>
      </c>
    </row>
    <row r="9" spans="1:30">
      <c r="A9" s="6"/>
      <c r="B9" s="6"/>
      <c r="C9" s="6" t="s">
        <v>739</v>
      </c>
      <c r="D9" s="6"/>
      <c r="E9" s="6"/>
      <c r="F9" s="6"/>
      <c r="G9" s="6"/>
      <c r="H9" s="21"/>
    </row>
    <row r="10" spans="1:30">
      <c r="A10" s="6"/>
      <c r="B10" s="6"/>
      <c r="C10" s="6"/>
      <c r="D10" s="6" t="s">
        <v>740</v>
      </c>
      <c r="E10" s="6"/>
      <c r="F10" s="6"/>
      <c r="G10" s="6"/>
      <c r="H10" s="21"/>
    </row>
    <row r="11" spans="1:30">
      <c r="A11" s="6"/>
      <c r="B11" s="6"/>
      <c r="C11" s="6"/>
      <c r="D11" s="6"/>
      <c r="E11" s="6" t="s">
        <v>741</v>
      </c>
      <c r="F11" s="6"/>
      <c r="G11" s="6"/>
      <c r="H11" s="21">
        <v>13924.93</v>
      </c>
    </row>
    <row r="12" spans="1:30">
      <c r="A12" s="6"/>
      <c r="B12" s="6"/>
      <c r="C12" s="6"/>
      <c r="D12" s="6"/>
      <c r="E12" s="6" t="s">
        <v>742</v>
      </c>
      <c r="F12" s="6"/>
      <c r="G12" s="6"/>
      <c r="H12" s="21">
        <v>3529.86</v>
      </c>
    </row>
    <row r="13" spans="1:30" ht="15" thickBot="1">
      <c r="A13" s="6"/>
      <c r="B13" s="6"/>
      <c r="C13" s="6"/>
      <c r="D13" s="6"/>
      <c r="E13" s="6" t="s">
        <v>743</v>
      </c>
      <c r="F13" s="6"/>
      <c r="G13" s="6"/>
      <c r="H13" s="22">
        <v>769.49</v>
      </c>
    </row>
    <row r="14" spans="1:30" ht="15" thickBot="1">
      <c r="A14" s="6"/>
      <c r="B14" s="6"/>
      <c r="C14" s="6"/>
      <c r="D14" s="6" t="s">
        <v>744</v>
      </c>
      <c r="E14" s="6"/>
      <c r="F14" s="6"/>
      <c r="G14" s="6"/>
      <c r="H14" s="107">
        <f>ROUND(SUM(H10:H13),5)</f>
        <v>18224.28</v>
      </c>
    </row>
    <row r="15" spans="1:30">
      <c r="A15" s="6"/>
      <c r="B15" s="6"/>
      <c r="C15" s="6" t="s">
        <v>745</v>
      </c>
      <c r="D15" s="6"/>
      <c r="E15" s="6"/>
      <c r="F15" s="6"/>
      <c r="G15" s="6"/>
      <c r="H15" s="21">
        <f>ROUND(H9+H14,5)</f>
        <v>18224.28</v>
      </c>
    </row>
    <row r="16" spans="1:30">
      <c r="A16" s="6"/>
      <c r="B16" s="6"/>
      <c r="C16" s="6" t="s">
        <v>746</v>
      </c>
      <c r="D16" s="6"/>
      <c r="E16" s="6"/>
      <c r="F16" s="6"/>
      <c r="G16" s="6"/>
      <c r="H16" s="21"/>
    </row>
    <row r="17" spans="1:8">
      <c r="A17" s="6"/>
      <c r="B17" s="6"/>
      <c r="C17" s="6"/>
      <c r="D17" s="6" t="s">
        <v>747</v>
      </c>
      <c r="E17" s="6"/>
      <c r="F17" s="6"/>
      <c r="G17" s="6"/>
      <c r="H17" s="21">
        <v>400</v>
      </c>
    </row>
    <row r="18" spans="1:8">
      <c r="A18" s="6"/>
      <c r="B18" s="6"/>
      <c r="C18" s="6"/>
      <c r="D18" s="6" t="s">
        <v>748</v>
      </c>
      <c r="E18" s="6"/>
      <c r="F18" s="6"/>
      <c r="G18" s="6"/>
      <c r="H18" s="21"/>
    </row>
    <row r="19" spans="1:8">
      <c r="A19" s="6"/>
      <c r="B19" s="6"/>
      <c r="C19" s="6"/>
      <c r="D19" s="6"/>
      <c r="E19" s="6" t="s">
        <v>749</v>
      </c>
      <c r="F19" s="6"/>
      <c r="G19" s="6"/>
      <c r="H19" s="21">
        <v>5530.29</v>
      </c>
    </row>
    <row r="20" spans="1:8">
      <c r="A20" s="6"/>
      <c r="B20" s="6"/>
      <c r="C20" s="6"/>
      <c r="D20" s="6"/>
      <c r="E20" s="6" t="s">
        <v>750</v>
      </c>
      <c r="F20" s="6"/>
      <c r="G20" s="6"/>
      <c r="H20" s="21">
        <v>3000</v>
      </c>
    </row>
    <row r="21" spans="1:8" ht="15" thickBot="1">
      <c r="A21" s="6"/>
      <c r="B21" s="6"/>
      <c r="C21" s="6"/>
      <c r="D21" s="6"/>
      <c r="E21" s="6" t="s">
        <v>751</v>
      </c>
      <c r="F21" s="6"/>
      <c r="G21" s="6"/>
      <c r="H21" s="22">
        <v>92.2</v>
      </c>
    </row>
    <row r="22" spans="1:8" ht="15" thickBot="1">
      <c r="A22" s="6"/>
      <c r="B22" s="6"/>
      <c r="C22" s="6"/>
      <c r="D22" s="6" t="s">
        <v>752</v>
      </c>
      <c r="E22" s="6"/>
      <c r="F22" s="6"/>
      <c r="G22" s="6"/>
      <c r="H22" s="23">
        <f>ROUND(SUM(H18:H21),5)</f>
        <v>8622.49</v>
      </c>
    </row>
    <row r="23" spans="1:8" ht="15" thickBot="1">
      <c r="A23" s="6"/>
      <c r="B23" s="6"/>
      <c r="C23" s="6" t="s">
        <v>753</v>
      </c>
      <c r="D23" s="6"/>
      <c r="E23" s="6"/>
      <c r="F23" s="6"/>
      <c r="G23" s="6"/>
      <c r="H23" s="107">
        <f>ROUND(SUM(H16:H17)+H22,5)</f>
        <v>9022.49</v>
      </c>
    </row>
    <row r="24" spans="1:8">
      <c r="A24" s="6"/>
      <c r="B24" s="6" t="s">
        <v>754</v>
      </c>
      <c r="C24" s="6"/>
      <c r="D24" s="6"/>
      <c r="E24" s="6"/>
      <c r="F24" s="6"/>
      <c r="G24" s="6"/>
      <c r="H24" s="21">
        <f>ROUND(H5+H8+H15+H23,5)</f>
        <v>32987.019999999997</v>
      </c>
    </row>
    <row r="25" spans="1:8">
      <c r="A25" s="6"/>
      <c r="B25" s="6" t="s">
        <v>755</v>
      </c>
      <c r="C25" s="6"/>
      <c r="D25" s="6"/>
      <c r="E25" s="6"/>
      <c r="F25" s="6"/>
      <c r="G25" s="6"/>
      <c r="H25" s="21"/>
    </row>
    <row r="26" spans="1:8">
      <c r="A26" s="6"/>
      <c r="B26" s="6"/>
      <c r="C26" s="6" t="s">
        <v>756</v>
      </c>
      <c r="D26" s="6"/>
      <c r="E26" s="6"/>
      <c r="F26" s="6"/>
      <c r="G26" s="6"/>
      <c r="H26" s="21"/>
    </row>
    <row r="27" spans="1:8">
      <c r="A27" s="6"/>
      <c r="B27" s="6"/>
      <c r="C27" s="6"/>
      <c r="D27" s="6" t="s">
        <v>757</v>
      </c>
      <c r="E27" s="6"/>
      <c r="F27" s="6"/>
      <c r="G27" s="6"/>
      <c r="H27" s="21"/>
    </row>
    <row r="28" spans="1:8">
      <c r="A28" s="6"/>
      <c r="B28" s="6"/>
      <c r="C28" s="6"/>
      <c r="D28" s="6"/>
      <c r="E28" s="6" t="s">
        <v>758</v>
      </c>
      <c r="F28" s="6"/>
      <c r="G28" s="6"/>
      <c r="H28" s="21">
        <v>298057.44</v>
      </c>
    </row>
    <row r="29" spans="1:8" ht="15" thickBot="1">
      <c r="A29" s="6"/>
      <c r="B29" s="6"/>
      <c r="C29" s="6"/>
      <c r="D29" s="6"/>
      <c r="E29" s="6" t="s">
        <v>759</v>
      </c>
      <c r="F29" s="6"/>
      <c r="G29" s="6"/>
      <c r="H29" s="106">
        <v>-89693.37</v>
      </c>
    </row>
    <row r="30" spans="1:8">
      <c r="A30" s="6"/>
      <c r="B30" s="6"/>
      <c r="C30" s="6"/>
      <c r="D30" s="6" t="s">
        <v>760</v>
      </c>
      <c r="E30" s="6"/>
      <c r="F30" s="6"/>
      <c r="G30" s="6"/>
      <c r="H30" s="21">
        <f>ROUND(SUM(H27:H29),5)</f>
        <v>208364.07</v>
      </c>
    </row>
    <row r="31" spans="1:8">
      <c r="A31" s="6"/>
      <c r="B31" s="6"/>
      <c r="C31" s="6"/>
      <c r="D31" s="6" t="s">
        <v>761</v>
      </c>
      <c r="E31" s="6"/>
      <c r="F31" s="6"/>
      <c r="G31" s="6"/>
      <c r="H31" s="21"/>
    </row>
    <row r="32" spans="1:8">
      <c r="A32" s="6"/>
      <c r="B32" s="6"/>
      <c r="C32" s="6"/>
      <c r="D32" s="6"/>
      <c r="E32" s="6" t="s">
        <v>762</v>
      </c>
      <c r="F32" s="6"/>
      <c r="G32" s="6"/>
      <c r="H32" s="21">
        <v>203792.77</v>
      </c>
    </row>
    <row r="33" spans="1:8" ht="15" thickBot="1">
      <c r="A33" s="6"/>
      <c r="B33" s="6"/>
      <c r="C33" s="6"/>
      <c r="D33" s="6"/>
      <c r="E33" s="6" t="s">
        <v>763</v>
      </c>
      <c r="F33" s="6"/>
      <c r="G33" s="6"/>
      <c r="H33" s="106">
        <v>-122283</v>
      </c>
    </row>
    <row r="34" spans="1:8">
      <c r="A34" s="6"/>
      <c r="B34" s="6"/>
      <c r="C34" s="6"/>
      <c r="D34" s="6" t="s">
        <v>764</v>
      </c>
      <c r="E34" s="6"/>
      <c r="F34" s="6"/>
      <c r="G34" s="6"/>
      <c r="H34" s="21">
        <f>ROUND(SUM(H31:H33),5)</f>
        <v>81509.77</v>
      </c>
    </row>
    <row r="35" spans="1:8">
      <c r="A35" s="6"/>
      <c r="B35" s="6"/>
      <c r="C35" s="6"/>
      <c r="D35" s="6" t="s">
        <v>765</v>
      </c>
      <c r="E35" s="6"/>
      <c r="F35" s="6"/>
      <c r="G35" s="6"/>
      <c r="H35" s="21"/>
    </row>
    <row r="36" spans="1:8">
      <c r="A36" s="6"/>
      <c r="B36" s="6"/>
      <c r="C36" s="6"/>
      <c r="D36" s="6"/>
      <c r="E36" s="6" t="s">
        <v>766</v>
      </c>
      <c r="F36" s="6"/>
      <c r="G36" s="6"/>
      <c r="H36" s="21">
        <v>10858.64</v>
      </c>
    </row>
    <row r="37" spans="1:8" ht="15" thickBot="1">
      <c r="A37" s="6"/>
      <c r="B37" s="6"/>
      <c r="C37" s="6"/>
      <c r="D37" s="6"/>
      <c r="E37" s="6" t="s">
        <v>767</v>
      </c>
      <c r="F37" s="6"/>
      <c r="G37" s="6"/>
      <c r="H37" s="106">
        <v>-8988</v>
      </c>
    </row>
    <row r="38" spans="1:8">
      <c r="A38" s="6"/>
      <c r="B38" s="6"/>
      <c r="C38" s="6"/>
      <c r="D38" s="6" t="s">
        <v>768</v>
      </c>
      <c r="E38" s="6"/>
      <c r="F38" s="6"/>
      <c r="G38" s="6"/>
      <c r="H38" s="21">
        <f>ROUND(SUM(H35:H37),5)</f>
        <v>1870.64</v>
      </c>
    </row>
    <row r="39" spans="1:8">
      <c r="A39" s="6"/>
      <c r="B39" s="6"/>
      <c r="C39" s="6"/>
      <c r="D39" s="6" t="s">
        <v>769</v>
      </c>
      <c r="E39" s="6"/>
      <c r="F39" s="6"/>
      <c r="G39" s="6"/>
      <c r="H39" s="21"/>
    </row>
    <row r="40" spans="1:8">
      <c r="A40" s="6"/>
      <c r="B40" s="6"/>
      <c r="C40" s="6"/>
      <c r="D40" s="6"/>
      <c r="E40" s="6" t="s">
        <v>770</v>
      </c>
      <c r="F40" s="6"/>
      <c r="G40" s="6"/>
      <c r="H40" s="21">
        <v>4109.24</v>
      </c>
    </row>
    <row r="41" spans="1:8" ht="15" thickBot="1">
      <c r="A41" s="6"/>
      <c r="B41" s="6"/>
      <c r="C41" s="6"/>
      <c r="D41" s="6"/>
      <c r="E41" s="6" t="s">
        <v>771</v>
      </c>
      <c r="F41" s="6"/>
      <c r="G41" s="6"/>
      <c r="H41" s="106">
        <v>-114</v>
      </c>
    </row>
    <row r="42" spans="1:8">
      <c r="A42" s="6"/>
      <c r="B42" s="6"/>
      <c r="C42" s="6"/>
      <c r="D42" s="6" t="s">
        <v>772</v>
      </c>
      <c r="E42" s="6"/>
      <c r="F42" s="6"/>
      <c r="G42" s="6"/>
      <c r="H42" s="21">
        <f>ROUND(SUM(H39:H41),5)</f>
        <v>3995.24</v>
      </c>
    </row>
    <row r="43" spans="1:8">
      <c r="A43" s="6"/>
      <c r="B43" s="6"/>
      <c r="C43" s="6"/>
      <c r="D43" s="6" t="s">
        <v>773</v>
      </c>
      <c r="E43" s="6"/>
      <c r="F43" s="6"/>
      <c r="G43" s="6"/>
      <c r="H43" s="21"/>
    </row>
    <row r="44" spans="1:8">
      <c r="A44" s="6"/>
      <c r="B44" s="6"/>
      <c r="C44" s="6"/>
      <c r="D44" s="6"/>
      <c r="E44" s="6" t="s">
        <v>774</v>
      </c>
      <c r="F44" s="6"/>
      <c r="G44" s="6"/>
      <c r="H44" s="21">
        <v>-65489</v>
      </c>
    </row>
    <row r="45" spans="1:8" ht="15" thickBot="1">
      <c r="A45" s="6"/>
      <c r="B45" s="6"/>
      <c r="C45" s="6"/>
      <c r="D45" s="6"/>
      <c r="E45" s="6" t="s">
        <v>775</v>
      </c>
      <c r="F45" s="6"/>
      <c r="G45" s="6"/>
      <c r="H45" s="22">
        <v>93045</v>
      </c>
    </row>
    <row r="46" spans="1:8" ht="15" thickBot="1">
      <c r="A46" s="6"/>
      <c r="B46" s="6"/>
      <c r="C46" s="6"/>
      <c r="D46" s="6" t="s">
        <v>776</v>
      </c>
      <c r="E46" s="6"/>
      <c r="F46" s="6"/>
      <c r="G46" s="6"/>
      <c r="H46" s="23">
        <f>ROUND(SUM(H43:H45),5)</f>
        <v>27556</v>
      </c>
    </row>
    <row r="47" spans="1:8" ht="15" thickBot="1">
      <c r="A47" s="6"/>
      <c r="B47" s="6"/>
      <c r="C47" s="6" t="s">
        <v>777</v>
      </c>
      <c r="D47" s="6"/>
      <c r="E47" s="6"/>
      <c r="F47" s="6"/>
      <c r="G47" s="6"/>
      <c r="H47" s="23">
        <f>ROUND(H26+H30+H34+H38+H42+H46,5)</f>
        <v>323295.71999999997</v>
      </c>
    </row>
    <row r="48" spans="1:8" ht="15" thickBot="1">
      <c r="A48" s="6"/>
      <c r="B48" s="6" t="s">
        <v>778</v>
      </c>
      <c r="C48" s="6"/>
      <c r="D48" s="6"/>
      <c r="E48" s="6"/>
      <c r="F48" s="6"/>
      <c r="G48" s="6"/>
      <c r="H48" s="23">
        <f>ROUND(H25+H47,5)</f>
        <v>323295.71999999997</v>
      </c>
    </row>
    <row r="49" spans="1:8" ht="15" thickBot="1">
      <c r="A49" s="6" t="s">
        <v>779</v>
      </c>
      <c r="B49" s="6"/>
      <c r="C49" s="6"/>
      <c r="D49" s="6"/>
      <c r="E49" s="6"/>
      <c r="F49" s="6"/>
      <c r="G49" s="6"/>
      <c r="H49" s="24">
        <f>ROUND(H4+H24+H48,5)</f>
        <v>356282.74</v>
      </c>
    </row>
    <row r="50" spans="1:8" ht="15" thickTop="1">
      <c r="A50" s="6" t="s">
        <v>780</v>
      </c>
      <c r="B50" s="6"/>
      <c r="C50" s="6"/>
      <c r="D50" s="6"/>
      <c r="E50" s="6"/>
      <c r="F50" s="6"/>
      <c r="G50" s="6"/>
      <c r="H50" s="21"/>
    </row>
    <row r="51" spans="1:8">
      <c r="A51" s="6"/>
      <c r="B51" s="6" t="s">
        <v>781</v>
      </c>
      <c r="C51" s="6"/>
      <c r="D51" s="6"/>
      <c r="E51" s="6"/>
      <c r="F51" s="6"/>
      <c r="G51" s="6"/>
      <c r="H51" s="21"/>
    </row>
    <row r="52" spans="1:8">
      <c r="A52" s="6"/>
      <c r="B52" s="6"/>
      <c r="C52" s="6" t="s">
        <v>782</v>
      </c>
      <c r="D52" s="6"/>
      <c r="E52" s="6"/>
      <c r="F52" s="6"/>
      <c r="G52" s="6"/>
      <c r="H52" s="21"/>
    </row>
    <row r="53" spans="1:8">
      <c r="A53" s="6"/>
      <c r="B53" s="6"/>
      <c r="C53" s="6"/>
      <c r="D53" s="6" t="s">
        <v>783</v>
      </c>
      <c r="E53" s="6"/>
      <c r="F53" s="6"/>
      <c r="G53" s="6"/>
      <c r="H53" s="21"/>
    </row>
    <row r="54" spans="1:8">
      <c r="A54" s="6"/>
      <c r="B54" s="6"/>
      <c r="C54" s="6"/>
      <c r="D54" s="6"/>
      <c r="E54" s="6" t="s">
        <v>784</v>
      </c>
      <c r="F54" s="6"/>
      <c r="G54" s="6"/>
      <c r="H54" s="21"/>
    </row>
    <row r="55" spans="1:8">
      <c r="A55" s="6"/>
      <c r="B55" s="6"/>
      <c r="C55" s="6"/>
      <c r="D55" s="6"/>
      <c r="E55" s="6"/>
      <c r="F55" s="6" t="s">
        <v>785</v>
      </c>
      <c r="G55" s="6"/>
      <c r="H55" s="21"/>
    </row>
    <row r="56" spans="1:8" ht="15" thickBot="1">
      <c r="A56" s="6"/>
      <c r="B56" s="6"/>
      <c r="C56" s="6"/>
      <c r="D56" s="6"/>
      <c r="E56" s="6"/>
      <c r="F56" s="6"/>
      <c r="G56" s="6" t="s">
        <v>786</v>
      </c>
      <c r="H56" s="106">
        <v>0.02</v>
      </c>
    </row>
    <row r="57" spans="1:8">
      <c r="A57" s="6"/>
      <c r="B57" s="6"/>
      <c r="C57" s="6"/>
      <c r="D57" s="6"/>
      <c r="E57" s="6"/>
      <c r="F57" s="6" t="s">
        <v>787</v>
      </c>
      <c r="G57" s="6"/>
      <c r="H57" s="21">
        <f>ROUND(SUM(H55:H56),5)</f>
        <v>0.02</v>
      </c>
    </row>
    <row r="58" spans="1:8" ht="15" thickBot="1">
      <c r="A58" s="6"/>
      <c r="B58" s="6"/>
      <c r="C58" s="6"/>
      <c r="D58" s="6"/>
      <c r="E58" s="6"/>
      <c r="F58" s="6" t="s">
        <v>788</v>
      </c>
      <c r="G58" s="6"/>
      <c r="H58" s="22">
        <v>5037.71</v>
      </c>
    </row>
    <row r="59" spans="1:8" ht="15" thickBot="1">
      <c r="A59" s="6"/>
      <c r="B59" s="6"/>
      <c r="C59" s="6"/>
      <c r="D59" s="6"/>
      <c r="E59" s="6" t="s">
        <v>789</v>
      </c>
      <c r="F59" s="6"/>
      <c r="G59" s="6"/>
      <c r="H59" s="107">
        <f>ROUND(H54+SUM(H57:H58),5)</f>
        <v>5037.7299999999996</v>
      </c>
    </row>
    <row r="60" spans="1:8">
      <c r="A60" s="6"/>
      <c r="B60" s="6"/>
      <c r="C60" s="6"/>
      <c r="D60" s="6" t="s">
        <v>790</v>
      </c>
      <c r="E60" s="6"/>
      <c r="F60" s="6"/>
      <c r="G60" s="6"/>
      <c r="H60" s="21">
        <f>ROUND(H53+H59,5)</f>
        <v>5037.7299999999996</v>
      </c>
    </row>
    <row r="61" spans="1:8">
      <c r="A61" s="6"/>
      <c r="B61" s="6"/>
      <c r="C61" s="6"/>
      <c r="D61" s="6" t="s">
        <v>791</v>
      </c>
      <c r="E61" s="6"/>
      <c r="F61" s="6"/>
      <c r="G61" s="6"/>
      <c r="H61" s="21"/>
    </row>
    <row r="62" spans="1:8">
      <c r="A62" s="6"/>
      <c r="B62" s="6"/>
      <c r="C62" s="6"/>
      <c r="D62" s="6"/>
      <c r="E62" s="6" t="s">
        <v>792</v>
      </c>
      <c r="F62" s="6"/>
      <c r="G62" s="6"/>
      <c r="H62" s="21"/>
    </row>
    <row r="63" spans="1:8">
      <c r="A63" s="6"/>
      <c r="B63" s="6"/>
      <c r="C63" s="6"/>
      <c r="D63" s="6"/>
      <c r="E63" s="6"/>
      <c r="F63" s="6" t="s">
        <v>793</v>
      </c>
      <c r="G63" s="6"/>
      <c r="H63" s="21">
        <v>-250</v>
      </c>
    </row>
    <row r="64" spans="1:8">
      <c r="A64" s="6"/>
      <c r="B64" s="6"/>
      <c r="C64" s="6"/>
      <c r="D64" s="6"/>
      <c r="E64" s="6"/>
      <c r="F64" s="6" t="s">
        <v>794</v>
      </c>
      <c r="G64" s="6"/>
      <c r="H64" s="21">
        <v>-105.32</v>
      </c>
    </row>
    <row r="65" spans="1:8">
      <c r="A65" s="6"/>
      <c r="B65" s="6"/>
      <c r="C65" s="6"/>
      <c r="D65" s="6"/>
      <c r="E65" s="6"/>
      <c r="F65" s="6" t="s">
        <v>795</v>
      </c>
      <c r="G65" s="6"/>
      <c r="H65" s="21">
        <v>1325.86</v>
      </c>
    </row>
    <row r="66" spans="1:8">
      <c r="A66" s="6"/>
      <c r="B66" s="6"/>
      <c r="C66" s="6"/>
      <c r="D66" s="6"/>
      <c r="E66" s="6"/>
      <c r="F66" s="6" t="s">
        <v>292</v>
      </c>
      <c r="G66" s="6"/>
      <c r="H66" s="21">
        <v>10298.9</v>
      </c>
    </row>
    <row r="67" spans="1:8" ht="15" thickBot="1">
      <c r="A67" s="6"/>
      <c r="B67" s="6"/>
      <c r="C67" s="6"/>
      <c r="D67" s="6"/>
      <c r="E67" s="6"/>
      <c r="F67" s="6" t="s">
        <v>507</v>
      </c>
      <c r="G67" s="6"/>
      <c r="H67" s="22">
        <v>1237.74</v>
      </c>
    </row>
    <row r="68" spans="1:8" ht="15" thickBot="1">
      <c r="A68" s="6"/>
      <c r="B68" s="6"/>
      <c r="C68" s="6"/>
      <c r="D68" s="6"/>
      <c r="E68" s="6" t="s">
        <v>796</v>
      </c>
      <c r="F68" s="6"/>
      <c r="G68" s="6"/>
      <c r="H68" s="107">
        <f>ROUND(SUM(H62:H67),5)</f>
        <v>12507.18</v>
      </c>
    </row>
    <row r="69" spans="1:8">
      <c r="A69" s="6"/>
      <c r="B69" s="6"/>
      <c r="C69" s="6"/>
      <c r="D69" s="6" t="s">
        <v>797</v>
      </c>
      <c r="E69" s="6"/>
      <c r="F69" s="6"/>
      <c r="G69" s="6"/>
      <c r="H69" s="21">
        <f>ROUND(H61+H68,5)</f>
        <v>12507.18</v>
      </c>
    </row>
    <row r="70" spans="1:8">
      <c r="A70" s="6"/>
      <c r="B70" s="6"/>
      <c r="C70" s="6"/>
      <c r="D70" s="6" t="s">
        <v>798</v>
      </c>
      <c r="E70" s="6"/>
      <c r="F70" s="6"/>
      <c r="G70" s="6"/>
      <c r="H70" s="21"/>
    </row>
    <row r="71" spans="1:8">
      <c r="A71" s="6"/>
      <c r="B71" s="6"/>
      <c r="C71" s="6"/>
      <c r="D71" s="6"/>
      <c r="E71" s="6" t="s">
        <v>799</v>
      </c>
      <c r="F71" s="6"/>
      <c r="G71" s="6"/>
      <c r="H71" s="21">
        <v>1782.99</v>
      </c>
    </row>
    <row r="72" spans="1:8">
      <c r="A72" s="6"/>
      <c r="B72" s="6"/>
      <c r="C72" s="6"/>
      <c r="D72" s="6"/>
      <c r="E72" s="6" t="s">
        <v>800</v>
      </c>
      <c r="F72" s="6"/>
      <c r="G72" s="6"/>
      <c r="H72" s="21"/>
    </row>
    <row r="73" spans="1:8" ht="15" thickBot="1">
      <c r="A73" s="6"/>
      <c r="B73" s="6"/>
      <c r="C73" s="6"/>
      <c r="D73" s="6"/>
      <c r="E73" s="6"/>
      <c r="F73" s="6" t="s">
        <v>801</v>
      </c>
      <c r="G73" s="6"/>
      <c r="H73" s="106">
        <v>-61.52</v>
      </c>
    </row>
    <row r="74" spans="1:8">
      <c r="A74" s="6"/>
      <c r="B74" s="6"/>
      <c r="C74" s="6"/>
      <c r="D74" s="6"/>
      <c r="E74" s="6" t="s">
        <v>802</v>
      </c>
      <c r="F74" s="6"/>
      <c r="G74" s="6"/>
      <c r="H74" s="21">
        <f>ROUND(SUM(H72:H73),5)</f>
        <v>-61.52</v>
      </c>
    </row>
    <row r="75" spans="1:8">
      <c r="A75" s="6"/>
      <c r="B75" s="6"/>
      <c r="C75" s="6"/>
      <c r="D75" s="6"/>
      <c r="E75" s="6" t="s">
        <v>803</v>
      </c>
      <c r="F75" s="6"/>
      <c r="G75" s="6"/>
      <c r="H75" s="21"/>
    </row>
    <row r="76" spans="1:8">
      <c r="A76" s="6"/>
      <c r="B76" s="6"/>
      <c r="C76" s="6"/>
      <c r="D76" s="6"/>
      <c r="E76" s="6"/>
      <c r="F76" s="6" t="s">
        <v>804</v>
      </c>
      <c r="G76" s="6"/>
      <c r="H76" s="21">
        <v>-21.09</v>
      </c>
    </row>
    <row r="77" spans="1:8">
      <c r="A77" s="6"/>
      <c r="B77" s="6"/>
      <c r="C77" s="6"/>
      <c r="D77" s="6"/>
      <c r="E77" s="6"/>
      <c r="F77" s="6" t="s">
        <v>805</v>
      </c>
      <c r="G77" s="6"/>
      <c r="H77" s="21">
        <v>17.05</v>
      </c>
    </row>
    <row r="78" spans="1:8">
      <c r="A78" s="6"/>
      <c r="B78" s="6"/>
      <c r="C78" s="6"/>
      <c r="D78" s="6"/>
      <c r="E78" s="6"/>
      <c r="F78" s="6" t="s">
        <v>806</v>
      </c>
      <c r="G78" s="6"/>
      <c r="H78" s="21">
        <v>686.04</v>
      </c>
    </row>
    <row r="79" spans="1:8">
      <c r="A79" s="6"/>
      <c r="B79" s="6"/>
      <c r="C79" s="6"/>
      <c r="D79" s="6"/>
      <c r="E79" s="6"/>
      <c r="F79" s="6" t="s">
        <v>807</v>
      </c>
      <c r="G79" s="6"/>
      <c r="H79" s="21">
        <v>1284.5899999999999</v>
      </c>
    </row>
    <row r="80" spans="1:8">
      <c r="A80" s="6"/>
      <c r="B80" s="6"/>
      <c r="C80" s="6"/>
      <c r="D80" s="6"/>
      <c r="E80" s="6"/>
      <c r="F80" s="6" t="s">
        <v>808</v>
      </c>
      <c r="G80" s="6"/>
      <c r="H80" s="21">
        <v>270.83999999999997</v>
      </c>
    </row>
    <row r="81" spans="1:11" ht="15" thickBot="1">
      <c r="A81" s="6"/>
      <c r="B81" s="6"/>
      <c r="C81" s="6"/>
      <c r="D81" s="6"/>
      <c r="E81" s="6"/>
      <c r="F81" s="6" t="s">
        <v>809</v>
      </c>
      <c r="G81" s="6"/>
      <c r="H81" s="22">
        <v>915.62</v>
      </c>
    </row>
    <row r="82" spans="1:11" ht="15" thickBot="1">
      <c r="A82" s="6"/>
      <c r="B82" s="6"/>
      <c r="C82" s="6"/>
      <c r="D82" s="6"/>
      <c r="E82" s="6" t="s">
        <v>810</v>
      </c>
      <c r="F82" s="6"/>
      <c r="G82" s="6"/>
      <c r="H82" s="23">
        <f>ROUND(SUM(H75:H81),5)</f>
        <v>3153.05</v>
      </c>
    </row>
    <row r="83" spans="1:11" ht="15" thickBot="1">
      <c r="A83" s="6"/>
      <c r="B83" s="6"/>
      <c r="C83" s="6"/>
      <c r="D83" s="6" t="s">
        <v>811</v>
      </c>
      <c r="E83" s="6"/>
      <c r="F83" s="6"/>
      <c r="G83" s="6"/>
      <c r="H83" s="107">
        <f>ROUND(SUM(H70:H71)+H74+H82,5)</f>
        <v>4874.5200000000004</v>
      </c>
    </row>
    <row r="84" spans="1:11">
      <c r="A84" s="6"/>
      <c r="B84" s="6"/>
      <c r="C84" s="6" t="s">
        <v>812</v>
      </c>
      <c r="D84" s="6"/>
      <c r="E84" s="6"/>
      <c r="F84" s="6"/>
      <c r="G84" s="6"/>
      <c r="H84" s="21">
        <f>ROUND(H52+H60+H69+H83,5)</f>
        <v>22419.43</v>
      </c>
    </row>
    <row r="85" spans="1:11">
      <c r="A85" s="6"/>
      <c r="B85" s="6"/>
      <c r="C85" s="6" t="s">
        <v>813</v>
      </c>
      <c r="D85" s="6"/>
      <c r="E85" s="6"/>
      <c r="F85" s="6"/>
      <c r="G85" s="6"/>
      <c r="H85" s="21"/>
    </row>
    <row r="86" spans="1:11">
      <c r="A86" s="6"/>
      <c r="B86" s="6"/>
      <c r="C86" s="6"/>
      <c r="D86" s="6" t="s">
        <v>814</v>
      </c>
      <c r="E86" s="6"/>
      <c r="F86" s="6"/>
      <c r="G86" s="6"/>
      <c r="H86" s="21"/>
    </row>
    <row r="87" spans="1:11" ht="15" thickBot="1">
      <c r="A87" s="6"/>
      <c r="B87" s="6"/>
      <c r="C87" s="6"/>
      <c r="D87" s="6"/>
      <c r="E87" s="6" t="s">
        <v>815</v>
      </c>
      <c r="F87" s="6"/>
      <c r="G87" s="6"/>
      <c r="H87" s="22">
        <v>258785.08</v>
      </c>
    </row>
    <row r="88" spans="1:11" ht="15" thickBot="1">
      <c r="A88" s="6"/>
      <c r="B88" s="6"/>
      <c r="C88" s="6"/>
      <c r="D88" s="6" t="s">
        <v>816</v>
      </c>
      <c r="E88" s="6"/>
      <c r="F88" s="6"/>
      <c r="G88" s="6"/>
      <c r="H88" s="23">
        <f>ROUND(SUM(H86:H87),5)</f>
        <v>258785.08</v>
      </c>
    </row>
    <row r="89" spans="1:11" ht="15" thickBot="1">
      <c r="A89" s="6"/>
      <c r="B89" s="6"/>
      <c r="C89" s="6" t="s">
        <v>817</v>
      </c>
      <c r="D89" s="6"/>
      <c r="E89" s="6"/>
      <c r="F89" s="6"/>
      <c r="G89" s="6"/>
      <c r="H89" s="107">
        <f>ROUND(H85+H88,5)</f>
        <v>258785.08</v>
      </c>
    </row>
    <row r="90" spans="1:11">
      <c r="A90" s="6"/>
      <c r="B90" s="6" t="s">
        <v>818</v>
      </c>
      <c r="C90" s="6"/>
      <c r="D90" s="6"/>
      <c r="E90" s="6"/>
      <c r="F90" s="6"/>
      <c r="G90" s="6"/>
      <c r="H90" s="21">
        <f>ROUND(H51+H84+H89,5)</f>
        <v>281204.51</v>
      </c>
      <c r="J90" s="321">
        <f>H90/H102</f>
        <v>0.78927345736703391</v>
      </c>
      <c r="K90" t="s">
        <v>1066</v>
      </c>
    </row>
    <row r="91" spans="1:11">
      <c r="A91" s="6"/>
      <c r="B91" s="6" t="s">
        <v>819</v>
      </c>
      <c r="C91" s="6"/>
      <c r="D91" s="6"/>
      <c r="E91" s="6"/>
      <c r="F91" s="6"/>
      <c r="G91" s="6"/>
      <c r="H91" s="21"/>
    </row>
    <row r="92" spans="1:11">
      <c r="A92" s="6"/>
      <c r="B92" s="6"/>
      <c r="C92" s="6" t="s">
        <v>820</v>
      </c>
      <c r="D92" s="6"/>
      <c r="E92" s="6"/>
      <c r="F92" s="6"/>
      <c r="G92" s="6"/>
      <c r="H92" s="21"/>
    </row>
    <row r="93" spans="1:11">
      <c r="A93" s="6"/>
      <c r="B93" s="6"/>
      <c r="C93" s="6"/>
      <c r="D93" s="6" t="s">
        <v>821</v>
      </c>
      <c r="E93" s="6"/>
      <c r="F93" s="6"/>
      <c r="G93" s="6"/>
      <c r="H93" s="21">
        <v>113761.16</v>
      </c>
    </row>
    <row r="94" spans="1:11">
      <c r="A94" s="6"/>
      <c r="B94" s="6"/>
      <c r="C94" s="6"/>
      <c r="D94" s="6" t="s">
        <v>822</v>
      </c>
      <c r="E94" s="6"/>
      <c r="F94" s="6"/>
      <c r="G94" s="6"/>
      <c r="H94" s="21">
        <v>27500.74</v>
      </c>
    </row>
    <row r="95" spans="1:11">
      <c r="A95" s="6"/>
      <c r="B95" s="6"/>
      <c r="C95" s="6"/>
      <c r="D95" s="6" t="s">
        <v>823</v>
      </c>
      <c r="E95" s="6"/>
      <c r="F95" s="6"/>
      <c r="G95" s="6"/>
      <c r="H95" s="21">
        <v>-21199.23</v>
      </c>
    </row>
    <row r="96" spans="1:11" ht="15" thickBot="1">
      <c r="A96" s="6"/>
      <c r="B96" s="6"/>
      <c r="C96" s="6"/>
      <c r="D96" s="6" t="s">
        <v>824</v>
      </c>
      <c r="E96" s="6"/>
      <c r="F96" s="6"/>
      <c r="G96" s="6"/>
      <c r="H96" s="106">
        <v>-110339.07</v>
      </c>
    </row>
    <row r="97" spans="1:11">
      <c r="A97" s="6"/>
      <c r="B97" s="6"/>
      <c r="C97" s="6" t="s">
        <v>825</v>
      </c>
      <c r="D97" s="6"/>
      <c r="E97" s="6"/>
      <c r="F97" s="6"/>
      <c r="G97" s="6"/>
      <c r="H97" s="21">
        <f>ROUND(SUM(H92:H96),5)</f>
        <v>9723.6</v>
      </c>
    </row>
    <row r="98" spans="1:11">
      <c r="A98" s="6"/>
      <c r="B98" s="6"/>
      <c r="C98" s="6" t="s">
        <v>826</v>
      </c>
      <c r="D98" s="6"/>
      <c r="E98" s="6"/>
      <c r="F98" s="6"/>
      <c r="G98" s="6"/>
      <c r="H98" s="21">
        <v>-36629.040000000001</v>
      </c>
    </row>
    <row r="99" spans="1:11">
      <c r="A99" s="6"/>
      <c r="B99" s="6"/>
      <c r="C99" s="6" t="s">
        <v>827</v>
      </c>
      <c r="D99" s="6"/>
      <c r="E99" s="6"/>
      <c r="F99" s="6"/>
      <c r="G99" s="6"/>
      <c r="H99" s="21">
        <v>81941.37</v>
      </c>
    </row>
    <row r="100" spans="1:11" ht="15" thickBot="1">
      <c r="A100" s="6"/>
      <c r="B100" s="6"/>
      <c r="C100" s="6" t="s">
        <v>828</v>
      </c>
      <c r="D100" s="6"/>
      <c r="E100" s="6"/>
      <c r="F100" s="6"/>
      <c r="G100" s="6"/>
      <c r="H100" s="22">
        <v>20042.3</v>
      </c>
    </row>
    <row r="101" spans="1:11" ht="15" thickBot="1">
      <c r="A101" s="6"/>
      <c r="B101" s="6" t="s">
        <v>829</v>
      </c>
      <c r="C101" s="6"/>
      <c r="D101" s="6"/>
      <c r="E101" s="6"/>
      <c r="F101" s="6"/>
      <c r="G101" s="6"/>
      <c r="H101" s="23">
        <f>ROUND(H91+SUM(H97:H100),5)</f>
        <v>75078.23</v>
      </c>
    </row>
    <row r="102" spans="1:11" ht="15" thickBot="1">
      <c r="A102" s="6" t="s">
        <v>830</v>
      </c>
      <c r="B102" s="6"/>
      <c r="C102" s="6"/>
      <c r="D102" s="6"/>
      <c r="E102" s="6"/>
      <c r="F102" s="6"/>
      <c r="G102" s="6"/>
      <c r="H102" s="24">
        <f>ROUND(H50+H90+H101,5)</f>
        <v>356282.74</v>
      </c>
      <c r="J102" s="321">
        <f>H101/H102</f>
        <v>0.21072654263296617</v>
      </c>
      <c r="K102" t="s">
        <v>1065</v>
      </c>
    </row>
    <row r="103" spans="1:11" ht="15" thickTop="1">
      <c r="A103" s="108"/>
      <c r="B103" s="108"/>
      <c r="C103" s="108"/>
      <c r="D103" s="108"/>
      <c r="E103" s="108"/>
      <c r="F103" s="108"/>
      <c r="G103" s="108"/>
      <c r="H103" s="26"/>
    </row>
    <row r="104" spans="1:11">
      <c r="A104" s="108"/>
      <c r="B104" s="108"/>
      <c r="C104" s="108"/>
      <c r="D104" s="108"/>
      <c r="E104" s="108"/>
      <c r="F104" s="108"/>
      <c r="G104" s="108"/>
      <c r="H104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</sheetPr>
  <dimension ref="A1:AT113"/>
  <sheetViews>
    <sheetView topLeftCell="A5" workbookViewId="0">
      <selection activeCell="P14" sqref="P14"/>
    </sheetView>
  </sheetViews>
  <sheetFormatPr defaultColWidth="16.6640625" defaultRowHeight="15"/>
  <cols>
    <col min="1" max="1" width="4.88671875" style="138" customWidth="1"/>
    <col min="2" max="2" width="33.5546875" style="315" bestFit="1" customWidth="1"/>
    <col min="3" max="3" width="21.33203125" style="315" customWidth="1"/>
    <col min="4" max="4" width="21.33203125" style="315" hidden="1" customWidth="1"/>
    <col min="5" max="5" width="7.33203125" style="315" customWidth="1"/>
    <col min="6" max="6" width="5.6640625" style="138" customWidth="1"/>
    <col min="7" max="7" width="8.5546875" style="138" customWidth="1"/>
    <col min="8" max="8" width="15" style="138" customWidth="1"/>
    <col min="9" max="9" width="17.6640625" style="138" customWidth="1"/>
    <col min="10" max="10" width="13.33203125" style="138" customWidth="1"/>
    <col min="11" max="11" width="15.109375" style="138" bestFit="1" customWidth="1"/>
    <col min="12" max="13" width="18.44140625" style="138" customWidth="1"/>
    <col min="14" max="14" width="6.109375" style="138" customWidth="1"/>
    <col min="15" max="15" width="6.33203125" style="315" customWidth="1"/>
    <col min="16" max="16" width="40.44140625" style="315" customWidth="1"/>
    <col min="17" max="17" width="16.6640625" style="139"/>
    <col min="18" max="18" width="13.88671875" style="146" customWidth="1"/>
    <col min="19" max="19" width="16.6640625" style="138"/>
    <col min="20" max="20" width="13.44140625" style="138" customWidth="1"/>
    <col min="21" max="21" width="15.6640625" style="138" customWidth="1"/>
    <col min="22" max="22" width="16.6640625" style="138"/>
    <col min="23" max="24" width="17.6640625" style="138" customWidth="1"/>
    <col min="25" max="25" width="16" style="138" customWidth="1"/>
    <col min="26" max="26" width="16.6640625" style="138"/>
    <col min="27" max="27" width="15.88671875" style="138" customWidth="1"/>
    <col min="28" max="29" width="16.6640625" style="138"/>
    <col min="30" max="30" width="16.44140625" style="138" customWidth="1"/>
    <col min="31" max="31" width="17.33203125" style="138" customWidth="1"/>
    <col min="32" max="32" width="20.6640625" style="138" customWidth="1"/>
    <col min="33" max="33" width="18.109375" style="138" customWidth="1"/>
    <col min="34" max="34" width="16.44140625" style="138" customWidth="1"/>
    <col min="35" max="35" width="16.6640625" style="138"/>
    <col min="36" max="36" width="13.88671875" style="138" customWidth="1"/>
    <col min="37" max="37" width="16.44140625" style="138" customWidth="1"/>
    <col min="38" max="49" width="15.109375" style="138" customWidth="1"/>
    <col min="50" max="16384" width="16.6640625" style="138"/>
  </cols>
  <sheetData>
    <row r="1" spans="1:35" s="134" customFormat="1" ht="15.6" thickBot="1">
      <c r="A1" s="129"/>
      <c r="B1" s="130"/>
      <c r="C1" s="130"/>
      <c r="D1" s="130"/>
      <c r="E1" s="130"/>
      <c r="F1" s="130"/>
      <c r="G1" s="130"/>
      <c r="H1" s="130"/>
      <c r="I1" s="131"/>
      <c r="J1" s="131"/>
      <c r="K1" s="131"/>
      <c r="L1" s="131"/>
      <c r="M1" s="131"/>
      <c r="N1" s="131"/>
      <c r="O1" s="130"/>
      <c r="P1" s="130"/>
      <c r="Q1" s="132"/>
      <c r="R1" s="133"/>
    </row>
    <row r="2" spans="1:35" ht="18.600000000000001" thickBot="1">
      <c r="A2" s="129"/>
      <c r="B2" s="396" t="s">
        <v>945</v>
      </c>
      <c r="C2" s="396"/>
      <c r="D2" s="129"/>
      <c r="E2" s="129"/>
      <c r="F2" s="135" t="s">
        <v>946</v>
      </c>
      <c r="G2" s="136"/>
      <c r="H2" s="136"/>
      <c r="I2" s="137" t="s">
        <v>947</v>
      </c>
      <c r="J2" s="136"/>
      <c r="K2" s="136"/>
      <c r="L2" s="136"/>
      <c r="M2" s="135" t="s">
        <v>946</v>
      </c>
      <c r="O2" s="129"/>
      <c r="P2" s="129"/>
      <c r="R2" s="140" t="s">
        <v>948</v>
      </c>
      <c r="S2" s="141"/>
      <c r="T2" s="142"/>
      <c r="AF2" s="397" t="s">
        <v>949</v>
      </c>
      <c r="AG2" s="398"/>
      <c r="AH2" s="398"/>
      <c r="AI2" s="399"/>
    </row>
    <row r="3" spans="1:35" ht="15.6">
      <c r="A3" s="129"/>
      <c r="B3" s="129"/>
      <c r="C3" s="129"/>
      <c r="D3" s="129"/>
      <c r="E3" s="129"/>
      <c r="F3" s="143"/>
      <c r="G3" s="144"/>
      <c r="K3" s="145" t="s">
        <v>950</v>
      </c>
      <c r="M3" s="145" t="s">
        <v>951</v>
      </c>
      <c r="O3" s="129"/>
      <c r="P3" s="129"/>
      <c r="R3" s="138"/>
      <c r="T3" s="138" t="s">
        <v>952</v>
      </c>
      <c r="V3" s="146" t="s">
        <v>952</v>
      </c>
      <c r="W3" s="146" t="s">
        <v>952</v>
      </c>
      <c r="X3" s="146" t="s">
        <v>952</v>
      </c>
      <c r="Y3" s="146" t="s">
        <v>953</v>
      </c>
      <c r="Z3" s="146" t="s">
        <v>953</v>
      </c>
      <c r="AA3" s="146" t="s">
        <v>953</v>
      </c>
      <c r="AB3" s="146" t="s">
        <v>953</v>
      </c>
      <c r="AC3" s="146" t="s">
        <v>953</v>
      </c>
      <c r="AD3" s="146" t="s">
        <v>953</v>
      </c>
      <c r="AE3" s="146" t="s">
        <v>954</v>
      </c>
      <c r="AF3" s="146" t="s">
        <v>955</v>
      </c>
      <c r="AG3" s="146" t="s">
        <v>956</v>
      </c>
      <c r="AH3" s="146"/>
    </row>
    <row r="4" spans="1:35" ht="18.600000000000001" thickBot="1">
      <c r="A4" s="129"/>
      <c r="B4" s="147" t="s">
        <v>957</v>
      </c>
      <c r="C4" s="148"/>
      <c r="D4" s="149"/>
      <c r="E4" s="129"/>
      <c r="F4" s="150"/>
      <c r="G4" s="144"/>
      <c r="H4" s="151" t="s">
        <v>958</v>
      </c>
      <c r="I4" s="151" t="s">
        <v>959</v>
      </c>
      <c r="J4" s="151" t="s">
        <v>960</v>
      </c>
      <c r="K4" s="151" t="s">
        <v>961</v>
      </c>
      <c r="L4" s="151" t="s">
        <v>962</v>
      </c>
      <c r="M4" s="151" t="s">
        <v>963</v>
      </c>
      <c r="O4" s="152"/>
      <c r="P4" s="129"/>
      <c r="R4" s="138"/>
      <c r="T4" s="146" t="s">
        <v>964</v>
      </c>
      <c r="V4" s="146" t="s">
        <v>965</v>
      </c>
      <c r="W4" s="146" t="s">
        <v>966</v>
      </c>
      <c r="X4" s="146" t="s">
        <v>967</v>
      </c>
      <c r="Y4" s="146" t="s">
        <v>968</v>
      </c>
      <c r="Z4" s="146" t="s">
        <v>968</v>
      </c>
      <c r="AA4" s="146" t="s">
        <v>968</v>
      </c>
      <c r="AB4" s="146" t="s">
        <v>966</v>
      </c>
      <c r="AC4" s="146" t="s">
        <v>964</v>
      </c>
      <c r="AD4" s="146" t="s">
        <v>964</v>
      </c>
      <c r="AE4" s="146" t="s">
        <v>969</v>
      </c>
      <c r="AF4" s="146" t="s">
        <v>970</v>
      </c>
      <c r="AG4" s="146" t="s">
        <v>971</v>
      </c>
      <c r="AH4" s="146" t="s">
        <v>972</v>
      </c>
      <c r="AI4" s="146" t="s">
        <v>973</v>
      </c>
    </row>
    <row r="5" spans="1:35" ht="15.6">
      <c r="A5" s="129"/>
      <c r="B5" s="153" t="s">
        <v>974</v>
      </c>
      <c r="C5" s="154">
        <f>'RESULTS OF OPERATIONS'!H19</f>
        <v>533727</v>
      </c>
      <c r="D5" s="149"/>
      <c r="E5" s="129"/>
      <c r="F5" s="155" t="s">
        <v>975</v>
      </c>
      <c r="G5" s="156"/>
      <c r="H5" s="156"/>
      <c r="I5" s="151" t="s">
        <v>976</v>
      </c>
      <c r="J5" s="151" t="s">
        <v>955</v>
      </c>
      <c r="K5" s="157" t="s">
        <v>977</v>
      </c>
      <c r="L5" s="157" t="s">
        <v>978</v>
      </c>
      <c r="M5" s="157" t="s">
        <v>955</v>
      </c>
      <c r="O5" s="158"/>
      <c r="P5" s="129"/>
      <c r="R5" s="159"/>
      <c r="T5" s="146" t="s">
        <v>979</v>
      </c>
      <c r="U5" s="146" t="s">
        <v>980</v>
      </c>
      <c r="V5" s="146" t="s">
        <v>981</v>
      </c>
      <c r="W5" s="146" t="s">
        <v>982</v>
      </c>
      <c r="X5" s="146" t="s">
        <v>983</v>
      </c>
      <c r="Y5" s="146" t="s">
        <v>819</v>
      </c>
      <c r="Z5" s="146" t="s">
        <v>984</v>
      </c>
      <c r="AA5" s="146" t="s">
        <v>985</v>
      </c>
      <c r="AB5" s="146" t="s">
        <v>986</v>
      </c>
      <c r="AC5" s="146" t="s">
        <v>979</v>
      </c>
      <c r="AD5" s="146" t="s">
        <v>987</v>
      </c>
      <c r="AE5" s="146" t="s">
        <v>988</v>
      </c>
      <c r="AF5" s="146" t="s">
        <v>989</v>
      </c>
      <c r="AG5" s="146" t="s">
        <v>989</v>
      </c>
      <c r="AH5" s="146" t="s">
        <v>988</v>
      </c>
      <c r="AI5" s="146" t="s">
        <v>954</v>
      </c>
    </row>
    <row r="6" spans="1:35" ht="15.6">
      <c r="A6" s="129"/>
      <c r="B6" s="153" t="s">
        <v>990</v>
      </c>
      <c r="C6" s="160">
        <f>'RESULTS OF OPERATIONS'!H64</f>
        <v>570143.24286666664</v>
      </c>
      <c r="D6" s="149"/>
      <c r="E6" s="129"/>
      <c r="F6" s="161" t="s">
        <v>991</v>
      </c>
      <c r="G6" s="156"/>
      <c r="H6" s="156"/>
      <c r="I6" s="162"/>
      <c r="J6" s="163" t="s">
        <v>992</v>
      </c>
      <c r="K6" s="164"/>
      <c r="L6" s="163" t="s">
        <v>993</v>
      </c>
      <c r="M6" s="163" t="s">
        <v>994</v>
      </c>
      <c r="O6" s="158"/>
      <c r="P6" s="129"/>
      <c r="R6" s="165">
        <v>1</v>
      </c>
      <c r="S6" s="166">
        <f>Revenue/Investment*100</f>
        <v>192.97001391296322</v>
      </c>
      <c r="T6" s="167">
        <f>EXP(y_inter1-(slope*LN(+S6)))</f>
        <v>8.3709119023004419</v>
      </c>
      <c r="U6" s="168">
        <f>(+S6*T6/100)/100</f>
        <v>0.16153349862511057</v>
      </c>
      <c r="V6" s="168">
        <f>regDebt_weighted</f>
        <v>3.5860000000000003E-2</v>
      </c>
      <c r="W6" s="168">
        <f>+U6-V6</f>
        <v>0.12567349862511057</v>
      </c>
      <c r="X6" s="168">
        <f>+((W6*(1-0.34))-Pfd_weighted)/Equity_percent</f>
        <v>0.22312357294352608</v>
      </c>
      <c r="Y6" s="168">
        <f>X6*equityP</f>
        <v>4.7018059106303668E-2</v>
      </c>
      <c r="Z6" s="168">
        <f>+Y6/(1-taxrate)</f>
        <v>5.9516530514308441E-2</v>
      </c>
      <c r="AA6" s="168">
        <f>debtP*Debt_Rate</f>
        <v>4.932959108543962E-2</v>
      </c>
      <c r="AB6" s="168">
        <f>AA6+Z6</f>
        <v>0.10884612159974806</v>
      </c>
      <c r="AC6" s="168">
        <f>AB6/(S6/100)</f>
        <v>5.6405717858755908E-2</v>
      </c>
      <c r="AD6" s="168">
        <f>1-AC6</f>
        <v>0.94359428214124408</v>
      </c>
      <c r="AE6" s="169">
        <f>expenses/(AD6)</f>
        <v>604224.98700699362</v>
      </c>
      <c r="AF6" s="170">
        <f>+AE6-Revenue</f>
        <v>70497.987006993615</v>
      </c>
      <c r="AG6" s="171">
        <f ca="1">+AF6/$J$49</f>
        <v>78564.523189644999</v>
      </c>
      <c r="AH6" s="171">
        <f ca="1">+AG6*$J$47</f>
        <v>4132.4939197753274</v>
      </c>
      <c r="AI6" s="169">
        <f ca="1">ROUND(+AH6+AE6,5)</f>
        <v>608357.48092999996</v>
      </c>
    </row>
    <row r="7" spans="1:35" ht="15.6">
      <c r="A7" s="129"/>
      <c r="B7" s="153" t="s">
        <v>944</v>
      </c>
      <c r="C7" s="160">
        <f>'PA 3 DEPREC'!O107</f>
        <v>276585.45966666669</v>
      </c>
      <c r="D7" s="149"/>
      <c r="E7" s="129"/>
      <c r="F7" s="172">
        <v>1</v>
      </c>
      <c r="G7" s="156"/>
      <c r="H7" s="173" t="s">
        <v>974</v>
      </c>
      <c r="I7" s="174">
        <f>IF(A65=TRUE,C5,0)</f>
        <v>533727</v>
      </c>
      <c r="J7" s="174">
        <f ca="1">(+$I8/($R51))-I7</f>
        <v>66676.583473743289</v>
      </c>
      <c r="K7" s="174">
        <f ca="1">+I7+J7</f>
        <v>600403.58347374329</v>
      </c>
      <c r="L7" s="174">
        <f ca="1">((+J7/J49*K35)-J7)</f>
        <v>3908.4885610890051</v>
      </c>
      <c r="M7" s="174">
        <f ca="1">IFERROR(+K7+L7,0.00001)</f>
        <v>604312.07203483232</v>
      </c>
      <c r="O7" s="158"/>
      <c r="P7" s="129"/>
      <c r="R7" s="175">
        <v>2</v>
      </c>
      <c r="S7" s="176">
        <f>Revenue/Investment*100</f>
        <v>192.97001391296322</v>
      </c>
      <c r="T7" s="177">
        <f>EXP(y_inter1-(slope*LN(+S7)))</f>
        <v>8.3709119023004419</v>
      </c>
      <c r="U7" s="178">
        <f t="shared" ref="U7:U9" si="0">(+S7*T7/100)/100</f>
        <v>0.16153349862511057</v>
      </c>
      <c r="V7" s="178">
        <f>regDebt_weighted</f>
        <v>3.5860000000000003E-2</v>
      </c>
      <c r="W7" s="178">
        <f t="shared" ref="W7:W9" si="1">+U7-V7</f>
        <v>0.12567349862511057</v>
      </c>
      <c r="X7" s="178">
        <f>+((W7*(1-0.34))-Pfd_weighted)/Equity_percent</f>
        <v>0.22312357294352608</v>
      </c>
      <c r="Y7" s="178">
        <f>X7*equityP</f>
        <v>4.7018059106303668E-2</v>
      </c>
      <c r="Z7" s="178">
        <f>+Y7/(1-taxrate)</f>
        <v>5.9516530514308441E-2</v>
      </c>
      <c r="AA7" s="178">
        <f>debtP*Debt_Rate</f>
        <v>4.932959108543962E-2</v>
      </c>
      <c r="AB7" s="178">
        <f t="shared" ref="AB7:AB9" si="2">AA7+Z7</f>
        <v>0.10884612159974806</v>
      </c>
      <c r="AC7" s="178">
        <f t="shared" ref="AC7:AC9" si="3">AB7/(S7/100)</f>
        <v>5.6405717858755908E-2</v>
      </c>
      <c r="AD7" s="178">
        <f t="shared" ref="AD7:AD9" si="4">1-AC7</f>
        <v>0.94359428214124408</v>
      </c>
      <c r="AE7" s="179">
        <f>expenses/(AD7)</f>
        <v>604224.98700699362</v>
      </c>
      <c r="AF7" s="180">
        <f>+AE7-Revenue</f>
        <v>70497.987006993615</v>
      </c>
      <c r="AG7" s="181">
        <f ca="1">+AF7/$J$49</f>
        <v>78564.523189644999</v>
      </c>
      <c r="AH7" s="181">
        <f ca="1">+AG7*$J$47</f>
        <v>4132.4939197753274</v>
      </c>
      <c r="AI7" s="179">
        <f t="shared" ref="AI7:AI9" ca="1" si="5">ROUND(+AH7+AE7,5)</f>
        <v>608357.48092999996</v>
      </c>
    </row>
    <row r="8" spans="1:35" ht="15.6">
      <c r="A8" s="129"/>
      <c r="B8" s="153" t="s">
        <v>995</v>
      </c>
      <c r="C8" s="182">
        <f>'BALANCE SHEET'!J90</f>
        <v>0.78927345736703391</v>
      </c>
      <c r="D8" s="149"/>
      <c r="E8" s="129"/>
      <c r="F8" s="183">
        <f>+F7+1</f>
        <v>2</v>
      </c>
      <c r="G8" s="156"/>
      <c r="H8" s="173" t="s">
        <v>990</v>
      </c>
      <c r="I8" s="174">
        <f>IF(A65=TRUE,C6,0)</f>
        <v>570143.24286666664</v>
      </c>
      <c r="J8" s="144"/>
      <c r="K8" s="174">
        <f>+I8</f>
        <v>570143.24286666664</v>
      </c>
      <c r="L8" s="174">
        <f ca="1">+L7</f>
        <v>3908.4885610890051</v>
      </c>
      <c r="M8" s="174">
        <f ca="1">IFERROR(+K8+L8,0.00001)</f>
        <v>574051.73142775567</v>
      </c>
      <c r="O8" s="158"/>
      <c r="P8" s="129"/>
      <c r="R8" s="184">
        <v>3</v>
      </c>
      <c r="S8" s="176">
        <f>Revenue/Investment*100</f>
        <v>192.97001391296322</v>
      </c>
      <c r="T8" s="177">
        <f>EXP(y_inter1-(slope*LN(+S8)))</f>
        <v>8.3709119023004419</v>
      </c>
      <c r="U8" s="178">
        <f t="shared" si="0"/>
        <v>0.16153349862511057</v>
      </c>
      <c r="V8" s="178">
        <f>regDebt_weighted</f>
        <v>3.5860000000000003E-2</v>
      </c>
      <c r="W8" s="178">
        <f t="shared" si="1"/>
        <v>0.12567349862511057</v>
      </c>
      <c r="X8" s="178">
        <f>+((W8*(1-0.34))-Pfd_weighted)/Equity_percent</f>
        <v>0.22312357294352608</v>
      </c>
      <c r="Y8" s="178">
        <f>X8*equityP</f>
        <v>4.7018059106303668E-2</v>
      </c>
      <c r="Z8" s="178">
        <f>+Y8/(1-taxrate)</f>
        <v>5.9516530514308441E-2</v>
      </c>
      <c r="AA8" s="178">
        <f>debtP*Debt_Rate</f>
        <v>4.932959108543962E-2</v>
      </c>
      <c r="AB8" s="178">
        <f t="shared" si="2"/>
        <v>0.10884612159974806</v>
      </c>
      <c r="AC8" s="178">
        <f t="shared" si="3"/>
        <v>5.6405717858755908E-2</v>
      </c>
      <c r="AD8" s="178">
        <f t="shared" si="4"/>
        <v>0.94359428214124408</v>
      </c>
      <c r="AE8" s="179">
        <f>expenses/(AD8)</f>
        <v>604224.98700699362</v>
      </c>
      <c r="AF8" s="180">
        <f>+AE8-Revenue</f>
        <v>70497.987006993615</v>
      </c>
      <c r="AG8" s="181">
        <f ca="1">+AF8/$J$49</f>
        <v>78564.523189644999</v>
      </c>
      <c r="AH8" s="181">
        <f ca="1">+AG8*$J$47</f>
        <v>4132.4939197753274</v>
      </c>
      <c r="AI8" s="179">
        <f t="shared" ca="1" si="5"/>
        <v>608357.48092999996</v>
      </c>
    </row>
    <row r="9" spans="1:35" ht="15.6">
      <c r="A9" s="129"/>
      <c r="B9" s="153" t="s">
        <v>996</v>
      </c>
      <c r="C9" s="182">
        <v>6.25E-2</v>
      </c>
      <c r="D9" s="149"/>
      <c r="E9" s="129"/>
      <c r="F9" s="183">
        <f t="shared" ref="F9:F49" si="6">+F8+1</f>
        <v>3</v>
      </c>
      <c r="G9" s="156"/>
      <c r="H9" s="173" t="s">
        <v>997</v>
      </c>
      <c r="I9" s="185">
        <f>+I7-I8</f>
        <v>-36416.242866666638</v>
      </c>
      <c r="J9" s="144"/>
      <c r="K9" s="185">
        <f ca="1">+K7-K8</f>
        <v>30260.34060707665</v>
      </c>
      <c r="L9" s="156"/>
      <c r="M9" s="186">
        <f ca="1">+M7-M8</f>
        <v>30260.34060707665</v>
      </c>
      <c r="O9" s="158"/>
      <c r="P9" s="129"/>
      <c r="R9" s="187">
        <v>4</v>
      </c>
      <c r="S9" s="176">
        <f>Revenue/Investment*100</f>
        <v>192.97001391296322</v>
      </c>
      <c r="T9" s="177">
        <f>EXP(y_inter1-(slope*LN(+S9)))</f>
        <v>8.3709119023004419</v>
      </c>
      <c r="U9" s="178">
        <f t="shared" si="0"/>
        <v>0.16153349862511057</v>
      </c>
      <c r="V9" s="178">
        <f>regDebt_weighted</f>
        <v>3.5860000000000003E-2</v>
      </c>
      <c r="W9" s="178">
        <f t="shared" si="1"/>
        <v>0.12567349862511057</v>
      </c>
      <c r="X9" s="178">
        <f>+((W9*(1-0.34))-Pfd_weighted)/Equity_percent</f>
        <v>0.22312357294352608</v>
      </c>
      <c r="Y9" s="178">
        <f>X9*equityP</f>
        <v>4.7018059106303668E-2</v>
      </c>
      <c r="Z9" s="178">
        <f>+Y9/(1-taxrate)</f>
        <v>5.9516530514308441E-2</v>
      </c>
      <c r="AA9" s="178">
        <f>debtP*Debt_Rate</f>
        <v>4.932959108543962E-2</v>
      </c>
      <c r="AB9" s="178">
        <f t="shared" si="2"/>
        <v>0.10884612159974806</v>
      </c>
      <c r="AC9" s="178">
        <f t="shared" si="3"/>
        <v>5.6405717858755908E-2</v>
      </c>
      <c r="AD9" s="178">
        <f t="shared" si="4"/>
        <v>0.94359428214124408</v>
      </c>
      <c r="AE9" s="179">
        <f>expenses/(AD9)</f>
        <v>604224.98700699362</v>
      </c>
      <c r="AF9" s="180">
        <f>+AE9-Revenue</f>
        <v>70497.987006993615</v>
      </c>
      <c r="AG9" s="181">
        <f ca="1">+AF9/$J$49</f>
        <v>78564.523189644999</v>
      </c>
      <c r="AH9" s="181">
        <f ca="1">+AG9*$J$47</f>
        <v>4132.4939197753274</v>
      </c>
      <c r="AI9" s="179">
        <f t="shared" ca="1" si="5"/>
        <v>608357.48092999996</v>
      </c>
    </row>
    <row r="10" spans="1:35" ht="15.6">
      <c r="A10" s="129"/>
      <c r="B10" s="188" t="s">
        <v>998</v>
      </c>
      <c r="C10" s="182">
        <v>0.21</v>
      </c>
      <c r="D10" s="149"/>
      <c r="E10" s="129"/>
      <c r="F10" s="183">
        <f t="shared" si="6"/>
        <v>4</v>
      </c>
      <c r="G10" s="156"/>
      <c r="H10" s="156"/>
      <c r="I10" s="144"/>
      <c r="J10" s="144"/>
      <c r="K10" s="174"/>
      <c r="L10" s="156"/>
      <c r="M10" s="156"/>
      <c r="N10" s="156"/>
      <c r="O10" s="158"/>
      <c r="P10" s="129"/>
      <c r="R10" s="146" t="s">
        <v>999</v>
      </c>
    </row>
    <row r="11" spans="1:35" ht="15.6">
      <c r="A11" s="129"/>
      <c r="B11" s="153" t="s">
        <v>1000</v>
      </c>
      <c r="C11" s="189">
        <v>1.7500000000000002E-2</v>
      </c>
      <c r="D11" s="149"/>
      <c r="E11" s="129"/>
      <c r="F11" s="183">
        <f t="shared" si="6"/>
        <v>5</v>
      </c>
      <c r="G11" s="156"/>
      <c r="H11" s="173" t="s">
        <v>1001</v>
      </c>
      <c r="I11" s="174">
        <f>+K11</f>
        <v>13643.847625535022</v>
      </c>
      <c r="J11" s="144"/>
      <c r="K11" s="174">
        <f>+M27</f>
        <v>13643.847625535022</v>
      </c>
      <c r="L11" s="156"/>
      <c r="M11" s="174">
        <f>+K11</f>
        <v>13643.847625535022</v>
      </c>
      <c r="O11" s="158"/>
      <c r="P11" s="129"/>
      <c r="R11" s="165">
        <v>1</v>
      </c>
      <c r="S11" s="166">
        <f ca="1">IF((AI6/Investment*100)&gt;0,(AI6/Investment*100),0)</f>
        <v>219.95280650804131</v>
      </c>
      <c r="T11" s="167">
        <f ca="1">EXP(y_inter1-(slope*LN(S11)))</f>
        <v>7.6544358478611052</v>
      </c>
      <c r="U11" s="168">
        <f ca="1">(+S11*T11/100)/100</f>
        <v>0.16836146469728089</v>
      </c>
      <c r="V11" s="168">
        <f>regDebt_weighted</f>
        <v>3.5860000000000003E-2</v>
      </c>
      <c r="W11" s="168">
        <f ca="1">+U11-V11</f>
        <v>0.13250146469728089</v>
      </c>
      <c r="X11" s="168">
        <f ca="1">+((W11*(1-0.34))-Pfd_weighted)/Equity_percent</f>
        <v>0.23622374040757377</v>
      </c>
      <c r="Y11" s="168">
        <f ca="1">+X11*equityP</f>
        <v>4.9778612103915307E-2</v>
      </c>
      <c r="Z11" s="168">
        <f ca="1">+Y11/(1-taxrate)</f>
        <v>6.3010901397361138E-2</v>
      </c>
      <c r="AA11" s="168">
        <f>debtP*Debt_Rate</f>
        <v>4.932959108543962E-2</v>
      </c>
      <c r="AB11" s="168">
        <f ca="1">+AA11+Z11</f>
        <v>0.11234049248280076</v>
      </c>
      <c r="AC11" s="168">
        <f ca="1">+AB11/(S11/100)</f>
        <v>5.1074816578297981E-2</v>
      </c>
      <c r="AD11" s="168">
        <f ca="1">1-AC11</f>
        <v>0.94892518342170207</v>
      </c>
      <c r="AE11" s="169">
        <f ca="1">expenses/(AD11)</f>
        <v>600830.5531641636</v>
      </c>
      <c r="AF11" s="170">
        <f ca="1">+AE11-Revenue</f>
        <v>67103.553164163604</v>
      </c>
      <c r="AG11" s="171">
        <f ca="1">+AF11/$J$49</f>
        <v>74781.690690693242</v>
      </c>
      <c r="AH11" s="171">
        <f ca="1">+AG11*$J$47</f>
        <v>3933.5169303304647</v>
      </c>
      <c r="AI11" s="169">
        <f ca="1">ROUND(+AH11+AE11,5)</f>
        <v>604764.07009000005</v>
      </c>
    </row>
    <row r="12" spans="1:35" ht="15.6">
      <c r="A12" s="129"/>
      <c r="B12" s="153" t="s">
        <v>1002</v>
      </c>
      <c r="C12" s="189">
        <v>5.1000000000000004E-3</v>
      </c>
      <c r="D12" s="149"/>
      <c r="E12" s="129"/>
      <c r="F12" s="183">
        <f t="shared" si="6"/>
        <v>6</v>
      </c>
      <c r="G12" s="156"/>
      <c r="H12" s="173" t="s">
        <v>1003</v>
      </c>
      <c r="I12" s="174" t="e">
        <f ca="1">IF(I14&lt;0,0,+J38*I14)</f>
        <v>#NAME?</v>
      </c>
      <c r="J12" s="174" t="e">
        <f ca="1">+K12-I12</f>
        <v>#NAME?</v>
      </c>
      <c r="K12" s="174">
        <f ca="1">+(K9-K11)*taxrate</f>
        <v>3489.4635261237418</v>
      </c>
      <c r="L12" s="156"/>
      <c r="M12" s="174">
        <f ca="1">+K12</f>
        <v>3489.4635261237418</v>
      </c>
      <c r="O12" s="158"/>
      <c r="P12" s="129"/>
      <c r="R12" s="175">
        <v>2</v>
      </c>
      <c r="S12" s="176">
        <f ca="1">IF((AI7/Investment*100)&gt;0,(AI7/Investment*100),0)</f>
        <v>219.95280650804131</v>
      </c>
      <c r="T12" s="190">
        <f ca="1">EXP(y_inter2-(slope*LN(+S12)))</f>
        <v>7.5455299565085001</v>
      </c>
      <c r="U12" s="178">
        <f ca="1">(+S12*T12/100)/100</f>
        <v>0.16596604905245435</v>
      </c>
      <c r="V12" s="178">
        <f>regDebt_weighted</f>
        <v>3.5860000000000003E-2</v>
      </c>
      <c r="W12" s="178">
        <f ca="1">+U12-V12</f>
        <v>0.13010604905245435</v>
      </c>
      <c r="X12" s="178">
        <f ca="1">+((W12*(1-0.34))-Pfd_weighted)/Equity_percent</f>
        <v>0.23162788480994145</v>
      </c>
      <c r="Y12" s="178">
        <f ca="1">+X12*equityP</f>
        <v>4.8810143343385883E-2</v>
      </c>
      <c r="Z12" s="178">
        <f ca="1">+Y12/(1-taxrate)</f>
        <v>6.1784991573906177E-2</v>
      </c>
      <c r="AA12" s="178">
        <f>debtP*Debt_Rate</f>
        <v>4.932959108543962E-2</v>
      </c>
      <c r="AB12" s="178">
        <f ca="1">+AA12+Z12</f>
        <v>0.11111458265934579</v>
      </c>
      <c r="AC12" s="178">
        <f ca="1">+AB12/(S12/100)</f>
        <v>5.0517465279663769E-2</v>
      </c>
      <c r="AD12" s="178">
        <f ca="1">1-AC12</f>
        <v>0.94948253472033628</v>
      </c>
      <c r="AE12" s="179">
        <f ca="1">expenses/(AD12)</f>
        <v>600477.86243335006</v>
      </c>
      <c r="AF12" s="180">
        <f ca="1">+AE12-Revenue</f>
        <v>66750.862433350063</v>
      </c>
      <c r="AG12" s="181">
        <f ca="1">+AF12/$J$49</f>
        <v>74388.644303467678</v>
      </c>
      <c r="AH12" s="181">
        <f ca="1">+AG12*$J$47</f>
        <v>3912.8426903623999</v>
      </c>
      <c r="AI12" s="179">
        <f t="shared" ref="AI12:AI14" ca="1" si="7">ROUND(+AH12+AE12,5)</f>
        <v>604390.70512000006</v>
      </c>
    </row>
    <row r="13" spans="1:35" ht="15.6">
      <c r="A13" s="129"/>
      <c r="B13" s="153" t="s">
        <v>1004</v>
      </c>
      <c r="C13" s="189">
        <v>0</v>
      </c>
      <c r="D13" s="149"/>
      <c r="E13" s="129"/>
      <c r="F13" s="183">
        <f t="shared" si="6"/>
        <v>7</v>
      </c>
      <c r="G13" s="156"/>
      <c r="H13" s="156"/>
      <c r="I13" s="144"/>
      <c r="J13" s="144"/>
      <c r="K13" s="174"/>
      <c r="L13" s="156"/>
      <c r="M13" s="156"/>
      <c r="O13" s="158"/>
      <c r="P13" s="129"/>
      <c r="R13" s="184">
        <v>3</v>
      </c>
      <c r="S13" s="176">
        <f ca="1">IF((AI8/Investment*100)&gt;0,(AI8/Investment*100),0)</f>
        <v>219.95280650804131</v>
      </c>
      <c r="T13" s="177">
        <f ca="1">EXP(y_inter3-(slope*LN(S13)))</f>
        <v>7.4721690802553491</v>
      </c>
      <c r="U13" s="178">
        <f ca="1">(+S13*T13/100)/100</f>
        <v>0.16435245599047735</v>
      </c>
      <c r="V13" s="178">
        <f>regDebt_weighted</f>
        <v>3.5860000000000003E-2</v>
      </c>
      <c r="W13" s="178">
        <f ca="1">+U13-V13</f>
        <v>0.12849245599047734</v>
      </c>
      <c r="X13" s="178">
        <f ca="1">+((W13*(1-0.34))-Pfd_weighted)/Equity_percent</f>
        <v>0.22853203765614835</v>
      </c>
      <c r="Y13" s="178">
        <f ca="1">+X13*equityP</f>
        <v>4.8157766176146956E-2</v>
      </c>
      <c r="Z13" s="178">
        <f ca="1">+Y13/(1-taxrate)</f>
        <v>6.0959197691325261E-2</v>
      </c>
      <c r="AA13" s="178">
        <f>debtP*Debt_Rate</f>
        <v>4.932959108543962E-2</v>
      </c>
      <c r="AB13" s="178">
        <f ca="1">+AA13+Z13</f>
        <v>0.11028878877676487</v>
      </c>
      <c r="AC13" s="178">
        <f ca="1">+AB13/(S13/100)</f>
        <v>5.0142023885806977E-2</v>
      </c>
      <c r="AD13" s="178">
        <f ca="1">1-AC13</f>
        <v>0.94985797611419298</v>
      </c>
      <c r="AE13" s="179">
        <f ca="1">expenses/(AD13)</f>
        <v>600240.51721825346</v>
      </c>
      <c r="AF13" s="180">
        <f ca="1">+AE13-Revenue</f>
        <v>66513.517218253459</v>
      </c>
      <c r="AG13" s="181">
        <f ca="1">+AF13/$J$49</f>
        <v>74124.141521940619</v>
      </c>
      <c r="AH13" s="181">
        <f ca="1">+AG13*$J$47</f>
        <v>3898.9298440540765</v>
      </c>
      <c r="AI13" s="179">
        <f t="shared" ca="1" si="7"/>
        <v>604139.44706000003</v>
      </c>
    </row>
    <row r="14" spans="1:35" ht="16.2" thickBot="1">
      <c r="A14" s="129"/>
      <c r="B14" s="191" t="s">
        <v>1005</v>
      </c>
      <c r="C14" s="189">
        <v>0.03</v>
      </c>
      <c r="D14" s="149"/>
      <c r="E14" s="129"/>
      <c r="F14" s="183">
        <f t="shared" si="6"/>
        <v>8</v>
      </c>
      <c r="G14" s="156"/>
      <c r="H14" s="156" t="s">
        <v>828</v>
      </c>
      <c r="I14" s="192" t="e">
        <f ca="1">+I9-SUM(I11:I13)</f>
        <v>#NAME?</v>
      </c>
      <c r="J14" s="144"/>
      <c r="K14" s="192">
        <f ca="1">+K9-SUM(K11:K13)</f>
        <v>13127.029455417887</v>
      </c>
      <c r="L14" s="156"/>
      <c r="M14" s="192">
        <f ca="1">+M9-SUM(M11:M13)</f>
        <v>13127.029455417887</v>
      </c>
      <c r="O14" s="158"/>
      <c r="P14" s="129"/>
      <c r="R14" s="187">
        <v>4</v>
      </c>
      <c r="S14" s="176">
        <f ca="1">IF((AI9/Investment*100)&gt;0,(AI9/Investment*100),0)</f>
        <v>219.95280650804131</v>
      </c>
      <c r="T14" s="193">
        <f ca="1">EXP(y_inter4-(slope*LN(S14)))</f>
        <v>7.4252423893360602</v>
      </c>
      <c r="U14" s="178">
        <f ca="1">(+S14*T14/100)/100</f>
        <v>0.16332029025369407</v>
      </c>
      <c r="V14" s="178">
        <f>regDebt_weighted</f>
        <v>3.5860000000000003E-2</v>
      </c>
      <c r="W14" s="178">
        <f ca="1">+U14-V14</f>
        <v>0.12746029025369407</v>
      </c>
      <c r="X14" s="178">
        <f ca="1">+((W14*(1-0.34))-Pfd_weighted)/Equity_percent</f>
        <v>0.22655171967278512</v>
      </c>
      <c r="Y14" s="178">
        <f ca="1">+X14*equityP</f>
        <v>4.7740460614198933E-2</v>
      </c>
      <c r="Z14" s="178">
        <f ca="1">+Y14/(1-taxrate)</f>
        <v>6.0430962802783456E-2</v>
      </c>
      <c r="AA14" s="178">
        <f>debtP*Debt_Rate</f>
        <v>4.932959108543962E-2</v>
      </c>
      <c r="AB14" s="178">
        <f ca="1">+AA14+Z14</f>
        <v>0.10976055388822308</v>
      </c>
      <c r="AC14" s="178">
        <f ca="1">+AB14/(S14/100)</f>
        <v>4.9901865600523863E-2</v>
      </c>
      <c r="AD14" s="178">
        <f ca="1">1-AC14</f>
        <v>0.9500981343994761</v>
      </c>
      <c r="AE14" s="179">
        <f ca="1">expenses/(AD14)</f>
        <v>600088.79317191197</v>
      </c>
      <c r="AF14" s="180">
        <f ca="1">+AE14-Revenue</f>
        <v>66361.793171911966</v>
      </c>
      <c r="AG14" s="181">
        <f ca="1">+AF14/$J$49</f>
        <v>73955.056873381211</v>
      </c>
      <c r="AH14" s="181">
        <f ca="1">+AG14*$J$47</f>
        <v>3890.0359915398517</v>
      </c>
      <c r="AI14" s="179">
        <f t="shared" ca="1" si="7"/>
        <v>603978.82915999996</v>
      </c>
    </row>
    <row r="15" spans="1:35" ht="16.2" thickTop="1">
      <c r="A15" s="129"/>
      <c r="B15" s="400"/>
      <c r="C15" s="400"/>
      <c r="D15" s="129"/>
      <c r="E15" s="129"/>
      <c r="F15" s="183">
        <f t="shared" si="6"/>
        <v>9</v>
      </c>
      <c r="G15" s="144"/>
      <c r="H15" s="144"/>
      <c r="I15" s="144"/>
      <c r="J15" s="144"/>
      <c r="K15" s="194"/>
      <c r="L15" s="144"/>
      <c r="M15" s="144"/>
      <c r="O15" s="158"/>
      <c r="P15" s="129"/>
      <c r="R15" s="146" t="s">
        <v>1006</v>
      </c>
    </row>
    <row r="16" spans="1:35" ht="15.6">
      <c r="A16" s="129"/>
      <c r="B16" s="195" t="s">
        <v>1007</v>
      </c>
      <c r="C16" s="400"/>
      <c r="D16" s="400"/>
      <c r="E16" s="129"/>
      <c r="F16" s="183">
        <f t="shared" si="6"/>
        <v>10</v>
      </c>
      <c r="G16" s="144"/>
      <c r="H16" s="196" t="s">
        <v>1008</v>
      </c>
      <c r="I16" s="197">
        <f>+I8/I7</f>
        <v>1.0682300930375765</v>
      </c>
      <c r="J16" s="198"/>
      <c r="K16" s="197">
        <f ca="1">+K8/K7</f>
        <v>0.9496</v>
      </c>
      <c r="L16" s="199"/>
      <c r="M16" s="197">
        <f ca="1">+M8/M7</f>
        <v>0.94992597035967796</v>
      </c>
      <c r="O16" s="158"/>
      <c r="P16" s="129"/>
      <c r="R16" s="200">
        <v>1</v>
      </c>
      <c r="S16" s="201">
        <f ca="1">AI11/Investment*100</f>
        <v>218.65360197128413</v>
      </c>
      <c r="T16" s="202">
        <f ca="1">EXP(y_inter1-(slope*LN(+S16)))</f>
        <v>7.6855009886758072</v>
      </c>
      <c r="U16" s="203">
        <f ca="1">(+S16*T16/100)/100</f>
        <v>0.16804624741278307</v>
      </c>
      <c r="V16" s="203">
        <f>regDebt_weighted</f>
        <v>3.5860000000000003E-2</v>
      </c>
      <c r="W16" s="203">
        <f ca="1">+U16-V16</f>
        <v>0.13218624741278306</v>
      </c>
      <c r="X16" s="203">
        <f ca="1">+((W16*(1-0.34))-Pfd_weighted)/Equity_percent</f>
        <v>0.23561896305940935</v>
      </c>
      <c r="Y16" s="203">
        <f ca="1">+X16*equityP</f>
        <v>4.9651169464273885E-2</v>
      </c>
      <c r="Z16" s="203">
        <f ca="1">+Y16/(1-taxrate)</f>
        <v>6.2849581600346691E-2</v>
      </c>
      <c r="AA16" s="203">
        <f>debtP*Debt_Rate</f>
        <v>4.932959108543962E-2</v>
      </c>
      <c r="AB16" s="203">
        <f ca="1">+AA16+Z16</f>
        <v>0.11217917268578631</v>
      </c>
      <c r="AC16" s="203">
        <f ca="1">+AB16/(S16/100)</f>
        <v>5.1304516218543178E-2</v>
      </c>
      <c r="AD16" s="203">
        <f ca="1">1-AC16</f>
        <v>0.94869548378145685</v>
      </c>
      <c r="AE16" s="204">
        <f ca="1">expenses/(AD16)</f>
        <v>600976.0272011644</v>
      </c>
      <c r="AF16" s="205">
        <f ca="1">+AE16-Revenue</f>
        <v>67249.027201164397</v>
      </c>
      <c r="AG16" s="206">
        <f ca="1">+AF16/$J$49</f>
        <v>74943.810189967815</v>
      </c>
      <c r="AH16" s="206">
        <f ca="1">+AG16*$J$47</f>
        <v>3942.0444159923072</v>
      </c>
      <c r="AI16" s="204">
        <f ca="1">ROUND(+AH16+AE16,5)</f>
        <v>604918.07161999994</v>
      </c>
    </row>
    <row r="17" spans="1:35" ht="15.6">
      <c r="A17" s="129"/>
      <c r="B17" s="401"/>
      <c r="C17" s="400"/>
      <c r="D17" s="129" t="s">
        <v>1009</v>
      </c>
      <c r="E17" s="129"/>
      <c r="F17" s="183">
        <f t="shared" si="6"/>
        <v>11</v>
      </c>
      <c r="G17" s="144"/>
      <c r="H17" s="207"/>
      <c r="I17" s="207"/>
      <c r="J17" s="208"/>
      <c r="K17" s="207"/>
      <c r="L17" s="196"/>
      <c r="M17" s="196"/>
      <c r="N17" s="209"/>
      <c r="O17" s="129"/>
      <c r="P17" s="129"/>
      <c r="R17" s="175">
        <v>2</v>
      </c>
      <c r="S17" s="176">
        <f ca="1">AI12/Investment*100</f>
        <v>218.51861115490138</v>
      </c>
      <c r="T17" s="190">
        <f ca="1">EXP(y_inter2-(slope*LN(+S17)))</f>
        <v>7.5793525089591363</v>
      </c>
      <c r="U17" s="178">
        <f ca="1">(+S17*T17/100)/100</f>
        <v>0.16562295837111676</v>
      </c>
      <c r="V17" s="178">
        <f>regDebt_weighted</f>
        <v>3.5860000000000003E-2</v>
      </c>
      <c r="W17" s="178">
        <f ca="1">+U17-V17</f>
        <v>0.12976295837111676</v>
      </c>
      <c r="X17" s="178">
        <f ca="1">+((W17*(1-0.34))-Pfd_weighted)/Equity_percent</f>
        <v>0.23096962943295657</v>
      </c>
      <c r="Y17" s="178">
        <f ca="1">+X17*equityP</f>
        <v>4.86714314636243E-2</v>
      </c>
      <c r="Z17" s="178">
        <f ca="1">+Y17/(1-taxrate)</f>
        <v>6.1609406915980124E-2</v>
      </c>
      <c r="AA17" s="178">
        <f>debtP*Debt_Rate</f>
        <v>4.932959108543962E-2</v>
      </c>
      <c r="AB17" s="178">
        <f ca="1">+AA17+Z17</f>
        <v>0.11093899800141974</v>
      </c>
      <c r="AC17" s="178">
        <f ca="1">+AB17/(S17/100)</f>
        <v>5.0768672478326504E-2</v>
      </c>
      <c r="AD17" s="178">
        <f ca="1">1-AC17</f>
        <v>0.9492313275216735</v>
      </c>
      <c r="AE17" s="179">
        <f ca="1">expenses/(AD17)</f>
        <v>600636.77455235354</v>
      </c>
      <c r="AF17" s="180">
        <f ca="1">+AE17-Revenue</f>
        <v>66909.774552353541</v>
      </c>
      <c r="AG17" s="181">
        <f ca="1">+AF17/$J$49</f>
        <v>74565.73949992095</v>
      </c>
      <c r="AH17" s="181">
        <f ca="1">+AG17*$J$47</f>
        <v>3922.1578976958422</v>
      </c>
      <c r="AI17" s="179">
        <f t="shared" ref="AI17:AI19" ca="1" si="8">ROUND(+AH17+AE17,5)</f>
        <v>604558.93244999996</v>
      </c>
    </row>
    <row r="18" spans="1:35" ht="15.6">
      <c r="A18" s="129"/>
      <c r="B18" s="395" t="s">
        <v>1010</v>
      </c>
      <c r="C18" s="395"/>
      <c r="D18" s="129"/>
      <c r="E18" s="129"/>
      <c r="F18" s="183">
        <f t="shared" si="6"/>
        <v>12</v>
      </c>
      <c r="G18" s="144"/>
      <c r="H18" s="210" t="s">
        <v>1011</v>
      </c>
      <c r="I18" s="211"/>
      <c r="J18" s="211"/>
      <c r="K18" s="211"/>
      <c r="L18" s="211"/>
      <c r="M18" s="212"/>
      <c r="N18" s="208"/>
      <c r="O18" s="129"/>
      <c r="P18" s="129"/>
      <c r="R18" s="184">
        <v>3</v>
      </c>
      <c r="S18" s="176">
        <f ca="1">AI13/Investment*100</f>
        <v>218.42776832451443</v>
      </c>
      <c r="T18" s="177">
        <f ca="1">EXP(y_inter3-(slope*LN(S18)))</f>
        <v>7.5077967727615755</v>
      </c>
      <c r="U18" s="178">
        <f ca="1">(+S18*T18/100)/100</f>
        <v>0.16399112941083024</v>
      </c>
      <c r="V18" s="178">
        <f>regDebt_weighted</f>
        <v>3.5860000000000003E-2</v>
      </c>
      <c r="W18" s="178">
        <f ca="1">+U18-V18</f>
        <v>0.12813112941083024</v>
      </c>
      <c r="X18" s="178">
        <f ca="1">+((W18*(1-0.34))-Pfd_weighted)/Equity_percent</f>
        <v>0.22783879479984873</v>
      </c>
      <c r="Y18" s="178">
        <f ca="1">+X18*equityP</f>
        <v>4.8011681505833931E-2</v>
      </c>
      <c r="Z18" s="178">
        <f ca="1">+Y18/(1-taxrate)</f>
        <v>6.0774280387131556E-2</v>
      </c>
      <c r="AA18" s="178">
        <f>debtP*Debt_Rate</f>
        <v>4.932959108543962E-2</v>
      </c>
      <c r="AB18" s="178">
        <f ca="1">+AA18+Z18</f>
        <v>0.11010387147257117</v>
      </c>
      <c r="AC18" s="178">
        <f ca="1">+AB18/(S18/100)</f>
        <v>5.0407451542054726E-2</v>
      </c>
      <c r="AD18" s="178">
        <f ca="1">1-AC18</f>
        <v>0.94959254845794527</v>
      </c>
      <c r="AE18" s="179">
        <f ca="1">expenses/(AD18)</f>
        <v>600408.29489714198</v>
      </c>
      <c r="AF18" s="180">
        <f ca="1">+AE18-Revenue</f>
        <v>66681.294897141983</v>
      </c>
      <c r="AG18" s="181">
        <f ca="1">+AF18/$J$49</f>
        <v>74311.116695322999</v>
      </c>
      <c r="AH18" s="181">
        <f ca="1">+AG18*$J$47</f>
        <v>3908.7647381739898</v>
      </c>
      <c r="AI18" s="179">
        <f t="shared" ca="1" si="8"/>
        <v>604317.05963999999</v>
      </c>
    </row>
    <row r="19" spans="1:35" ht="15.6">
      <c r="A19" s="129"/>
      <c r="B19" s="129"/>
      <c r="C19" s="129"/>
      <c r="D19" s="129"/>
      <c r="E19" s="129"/>
      <c r="F19" s="183">
        <f t="shared" si="6"/>
        <v>13</v>
      </c>
      <c r="G19" s="144"/>
      <c r="H19" s="213"/>
      <c r="I19" s="196" t="s">
        <v>1012</v>
      </c>
      <c r="J19" s="214">
        <f>+Revenue</f>
        <v>533727</v>
      </c>
      <c r="K19" s="215"/>
      <c r="L19" s="196" t="s">
        <v>1013</v>
      </c>
      <c r="M19" s="216">
        <f ca="1">+J7</f>
        <v>66676.583473743289</v>
      </c>
      <c r="O19" s="129"/>
      <c r="P19" s="129"/>
      <c r="R19" s="187">
        <v>4</v>
      </c>
      <c r="S19" s="176">
        <f ca="1">AI14/Investment*100</f>
        <v>218.36969661669809</v>
      </c>
      <c r="T19" s="193">
        <f ca="1">EXP(y_inter4-(slope*LN(S19)))</f>
        <v>7.4620026990650086</v>
      </c>
      <c r="U19" s="178">
        <f ca="1">(+S19*T19/100)/100</f>
        <v>0.16294752655478081</v>
      </c>
      <c r="V19" s="178">
        <f>regDebt_weighted</f>
        <v>3.5860000000000003E-2</v>
      </c>
      <c r="W19" s="178">
        <f ca="1">+U19-V19</f>
        <v>0.12708752655478081</v>
      </c>
      <c r="X19" s="178">
        <f ca="1">+((W19*(1-0.34))-Pfd_weighted)/Equity_percent</f>
        <v>0.22583653350626548</v>
      </c>
      <c r="Y19" s="178">
        <f ca="1">+X19*equityP</f>
        <v>4.7589751905989325E-2</v>
      </c>
      <c r="Z19" s="178">
        <f ca="1">+Y19/(1-taxrate)</f>
        <v>6.0240192286062436E-2</v>
      </c>
      <c r="AA19" s="178">
        <f>debtP*Debt_Rate</f>
        <v>4.932959108543962E-2</v>
      </c>
      <c r="AB19" s="178">
        <f ca="1">+AA19+Z19</f>
        <v>0.10956978337150206</v>
      </c>
      <c r="AC19" s="178">
        <f ca="1">+AB19/(S19/100)</f>
        <v>5.0176276777005688E-2</v>
      </c>
      <c r="AD19" s="178">
        <f ca="1">1-AC19</f>
        <v>0.94982372322299435</v>
      </c>
      <c r="AE19" s="179">
        <f ca="1">expenses/(AD19)</f>
        <v>600262.1633117618</v>
      </c>
      <c r="AF19" s="180">
        <f ca="1">+AE19-Revenue</f>
        <v>66535.163311761804</v>
      </c>
      <c r="AG19" s="181">
        <f ca="1">+AF19/$J$49</f>
        <v>74148.264409523676</v>
      </c>
      <c r="AH19" s="181">
        <f ca="1">+AG19*$J$47</f>
        <v>3900.1987079409455</v>
      </c>
      <c r="AI19" s="179">
        <f t="shared" ca="1" si="8"/>
        <v>604162.36202</v>
      </c>
    </row>
    <row r="20" spans="1:35" ht="15.6">
      <c r="A20" s="129"/>
      <c r="B20" s="217"/>
      <c r="C20" s="129"/>
      <c r="D20" s="129"/>
      <c r="E20" s="129"/>
      <c r="F20" s="183">
        <f t="shared" si="6"/>
        <v>14</v>
      </c>
      <c r="G20" s="144"/>
      <c r="H20" s="213"/>
      <c r="I20" s="196" t="s">
        <v>1014</v>
      </c>
      <c r="J20" s="214">
        <f ca="1">+J21-J19</f>
        <v>70585.072034832323</v>
      </c>
      <c r="K20" s="215"/>
      <c r="L20" s="196" t="s">
        <v>1015</v>
      </c>
      <c r="M20" s="216">
        <f ca="1">+L8</f>
        <v>3908.4885610890051</v>
      </c>
      <c r="O20" s="129"/>
      <c r="P20" s="129"/>
      <c r="R20" s="146" t="s">
        <v>1016</v>
      </c>
    </row>
    <row r="21" spans="1:35" ht="16.2" thickBot="1">
      <c r="A21" s="129"/>
      <c r="B21" s="217" t="s">
        <v>1017</v>
      </c>
      <c r="C21" s="129"/>
      <c r="D21" s="129"/>
      <c r="E21" s="129"/>
      <c r="F21" s="183">
        <f t="shared" si="6"/>
        <v>15</v>
      </c>
      <c r="G21" s="144"/>
      <c r="H21" s="213"/>
      <c r="I21" s="218" t="s">
        <v>1011</v>
      </c>
      <c r="J21" s="219">
        <f ca="1">+M7</f>
        <v>604312.07203483232</v>
      </c>
      <c r="K21" s="208"/>
      <c r="L21" s="218" t="s">
        <v>1014</v>
      </c>
      <c r="M21" s="220">
        <f ca="1">+M19+M20</f>
        <v>70585.072034832294</v>
      </c>
      <c r="O21" s="129"/>
      <c r="P21" s="129"/>
      <c r="R21" s="200">
        <v>1</v>
      </c>
      <c r="S21" s="201">
        <f ca="1">AI16/Investment*100</f>
        <v>218.70928151791884</v>
      </c>
      <c r="T21" s="202">
        <f ca="1">EXP(y_inter1-(slope*LN(+S21)))</f>
        <v>7.6841632703663318</v>
      </c>
      <c r="U21" s="203">
        <f ca="1">(+S21*T21/100)/100</f>
        <v>0.16805978279282019</v>
      </c>
      <c r="V21" s="203">
        <f>regDebt_weighted</f>
        <v>3.5860000000000003E-2</v>
      </c>
      <c r="W21" s="203">
        <f ca="1">+U21-V21</f>
        <v>0.13219978279282019</v>
      </c>
      <c r="X21" s="203">
        <f ca="1">+((W21*(1-0.34))-Pfd_weighted)/Equity_percent</f>
        <v>0.23564493210250381</v>
      </c>
      <c r="Y21" s="203">
        <f ca="1">+X21*equityP</f>
        <v>4.9656641830940665E-2</v>
      </c>
      <c r="Z21" s="203">
        <f ca="1">+Y21/(1-taxrate)</f>
        <v>6.2856508646760331E-2</v>
      </c>
      <c r="AA21" s="203">
        <f>debtP*Debt_Rate</f>
        <v>4.932959108543962E-2</v>
      </c>
      <c r="AB21" s="203">
        <f ca="1">+AA21+Z21</f>
        <v>0.11218609973219995</v>
      </c>
      <c r="AC21" s="203">
        <f ca="1">+AB21/(S21/100)</f>
        <v>5.129462222800478E-2</v>
      </c>
      <c r="AD21" s="203">
        <f ca="1">1-AC21</f>
        <v>0.94870537777199526</v>
      </c>
      <c r="AE21" s="204">
        <f ca="1">expenses/(AD21)</f>
        <v>600969.75965882069</v>
      </c>
      <c r="AF21" s="205">
        <f ca="1">+AE21-Revenue</f>
        <v>67242.759658820694</v>
      </c>
      <c r="AG21" s="206">
        <f ca="1">+AF21/$J$49</f>
        <v>74936.825501514875</v>
      </c>
      <c r="AH21" s="206">
        <f ca="1">+AG21*$J$47</f>
        <v>3941.6770213796826</v>
      </c>
      <c r="AI21" s="204">
        <f ca="1">ROUND(+AH21+AE21,5)</f>
        <v>604911.43668000004</v>
      </c>
    </row>
    <row r="22" spans="1:35" ht="16.2" thickTop="1">
      <c r="A22" s="129"/>
      <c r="B22" s="129" t="s">
        <v>1018</v>
      </c>
      <c r="C22" s="129"/>
      <c r="D22" s="129"/>
      <c r="E22" s="129"/>
      <c r="F22" s="183">
        <f t="shared" si="6"/>
        <v>16</v>
      </c>
      <c r="G22" s="144"/>
      <c r="H22" s="221"/>
      <c r="I22" s="222"/>
      <c r="J22" s="223" t="s">
        <v>1019</v>
      </c>
      <c r="K22" s="224">
        <f ca="1">+(J21/J19)-1</f>
        <v>0.1322493934817468</v>
      </c>
      <c r="L22" s="222"/>
      <c r="M22" s="225"/>
      <c r="O22" s="129"/>
      <c r="P22" s="129"/>
      <c r="R22" s="175">
        <v>2</v>
      </c>
      <c r="S22" s="176">
        <f ca="1">AI17/Investment*100</f>
        <v>218.57943406663458</v>
      </c>
      <c r="T22" s="190">
        <f ca="1">EXP(y_inter2-(slope*LN(+S22)))</f>
        <v>7.5779105408515584</v>
      </c>
      <c r="U22" s="178">
        <f ca="1">(+S22*T22/100)/100</f>
        <v>0.16563753974269183</v>
      </c>
      <c r="V22" s="178">
        <f>regDebt_weighted</f>
        <v>3.5860000000000003E-2</v>
      </c>
      <c r="W22" s="178">
        <f ca="1">+U22-V22</f>
        <v>0.12977753974269182</v>
      </c>
      <c r="X22" s="178">
        <f ca="1">+((W22*(1-0.34))-Pfd_weighted)/Equity_percent</f>
        <v>0.23099760532028082</v>
      </c>
      <c r="Y22" s="178">
        <f ca="1">+X22*equityP</f>
        <v>4.8677326725637231E-2</v>
      </c>
      <c r="Z22" s="178">
        <f ca="1">+Y22/(1-taxrate)</f>
        <v>6.1616869272958515E-2</v>
      </c>
      <c r="AA22" s="178">
        <f>debtP*Debt_Rate</f>
        <v>4.932959108543962E-2</v>
      </c>
      <c r="AB22" s="178">
        <f ca="1">+AA22+Z22</f>
        <v>0.11094646035839814</v>
      </c>
      <c r="AC22" s="178">
        <f ca="1">+AB22/(S22/100)</f>
        <v>5.0757959380833509E-2</v>
      </c>
      <c r="AD22" s="178">
        <f ca="1">1-AC22</f>
        <v>0.9492420406191665</v>
      </c>
      <c r="AE22" s="179">
        <f ca="1">expenses/(AD22)</f>
        <v>600629.99579620035</v>
      </c>
      <c r="AF22" s="180">
        <f ca="1">+AE22-Revenue</f>
        <v>66902.995796200354</v>
      </c>
      <c r="AG22" s="181">
        <f ca="1">+AF22/$J$49</f>
        <v>74558.185103439522</v>
      </c>
      <c r="AH22" s="181">
        <f ca="1">+AG22*$J$47</f>
        <v>3921.7605364409187</v>
      </c>
      <c r="AI22" s="179">
        <f t="shared" ref="AI22:AI24" ca="1" si="9">ROUND(+AH22+AE22,5)</f>
        <v>604551.75633</v>
      </c>
    </row>
    <row r="23" spans="1:35" ht="15.6">
      <c r="A23" s="129"/>
      <c r="B23" s="129" t="s">
        <v>1020</v>
      </c>
      <c r="C23" s="129"/>
      <c r="D23" s="129"/>
      <c r="E23" s="129"/>
      <c r="F23" s="183">
        <f t="shared" si="6"/>
        <v>17</v>
      </c>
      <c r="H23" s="144"/>
      <c r="I23" s="144"/>
      <c r="J23" s="144"/>
      <c r="K23" s="144"/>
      <c r="L23" s="144"/>
      <c r="M23" s="144"/>
      <c r="N23" s="144"/>
      <c r="O23" s="129"/>
      <c r="P23" s="129"/>
      <c r="R23" s="184">
        <v>3</v>
      </c>
      <c r="S23" s="176">
        <f ca="1">AI18/Investment*100</f>
        <v>218.49198449126956</v>
      </c>
      <c r="T23" s="177">
        <f ca="1">EXP(y_inter3-(slope*LN(S23)))</f>
        <v>7.5062881241740538</v>
      </c>
      <c r="U23" s="178">
        <f ca="1">(+S23*T23/100)/100</f>
        <v>0.16400637884140384</v>
      </c>
      <c r="V23" s="178">
        <f>regDebt_weighted</f>
        <v>3.5860000000000003E-2</v>
      </c>
      <c r="W23" s="178">
        <f ca="1">+U23-V23</f>
        <v>0.12814637884140384</v>
      </c>
      <c r="X23" s="178">
        <f ca="1">+((W23*(1-0.34))-Pfd_weighted)/Equity_percent</f>
        <v>0.22786805242827482</v>
      </c>
      <c r="Y23" s="178">
        <f ca="1">+X23*equityP</f>
        <v>4.8017846864717807E-2</v>
      </c>
      <c r="Z23" s="178">
        <f ca="1">+Y23/(1-taxrate)</f>
        <v>6.0782084638883301E-2</v>
      </c>
      <c r="AA23" s="178">
        <f>debtP*Debt_Rate</f>
        <v>4.932959108543962E-2</v>
      </c>
      <c r="AB23" s="178">
        <f ca="1">+AA23+Z23</f>
        <v>0.11011167572432293</v>
      </c>
      <c r="AC23" s="178">
        <f ca="1">+AB23/(S23/100)</f>
        <v>5.0396208346362811E-2</v>
      </c>
      <c r="AD23" s="178">
        <f ca="1">1-AC23</f>
        <v>0.94960379165363717</v>
      </c>
      <c r="AE23" s="179">
        <f ca="1">expenses/(AD23)</f>
        <v>600401.1861345045</v>
      </c>
      <c r="AF23" s="180">
        <f ca="1">+AE23-Revenue</f>
        <v>66674.186134504504</v>
      </c>
      <c r="AG23" s="181">
        <f ca="1">+AF23/$J$49</f>
        <v>74303.194532282709</v>
      </c>
      <c r="AH23" s="181">
        <f ca="1">+AG23*$J$47</f>
        <v>3908.3480323980707</v>
      </c>
      <c r="AI23" s="179">
        <f t="shared" ca="1" si="9"/>
        <v>604309.53417</v>
      </c>
    </row>
    <row r="24" spans="1:35" ht="15.6">
      <c r="A24" s="129"/>
      <c r="B24" s="129" t="s">
        <v>1021</v>
      </c>
      <c r="C24" s="129"/>
      <c r="D24" s="129"/>
      <c r="E24" s="129"/>
      <c r="F24" s="183">
        <f t="shared" si="6"/>
        <v>18</v>
      </c>
      <c r="H24" s="144"/>
      <c r="J24" s="226" t="s">
        <v>1022</v>
      </c>
      <c r="K24" s="227" t="s">
        <v>1023</v>
      </c>
      <c r="L24" s="227"/>
      <c r="M24" s="227"/>
      <c r="N24" s="227"/>
      <c r="O24" s="129"/>
      <c r="P24" s="129"/>
      <c r="R24" s="187">
        <v>4</v>
      </c>
      <c r="S24" s="176">
        <f ca="1">AI19/Investment*100</f>
        <v>218.43605327196886</v>
      </c>
      <c r="T24" s="193">
        <f ca="1">EXP(y_inter4-(slope*LN(S24)))</f>
        <v>7.4604528730019712</v>
      </c>
      <c r="U24" s="178">
        <f ca="1">(+S24*T24/100)/100</f>
        <v>0.16296318812000718</v>
      </c>
      <c r="V24" s="178">
        <f>regDebt_weighted</f>
        <v>3.5860000000000003E-2</v>
      </c>
      <c r="W24" s="178">
        <f ca="1">+U24-V24</f>
        <v>0.12710318812000718</v>
      </c>
      <c r="X24" s="178">
        <f ca="1">+((W24*(1-0.34))-Pfd_weighted)/Equity_percent</f>
        <v>0.22586658185815328</v>
      </c>
      <c r="Y24" s="178">
        <f ca="1">+X24*equityP</f>
        <v>4.7596083891294459E-2</v>
      </c>
      <c r="Z24" s="178">
        <f ca="1">+Y24/(1-taxrate)</f>
        <v>6.0248207457334758E-2</v>
      </c>
      <c r="AA24" s="178">
        <f>debtP*Debt_Rate</f>
        <v>4.932959108543962E-2</v>
      </c>
      <c r="AB24" s="178">
        <f ca="1">+AA24+Z24</f>
        <v>0.10957779854277439</v>
      </c>
      <c r="AC24" s="178">
        <f ca="1">+AB24/(S24/100)</f>
        <v>5.0164703537443067E-2</v>
      </c>
      <c r="AD24" s="178">
        <f ca="1">1-AC24</f>
        <v>0.94983529646255693</v>
      </c>
      <c r="AE24" s="179">
        <f ca="1">expenses/(AD24)</f>
        <v>600254.84943551163</v>
      </c>
      <c r="AF24" s="180">
        <f ca="1">+AE24-Revenue</f>
        <v>66527.849435511627</v>
      </c>
      <c r="AG24" s="181">
        <f ca="1">+AF24/$J$49</f>
        <v>74140.113663315758</v>
      </c>
      <c r="AH24" s="181">
        <f ca="1">+AG24*$J$47</f>
        <v>3899.7699786904091</v>
      </c>
      <c r="AI24" s="179">
        <f t="shared" ca="1" si="9"/>
        <v>604154.61941000004</v>
      </c>
    </row>
    <row r="25" spans="1:35" ht="15.6">
      <c r="A25" s="129"/>
      <c r="B25" s="129" t="s">
        <v>1024</v>
      </c>
      <c r="C25" s="129"/>
      <c r="D25" s="129"/>
      <c r="E25" s="129"/>
      <c r="F25" s="183">
        <f t="shared" si="6"/>
        <v>19</v>
      </c>
      <c r="H25" s="228" t="s">
        <v>257</v>
      </c>
      <c r="I25" s="229" t="s">
        <v>1025</v>
      </c>
      <c r="J25" s="230" t="s">
        <v>42</v>
      </c>
      <c r="K25" s="228" t="s">
        <v>1026</v>
      </c>
      <c r="L25" s="230" t="s">
        <v>1027</v>
      </c>
      <c r="M25" s="230" t="s">
        <v>42</v>
      </c>
      <c r="O25" s="129"/>
      <c r="P25" s="129"/>
      <c r="R25" s="146" t="s">
        <v>1028</v>
      </c>
      <c r="W25" s="231"/>
      <c r="X25" s="232"/>
      <c r="Y25" s="177"/>
      <c r="Z25" s="177"/>
      <c r="AA25" s="232"/>
      <c r="AC25" s="232"/>
      <c r="AD25" s="232"/>
      <c r="AE25" s="177"/>
      <c r="AF25" s="231"/>
    </row>
    <row r="26" spans="1:35" ht="15.6">
      <c r="A26" s="129"/>
      <c r="B26" s="129"/>
      <c r="C26" s="129"/>
      <c r="D26" s="129"/>
      <c r="E26" s="129"/>
      <c r="F26" s="183">
        <f t="shared" si="6"/>
        <v>20</v>
      </c>
      <c r="H26" s="173" t="s">
        <v>819</v>
      </c>
      <c r="I26" s="233">
        <f>1-I27</f>
        <v>0.21072654263296609</v>
      </c>
      <c r="J26" s="234">
        <f>+I26*J28</f>
        <v>58283.897658106362</v>
      </c>
      <c r="K26" s="209">
        <f ca="1">+K34</f>
        <v>0.22522566236769387</v>
      </c>
      <c r="L26" s="233">
        <f ca="1">+K26*I26</f>
        <v>4.7461025142963867E-2</v>
      </c>
      <c r="M26" s="174">
        <f ca="1">+J26*K26</f>
        <v>13127.029455417887</v>
      </c>
      <c r="O26" s="129"/>
      <c r="P26" s="129"/>
      <c r="R26" s="200">
        <v>1</v>
      </c>
      <c r="S26" s="201">
        <f ca="1">AI21/Investment*100</f>
        <v>218.70688264271845</v>
      </c>
      <c r="T26" s="202">
        <f ca="1">EXP(y_inter1-(slope*LN(+S26)))</f>
        <v>7.6842208922641637</v>
      </c>
      <c r="U26" s="203">
        <f ca="1">(+S26*T26/100)/100</f>
        <v>0.16805919968851438</v>
      </c>
      <c r="V26" s="203">
        <f>regDebt_weighted</f>
        <v>3.5860000000000003E-2</v>
      </c>
      <c r="W26" s="203">
        <f ca="1">+U26-V26</f>
        <v>0.13219919968851437</v>
      </c>
      <c r="X26" s="203">
        <f ca="1">+((W26*(1-0.34))-Pfd_weighted)/Equity_percent</f>
        <v>0.23564381335587056</v>
      </c>
      <c r="Y26" s="203">
        <f ca="1">+X26*equityP</f>
        <v>4.965640608133056E-2</v>
      </c>
      <c r="Z26" s="203">
        <f ca="1">+Y26/(1-taxrate)</f>
        <v>6.2856210229532347E-2</v>
      </c>
      <c r="AA26" s="203">
        <f>debtP*Debt_Rate</f>
        <v>4.932959108543962E-2</v>
      </c>
      <c r="AB26" s="203">
        <f ca="1">+AA26+Z26</f>
        <v>0.11218580131497197</v>
      </c>
      <c r="AC26" s="203">
        <f ca="1">+AB26/(S26/100)</f>
        <v>5.1295048404233219E-2</v>
      </c>
      <c r="AD26" s="203">
        <f ca="1">1-AC26</f>
        <v>0.94870495159576673</v>
      </c>
      <c r="AE26" s="204">
        <f ca="1">expenses/(AD26)</f>
        <v>600970.02962581639</v>
      </c>
      <c r="AF26" s="205">
        <f ca="1">+AE26-Revenue</f>
        <v>67243.029625816387</v>
      </c>
      <c r="AG26" s="206">
        <f ca="1">+AF26/$J$49</f>
        <v>74937.126358733556</v>
      </c>
      <c r="AH26" s="206">
        <f ca="1">+AG26*$J$47</f>
        <v>3941.6928464693851</v>
      </c>
      <c r="AI26" s="204">
        <f ca="1">ROUND(+AH26+AE26,5)</f>
        <v>604911.72247000004</v>
      </c>
    </row>
    <row r="27" spans="1:35" ht="15.6">
      <c r="A27" s="129"/>
      <c r="B27" s="129"/>
      <c r="C27" s="129"/>
      <c r="D27" s="129"/>
      <c r="E27" s="129"/>
      <c r="F27" s="183">
        <f t="shared" si="6"/>
        <v>21</v>
      </c>
      <c r="H27" s="173" t="s">
        <v>985</v>
      </c>
      <c r="I27" s="233">
        <f>IF(A65=TRUE,C8,0)</f>
        <v>0.78927345736703391</v>
      </c>
      <c r="J27" s="235">
        <f>+I27*J28</f>
        <v>218301.56200856034</v>
      </c>
      <c r="K27" s="209">
        <f>IF(A65=TRUE,C9,0)</f>
        <v>6.25E-2</v>
      </c>
      <c r="L27" s="233">
        <f>+K27*I27</f>
        <v>4.932959108543962E-2</v>
      </c>
      <c r="M27" s="174">
        <f>+K27*J27</f>
        <v>13643.847625535022</v>
      </c>
      <c r="O27" s="129"/>
      <c r="P27" s="129"/>
      <c r="R27" s="175">
        <v>2</v>
      </c>
      <c r="S27" s="176">
        <f ca="1">AI22/Investment*100</f>
        <v>218.57683952677388</v>
      </c>
      <c r="T27" s="190">
        <f ca="1">EXP(y_inter2-(slope*LN(+S27)))</f>
        <v>7.5779720374914428</v>
      </c>
      <c r="U27" s="178">
        <f ca="1">(+S27*T27/100)/100</f>
        <v>0.16563691779771467</v>
      </c>
      <c r="V27" s="178">
        <f>regDebt_weighted</f>
        <v>3.5860000000000003E-2</v>
      </c>
      <c r="W27" s="178">
        <f ca="1">+U27-V27</f>
        <v>0.12977691779771466</v>
      </c>
      <c r="X27" s="178">
        <f ca="1">+((W27*(1-0.34))-Pfd_weighted)/Equity_percent</f>
        <v>0.23099641205375485</v>
      </c>
      <c r="Y27" s="178">
        <f ca="1">+X27*equityP</f>
        <v>4.8677075272707773E-2</v>
      </c>
      <c r="Z27" s="178">
        <f ca="1">+Y27/(1-taxrate)</f>
        <v>6.1616550978111105E-2</v>
      </c>
      <c r="AA27" s="178">
        <f>debtP*Debt_Rate</f>
        <v>4.932959108543962E-2</v>
      </c>
      <c r="AB27" s="178">
        <f ca="1">+AA27+Z27</f>
        <v>0.11094614206355072</v>
      </c>
      <c r="AC27" s="178">
        <f ca="1">+AB27/(S27/100)</f>
        <v>5.075841626393391E-2</v>
      </c>
      <c r="AD27" s="178">
        <f ca="1">1-AC27</f>
        <v>0.94924158373606604</v>
      </c>
      <c r="AE27" s="179">
        <f ca="1">expenses/(AD27)</f>
        <v>600630.28488772293</v>
      </c>
      <c r="AF27" s="180">
        <f ca="1">+AE27-Revenue</f>
        <v>66903.284887722926</v>
      </c>
      <c r="AG27" s="181">
        <f ca="1">+AF27/$J$49</f>
        <v>74558.507273455907</v>
      </c>
      <c r="AH27" s="181">
        <f ca="1">+AG27*$J$47</f>
        <v>3921.777482583781</v>
      </c>
      <c r="AI27" s="179">
        <f t="shared" ref="AI27:AI29" ca="1" si="10">ROUND(+AH27+AE27,5)</f>
        <v>604552.06237000006</v>
      </c>
    </row>
    <row r="28" spans="1:35" ht="16.2" thickBot="1">
      <c r="A28" s="129"/>
      <c r="B28" s="129"/>
      <c r="C28" s="129"/>
      <c r="D28" s="129"/>
      <c r="E28" s="129"/>
      <c r="F28" s="183">
        <f t="shared" si="6"/>
        <v>22</v>
      </c>
      <c r="H28" s="173" t="s">
        <v>942</v>
      </c>
      <c r="I28" s="236">
        <f>SUM(I26:I27)</f>
        <v>1</v>
      </c>
      <c r="J28" s="237">
        <f>IF(A65=TRUE,C7,0)</f>
        <v>276585.45966666669</v>
      </c>
      <c r="K28" s="238"/>
      <c r="L28" s="239">
        <f ca="1">SUM(L26:L27)</f>
        <v>9.6790616228403487E-2</v>
      </c>
      <c r="M28" s="237">
        <f ca="1">SUM(M26:M27)</f>
        <v>26770.877080952909</v>
      </c>
      <c r="O28" s="129"/>
      <c r="P28" s="129"/>
      <c r="R28" s="184">
        <v>3</v>
      </c>
      <c r="S28" s="176">
        <f ca="1">AI23/Investment*100</f>
        <v>218.48926364325064</v>
      </c>
      <c r="T28" s="177">
        <f ca="1">EXP(y_inter3-(slope*LN(S28)))</f>
        <v>7.5063520306811018</v>
      </c>
      <c r="U28" s="178">
        <f ca="1">(+S28*T28/100)/100</f>
        <v>0.1640057327830533</v>
      </c>
      <c r="V28" s="178">
        <f>regDebt_weighted</f>
        <v>3.5860000000000003E-2</v>
      </c>
      <c r="W28" s="178">
        <f ca="1">+U28-V28</f>
        <v>0.1281457327830533</v>
      </c>
      <c r="X28" s="178">
        <f ca="1">+((W28*(1-0.34))-Pfd_weighted)/Equity_percent</f>
        <v>0.22786681289771854</v>
      </c>
      <c r="Y28" s="178">
        <f ca="1">+X28*equityP</f>
        <v>4.8017585662729192E-2</v>
      </c>
      <c r="Z28" s="178">
        <f ca="1">+Y28/(1-taxrate)</f>
        <v>6.0781754003454674E-2</v>
      </c>
      <c r="AA28" s="178">
        <f>debtP*Debt_Rate</f>
        <v>4.932959108543962E-2</v>
      </c>
      <c r="AB28" s="178">
        <f ca="1">+AA28+Z28</f>
        <v>0.11011134508889429</v>
      </c>
      <c r="AC28" s="178">
        <f ca="1">+AB28/(S28/100)</f>
        <v>5.0396684602628417E-2</v>
      </c>
      <c r="AD28" s="178">
        <f ca="1">1-AC28</f>
        <v>0.94960331539737153</v>
      </c>
      <c r="AE28" s="179">
        <f ca="1">expenses/(AD28)</f>
        <v>600401.48725479562</v>
      </c>
      <c r="AF28" s="180">
        <f ca="1">+AE28-Revenue</f>
        <v>66674.487254795618</v>
      </c>
      <c r="AG28" s="181">
        <f ca="1">+AF28/$J$49</f>
        <v>74303.530107426035</v>
      </c>
      <c r="AH28" s="181">
        <f ca="1">+AG28*$J$47</f>
        <v>3908.3656836506093</v>
      </c>
      <c r="AI28" s="179">
        <f t="shared" ca="1" si="10"/>
        <v>604309.85294000001</v>
      </c>
    </row>
    <row r="29" spans="1:35" ht="16.2" thickTop="1">
      <c r="A29" s="129"/>
      <c r="B29" s="129"/>
      <c r="C29" s="129"/>
      <c r="D29" s="129"/>
      <c r="E29" s="129"/>
      <c r="F29" s="183">
        <f t="shared" si="6"/>
        <v>23</v>
      </c>
      <c r="G29" s="144"/>
      <c r="H29" s="144"/>
      <c r="I29" s="144"/>
      <c r="J29" s="144"/>
      <c r="K29" s="144"/>
      <c r="L29" s="144"/>
      <c r="M29" s="144"/>
      <c r="N29" s="144"/>
      <c r="O29" s="129"/>
      <c r="P29" s="129"/>
      <c r="R29" s="187">
        <v>4</v>
      </c>
      <c r="S29" s="176">
        <f ca="1">AI24/Investment*100</f>
        <v>218.43325391656916</v>
      </c>
      <c r="T29" s="193">
        <f ca="1">EXP(y_inter4-(slope*LN(S29)))</f>
        <v>7.4605182387322806</v>
      </c>
      <c r="U29" s="178">
        <f ca="1">(+S29*T29/100)/100</f>
        <v>0.16296252747902035</v>
      </c>
      <c r="V29" s="178">
        <f>regDebt_weighted</f>
        <v>3.5860000000000003E-2</v>
      </c>
      <c r="W29" s="178">
        <f ca="1">+U29-V29</f>
        <v>0.12710252747902034</v>
      </c>
      <c r="X29" s="178">
        <f ca="1">+((W29*(1-0.34))-Pfd_weighted)/Equity_percent</f>
        <v>0.22586531434928322</v>
      </c>
      <c r="Y29" s="178">
        <f ca="1">+X29*equityP</f>
        <v>4.7595816793532517E-2</v>
      </c>
      <c r="Z29" s="178">
        <f ca="1">+Y29/(1-taxrate)</f>
        <v>6.0247869358901918E-2</v>
      </c>
      <c r="AA29" s="178">
        <f>debtP*Debt_Rate</f>
        <v>4.932959108543962E-2</v>
      </c>
      <c r="AB29" s="178">
        <f ca="1">+AA29+Z29</f>
        <v>0.10957746044434154</v>
      </c>
      <c r="AC29" s="178">
        <f ca="1">+AB29/(S29/100)</f>
        <v>5.0165191645313668E-2</v>
      </c>
      <c r="AD29" s="178">
        <f ca="1">1-AC29</f>
        <v>0.94983480835468637</v>
      </c>
      <c r="AE29" s="179">
        <f ca="1">expenses/(AD29)</f>
        <v>600255.15789874515</v>
      </c>
      <c r="AF29" s="180">
        <f ca="1">+AE29-Revenue</f>
        <v>66528.15789874515</v>
      </c>
      <c r="AG29" s="181">
        <f ca="1">+AF29/$J$49</f>
        <v>74140.457421597253</v>
      </c>
      <c r="AH29" s="181">
        <f ca="1">+AG29*$J$47</f>
        <v>3899.7880603760154</v>
      </c>
      <c r="AI29" s="179">
        <f t="shared" ca="1" si="10"/>
        <v>604154.94596000004</v>
      </c>
    </row>
    <row r="30" spans="1:35" ht="15.6">
      <c r="A30" s="129"/>
      <c r="B30" s="129"/>
      <c r="C30" s="129"/>
      <c r="D30" s="129"/>
      <c r="E30" s="129"/>
      <c r="F30" s="183">
        <f t="shared" si="6"/>
        <v>24</v>
      </c>
      <c r="G30" s="144"/>
      <c r="H30" s="144"/>
      <c r="I30" s="144"/>
      <c r="J30" s="240" t="s">
        <v>1029</v>
      </c>
      <c r="K30" s="240" t="s">
        <v>1030</v>
      </c>
      <c r="L30" s="144"/>
      <c r="M30" s="144"/>
      <c r="N30" s="144"/>
      <c r="O30" s="129"/>
      <c r="P30" s="129"/>
      <c r="R30" s="146" t="s">
        <v>1031</v>
      </c>
      <c r="W30" s="231"/>
      <c r="X30" s="232"/>
      <c r="Y30" s="177"/>
      <c r="Z30" s="177"/>
      <c r="AA30" s="232"/>
      <c r="AC30" s="232"/>
      <c r="AD30" s="232"/>
      <c r="AE30" s="177"/>
      <c r="AF30" s="231"/>
      <c r="AH30" s="177"/>
    </row>
    <row r="31" spans="1:35" ht="15.6">
      <c r="A31" s="129"/>
      <c r="B31" s="129"/>
      <c r="C31" s="129"/>
      <c r="D31" s="129"/>
      <c r="E31" s="129"/>
      <c r="F31" s="183">
        <f t="shared" si="6"/>
        <v>25</v>
      </c>
      <c r="G31" s="144"/>
      <c r="H31" s="241" t="s">
        <v>1032</v>
      </c>
      <c r="I31" s="242"/>
      <c r="J31" s="243" t="s">
        <v>1033</v>
      </c>
      <c r="K31" s="243" t="s">
        <v>1033</v>
      </c>
      <c r="L31" s="144"/>
      <c r="M31" s="144"/>
      <c r="N31" s="144"/>
      <c r="O31" s="129"/>
      <c r="P31" s="129"/>
      <c r="R31" s="200">
        <v>1</v>
      </c>
      <c r="S31" s="201">
        <f ca="1">AI26/Investment*100</f>
        <v>218.7069859706375</v>
      </c>
      <c r="T31" s="202">
        <f ca="1">EXP(y_inter1-(slope*LN(+S31)))</f>
        <v>7.6842184102661806</v>
      </c>
      <c r="U31" s="203">
        <f ca="1">(+S31*T31/100)/100</f>
        <v>0.16805922480494001</v>
      </c>
      <c r="V31" s="203">
        <f>regDebt_weighted</f>
        <v>3.5860000000000003E-2</v>
      </c>
      <c r="W31" s="203">
        <f ca="1">+U31-V31</f>
        <v>0.13219922480494001</v>
      </c>
      <c r="X31" s="203">
        <f ca="1">+((W31*(1-0.34))-Pfd_weighted)/Equity_percent</f>
        <v>0.23564386154436165</v>
      </c>
      <c r="Y31" s="203">
        <f ca="1">+X31*equityP</f>
        <v>4.9656416235924684E-2</v>
      </c>
      <c r="Z31" s="203">
        <f ca="1">+Y31/(1-taxrate)</f>
        <v>6.2856223083448959E-2</v>
      </c>
      <c r="AA31" s="203">
        <f>debtP*Debt_Rate</f>
        <v>4.932959108543962E-2</v>
      </c>
      <c r="AB31" s="203">
        <f ca="1">+AA31+Z31</f>
        <v>0.11218581416888858</v>
      </c>
      <c r="AC31" s="203">
        <f ca="1">+AB31/(S31/100)</f>
        <v>5.1295030047165513E-2</v>
      </c>
      <c r="AD31" s="203">
        <f ca="1">1-AC31</f>
        <v>0.94870496995283449</v>
      </c>
      <c r="AE31" s="204">
        <f ca="1">expenses/(AD31)</f>
        <v>600970.01799728291</v>
      </c>
      <c r="AF31" s="205">
        <f ca="1">+AE31-Revenue</f>
        <v>67243.017997282906</v>
      </c>
      <c r="AG31" s="206">
        <f ca="1">+AF31/$J$49</f>
        <v>74937.113399637456</v>
      </c>
      <c r="AH31" s="206">
        <f ca="1">+AG31*$J$47</f>
        <v>3941.6921648209304</v>
      </c>
      <c r="AI31" s="204">
        <f ca="1">ROUND(+AH31+AE31,5)</f>
        <v>604911.71016000002</v>
      </c>
    </row>
    <row r="32" spans="1:35" ht="15.6">
      <c r="A32" s="129"/>
      <c r="B32" s="129"/>
      <c r="C32" s="129"/>
      <c r="D32" s="129"/>
      <c r="E32" s="129"/>
      <c r="F32" s="183">
        <f t="shared" si="6"/>
        <v>26</v>
      </c>
      <c r="G32" s="144"/>
      <c r="H32" s="156"/>
      <c r="I32" s="156"/>
      <c r="J32" s="156"/>
      <c r="K32" s="156"/>
      <c r="L32" s="144"/>
      <c r="M32" s="144"/>
      <c r="N32" s="144"/>
      <c r="O32" s="129"/>
      <c r="P32" s="129"/>
      <c r="R32" s="175">
        <v>2</v>
      </c>
      <c r="S32" s="176">
        <f ca="1">AI27/Investment*100</f>
        <v>218.57695017611908</v>
      </c>
      <c r="T32" s="190">
        <f ca="1">EXP(y_inter2-(slope*LN(+S32)))</f>
        <v>7.5779694148190604</v>
      </c>
      <c r="U32" s="178">
        <f ca="1">(+S32*T32/100)/100</f>
        <v>0.16563694432190601</v>
      </c>
      <c r="V32" s="178">
        <f>regDebt_weighted</f>
        <v>3.5860000000000003E-2</v>
      </c>
      <c r="W32" s="178">
        <f ca="1">+U32-V32</f>
        <v>0.12977694432190601</v>
      </c>
      <c r="X32" s="178">
        <f ca="1">+((W32*(1-0.34))-Pfd_weighted)/Equity_percent</f>
        <v>0.23099646294319173</v>
      </c>
      <c r="Y32" s="178">
        <f ca="1">+X32*equityP</f>
        <v>4.8677085996462865E-2</v>
      </c>
      <c r="Z32" s="178">
        <f ca="1">+Y32/(1-taxrate)</f>
        <v>6.161656455248464E-2</v>
      </c>
      <c r="AA32" s="178">
        <f>debtP*Debt_Rate</f>
        <v>4.932959108543962E-2</v>
      </c>
      <c r="AB32" s="178">
        <f ca="1">+AA32+Z32</f>
        <v>0.11094615563792426</v>
      </c>
      <c r="AC32" s="178">
        <f ca="1">+AB32/(S32/100)</f>
        <v>5.0758396779042363E-2</v>
      </c>
      <c r="AD32" s="178">
        <f ca="1">1-AC32</f>
        <v>0.94924160322095763</v>
      </c>
      <c r="AE32" s="179">
        <f ca="1">expenses/(AD32)</f>
        <v>600630.27255870576</v>
      </c>
      <c r="AF32" s="180">
        <f ca="1">+AE32-Revenue</f>
        <v>66903.272558705765</v>
      </c>
      <c r="AG32" s="181">
        <f ca="1">+AF32/$J$49</f>
        <v>74558.493533725225</v>
      </c>
      <c r="AH32" s="181">
        <f ca="1">+AG32*$J$47</f>
        <v>3921.776759873947</v>
      </c>
      <c r="AI32" s="179">
        <f t="shared" ref="AI32:AI34" ca="1" si="11">ROUND(+AH32+AE32,5)</f>
        <v>604552.04931999999</v>
      </c>
    </row>
    <row r="33" spans="1:46" ht="15.6">
      <c r="A33" s="129"/>
      <c r="B33" s="129"/>
      <c r="C33" s="129"/>
      <c r="D33" s="129"/>
      <c r="E33" s="129"/>
      <c r="F33" s="183">
        <f t="shared" si="6"/>
        <v>27</v>
      </c>
      <c r="G33" s="144"/>
      <c r="H33" s="156" t="s">
        <v>1034</v>
      </c>
      <c r="I33" s="156"/>
      <c r="J33" s="244">
        <f ca="1">+K9/J28</f>
        <v>0.10940683810184958</v>
      </c>
      <c r="K33" s="244">
        <f ca="1">+(M14+M11)/J28</f>
        <v>9.6790616228403487E-2</v>
      </c>
      <c r="L33" s="144"/>
      <c r="M33" s="144"/>
      <c r="N33" s="144"/>
      <c r="O33" s="129"/>
      <c r="P33" s="129"/>
      <c r="R33" s="184">
        <v>3</v>
      </c>
      <c r="S33" s="176">
        <f ca="1">AI28/Investment*100</f>
        <v>218.48937889515159</v>
      </c>
      <c r="T33" s="177">
        <f ca="1">EXP(y_inter3-(slope*LN(S33)))</f>
        <v>7.5063493236499461</v>
      </c>
      <c r="U33" s="178">
        <f ca="1">(+S33*T33/100)/100</f>
        <v>0.1640057601494318</v>
      </c>
      <c r="V33" s="178">
        <f>regDebt_weighted</f>
        <v>3.5860000000000003E-2</v>
      </c>
      <c r="W33" s="178">
        <f ca="1">+U33-V33</f>
        <v>0.1281457601494318</v>
      </c>
      <c r="X33" s="178">
        <f ca="1">+((W33*(1-0.34))-Pfd_weighted)/Equity_percent</f>
        <v>0.22786686540297962</v>
      </c>
      <c r="Y33" s="178">
        <f ca="1">+X33*equityP</f>
        <v>4.8017596726981332E-2</v>
      </c>
      <c r="Z33" s="178">
        <f ca="1">+Y33/(1-taxrate)</f>
        <v>6.0781768008837125E-2</v>
      </c>
      <c r="AA33" s="178">
        <f>debtP*Debt_Rate</f>
        <v>4.932959108543962E-2</v>
      </c>
      <c r="AB33" s="178">
        <f ca="1">+AA33+Z33</f>
        <v>0.11011135909427675</v>
      </c>
      <c r="AC33" s="178">
        <f ca="1">+AB33/(S33/100)</f>
        <v>5.0396664428762394E-2</v>
      </c>
      <c r="AD33" s="178">
        <f ca="1">1-AC33</f>
        <v>0.94960333557123766</v>
      </c>
      <c r="AE33" s="179">
        <f ca="1">expenses/(AD33)</f>
        <v>600401.47449955484</v>
      </c>
      <c r="AF33" s="180">
        <f ca="1">+AE33-Revenue</f>
        <v>66674.474499554839</v>
      </c>
      <c r="AG33" s="181">
        <f ca="1">+AF33/$J$49</f>
        <v>74303.515892702286</v>
      </c>
      <c r="AH33" s="181">
        <f ca="1">+AG33*$J$47</f>
        <v>3908.3649359561405</v>
      </c>
      <c r="AI33" s="179">
        <f t="shared" ca="1" si="11"/>
        <v>604309.83944000001</v>
      </c>
    </row>
    <row r="34" spans="1:46" ht="15.6">
      <c r="A34" s="129"/>
      <c r="B34" s="129"/>
      <c r="C34" s="129"/>
      <c r="D34" s="129"/>
      <c r="E34" s="129"/>
      <c r="F34" s="183">
        <f t="shared" si="6"/>
        <v>28</v>
      </c>
      <c r="G34" s="144"/>
      <c r="H34" s="156" t="s">
        <v>1035</v>
      </c>
      <c r="I34" s="156"/>
      <c r="J34" s="244">
        <f ca="1">+(M9-M11)/J26</f>
        <v>0.2850957751489796</v>
      </c>
      <c r="K34" s="244">
        <f ca="1">+M14/J26</f>
        <v>0.22522566236769387</v>
      </c>
      <c r="L34" s="144"/>
      <c r="M34" s="144"/>
      <c r="N34" s="144"/>
      <c r="O34" s="245"/>
      <c r="P34" s="129"/>
      <c r="R34" s="187">
        <v>4</v>
      </c>
      <c r="S34" s="176">
        <f ca="1">AI29/Investment*100</f>
        <v>218.43337198134392</v>
      </c>
      <c r="T34" s="193">
        <f ca="1">EXP(y_inter4-(slope*LN(S34)))</f>
        <v>7.4605154818583301</v>
      </c>
      <c r="U34" s="178">
        <f ca="1">(+S34*T34/100)/100</f>
        <v>0.16296255534213358</v>
      </c>
      <c r="V34" s="178">
        <f>regDebt_weighted</f>
        <v>3.5860000000000003E-2</v>
      </c>
      <c r="W34" s="178">
        <f ca="1">+U34-V34</f>
        <v>0.12710255534213358</v>
      </c>
      <c r="X34" s="178">
        <f ca="1">+((W34*(1-0.34))-Pfd_weighted)/Equity_percent</f>
        <v>0.22586536780758185</v>
      </c>
      <c r="Y34" s="178">
        <f ca="1">+X34*equityP</f>
        <v>4.759582805861496E-2</v>
      </c>
      <c r="Z34" s="178">
        <f ca="1">+Y34/(1-taxrate)</f>
        <v>6.0247883618499948E-2</v>
      </c>
      <c r="AA34" s="178">
        <f>debtP*Debt_Rate</f>
        <v>4.932959108543962E-2</v>
      </c>
      <c r="AB34" s="178">
        <f ca="1">+AA34+Z34</f>
        <v>0.10957747470393957</v>
      </c>
      <c r="AC34" s="178">
        <f ca="1">+AB34/(S34/100)</f>
        <v>5.0165171058797017E-2</v>
      </c>
      <c r="AD34" s="178">
        <f ca="1">1-AC34</f>
        <v>0.94983482894120297</v>
      </c>
      <c r="AE34" s="179">
        <f ca="1">expenses/(AD34)</f>
        <v>600255.14488894353</v>
      </c>
      <c r="AF34" s="180">
        <f ca="1">+AE34-Revenue</f>
        <v>66528.144888943527</v>
      </c>
      <c r="AG34" s="181">
        <f ca="1">+AF34/$J$49</f>
        <v>74140.442923185255</v>
      </c>
      <c r="AH34" s="181">
        <f ca="1">+AG34*$J$47</f>
        <v>3899.7872977595443</v>
      </c>
      <c r="AI34" s="179">
        <f t="shared" ca="1" si="11"/>
        <v>604154.93218999996</v>
      </c>
    </row>
    <row r="35" spans="1:46" ht="15.6">
      <c r="A35" s="129"/>
      <c r="B35" s="129"/>
      <c r="C35" s="129"/>
      <c r="D35" s="129"/>
      <c r="E35" s="129"/>
      <c r="F35" s="183">
        <f t="shared" si="6"/>
        <v>29</v>
      </c>
      <c r="G35" s="144"/>
      <c r="H35" s="246" t="s">
        <v>987</v>
      </c>
      <c r="I35" s="156"/>
      <c r="J35" s="244">
        <f ca="1">+K8/K7</f>
        <v>0.9496</v>
      </c>
      <c r="K35" s="244">
        <f ca="1">+M8/M7</f>
        <v>0.94992597035967796</v>
      </c>
      <c r="L35" s="144"/>
      <c r="M35" s="144"/>
      <c r="N35" s="144"/>
      <c r="O35" s="129"/>
      <c r="P35" s="129"/>
      <c r="R35" s="146" t="s">
        <v>1036</v>
      </c>
      <c r="X35" s="232"/>
      <c r="Y35" s="247"/>
      <c r="Z35" s="177"/>
      <c r="AA35" s="232"/>
      <c r="AC35" s="232"/>
      <c r="AD35" s="232"/>
      <c r="AE35" s="177"/>
      <c r="AF35" s="231"/>
      <c r="AH35" s="177"/>
    </row>
    <row r="36" spans="1:46" ht="15.6">
      <c r="A36" s="129"/>
      <c r="B36" s="129"/>
      <c r="C36" s="129"/>
      <c r="D36" s="129"/>
      <c r="E36" s="129"/>
      <c r="F36" s="183">
        <f t="shared" si="6"/>
        <v>30</v>
      </c>
      <c r="G36" s="144"/>
      <c r="H36" s="156" t="s">
        <v>1037</v>
      </c>
      <c r="I36" s="156"/>
      <c r="J36" s="244">
        <f ca="1">+K9/K7</f>
        <v>5.039999999999998E-2</v>
      </c>
      <c r="K36" s="244">
        <f ca="1">+J36</f>
        <v>5.039999999999998E-2</v>
      </c>
      <c r="L36" s="144"/>
      <c r="M36" s="144"/>
      <c r="N36" s="144"/>
      <c r="O36" s="129"/>
      <c r="P36" s="129"/>
      <c r="R36" s="200">
        <v>1</v>
      </c>
      <c r="S36" s="201">
        <f ca="1">AI31/Investment*100</f>
        <v>218.70698151993358</v>
      </c>
      <c r="T36" s="202">
        <f ca="1">EXP(y_inter1-(slope*LN(+S36)))</f>
        <v>7.6842185171746964</v>
      </c>
      <c r="U36" s="203">
        <f ca="1">(+S36*T36/100)/100</f>
        <v>0.16805922372308579</v>
      </c>
      <c r="V36" s="203">
        <f>regDebt_weighted</f>
        <v>3.5860000000000003E-2</v>
      </c>
      <c r="W36" s="203">
        <f ca="1">+U36-V36</f>
        <v>0.13219922372308579</v>
      </c>
      <c r="X36" s="203">
        <f ca="1">+((W36*(1-0.34))-Pfd_weighted)/Equity_percent</f>
        <v>0.23564385946871111</v>
      </c>
      <c r="Y36" s="203">
        <f ca="1">+X36*equityP</f>
        <v>4.9656415798530022E-2</v>
      </c>
      <c r="Z36" s="203">
        <f ca="1">+Y36/(1-taxrate)</f>
        <v>6.285622252978483E-2</v>
      </c>
      <c r="AA36" s="203">
        <f>debtP*Debt_Rate</f>
        <v>4.932959108543962E-2</v>
      </c>
      <c r="AB36" s="203">
        <f ca="1">+AA36+Z36</f>
        <v>0.11218581361522445</v>
      </c>
      <c r="AC36" s="203">
        <f ca="1">+AB36/(S36/100)</f>
        <v>5.1295030837869945E-2</v>
      </c>
      <c r="AD36" s="203">
        <f ca="1">1-AC36</f>
        <v>0.9487049691621301</v>
      </c>
      <c r="AE36" s="204">
        <f ca="1">expenses/(AD36)</f>
        <v>600970.0184981653</v>
      </c>
      <c r="AF36" s="205">
        <f ca="1">+AE36-Revenue</f>
        <v>67243.0184981653</v>
      </c>
      <c r="AG36" s="206">
        <f ca="1">+AF36/$J$49</f>
        <v>74937.113957831927</v>
      </c>
      <c r="AH36" s="206">
        <f ca="1">+AG36*$J$47</f>
        <v>3941.6921941819596</v>
      </c>
      <c r="AI36" s="204">
        <f ca="1">ROUND(+AH36+AE36,5)</f>
        <v>604911.71068999998</v>
      </c>
    </row>
    <row r="37" spans="1:46" ht="15.6">
      <c r="A37" s="129"/>
      <c r="B37" s="129"/>
      <c r="C37" s="129"/>
      <c r="D37" s="129"/>
      <c r="E37" s="129"/>
      <c r="F37" s="183">
        <f t="shared" si="6"/>
        <v>31</v>
      </c>
      <c r="G37" s="144"/>
      <c r="H37" s="156" t="s">
        <v>1038</v>
      </c>
      <c r="I37" s="248"/>
      <c r="J37" s="249">
        <f ca="1">+S39/100</f>
        <v>2.1843336700277418</v>
      </c>
      <c r="K37" s="249">
        <f ca="1">+J37</f>
        <v>2.1843336700277418</v>
      </c>
      <c r="L37" s="144"/>
      <c r="M37" s="144"/>
      <c r="N37" s="144"/>
      <c r="O37" s="129"/>
      <c r="P37" s="129"/>
      <c r="R37" s="175">
        <v>2</v>
      </c>
      <c r="S37" s="176">
        <f ca="1">AI32/Investment*100</f>
        <v>218.57694545786671</v>
      </c>
      <c r="T37" s="190">
        <f ca="1">EXP(y_inter2-(slope*LN(+S37)))</f>
        <v>7.577969526653658</v>
      </c>
      <c r="U37" s="178">
        <f ca="1">(+S37*T37/100)/100</f>
        <v>0.16563694319087527</v>
      </c>
      <c r="V37" s="178">
        <f>regDebt_weighted</f>
        <v>3.5860000000000003E-2</v>
      </c>
      <c r="W37" s="178">
        <f ca="1">+U37-V37</f>
        <v>0.12977694319087527</v>
      </c>
      <c r="X37" s="178">
        <f ca="1">+((W37*(1-0.34))-Pfd_weighted)/Equity_percent</f>
        <v>0.23099646077319089</v>
      </c>
      <c r="Y37" s="178">
        <f ca="1">+X37*equityP</f>
        <v>4.8677085539186087E-2</v>
      </c>
      <c r="Z37" s="178">
        <f ca="1">+Y37/(1-taxrate)</f>
        <v>6.1616563973653268E-2</v>
      </c>
      <c r="AA37" s="178">
        <f>debtP*Debt_Rate</f>
        <v>4.932959108543962E-2</v>
      </c>
      <c r="AB37" s="178">
        <f ca="1">+AA37+Z37</f>
        <v>0.11094615505909289</v>
      </c>
      <c r="AC37" s="178">
        <f ca="1">+AB37/(S37/100)</f>
        <v>5.0758397609906698E-2</v>
      </c>
      <c r="AD37" s="178">
        <f ca="1">1-AC37</f>
        <v>0.94924160239009325</v>
      </c>
      <c r="AE37" s="179">
        <f ca="1">expenses/(AD37)</f>
        <v>600630.27308443317</v>
      </c>
      <c r="AF37" s="180">
        <f ca="1">+AE37-Revenue</f>
        <v>66903.273084433167</v>
      </c>
      <c r="AG37" s="181">
        <f ca="1">+AF37/$J$49</f>
        <v>74558.494119607523</v>
      </c>
      <c r="AH37" s="181">
        <f ca="1">+AG37*$J$47</f>
        <v>3921.7767906913559</v>
      </c>
      <c r="AI37" s="179">
        <f t="shared" ref="AI37:AI39" ca="1" si="12">ROUND(+AH37+AE37,5)</f>
        <v>604552.04987999995</v>
      </c>
    </row>
    <row r="38" spans="1:46" ht="15.6">
      <c r="A38" s="129"/>
      <c r="B38" s="129"/>
      <c r="C38" s="129"/>
      <c r="D38" s="129"/>
      <c r="E38" s="129"/>
      <c r="F38" s="183">
        <f t="shared" si="6"/>
        <v>32</v>
      </c>
      <c r="G38" s="144"/>
      <c r="H38" s="156" t="s">
        <v>1039</v>
      </c>
      <c r="I38" s="144"/>
      <c r="J38" s="244">
        <f>+C10</f>
        <v>0.21</v>
      </c>
      <c r="K38" s="244">
        <f>+J38</f>
        <v>0.21</v>
      </c>
      <c r="L38" s="144"/>
      <c r="M38" s="144"/>
      <c r="N38" s="144"/>
      <c r="O38" s="129"/>
      <c r="P38" s="129"/>
      <c r="Q38" s="250"/>
      <c r="R38" s="184">
        <v>3</v>
      </c>
      <c r="S38" s="176">
        <f ca="1">AI33/Investment*100</f>
        <v>218.48937401420082</v>
      </c>
      <c r="T38" s="177">
        <f ca="1">EXP(y_inter3-(slope*LN(S38)))</f>
        <v>7.5063494382934381</v>
      </c>
      <c r="U38" s="178">
        <f ca="1">(+S38*T38/100)/100</f>
        <v>0.16400575899045811</v>
      </c>
      <c r="V38" s="178">
        <f>regDebt_weighted</f>
        <v>3.5860000000000003E-2</v>
      </c>
      <c r="W38" s="178">
        <f ca="1">+U38-V38</f>
        <v>0.1281457589904581</v>
      </c>
      <c r="X38" s="178">
        <f ca="1">+((W38*(1-0.34))-Pfd_weighted)/Equity_percent</f>
        <v>0.2278668631793673</v>
      </c>
      <c r="Y38" s="178">
        <f ca="1">+X38*equityP</f>
        <v>4.8017596258407194E-2</v>
      </c>
      <c r="Z38" s="178">
        <f ca="1">+Y38/(1-taxrate)</f>
        <v>6.0781767415705304E-2</v>
      </c>
      <c r="AA38" s="178">
        <f>debtP*Debt_Rate</f>
        <v>4.932959108543962E-2</v>
      </c>
      <c r="AB38" s="178">
        <f ca="1">+AA38+Z38</f>
        <v>0.11011135850114492</v>
      </c>
      <c r="AC38" s="178">
        <f ca="1">+AB38/(S38/100)</f>
        <v>5.039666528313097E-2</v>
      </c>
      <c r="AD38" s="178">
        <f ca="1">1-AC38</f>
        <v>0.94960333471686909</v>
      </c>
      <c r="AE38" s="179">
        <f ca="1">expenses/(AD38)</f>
        <v>600401.47503974265</v>
      </c>
      <c r="AF38" s="180">
        <f ca="1">+AE38-Revenue</f>
        <v>66674.475039742654</v>
      </c>
      <c r="AG38" s="181">
        <f ca="1">+AF38/$J$49</f>
        <v>74303.516494699594</v>
      </c>
      <c r="AH38" s="181">
        <f ca="1">+AG38*$J$47</f>
        <v>3908.3649676211985</v>
      </c>
      <c r="AI38" s="179">
        <f t="shared" ca="1" si="12"/>
        <v>604309.84001000004</v>
      </c>
    </row>
    <row r="39" spans="1:46" ht="15.6">
      <c r="A39" s="129"/>
      <c r="B39" s="129"/>
      <c r="C39" s="129"/>
      <c r="D39" s="129"/>
      <c r="E39" s="129"/>
      <c r="F39" s="183">
        <f t="shared" si="6"/>
        <v>33</v>
      </c>
      <c r="G39" s="144"/>
      <c r="H39" s="144"/>
      <c r="I39" s="144"/>
      <c r="J39" s="144"/>
      <c r="K39" s="144"/>
      <c r="L39" s="144"/>
      <c r="M39" s="144"/>
      <c r="N39" s="144"/>
      <c r="O39" s="129"/>
      <c r="P39" s="129"/>
      <c r="R39" s="187">
        <v>4</v>
      </c>
      <c r="S39" s="176">
        <f ca="1">AI34/Investment*100</f>
        <v>218.43336700277419</v>
      </c>
      <c r="T39" s="193">
        <f ca="1">EXP(y_inter4-(slope*LN(S39)))</f>
        <v>7.4605155981104758</v>
      </c>
      <c r="U39" s="178">
        <f ca="1">(+S39*T39/100)/100</f>
        <v>0.16296255416719871</v>
      </c>
      <c r="V39" s="178">
        <f>regDebt_weighted</f>
        <v>3.5860000000000003E-2</v>
      </c>
      <c r="W39" s="178">
        <f ca="1">+U39-V39</f>
        <v>0.12710255416719871</v>
      </c>
      <c r="X39" s="178">
        <f ca="1">+((W39*(1-0.34))-Pfd_weighted)/Equity_percent</f>
        <v>0.22586536555334633</v>
      </c>
      <c r="Y39" s="178">
        <f ca="1">+X39*equityP</f>
        <v>4.7595827583587706E-2</v>
      </c>
      <c r="Z39" s="178">
        <f ca="1">+Y39/(1-taxrate)</f>
        <v>6.0247883017199626E-2</v>
      </c>
      <c r="AA39" s="178">
        <f>debtP*Debt_Rate</f>
        <v>4.932959108543962E-2</v>
      </c>
      <c r="AB39" s="178">
        <f ca="1">+AA39+Z39</f>
        <v>0.10957747410263924</v>
      </c>
      <c r="AC39" s="178">
        <f ca="1">+AB39/(S39/100)</f>
        <v>5.0165171926891357E-2</v>
      </c>
      <c r="AD39" s="178">
        <f ca="1">1-AC39</f>
        <v>0.94983482807310859</v>
      </c>
      <c r="AE39" s="179">
        <f ca="1">expenses/(AD39)</f>
        <v>600255.14543754212</v>
      </c>
      <c r="AF39" s="180">
        <f ca="1">+AE39-Revenue</f>
        <v>66528.145437542116</v>
      </c>
      <c r="AG39" s="181">
        <f ca="1">+AF39/$J$49</f>
        <v>74140.443534555714</v>
      </c>
      <c r="AH39" s="181">
        <f ca="1">+AG39*$J$47</f>
        <v>3899.7873299176308</v>
      </c>
      <c r="AI39" s="179">
        <f t="shared" ca="1" si="12"/>
        <v>604154.93276999996</v>
      </c>
    </row>
    <row r="40" spans="1:46" ht="15.6">
      <c r="A40" s="129"/>
      <c r="B40" s="129"/>
      <c r="C40" s="129"/>
      <c r="D40" s="129"/>
      <c r="E40" s="129"/>
      <c r="F40" s="183">
        <f t="shared" si="6"/>
        <v>34</v>
      </c>
      <c r="G40" s="248"/>
      <c r="H40" s="144"/>
      <c r="I40" s="144"/>
      <c r="J40" s="144"/>
      <c r="K40" s="144"/>
      <c r="L40" s="144"/>
      <c r="M40" s="144"/>
      <c r="N40" s="144"/>
      <c r="O40" s="129"/>
      <c r="P40" s="129"/>
      <c r="X40" s="232"/>
      <c r="Y40" s="247"/>
      <c r="Z40" s="177"/>
      <c r="AA40" s="232"/>
      <c r="AC40" s="232"/>
      <c r="AD40" s="232"/>
      <c r="AE40" s="177"/>
      <c r="AF40" s="231"/>
      <c r="AH40" s="177"/>
    </row>
    <row r="41" spans="1:46" ht="15.6">
      <c r="A41" s="129"/>
      <c r="B41" s="129"/>
      <c r="C41" s="129"/>
      <c r="D41" s="129"/>
      <c r="E41" s="129"/>
      <c r="F41" s="183">
        <f t="shared" si="6"/>
        <v>35</v>
      </c>
      <c r="G41" s="144"/>
      <c r="H41" s="241" t="s">
        <v>1040</v>
      </c>
      <c r="I41" s="251"/>
      <c r="J41" s="144"/>
      <c r="K41" s="144"/>
      <c r="L41" s="144"/>
      <c r="M41" s="144"/>
      <c r="N41" s="144"/>
      <c r="O41" s="129"/>
      <c r="P41" s="129"/>
      <c r="R41" s="252" t="s">
        <v>1041</v>
      </c>
      <c r="S41" s="253"/>
      <c r="T41" s="254"/>
      <c r="U41" s="254"/>
      <c r="V41" s="255"/>
      <c r="X41" s="256"/>
      <c r="Y41" s="247"/>
      <c r="Z41" s="177"/>
      <c r="AA41" s="232"/>
      <c r="AC41" s="232"/>
      <c r="AD41" s="232"/>
      <c r="AE41" s="177"/>
      <c r="AF41" s="231"/>
      <c r="AH41" s="177"/>
    </row>
    <row r="42" spans="1:46" ht="15.6">
      <c r="A42" s="129"/>
      <c r="B42" s="129"/>
      <c r="C42" s="129"/>
      <c r="D42" s="129"/>
      <c r="E42" s="129"/>
      <c r="F42" s="183">
        <f t="shared" si="6"/>
        <v>36</v>
      </c>
      <c r="G42" s="144"/>
      <c r="H42" s="144"/>
      <c r="I42" s="144"/>
      <c r="J42" s="257" t="s">
        <v>45</v>
      </c>
      <c r="K42" s="258" t="s">
        <v>988</v>
      </c>
      <c r="L42" s="144"/>
      <c r="M42" s="144"/>
      <c r="N42" s="144"/>
      <c r="O42" s="129"/>
      <c r="P42" s="129"/>
      <c r="R42" s="259" t="s">
        <v>1042</v>
      </c>
      <c r="S42" s="260"/>
      <c r="V42" s="261"/>
      <c r="X42" s="232"/>
      <c r="Y42" s="247"/>
      <c r="Z42" s="177"/>
      <c r="AA42" s="232"/>
      <c r="AC42" s="232"/>
      <c r="AD42" s="232"/>
      <c r="AE42" s="177"/>
      <c r="AH42" s="177"/>
    </row>
    <row r="43" spans="1:46" ht="15.6">
      <c r="A43" s="129"/>
      <c r="B43" s="129"/>
      <c r="C43" s="129"/>
      <c r="D43" s="129"/>
      <c r="E43" s="129"/>
      <c r="F43" s="183">
        <f t="shared" si="6"/>
        <v>37</v>
      </c>
      <c r="G43" s="144"/>
      <c r="H43" s="156" t="s">
        <v>1043</v>
      </c>
      <c r="I43" s="262"/>
      <c r="J43" s="263">
        <f>IF($A$65=TRUE,C11,0)</f>
        <v>1.7500000000000002E-2</v>
      </c>
      <c r="K43" s="264">
        <f ca="1">+J43*($J$7/$J$49)</f>
        <v>1300.3526581569899</v>
      </c>
      <c r="L43" s="144"/>
      <c r="M43" s="144"/>
      <c r="N43" s="144"/>
      <c r="O43" s="129"/>
      <c r="P43" s="129"/>
      <c r="R43" s="184">
        <v>0</v>
      </c>
      <c r="S43" s="265">
        <v>1</v>
      </c>
      <c r="U43" s="266" t="s">
        <v>1037</v>
      </c>
      <c r="V43" s="267">
        <f ca="1">VLOOKUP(R49,R36:AE39,12)</f>
        <v>5.039666528313097E-2</v>
      </c>
      <c r="AA43" s="232"/>
      <c r="AC43" s="232"/>
      <c r="AH43" s="177"/>
      <c r="AL43" s="232"/>
      <c r="AM43" s="232"/>
      <c r="AN43" s="232"/>
      <c r="AO43" s="232"/>
      <c r="AP43" s="232"/>
      <c r="AQ43" s="232"/>
      <c r="AR43" s="232"/>
      <c r="AS43" s="232"/>
      <c r="AT43" s="232"/>
    </row>
    <row r="44" spans="1:46" ht="15.6">
      <c r="A44" s="129"/>
      <c r="B44" s="129"/>
      <c r="C44" s="129"/>
      <c r="D44" s="129"/>
      <c r="E44" s="129"/>
      <c r="F44" s="183">
        <f t="shared" si="6"/>
        <v>38</v>
      </c>
      <c r="G44" s="144"/>
      <c r="H44" s="156" t="s">
        <v>1044</v>
      </c>
      <c r="I44" s="262"/>
      <c r="J44" s="263">
        <f t="shared" ref="J44:J46" si="13">IF($A$65=TRUE,C12,0)</f>
        <v>5.1000000000000004E-3</v>
      </c>
      <c r="K44" s="264">
        <f ca="1">+J44*($J$7/$J$49)</f>
        <v>378.95991752003704</v>
      </c>
      <c r="L44" s="144"/>
      <c r="M44" s="144"/>
      <c r="N44" s="144"/>
      <c r="O44" s="129"/>
      <c r="P44" s="129"/>
      <c r="R44" s="184">
        <v>50</v>
      </c>
      <c r="S44" s="265">
        <v>2</v>
      </c>
      <c r="U44" s="266" t="s">
        <v>987</v>
      </c>
      <c r="V44" s="267">
        <f ca="1">ROUND(1-V43,5)</f>
        <v>0.9496</v>
      </c>
      <c r="Y44" s="268"/>
      <c r="Z44" s="146"/>
      <c r="AA44" s="146"/>
      <c r="AC44" s="232"/>
      <c r="AF44" s="231"/>
      <c r="AH44" s="177"/>
      <c r="AL44" s="232"/>
      <c r="AM44" s="232"/>
      <c r="AN44" s="232"/>
      <c r="AO44" s="232"/>
      <c r="AP44" s="232"/>
      <c r="AQ44" s="232"/>
      <c r="AR44" s="232"/>
      <c r="AS44" s="232"/>
      <c r="AT44" s="232"/>
    </row>
    <row r="45" spans="1:46" ht="15.6">
      <c r="A45" s="129"/>
      <c r="B45" s="129"/>
      <c r="C45" s="129"/>
      <c r="D45" s="129"/>
      <c r="E45" s="129"/>
      <c r="F45" s="183">
        <f t="shared" si="6"/>
        <v>39</v>
      </c>
      <c r="G45" s="144"/>
      <c r="H45" s="156" t="s">
        <v>1045</v>
      </c>
      <c r="I45" s="262"/>
      <c r="J45" s="263">
        <f t="shared" si="13"/>
        <v>0</v>
      </c>
      <c r="K45" s="264">
        <f ca="1">+J45*($J$7/$J$49)</f>
        <v>0</v>
      </c>
      <c r="L45" s="144"/>
      <c r="M45" s="144"/>
      <c r="N45" s="144"/>
      <c r="O45" s="129"/>
      <c r="P45" s="129"/>
      <c r="R45" s="184">
        <v>125</v>
      </c>
      <c r="S45" s="265">
        <v>3</v>
      </c>
      <c r="U45" s="138" t="s">
        <v>1046</v>
      </c>
      <c r="V45" s="269">
        <f ca="1">+M7/Revenue-1</f>
        <v>0.1322493934817468</v>
      </c>
      <c r="W45" s="181"/>
      <c r="X45" s="232"/>
      <c r="Y45" s="268"/>
      <c r="Z45" s="177"/>
      <c r="AA45" s="232"/>
      <c r="AC45" s="232"/>
      <c r="AD45" s="232"/>
      <c r="AE45" s="177"/>
      <c r="AF45" s="231"/>
      <c r="AH45" s="177"/>
      <c r="AL45" s="232"/>
      <c r="AM45" s="232"/>
      <c r="AN45" s="232"/>
      <c r="AO45" s="232"/>
      <c r="AP45" s="232"/>
      <c r="AQ45" s="232"/>
      <c r="AR45" s="232"/>
      <c r="AS45" s="232"/>
      <c r="AT45" s="232"/>
    </row>
    <row r="46" spans="1:46" ht="15.6">
      <c r="A46" s="129"/>
      <c r="B46" s="129"/>
      <c r="C46" s="129"/>
      <c r="D46" s="129"/>
      <c r="E46" s="129"/>
      <c r="F46" s="183">
        <f t="shared" si="6"/>
        <v>40</v>
      </c>
      <c r="G46" s="144"/>
      <c r="H46" s="156" t="s">
        <v>1047</v>
      </c>
      <c r="I46" s="262"/>
      <c r="J46" s="263">
        <f t="shared" si="13"/>
        <v>0.03</v>
      </c>
      <c r="K46" s="264">
        <f ca="1">+J46*($J$7/$J$49)</f>
        <v>2229.1759854119823</v>
      </c>
      <c r="L46" s="144"/>
      <c r="M46" s="144"/>
      <c r="N46" s="144"/>
      <c r="O46" s="129"/>
      <c r="P46" s="129"/>
      <c r="R46" s="187">
        <v>401</v>
      </c>
      <c r="S46" s="270">
        <v>4</v>
      </c>
      <c r="T46" s="271"/>
      <c r="U46" s="271"/>
      <c r="V46" s="272"/>
      <c r="X46" s="232"/>
      <c r="Y46" s="247"/>
      <c r="Z46" s="177"/>
      <c r="AA46" s="232"/>
      <c r="AC46" s="232"/>
      <c r="AD46" s="232"/>
      <c r="AE46" s="177"/>
      <c r="AF46" s="231"/>
      <c r="AH46" s="177"/>
      <c r="AL46" s="232"/>
      <c r="AM46" s="232"/>
      <c r="AN46" s="232"/>
      <c r="AO46" s="232"/>
      <c r="AP46" s="232"/>
      <c r="AQ46" s="232"/>
      <c r="AR46" s="232"/>
      <c r="AS46" s="232"/>
      <c r="AT46" s="232"/>
    </row>
    <row r="47" spans="1:46" ht="16.2" thickBot="1">
      <c r="A47" s="129"/>
      <c r="B47" s="129"/>
      <c r="C47" s="129"/>
      <c r="D47" s="129"/>
      <c r="E47" s="129"/>
      <c r="F47" s="183">
        <f t="shared" si="6"/>
        <v>41</v>
      </c>
      <c r="G47" s="144"/>
      <c r="H47" s="156" t="s">
        <v>1048</v>
      </c>
      <c r="I47" s="248"/>
      <c r="J47" s="273">
        <f>SUM(J43:J46)</f>
        <v>5.2600000000000001E-2</v>
      </c>
      <c r="K47" s="237">
        <f ca="1">+K43+K44+K45+K46</f>
        <v>3908.4885610890092</v>
      </c>
      <c r="L47" s="144"/>
      <c r="M47" s="144"/>
      <c r="N47" s="144"/>
      <c r="O47" s="129"/>
      <c r="P47" s="129"/>
      <c r="R47" s="184"/>
      <c r="S47" s="146"/>
      <c r="X47" s="232"/>
      <c r="Y47" s="247"/>
      <c r="Z47" s="177"/>
      <c r="AA47" s="232"/>
      <c r="AC47" s="232"/>
      <c r="AD47" s="232"/>
      <c r="AE47" s="177"/>
      <c r="AF47" s="231"/>
      <c r="AH47" s="177"/>
      <c r="AL47" s="232"/>
      <c r="AM47" s="232"/>
      <c r="AN47" s="232"/>
      <c r="AO47" s="232"/>
      <c r="AP47" s="232"/>
      <c r="AQ47" s="232"/>
      <c r="AR47" s="232"/>
      <c r="AS47" s="232"/>
      <c r="AT47" s="232"/>
    </row>
    <row r="48" spans="1:46" ht="16.2" thickTop="1">
      <c r="A48" s="129"/>
      <c r="B48" s="129"/>
      <c r="C48" s="129"/>
      <c r="D48" s="129"/>
      <c r="E48" s="129"/>
      <c r="F48" s="183">
        <f t="shared" si="6"/>
        <v>42</v>
      </c>
      <c r="G48" s="144"/>
      <c r="H48" s="156"/>
      <c r="I48" s="248"/>
      <c r="J48" s="263"/>
      <c r="K48" s="174"/>
      <c r="L48" s="144"/>
      <c r="M48" s="144"/>
      <c r="N48" s="144"/>
      <c r="O48" s="129"/>
      <c r="P48" s="129"/>
      <c r="R48" s="274">
        <f ca="1">VLOOKUP(R49,R36:S39,2)</f>
        <v>218.48937401420082</v>
      </c>
      <c r="S48" s="275" t="s">
        <v>1049</v>
      </c>
      <c r="T48" s="255"/>
      <c r="V48" s="254"/>
      <c r="X48" s="138" t="s">
        <v>1050</v>
      </c>
      <c r="AC48" s="232"/>
      <c r="AF48" s="231"/>
      <c r="AH48" s="177"/>
    </row>
    <row r="49" spans="1:46" ht="15.6">
      <c r="A49" s="129"/>
      <c r="B49" s="129"/>
      <c r="C49" s="129"/>
      <c r="D49" s="129"/>
      <c r="E49" s="129"/>
      <c r="F49" s="183">
        <f t="shared" si="6"/>
        <v>43</v>
      </c>
      <c r="G49" s="150"/>
      <c r="H49" s="156" t="s">
        <v>1051</v>
      </c>
      <c r="I49" s="144"/>
      <c r="J49" s="244">
        <f ca="1">((K35)-J47)</f>
        <v>0.89732597035967798</v>
      </c>
      <c r="K49" s="144"/>
      <c r="L49" s="144"/>
      <c r="M49" s="144"/>
      <c r="N49" s="144"/>
      <c r="O49" s="129"/>
      <c r="P49" s="129"/>
      <c r="R49" s="184">
        <f ca="1">VLOOKUP(S36,R43:S46,2)</f>
        <v>3</v>
      </c>
      <c r="S49" s="276" t="s">
        <v>1052</v>
      </c>
      <c r="T49" s="261"/>
      <c r="X49" s="138" t="s">
        <v>1053</v>
      </c>
      <c r="AA49" s="146"/>
      <c r="AC49" s="232"/>
      <c r="AH49" s="177"/>
    </row>
    <row r="50" spans="1:46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277"/>
      <c r="L50" s="129"/>
      <c r="M50" s="129"/>
      <c r="N50" s="278"/>
      <c r="O50" s="129"/>
      <c r="P50" s="129"/>
      <c r="R50" s="184"/>
      <c r="T50" s="261"/>
      <c r="X50" s="138" t="s">
        <v>1054</v>
      </c>
      <c r="AA50" s="232"/>
      <c r="AC50" s="232"/>
      <c r="AD50" s="232"/>
      <c r="AE50" s="177"/>
      <c r="AH50" s="177"/>
    </row>
    <row r="51" spans="1:46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277"/>
      <c r="L51" s="129"/>
      <c r="M51" s="129"/>
      <c r="N51" s="278"/>
      <c r="O51" s="129"/>
      <c r="P51" s="129"/>
      <c r="R51" s="279">
        <f ca="1">+V44</f>
        <v>0.9496</v>
      </c>
      <c r="S51" s="271" t="s">
        <v>987</v>
      </c>
      <c r="T51" s="280"/>
      <c r="X51" s="138" t="s">
        <v>1055</v>
      </c>
      <c r="AA51" s="232"/>
      <c r="AC51" s="232"/>
      <c r="AD51" s="232"/>
      <c r="AE51" s="177"/>
      <c r="AF51" s="232"/>
      <c r="AH51" s="177"/>
      <c r="AL51" s="232"/>
      <c r="AM51" s="232"/>
      <c r="AN51" s="232"/>
      <c r="AO51" s="232"/>
      <c r="AP51" s="232"/>
      <c r="AQ51" s="232"/>
      <c r="AR51" s="232"/>
      <c r="AS51" s="232"/>
      <c r="AT51" s="232"/>
    </row>
    <row r="52" spans="1:46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Z52" s="177"/>
      <c r="AA52" s="232"/>
      <c r="AC52" s="232"/>
      <c r="AD52" s="232"/>
      <c r="AE52" s="177"/>
      <c r="AF52" s="231"/>
      <c r="AH52" s="177"/>
      <c r="AL52" s="232"/>
      <c r="AM52" s="232"/>
      <c r="AN52" s="232"/>
      <c r="AO52" s="232"/>
      <c r="AP52" s="232"/>
      <c r="AQ52" s="232"/>
      <c r="AR52" s="232"/>
      <c r="AS52" s="232"/>
      <c r="AT52" s="232"/>
    </row>
    <row r="53" spans="1:46">
      <c r="A53" s="129"/>
      <c r="B53" s="129"/>
      <c r="C53" s="129"/>
      <c r="D53" s="129"/>
      <c r="E53" s="129"/>
      <c r="F53" s="129"/>
      <c r="G53" s="129"/>
      <c r="H53" s="129"/>
      <c r="I53" s="129"/>
      <c r="J53" s="281"/>
      <c r="K53" s="281"/>
      <c r="L53" s="281"/>
      <c r="M53" s="281"/>
      <c r="N53" s="129"/>
      <c r="O53" s="129"/>
      <c r="P53" s="129"/>
      <c r="R53" s="138"/>
      <c r="Z53" s="177"/>
      <c r="AA53" s="232"/>
      <c r="AC53" s="232"/>
      <c r="AD53" s="232"/>
      <c r="AE53" s="177"/>
      <c r="AF53" s="231"/>
      <c r="AH53" s="177"/>
      <c r="AL53" s="232"/>
      <c r="AM53" s="232"/>
      <c r="AN53" s="232"/>
      <c r="AO53" s="232"/>
      <c r="AP53" s="232"/>
      <c r="AQ53" s="232"/>
      <c r="AR53" s="232"/>
      <c r="AS53" s="232"/>
      <c r="AT53" s="232"/>
    </row>
    <row r="54" spans="1:46" ht="15.6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281"/>
      <c r="L54" s="281"/>
      <c r="M54" s="281"/>
      <c r="N54" s="129"/>
      <c r="O54" s="129"/>
      <c r="P54" s="129"/>
      <c r="R54" s="138"/>
      <c r="S54" s="138" t="s">
        <v>1056</v>
      </c>
      <c r="T54" s="232"/>
      <c r="U54" s="282"/>
      <c r="W54" s="283" t="s">
        <v>1057</v>
      </c>
      <c r="X54" s="284"/>
      <c r="Y54" s="284"/>
      <c r="Z54" s="284"/>
      <c r="AC54" s="232"/>
      <c r="AF54" s="231"/>
      <c r="AH54" s="177"/>
      <c r="AL54" s="232"/>
      <c r="AM54" s="232"/>
      <c r="AN54" s="232"/>
      <c r="AO54" s="232"/>
      <c r="AP54" s="232"/>
      <c r="AQ54" s="232"/>
      <c r="AR54" s="232"/>
      <c r="AS54" s="232"/>
      <c r="AT54" s="232"/>
    </row>
    <row r="55" spans="1:46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285"/>
      <c r="M55" s="285"/>
      <c r="N55" s="129"/>
      <c r="O55" s="129"/>
      <c r="P55" s="129"/>
      <c r="R55" s="286"/>
      <c r="S55" s="287" t="s">
        <v>1025</v>
      </c>
      <c r="T55" s="287" t="s">
        <v>943</v>
      </c>
      <c r="U55" s="288" t="s">
        <v>1027</v>
      </c>
      <c r="W55" s="289" t="s">
        <v>1058</v>
      </c>
      <c r="X55" s="290">
        <v>5.7225999999999999</v>
      </c>
      <c r="Y55" s="291" t="s">
        <v>1059</v>
      </c>
      <c r="Z55" s="292">
        <v>5.6985000000000001</v>
      </c>
      <c r="AA55" s="146"/>
      <c r="AC55" s="232"/>
      <c r="AH55" s="177"/>
    </row>
    <row r="56" spans="1:46">
      <c r="A56" s="129"/>
      <c r="B56" s="129"/>
      <c r="C56" s="129"/>
      <c r="D56" s="129"/>
      <c r="E56" s="129"/>
      <c r="F56" s="129"/>
      <c r="G56" s="129"/>
      <c r="H56" s="129"/>
      <c r="I56" s="129"/>
      <c r="J56" s="285"/>
      <c r="K56" s="129"/>
      <c r="L56" s="285"/>
      <c r="M56" s="285"/>
      <c r="N56" s="129"/>
      <c r="O56" s="129"/>
      <c r="P56" s="129"/>
      <c r="R56" s="139" t="s">
        <v>985</v>
      </c>
      <c r="S56" s="293">
        <v>0.56200000000000006</v>
      </c>
      <c r="T56" s="293">
        <v>6.3799999999999996E-2</v>
      </c>
      <c r="U56" s="267">
        <f>ROUND(+S56*T56,5)</f>
        <v>3.5860000000000003E-2</v>
      </c>
      <c r="W56" s="294" t="s">
        <v>1060</v>
      </c>
      <c r="X56" s="295">
        <v>5.7082699999999997</v>
      </c>
      <c r="Y56" s="296" t="s">
        <v>1061</v>
      </c>
      <c r="Z56" s="297">
        <v>5.6921999999999997</v>
      </c>
      <c r="AA56" s="232"/>
      <c r="AC56" s="232"/>
      <c r="AD56" s="232"/>
      <c r="AE56" s="177"/>
      <c r="AH56" s="177"/>
    </row>
    <row r="57" spans="1:46" ht="15.6">
      <c r="A57" s="129"/>
      <c r="B57" s="129"/>
      <c r="C57" s="129"/>
      <c r="D57" s="129"/>
      <c r="E57" s="281"/>
      <c r="F57" s="129"/>
      <c r="G57" s="129"/>
      <c r="H57" s="129"/>
      <c r="I57" s="129"/>
      <c r="J57" s="285"/>
      <c r="K57" s="129"/>
      <c r="L57" s="285"/>
      <c r="M57" s="285"/>
      <c r="N57" s="129"/>
      <c r="O57" s="129"/>
      <c r="P57" s="129"/>
      <c r="R57" s="139" t="s">
        <v>1062</v>
      </c>
      <c r="S57" s="293">
        <v>9.4E-2</v>
      </c>
      <c r="T57" s="293">
        <v>6.59E-2</v>
      </c>
      <c r="U57" s="267">
        <f>ROUND(+S57*T57,5)</f>
        <v>6.1900000000000002E-3</v>
      </c>
      <c r="W57" s="139"/>
      <c r="Y57" s="298"/>
      <c r="Z57" s="299"/>
      <c r="AA57" s="232"/>
      <c r="AC57" s="232"/>
      <c r="AD57" s="232"/>
      <c r="AE57" s="177"/>
      <c r="AF57" s="231"/>
      <c r="AH57" s="177"/>
      <c r="AL57" s="232"/>
    </row>
    <row r="58" spans="1:46">
      <c r="A58" s="129"/>
      <c r="B58" s="129"/>
      <c r="C58" s="129"/>
      <c r="D58" s="129"/>
      <c r="E58" s="281"/>
      <c r="F58" s="281"/>
      <c r="G58" s="281"/>
      <c r="H58" s="300"/>
      <c r="I58" s="281"/>
      <c r="J58" s="285"/>
      <c r="K58" s="129"/>
      <c r="L58" s="129"/>
      <c r="M58" s="129"/>
      <c r="N58" s="129"/>
      <c r="O58" s="129"/>
      <c r="P58" s="129"/>
      <c r="R58" s="139" t="s">
        <v>819</v>
      </c>
      <c r="S58" s="301">
        <v>0.34399999999999997</v>
      </c>
      <c r="T58" s="302"/>
      <c r="U58" s="303"/>
      <c r="W58" s="304"/>
      <c r="X58" s="305" t="s">
        <v>1063</v>
      </c>
      <c r="Y58" s="306">
        <v>0.68367</v>
      </c>
      <c r="Z58" s="307"/>
      <c r="AA58" s="232"/>
      <c r="AC58" s="232"/>
      <c r="AD58" s="232"/>
      <c r="AE58" s="177"/>
      <c r="AF58" s="231"/>
      <c r="AH58" s="177"/>
    </row>
    <row r="59" spans="1:46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R59" s="304"/>
      <c r="S59" s="301">
        <f>SUM(S56:S58)</f>
        <v>1</v>
      </c>
      <c r="T59" s="308"/>
      <c r="U59" s="309"/>
      <c r="X59" s="232"/>
      <c r="Y59" s="247"/>
      <c r="Z59" s="177"/>
      <c r="AA59" s="232"/>
      <c r="AC59" s="232"/>
      <c r="AD59" s="232"/>
      <c r="AE59" s="177"/>
      <c r="AF59" s="231"/>
      <c r="AH59" s="177"/>
    </row>
    <row r="60" spans="1:46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X60" s="310"/>
      <c r="AC60" s="232"/>
      <c r="AF60" s="231"/>
      <c r="AH60" s="177"/>
      <c r="AL60" s="231"/>
      <c r="AM60" s="231"/>
      <c r="AN60" s="231"/>
      <c r="AO60" s="231"/>
      <c r="AP60" s="231"/>
      <c r="AQ60" s="231"/>
      <c r="AR60" s="231"/>
      <c r="AS60" s="231"/>
      <c r="AT60" s="231"/>
    </row>
    <row r="61" spans="1:46">
      <c r="A61" s="129"/>
      <c r="B61" s="129"/>
      <c r="C61" s="129"/>
      <c r="D61" s="129"/>
      <c r="E61" s="281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W61" s="286" t="s">
        <v>1032</v>
      </c>
      <c r="X61" s="311"/>
      <c r="Y61" s="254" t="s">
        <v>1064</v>
      </c>
      <c r="Z61" s="255" t="s">
        <v>967</v>
      </c>
      <c r="AC61" s="232"/>
      <c r="AH61" s="177"/>
      <c r="AL61" s="231"/>
      <c r="AM61" s="231"/>
      <c r="AN61" s="231"/>
      <c r="AO61" s="231"/>
      <c r="AP61" s="231"/>
      <c r="AQ61" s="231"/>
      <c r="AR61" s="231"/>
      <c r="AS61" s="231"/>
      <c r="AT61" s="231"/>
    </row>
    <row r="62" spans="1:46">
      <c r="A62" s="129"/>
      <c r="B62" s="129"/>
      <c r="C62" s="129"/>
      <c r="D62" s="129"/>
      <c r="E62" s="129"/>
      <c r="F62" s="281"/>
      <c r="G62" s="281"/>
      <c r="H62" s="281"/>
      <c r="I62" s="281"/>
      <c r="J62" s="281"/>
      <c r="K62" s="281"/>
      <c r="L62" s="281"/>
      <c r="M62" s="281"/>
      <c r="N62" s="281"/>
      <c r="O62" s="129"/>
      <c r="P62" s="129"/>
      <c r="W62" s="312"/>
      <c r="X62" s="313"/>
      <c r="Y62" s="313"/>
      <c r="Z62" s="314"/>
      <c r="AC62" s="232"/>
      <c r="AD62" s="232"/>
      <c r="AE62" s="177"/>
      <c r="AH62" s="177"/>
      <c r="AL62" s="231"/>
      <c r="AM62" s="231"/>
      <c r="AN62" s="231"/>
      <c r="AO62" s="231"/>
      <c r="AP62" s="231"/>
      <c r="AQ62" s="231"/>
      <c r="AR62" s="231"/>
      <c r="AS62" s="231"/>
      <c r="AT62" s="231"/>
    </row>
    <row r="63" spans="1:46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W63" s="139" t="s">
        <v>1034</v>
      </c>
      <c r="X63" s="313"/>
      <c r="Y63" s="267">
        <f t="shared" ref="Y63:Z68" ca="1" si="14">+J33</f>
        <v>0.10940683810184958</v>
      </c>
      <c r="Z63" s="267">
        <f ca="1">+K33</f>
        <v>9.6790616228403487E-2</v>
      </c>
      <c r="AC63" s="232"/>
      <c r="AD63" s="232"/>
      <c r="AE63" s="177"/>
      <c r="AF63" s="231"/>
      <c r="AH63" s="177"/>
      <c r="AL63" s="231"/>
      <c r="AM63" s="231"/>
      <c r="AN63" s="231"/>
      <c r="AO63" s="231"/>
      <c r="AP63" s="231"/>
      <c r="AQ63" s="231"/>
      <c r="AR63" s="231"/>
      <c r="AS63" s="231"/>
      <c r="AT63" s="231"/>
    </row>
    <row r="64" spans="1:46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W64" s="139" t="s">
        <v>1035</v>
      </c>
      <c r="X64" s="313"/>
      <c r="Y64" s="267">
        <f t="shared" ca="1" si="14"/>
        <v>0.2850957751489796</v>
      </c>
      <c r="Z64" s="267">
        <f t="shared" ca="1" si="14"/>
        <v>0.22522566236769387</v>
      </c>
      <c r="AC64" s="232"/>
      <c r="AD64" s="232"/>
      <c r="AE64" s="177"/>
      <c r="AF64" s="231"/>
      <c r="AH64" s="177"/>
    </row>
    <row r="65" spans="1:38">
      <c r="A65" s="138" t="b">
        <v>1</v>
      </c>
      <c r="F65" s="129"/>
      <c r="G65" s="129"/>
      <c r="H65" s="129"/>
      <c r="I65" s="129"/>
      <c r="J65" s="129"/>
      <c r="K65" s="129"/>
      <c r="L65" s="129"/>
      <c r="M65" s="129"/>
      <c r="N65" s="129"/>
      <c r="W65" s="139" t="s">
        <v>987</v>
      </c>
      <c r="X65" s="313"/>
      <c r="Y65" s="267">
        <f t="shared" ca="1" si="14"/>
        <v>0.9496</v>
      </c>
      <c r="Z65" s="267">
        <f t="shared" ca="1" si="14"/>
        <v>0.94992597035967796</v>
      </c>
      <c r="AC65" s="232"/>
      <c r="AD65" s="232"/>
      <c r="AE65" s="177"/>
      <c r="AF65" s="231"/>
      <c r="AH65" s="177"/>
    </row>
    <row r="66" spans="1:38">
      <c r="H66" s="231"/>
      <c r="I66" s="231"/>
      <c r="J66" s="231"/>
      <c r="K66" s="231"/>
      <c r="L66" s="231"/>
      <c r="M66" s="231"/>
      <c r="N66" s="231"/>
      <c r="O66" s="231"/>
      <c r="W66" s="139" t="s">
        <v>1037</v>
      </c>
      <c r="X66" s="313"/>
      <c r="Y66" s="267">
        <f t="shared" ca="1" si="14"/>
        <v>5.039999999999998E-2</v>
      </c>
      <c r="Z66" s="267">
        <f t="shared" ca="1" si="14"/>
        <v>5.039999999999998E-2</v>
      </c>
      <c r="AC66" s="232"/>
      <c r="AF66" s="231"/>
      <c r="AH66" s="177"/>
      <c r="AL66" s="231"/>
    </row>
    <row r="67" spans="1:38">
      <c r="H67" s="231"/>
      <c r="I67" s="231"/>
      <c r="J67" s="231"/>
      <c r="K67" s="231"/>
      <c r="L67" s="231"/>
      <c r="M67" s="231"/>
      <c r="N67" s="231"/>
      <c r="O67" s="231"/>
      <c r="W67" s="139" t="s">
        <v>1038</v>
      </c>
      <c r="X67" s="316"/>
      <c r="Y67" s="267">
        <f t="shared" ca="1" si="14"/>
        <v>2.1843336700277418</v>
      </c>
      <c r="Z67" s="267">
        <f t="shared" ca="1" si="14"/>
        <v>2.1843336700277418</v>
      </c>
      <c r="AC67" s="232"/>
      <c r="AH67" s="177"/>
    </row>
    <row r="68" spans="1:38">
      <c r="O68" s="231"/>
      <c r="W68" s="139" t="s">
        <v>1039</v>
      </c>
      <c r="X68" s="159"/>
      <c r="Y68" s="267">
        <f t="shared" si="14"/>
        <v>0.21</v>
      </c>
      <c r="Z68" s="267">
        <f t="shared" si="14"/>
        <v>0.21</v>
      </c>
      <c r="AC68" s="232"/>
      <c r="AD68" s="232"/>
      <c r="AE68" s="177"/>
      <c r="AH68" s="177"/>
    </row>
    <row r="69" spans="1:38">
      <c r="O69" s="231"/>
      <c r="W69" s="139"/>
      <c r="Y69" s="302"/>
      <c r="Z69" s="317"/>
      <c r="AC69" s="232"/>
      <c r="AD69" s="232"/>
      <c r="AE69" s="177"/>
      <c r="AF69" s="231"/>
      <c r="AH69" s="177"/>
    </row>
    <row r="70" spans="1:38">
      <c r="O70" s="231"/>
      <c r="W70" s="304"/>
      <c r="X70" s="318"/>
      <c r="Y70" s="319"/>
      <c r="Z70" s="320"/>
      <c r="AA70" s="232"/>
      <c r="AC70" s="232"/>
      <c r="AD70" s="232"/>
      <c r="AE70" s="177"/>
      <c r="AF70" s="231"/>
      <c r="AH70" s="177"/>
    </row>
    <row r="71" spans="1:38">
      <c r="X71" s="232"/>
      <c r="Y71" s="247"/>
      <c r="Z71" s="177"/>
      <c r="AA71" s="232"/>
      <c r="AC71" s="232"/>
      <c r="AD71" s="232"/>
      <c r="AE71" s="177"/>
      <c r="AF71" s="231"/>
      <c r="AH71" s="177"/>
    </row>
    <row r="72" spans="1:38">
      <c r="AC72" s="232"/>
      <c r="AF72" s="231"/>
      <c r="AH72" s="177"/>
    </row>
    <row r="73" spans="1:38">
      <c r="Y73" s="146"/>
      <c r="Z73" s="146"/>
      <c r="AA73" s="146"/>
      <c r="AC73" s="232"/>
      <c r="AH73" s="177"/>
    </row>
    <row r="74" spans="1:38">
      <c r="X74" s="232"/>
      <c r="Y74" s="247"/>
      <c r="Z74" s="177"/>
      <c r="AA74" s="232"/>
      <c r="AC74" s="232"/>
      <c r="AD74" s="232"/>
      <c r="AE74" s="177"/>
      <c r="AH74" s="177"/>
    </row>
    <row r="75" spans="1:38">
      <c r="X75" s="232"/>
      <c r="Y75" s="247"/>
      <c r="Z75" s="177"/>
      <c r="AA75" s="232"/>
      <c r="AC75" s="232"/>
      <c r="AD75" s="232"/>
      <c r="AE75" s="177"/>
      <c r="AF75" s="231"/>
      <c r="AH75" s="177"/>
    </row>
    <row r="76" spans="1:38">
      <c r="X76" s="232"/>
      <c r="Y76" s="247"/>
      <c r="Z76" s="177"/>
      <c r="AA76" s="232"/>
      <c r="AC76" s="232"/>
      <c r="AD76" s="232"/>
      <c r="AE76" s="177"/>
      <c r="AF76" s="231"/>
      <c r="AH76" s="177"/>
    </row>
    <row r="77" spans="1:38">
      <c r="X77" s="232"/>
      <c r="Y77" s="247"/>
      <c r="Z77" s="177"/>
      <c r="AA77" s="232"/>
      <c r="AC77" s="232"/>
      <c r="AD77" s="232"/>
      <c r="AE77" s="177"/>
      <c r="AF77" s="231"/>
      <c r="AH77" s="177"/>
    </row>
    <row r="78" spans="1:38">
      <c r="AC78" s="232"/>
      <c r="AF78" s="231"/>
      <c r="AH78" s="177"/>
    </row>
    <row r="80" spans="1:38">
      <c r="X80" s="232"/>
      <c r="Y80" s="247"/>
      <c r="Z80" s="177"/>
      <c r="AA80" s="232"/>
      <c r="AD80" s="232"/>
      <c r="AE80" s="177"/>
    </row>
    <row r="81" spans="24:32">
      <c r="X81" s="232"/>
      <c r="Y81" s="247"/>
      <c r="Z81" s="177"/>
      <c r="AA81" s="232"/>
      <c r="AD81" s="232"/>
      <c r="AE81" s="177"/>
      <c r="AF81" s="231"/>
    </row>
    <row r="82" spans="24:32">
      <c r="X82" s="232"/>
      <c r="Y82" s="247"/>
      <c r="Z82" s="177"/>
      <c r="AA82" s="232"/>
      <c r="AD82" s="232"/>
      <c r="AE82" s="177"/>
      <c r="AF82" s="231"/>
    </row>
    <row r="83" spans="24:32">
      <c r="X83" s="232"/>
      <c r="Y83" s="247"/>
      <c r="Z83" s="177"/>
      <c r="AA83" s="232"/>
      <c r="AD83" s="232"/>
      <c r="AE83" s="177"/>
      <c r="AF83" s="231"/>
    </row>
    <row r="84" spans="24:32">
      <c r="AF84" s="231"/>
    </row>
    <row r="86" spans="24:32">
      <c r="X86" s="232"/>
      <c r="Y86" s="247"/>
      <c r="Z86" s="177"/>
      <c r="AA86" s="232"/>
      <c r="AD86" s="232"/>
      <c r="AE86" s="177"/>
    </row>
    <row r="87" spans="24:32">
      <c r="X87" s="232"/>
      <c r="Y87" s="247"/>
      <c r="Z87" s="177"/>
      <c r="AA87" s="232"/>
      <c r="AD87" s="232"/>
      <c r="AE87" s="177"/>
      <c r="AF87" s="231"/>
    </row>
    <row r="88" spans="24:32">
      <c r="X88" s="232"/>
      <c r="Y88" s="247"/>
      <c r="Z88" s="177"/>
      <c r="AA88" s="232"/>
      <c r="AD88" s="232"/>
      <c r="AE88" s="177"/>
      <c r="AF88" s="231"/>
    </row>
    <row r="89" spans="24:32">
      <c r="X89" s="232"/>
      <c r="Y89" s="247"/>
      <c r="Z89" s="177"/>
      <c r="AA89" s="232"/>
      <c r="AD89" s="232"/>
      <c r="AE89" s="177"/>
      <c r="AF89" s="231"/>
    </row>
    <row r="90" spans="24:32">
      <c r="AF90" s="231"/>
    </row>
    <row r="92" spans="24:32">
      <c r="X92" s="232"/>
      <c r="Y92" s="247"/>
      <c r="Z92" s="177"/>
      <c r="AA92" s="232"/>
      <c r="AD92" s="232"/>
      <c r="AE92" s="177"/>
    </row>
    <row r="93" spans="24:32">
      <c r="X93" s="232"/>
      <c r="Y93" s="247"/>
      <c r="Z93" s="177"/>
      <c r="AA93" s="232"/>
      <c r="AD93" s="232"/>
      <c r="AE93" s="177"/>
      <c r="AF93" s="231"/>
    </row>
    <row r="94" spans="24:32">
      <c r="X94" s="232"/>
      <c r="Y94" s="247"/>
      <c r="Z94" s="177"/>
      <c r="AA94" s="232"/>
      <c r="AD94" s="232"/>
      <c r="AE94" s="177"/>
      <c r="AF94" s="231"/>
    </row>
    <row r="95" spans="24:32">
      <c r="X95" s="232"/>
      <c r="Y95" s="247"/>
      <c r="Z95" s="177"/>
      <c r="AA95" s="232"/>
      <c r="AD95" s="232"/>
      <c r="AE95" s="177"/>
      <c r="AF95" s="231"/>
    </row>
    <row r="96" spans="24:32">
      <c r="AF96" s="231"/>
    </row>
    <row r="98" spans="24:32">
      <c r="X98" s="232"/>
      <c r="Y98" s="247"/>
      <c r="Z98" s="177"/>
      <c r="AA98" s="232"/>
      <c r="AD98" s="232"/>
      <c r="AE98" s="177"/>
    </row>
    <row r="99" spans="24:32">
      <c r="X99" s="232"/>
      <c r="Y99" s="247"/>
      <c r="Z99" s="177"/>
      <c r="AA99" s="232"/>
      <c r="AD99" s="232"/>
      <c r="AE99" s="177"/>
      <c r="AF99" s="231"/>
    </row>
    <row r="100" spans="24:32">
      <c r="X100" s="232"/>
      <c r="Y100" s="247"/>
      <c r="Z100" s="177"/>
      <c r="AA100" s="232"/>
      <c r="AD100" s="232"/>
      <c r="AE100" s="177"/>
      <c r="AF100" s="231"/>
    </row>
    <row r="101" spans="24:32">
      <c r="X101" s="232"/>
      <c r="Y101" s="247"/>
      <c r="Z101" s="177"/>
      <c r="AA101" s="232"/>
      <c r="AD101" s="232"/>
      <c r="AE101" s="177"/>
      <c r="AF101" s="231"/>
    </row>
    <row r="102" spans="24:32">
      <c r="AF102" s="231"/>
    </row>
    <row r="104" spans="24:32">
      <c r="X104" s="232"/>
      <c r="Y104" s="247"/>
      <c r="Z104" s="177"/>
      <c r="AA104" s="232"/>
      <c r="AD104" s="232"/>
      <c r="AE104" s="177"/>
    </row>
    <row r="105" spans="24:32">
      <c r="X105" s="232"/>
      <c r="Y105" s="247"/>
      <c r="Z105" s="177"/>
      <c r="AA105" s="232"/>
      <c r="AD105" s="232"/>
      <c r="AE105" s="177"/>
      <c r="AF105" s="231"/>
    </row>
    <row r="106" spans="24:32">
      <c r="X106" s="232"/>
      <c r="Y106" s="247"/>
      <c r="Z106" s="177"/>
      <c r="AA106" s="232"/>
      <c r="AD106" s="232"/>
      <c r="AE106" s="177"/>
      <c r="AF106" s="231"/>
    </row>
    <row r="107" spans="24:32">
      <c r="X107" s="232"/>
      <c r="Y107" s="247"/>
      <c r="Z107" s="177"/>
      <c r="AA107" s="232"/>
      <c r="AD107" s="232"/>
      <c r="AE107" s="177"/>
      <c r="AF107" s="231"/>
    </row>
    <row r="108" spans="24:32">
      <c r="AF108" s="231"/>
    </row>
    <row r="110" spans="24:32">
      <c r="X110" s="232"/>
      <c r="Y110" s="247"/>
      <c r="Z110" s="177"/>
      <c r="AA110" s="232"/>
      <c r="AD110" s="232"/>
      <c r="AE110" s="177"/>
    </row>
    <row r="111" spans="24:32">
      <c r="X111" s="232"/>
      <c r="Y111" s="247"/>
      <c r="Z111" s="177"/>
      <c r="AA111" s="232"/>
      <c r="AD111" s="232"/>
      <c r="AE111" s="177"/>
    </row>
    <row r="112" spans="24:32">
      <c r="X112" s="232"/>
      <c r="Y112" s="247"/>
      <c r="Z112" s="177"/>
      <c r="AA112" s="232"/>
      <c r="AD112" s="232"/>
      <c r="AE112" s="177"/>
    </row>
    <row r="113" spans="24:31">
      <c r="X113" s="232"/>
      <c r="Y113" s="247"/>
      <c r="Z113" s="177"/>
      <c r="AA113" s="232"/>
      <c r="AD113" s="232"/>
      <c r="AE113" s="177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553" r:id="rId4" name="CheckBox1">
          <controlPr defaultSize="0" autoFill="0" autoLine="0" linkedCell="A65" r:id="rId5">
            <anchor moveWithCells="1">
              <from>
                <xdr:col>2</xdr:col>
                <xdr:colOff>99060</xdr:colOff>
                <xdr:row>14</xdr:row>
                <xdr:rowOff>175260</xdr:rowOff>
              </from>
              <to>
                <xdr:col>2</xdr:col>
                <xdr:colOff>365760</xdr:colOff>
                <xdr:row>16</xdr:row>
                <xdr:rowOff>38100</xdr:rowOff>
              </to>
            </anchor>
          </controlPr>
        </control>
      </mc:Choice>
      <mc:Fallback>
        <control shapeId="23553" r:id="rId4" name="CheckBox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42"/>
  <sheetViews>
    <sheetView workbookViewId="0"/>
  </sheetViews>
  <sheetFormatPr defaultRowHeight="14.4"/>
  <sheetData>
    <row r="3" spans="1:34" ht="15" thickBot="1">
      <c r="A3" s="105"/>
      <c r="B3" s="105"/>
      <c r="C3" s="105"/>
      <c r="D3" s="105"/>
      <c r="E3" s="105"/>
      <c r="F3" s="105"/>
      <c r="G3" s="8" t="s">
        <v>831</v>
      </c>
      <c r="H3" s="25"/>
      <c r="I3" s="8" t="s">
        <v>832</v>
      </c>
      <c r="J3" s="25"/>
      <c r="K3" s="8" t="s">
        <v>833</v>
      </c>
      <c r="L3" s="25"/>
      <c r="M3" s="8" t="s">
        <v>834</v>
      </c>
      <c r="N3" s="25"/>
      <c r="O3" s="8" t="s">
        <v>835</v>
      </c>
      <c r="P3" s="25"/>
      <c r="Q3" s="8" t="s">
        <v>836</v>
      </c>
      <c r="R3" s="25"/>
      <c r="S3" s="8" t="s">
        <v>837</v>
      </c>
      <c r="T3" s="25"/>
      <c r="U3" s="8" t="s">
        <v>838</v>
      </c>
      <c r="V3" s="25"/>
      <c r="W3" s="8" t="s">
        <v>839</v>
      </c>
      <c r="X3" s="25"/>
      <c r="Y3" s="8" t="s">
        <v>840</v>
      </c>
      <c r="Z3" s="25"/>
      <c r="AA3" s="8" t="s">
        <v>841</v>
      </c>
      <c r="AB3" s="25"/>
      <c r="AC3" s="8" t="s">
        <v>842</v>
      </c>
      <c r="AD3" s="25"/>
      <c r="AE3" s="8" t="s">
        <v>23</v>
      </c>
      <c r="AF3" s="9"/>
      <c r="AG3" s="9"/>
      <c r="AH3" s="9"/>
    </row>
    <row r="4" spans="1:34" ht="15" thickTop="1">
      <c r="A4" s="6"/>
      <c r="B4" s="6" t="s">
        <v>843</v>
      </c>
      <c r="C4" s="6"/>
      <c r="D4" s="6"/>
      <c r="E4" s="6"/>
      <c r="F4" s="6"/>
      <c r="G4" s="21"/>
      <c r="H4" s="18"/>
      <c r="I4" s="21"/>
      <c r="J4" s="18"/>
      <c r="K4" s="21"/>
      <c r="L4" s="18"/>
      <c r="M4" s="21"/>
      <c r="N4" s="18"/>
      <c r="O4" s="21"/>
      <c r="P4" s="18"/>
      <c r="Q4" s="21"/>
      <c r="R4" s="18"/>
      <c r="S4" s="21"/>
      <c r="T4" s="18"/>
      <c r="U4" s="21"/>
      <c r="V4" s="18"/>
      <c r="W4" s="21"/>
      <c r="X4" s="18"/>
      <c r="Y4" s="21"/>
      <c r="Z4" s="18"/>
      <c r="AA4" s="21"/>
      <c r="AB4" s="18"/>
      <c r="AC4" s="21"/>
      <c r="AD4" s="18"/>
      <c r="AE4" s="21"/>
      <c r="AF4" s="34"/>
      <c r="AG4" s="34"/>
      <c r="AH4" s="34"/>
    </row>
    <row r="5" spans="1:34">
      <c r="A5" s="6"/>
      <c r="B5" s="6"/>
      <c r="C5" s="6" t="s">
        <v>844</v>
      </c>
      <c r="D5" s="6"/>
      <c r="E5" s="6"/>
      <c r="F5" s="6"/>
      <c r="G5" s="21"/>
      <c r="H5" s="18"/>
      <c r="I5" s="21"/>
      <c r="J5" s="18"/>
      <c r="K5" s="21"/>
      <c r="L5" s="18"/>
      <c r="M5" s="21"/>
      <c r="N5" s="18"/>
      <c r="O5" s="21"/>
      <c r="P5" s="18"/>
      <c r="Q5" s="21"/>
      <c r="R5" s="18"/>
      <c r="S5" s="21"/>
      <c r="T5" s="18"/>
      <c r="U5" s="21"/>
      <c r="V5" s="18"/>
      <c r="W5" s="21"/>
      <c r="X5" s="18"/>
      <c r="Y5" s="21"/>
      <c r="Z5" s="18"/>
      <c r="AA5" s="21"/>
      <c r="AB5" s="18"/>
      <c r="AC5" s="21"/>
      <c r="AD5" s="18"/>
      <c r="AE5" s="21"/>
      <c r="AF5" s="34"/>
      <c r="AG5" s="34"/>
      <c r="AH5" s="34"/>
    </row>
    <row r="6" spans="1:34">
      <c r="A6" s="6"/>
      <c r="B6" s="6"/>
      <c r="C6" s="6"/>
      <c r="D6" s="6" t="s">
        <v>845</v>
      </c>
      <c r="E6" s="6"/>
      <c r="F6" s="6"/>
      <c r="G6" s="21"/>
      <c r="H6" s="18"/>
      <c r="I6" s="21"/>
      <c r="J6" s="18"/>
      <c r="K6" s="21"/>
      <c r="L6" s="18"/>
      <c r="M6" s="21"/>
      <c r="N6" s="18"/>
      <c r="O6" s="21"/>
      <c r="P6" s="18"/>
      <c r="Q6" s="21"/>
      <c r="R6" s="18"/>
      <c r="S6" s="21"/>
      <c r="T6" s="18"/>
      <c r="U6" s="21"/>
      <c r="V6" s="18"/>
      <c r="W6" s="21"/>
      <c r="X6" s="18"/>
      <c r="Y6" s="21"/>
      <c r="Z6" s="18"/>
      <c r="AA6" s="21"/>
      <c r="AB6" s="18"/>
      <c r="AC6" s="21"/>
      <c r="AD6" s="18"/>
      <c r="AE6" s="21"/>
      <c r="AF6" s="34"/>
      <c r="AG6" s="34"/>
      <c r="AH6" s="34"/>
    </row>
    <row r="7" spans="1:34">
      <c r="A7" s="6"/>
      <c r="B7" s="6"/>
      <c r="C7" s="6"/>
      <c r="D7" s="6"/>
      <c r="E7" s="6" t="s">
        <v>846</v>
      </c>
      <c r="F7" s="6"/>
      <c r="G7" s="21">
        <v>38124.79</v>
      </c>
      <c r="H7" s="18"/>
      <c r="I7" s="21">
        <v>37642.75</v>
      </c>
      <c r="J7" s="18"/>
      <c r="K7" s="21">
        <v>37854.839999999997</v>
      </c>
      <c r="L7" s="18"/>
      <c r="M7" s="21">
        <v>41865.26</v>
      </c>
      <c r="N7" s="18"/>
      <c r="O7" s="21">
        <v>41371.74</v>
      </c>
      <c r="P7" s="18"/>
      <c r="Q7" s="21">
        <v>42875.85</v>
      </c>
      <c r="R7" s="18"/>
      <c r="S7" s="21">
        <v>45696.18</v>
      </c>
      <c r="T7" s="18"/>
      <c r="U7" s="21">
        <v>44051.53</v>
      </c>
      <c r="V7" s="18"/>
      <c r="W7" s="21">
        <v>46136.959999999999</v>
      </c>
      <c r="X7" s="18"/>
      <c r="Y7" s="21">
        <v>42772.42</v>
      </c>
      <c r="Z7" s="18"/>
      <c r="AA7" s="21">
        <v>43058.61</v>
      </c>
      <c r="AB7" s="18"/>
      <c r="AC7" s="21">
        <v>41120.83</v>
      </c>
      <c r="AD7" s="18"/>
      <c r="AE7" s="21">
        <f>ROUND(SUM(G7:AC7),5)</f>
        <v>502571.76</v>
      </c>
      <c r="AF7" s="34"/>
      <c r="AG7" s="34"/>
      <c r="AH7" s="34"/>
    </row>
    <row r="8" spans="1:34">
      <c r="A8" s="6"/>
      <c r="B8" s="6"/>
      <c r="C8" s="6"/>
      <c r="D8" s="6"/>
      <c r="E8" s="6" t="s">
        <v>847</v>
      </c>
      <c r="F8" s="6"/>
      <c r="G8" s="21"/>
      <c r="H8" s="18"/>
      <c r="I8" s="21"/>
      <c r="J8" s="18"/>
      <c r="K8" s="21"/>
      <c r="L8" s="18"/>
      <c r="M8" s="21"/>
      <c r="N8" s="18"/>
      <c r="O8" s="21"/>
      <c r="P8" s="18"/>
      <c r="Q8" s="21"/>
      <c r="R8" s="18"/>
      <c r="S8" s="21"/>
      <c r="T8" s="18"/>
      <c r="U8" s="21"/>
      <c r="V8" s="18"/>
      <c r="W8" s="21"/>
      <c r="X8" s="18"/>
      <c r="Y8" s="21"/>
      <c r="Z8" s="18"/>
      <c r="AA8" s="21"/>
      <c r="AB8" s="18"/>
      <c r="AC8" s="21"/>
      <c r="AD8" s="18"/>
      <c r="AE8" s="21"/>
      <c r="AF8" s="34"/>
      <c r="AG8" s="34"/>
      <c r="AH8" s="34"/>
    </row>
    <row r="9" spans="1:34">
      <c r="A9" s="6"/>
      <c r="B9" s="6"/>
      <c r="C9" s="6"/>
      <c r="D9" s="6"/>
      <c r="E9" s="6"/>
      <c r="F9" s="6" t="s">
        <v>848</v>
      </c>
      <c r="G9" s="21">
        <v>3810.92</v>
      </c>
      <c r="H9" s="18"/>
      <c r="I9" s="21">
        <v>2305.06</v>
      </c>
      <c r="J9" s="18"/>
      <c r="K9" s="21">
        <v>3223.57</v>
      </c>
      <c r="L9" s="18"/>
      <c r="M9" s="21">
        <v>3057.99</v>
      </c>
      <c r="N9" s="18"/>
      <c r="O9" s="21">
        <v>3384.97</v>
      </c>
      <c r="P9" s="18"/>
      <c r="Q9" s="21">
        <v>3327.94</v>
      </c>
      <c r="R9" s="18"/>
      <c r="S9" s="21">
        <v>4869.2700000000004</v>
      </c>
      <c r="T9" s="18"/>
      <c r="U9" s="21">
        <v>3717.35</v>
      </c>
      <c r="V9" s="18"/>
      <c r="W9" s="21">
        <v>3483.94</v>
      </c>
      <c r="X9" s="18"/>
      <c r="Y9" s="21">
        <v>3286</v>
      </c>
      <c r="Z9" s="18"/>
      <c r="AA9" s="21">
        <v>2398.63</v>
      </c>
      <c r="AB9" s="18"/>
      <c r="AC9" s="21">
        <v>4371.3100000000004</v>
      </c>
      <c r="AD9" s="18"/>
      <c r="AE9" s="21">
        <f>ROUND(SUM(G9:AC9),5)</f>
        <v>41236.949999999997</v>
      </c>
      <c r="AF9" s="34"/>
      <c r="AG9" s="34"/>
      <c r="AH9" s="34"/>
    </row>
    <row r="10" spans="1:34" ht="15" thickBot="1">
      <c r="A10" s="6"/>
      <c r="B10" s="6"/>
      <c r="C10" s="6"/>
      <c r="D10" s="6"/>
      <c r="E10" s="6"/>
      <c r="F10" s="6" t="s">
        <v>849</v>
      </c>
      <c r="G10" s="22">
        <v>0</v>
      </c>
      <c r="H10" s="18"/>
      <c r="I10" s="22">
        <v>0</v>
      </c>
      <c r="J10" s="18"/>
      <c r="K10" s="22">
        <v>0</v>
      </c>
      <c r="L10" s="18"/>
      <c r="M10" s="22">
        <v>0</v>
      </c>
      <c r="N10" s="18"/>
      <c r="O10" s="22">
        <v>0</v>
      </c>
      <c r="P10" s="18"/>
      <c r="Q10" s="22">
        <v>0</v>
      </c>
      <c r="R10" s="18"/>
      <c r="S10" s="22">
        <v>0</v>
      </c>
      <c r="T10" s="18"/>
      <c r="U10" s="22">
        <v>1218</v>
      </c>
      <c r="V10" s="18"/>
      <c r="W10" s="22">
        <v>0</v>
      </c>
      <c r="X10" s="18"/>
      <c r="Y10" s="22">
        <v>0</v>
      </c>
      <c r="Z10" s="18"/>
      <c r="AA10" s="22">
        <v>0</v>
      </c>
      <c r="AB10" s="18"/>
      <c r="AC10" s="22">
        <v>0</v>
      </c>
      <c r="AD10" s="18"/>
      <c r="AE10" s="22">
        <f>ROUND(SUM(G10:AC10),5)</f>
        <v>1218</v>
      </c>
      <c r="AF10" s="34"/>
      <c r="AG10" s="34"/>
      <c r="AH10" s="34"/>
    </row>
    <row r="11" spans="1:34" ht="15" thickBot="1">
      <c r="A11" s="6"/>
      <c r="B11" s="6"/>
      <c r="C11" s="6"/>
      <c r="D11" s="6"/>
      <c r="E11" s="6" t="s">
        <v>850</v>
      </c>
      <c r="F11" s="6"/>
      <c r="G11" s="23">
        <f>ROUND(SUM(G8:G10),5)</f>
        <v>3810.92</v>
      </c>
      <c r="H11" s="18"/>
      <c r="I11" s="23">
        <f>ROUND(SUM(I8:I10),5)</f>
        <v>2305.06</v>
      </c>
      <c r="J11" s="18"/>
      <c r="K11" s="23">
        <f>ROUND(SUM(K8:K10),5)</f>
        <v>3223.57</v>
      </c>
      <c r="L11" s="18"/>
      <c r="M11" s="23">
        <f>ROUND(SUM(M8:M10),5)</f>
        <v>3057.99</v>
      </c>
      <c r="N11" s="18"/>
      <c r="O11" s="23">
        <f>ROUND(SUM(O8:O10),5)</f>
        <v>3384.97</v>
      </c>
      <c r="P11" s="18"/>
      <c r="Q11" s="23">
        <f>ROUND(SUM(Q8:Q10),5)</f>
        <v>3327.94</v>
      </c>
      <c r="R11" s="18"/>
      <c r="S11" s="23">
        <f>ROUND(SUM(S8:S10),5)</f>
        <v>4869.2700000000004</v>
      </c>
      <c r="T11" s="18"/>
      <c r="U11" s="23">
        <f>ROUND(SUM(U8:U10),5)</f>
        <v>4935.3500000000004</v>
      </c>
      <c r="V11" s="18"/>
      <c r="W11" s="23">
        <f>ROUND(SUM(W8:W10),5)</f>
        <v>3483.94</v>
      </c>
      <c r="X11" s="18"/>
      <c r="Y11" s="23">
        <f>ROUND(SUM(Y8:Y10),5)</f>
        <v>3286</v>
      </c>
      <c r="Z11" s="18"/>
      <c r="AA11" s="23">
        <f>ROUND(SUM(AA8:AA10),5)</f>
        <v>2398.63</v>
      </c>
      <c r="AB11" s="18"/>
      <c r="AC11" s="23">
        <f>ROUND(SUM(AC8:AC10),5)</f>
        <v>4371.3100000000004</v>
      </c>
      <c r="AD11" s="18"/>
      <c r="AE11" s="23">
        <f>ROUND(SUM(G11:AC11),5)</f>
        <v>42454.95</v>
      </c>
      <c r="AF11" s="34"/>
      <c r="AG11" s="34"/>
      <c r="AH11" s="34"/>
    </row>
    <row r="12" spans="1:34" ht="15" thickBot="1">
      <c r="A12" s="6"/>
      <c r="B12" s="6"/>
      <c r="C12" s="6"/>
      <c r="D12" s="6" t="s">
        <v>851</v>
      </c>
      <c r="E12" s="6"/>
      <c r="F12" s="6"/>
      <c r="G12" s="107">
        <f>ROUND(SUM(G6:G7)+G11,5)</f>
        <v>41935.71</v>
      </c>
      <c r="H12" s="18"/>
      <c r="I12" s="107">
        <f>ROUND(SUM(I6:I7)+I11,5)</f>
        <v>39947.81</v>
      </c>
      <c r="J12" s="18"/>
      <c r="K12" s="107">
        <f>ROUND(SUM(K6:K7)+K11,5)</f>
        <v>41078.410000000003</v>
      </c>
      <c r="L12" s="18"/>
      <c r="M12" s="107">
        <f>ROUND(SUM(M6:M7)+M11,5)</f>
        <v>44923.25</v>
      </c>
      <c r="N12" s="18"/>
      <c r="O12" s="107">
        <f>ROUND(SUM(O6:O7)+O11,5)</f>
        <v>44756.71</v>
      </c>
      <c r="P12" s="18"/>
      <c r="Q12" s="107">
        <f>ROUND(SUM(Q6:Q7)+Q11,5)</f>
        <v>46203.79</v>
      </c>
      <c r="R12" s="18"/>
      <c r="S12" s="107">
        <f>ROUND(SUM(S6:S7)+S11,5)</f>
        <v>50565.45</v>
      </c>
      <c r="T12" s="18"/>
      <c r="U12" s="107">
        <f>ROUND(SUM(U6:U7)+U11,5)</f>
        <v>48986.879999999997</v>
      </c>
      <c r="V12" s="18"/>
      <c r="W12" s="107">
        <f>ROUND(SUM(W6:W7)+W11,5)</f>
        <v>49620.9</v>
      </c>
      <c r="X12" s="18"/>
      <c r="Y12" s="107">
        <f>ROUND(SUM(Y6:Y7)+Y11,5)</f>
        <v>46058.42</v>
      </c>
      <c r="Z12" s="18"/>
      <c r="AA12" s="107">
        <f>ROUND(SUM(AA6:AA7)+AA11,5)</f>
        <v>45457.24</v>
      </c>
      <c r="AB12" s="18"/>
      <c r="AC12" s="107">
        <f>ROUND(SUM(AC6:AC7)+AC11,5)</f>
        <v>45492.14</v>
      </c>
      <c r="AD12" s="18"/>
      <c r="AE12" s="107">
        <f>ROUND(SUM(G12:AC12),5)</f>
        <v>545026.71</v>
      </c>
      <c r="AF12" s="34"/>
      <c r="AG12" s="34"/>
      <c r="AH12" s="34"/>
    </row>
    <row r="13" spans="1:34">
      <c r="A13" s="6"/>
      <c r="B13" s="6"/>
      <c r="C13" s="6" t="s">
        <v>852</v>
      </c>
      <c r="D13" s="6"/>
      <c r="E13" s="6"/>
      <c r="F13" s="6"/>
      <c r="G13" s="21">
        <f>ROUND(G5+G12,5)</f>
        <v>41935.71</v>
      </c>
      <c r="H13" s="18"/>
      <c r="I13" s="21">
        <f>ROUND(I5+I12,5)</f>
        <v>39947.81</v>
      </c>
      <c r="J13" s="18"/>
      <c r="K13" s="21">
        <f>ROUND(K5+K12,5)</f>
        <v>41078.410000000003</v>
      </c>
      <c r="L13" s="18"/>
      <c r="M13" s="21">
        <f>ROUND(M5+M12,5)</f>
        <v>44923.25</v>
      </c>
      <c r="N13" s="18"/>
      <c r="O13" s="21">
        <f>ROUND(O5+O12,5)</f>
        <v>44756.71</v>
      </c>
      <c r="P13" s="18"/>
      <c r="Q13" s="21">
        <f>ROUND(Q5+Q12,5)</f>
        <v>46203.79</v>
      </c>
      <c r="R13" s="18"/>
      <c r="S13" s="21">
        <f>ROUND(S5+S12,5)</f>
        <v>50565.45</v>
      </c>
      <c r="T13" s="18"/>
      <c r="U13" s="21">
        <f>ROUND(U5+U12,5)</f>
        <v>48986.879999999997</v>
      </c>
      <c r="V13" s="18"/>
      <c r="W13" s="21">
        <f>ROUND(W5+W12,5)</f>
        <v>49620.9</v>
      </c>
      <c r="X13" s="18"/>
      <c r="Y13" s="21">
        <f>ROUND(Y5+Y12,5)</f>
        <v>46058.42</v>
      </c>
      <c r="Z13" s="18"/>
      <c r="AA13" s="21">
        <f>ROUND(AA5+AA12,5)</f>
        <v>45457.24</v>
      </c>
      <c r="AB13" s="18"/>
      <c r="AC13" s="21">
        <f>ROUND(AC5+AC12,5)</f>
        <v>45492.14</v>
      </c>
      <c r="AD13" s="18"/>
      <c r="AE13" s="21">
        <f>ROUND(SUM(G13:AC13),5)</f>
        <v>545026.71</v>
      </c>
      <c r="AF13" s="34"/>
      <c r="AG13" s="34"/>
      <c r="AH13" s="34"/>
    </row>
    <row r="14" spans="1:34">
      <c r="A14" s="6"/>
      <c r="B14" s="6"/>
      <c r="C14" s="6" t="s">
        <v>853</v>
      </c>
      <c r="D14" s="6"/>
      <c r="E14" s="6"/>
      <c r="F14" s="6"/>
      <c r="G14" s="21"/>
      <c r="H14" s="18"/>
      <c r="I14" s="21"/>
      <c r="J14" s="18"/>
      <c r="K14" s="21"/>
      <c r="L14" s="18"/>
      <c r="M14" s="21"/>
      <c r="N14" s="18"/>
      <c r="O14" s="21"/>
      <c r="P14" s="18"/>
      <c r="Q14" s="21"/>
      <c r="R14" s="18"/>
      <c r="S14" s="21"/>
      <c r="T14" s="18"/>
      <c r="U14" s="21"/>
      <c r="V14" s="18"/>
      <c r="W14" s="21"/>
      <c r="X14" s="18"/>
      <c r="Y14" s="21"/>
      <c r="Z14" s="18"/>
      <c r="AA14" s="21"/>
      <c r="AB14" s="18"/>
      <c r="AC14" s="21"/>
      <c r="AD14" s="18"/>
      <c r="AE14" s="21"/>
      <c r="AF14" s="34"/>
      <c r="AG14" s="34"/>
      <c r="AH14" s="34"/>
    </row>
    <row r="15" spans="1:34">
      <c r="A15" s="6"/>
      <c r="B15" s="6"/>
      <c r="C15" s="6"/>
      <c r="D15" s="6" t="s">
        <v>854</v>
      </c>
      <c r="E15" s="6"/>
      <c r="F15" s="6"/>
      <c r="G15" s="21">
        <v>0</v>
      </c>
      <c r="H15" s="18"/>
      <c r="I15" s="21">
        <v>0</v>
      </c>
      <c r="J15" s="18"/>
      <c r="K15" s="21">
        <v>0.02</v>
      </c>
      <c r="L15" s="18"/>
      <c r="M15" s="21">
        <v>0</v>
      </c>
      <c r="N15" s="18"/>
      <c r="O15" s="21">
        <v>0</v>
      </c>
      <c r="P15" s="18"/>
      <c r="Q15" s="21">
        <v>0.05</v>
      </c>
      <c r="R15" s="18"/>
      <c r="S15" s="21">
        <v>0</v>
      </c>
      <c r="T15" s="18"/>
      <c r="U15" s="21">
        <v>0.05</v>
      </c>
      <c r="V15" s="18"/>
      <c r="W15" s="21">
        <v>0</v>
      </c>
      <c r="X15" s="18"/>
      <c r="Y15" s="21">
        <v>-29.5</v>
      </c>
      <c r="Z15" s="18"/>
      <c r="AA15" s="21">
        <v>29.5</v>
      </c>
      <c r="AB15" s="18"/>
      <c r="AC15" s="21">
        <v>-0.05</v>
      </c>
      <c r="AD15" s="18"/>
      <c r="AE15" s="21">
        <f>ROUND(SUM(G15:AC15),5)</f>
        <v>7.0000000000000007E-2</v>
      </c>
      <c r="AF15" s="34"/>
      <c r="AG15" s="34"/>
      <c r="AH15" s="34"/>
    </row>
    <row r="16" spans="1:34">
      <c r="A16" s="6"/>
      <c r="B16" s="6"/>
      <c r="C16" s="6"/>
      <c r="D16" s="6" t="s">
        <v>504</v>
      </c>
      <c r="E16" s="6"/>
      <c r="F16" s="6"/>
      <c r="G16" s="21"/>
      <c r="H16" s="18"/>
      <c r="I16" s="21"/>
      <c r="J16" s="18"/>
      <c r="K16" s="21"/>
      <c r="L16" s="18"/>
      <c r="M16" s="21"/>
      <c r="N16" s="18"/>
      <c r="O16" s="21"/>
      <c r="P16" s="18"/>
      <c r="Q16" s="21"/>
      <c r="R16" s="18"/>
      <c r="S16" s="21"/>
      <c r="T16" s="18"/>
      <c r="U16" s="21"/>
      <c r="V16" s="18"/>
      <c r="W16" s="21"/>
      <c r="X16" s="18"/>
      <c r="Y16" s="21"/>
      <c r="Z16" s="18"/>
      <c r="AA16" s="21"/>
      <c r="AB16" s="18"/>
      <c r="AC16" s="21"/>
      <c r="AD16" s="18"/>
      <c r="AE16" s="21"/>
      <c r="AF16" s="34"/>
      <c r="AG16" s="34"/>
      <c r="AH16" s="34"/>
    </row>
    <row r="17" spans="1:34">
      <c r="A17" s="6"/>
      <c r="B17" s="6"/>
      <c r="C17" s="6"/>
      <c r="D17" s="6"/>
      <c r="E17" s="6" t="s">
        <v>855</v>
      </c>
      <c r="F17" s="6"/>
      <c r="G17" s="21"/>
      <c r="H17" s="18"/>
      <c r="I17" s="21"/>
      <c r="J17" s="18"/>
      <c r="K17" s="21"/>
      <c r="L17" s="18"/>
      <c r="M17" s="21"/>
      <c r="N17" s="18"/>
      <c r="O17" s="21"/>
      <c r="P17" s="18"/>
      <c r="Q17" s="21"/>
      <c r="R17" s="18"/>
      <c r="S17" s="21"/>
      <c r="T17" s="18"/>
      <c r="U17" s="21"/>
      <c r="V17" s="18"/>
      <c r="W17" s="21"/>
      <c r="X17" s="18"/>
      <c r="Y17" s="21"/>
      <c r="Z17" s="18"/>
      <c r="AA17" s="21"/>
      <c r="AB17" s="18"/>
      <c r="AC17" s="21"/>
      <c r="AD17" s="18"/>
      <c r="AE17" s="21"/>
      <c r="AF17" s="34"/>
      <c r="AG17" s="34"/>
      <c r="AH17" s="34"/>
    </row>
    <row r="18" spans="1:34">
      <c r="A18" s="6"/>
      <c r="B18" s="6"/>
      <c r="C18" s="6"/>
      <c r="D18" s="6"/>
      <c r="E18" s="6"/>
      <c r="F18" s="6" t="s">
        <v>856</v>
      </c>
      <c r="G18" s="21">
        <v>0</v>
      </c>
      <c r="H18" s="18"/>
      <c r="I18" s="21">
        <v>31.9</v>
      </c>
      <c r="J18" s="18"/>
      <c r="K18" s="21">
        <v>136.99</v>
      </c>
      <c r="L18" s="18"/>
      <c r="M18" s="21">
        <v>0</v>
      </c>
      <c r="N18" s="18"/>
      <c r="O18" s="21">
        <v>0</v>
      </c>
      <c r="P18" s="18"/>
      <c r="Q18" s="21">
        <v>0</v>
      </c>
      <c r="R18" s="18"/>
      <c r="S18" s="21">
        <v>0</v>
      </c>
      <c r="T18" s="18"/>
      <c r="U18" s="21">
        <v>0</v>
      </c>
      <c r="V18" s="18"/>
      <c r="W18" s="21">
        <v>348.11</v>
      </c>
      <c r="X18" s="18"/>
      <c r="Y18" s="21">
        <v>1200</v>
      </c>
      <c r="Z18" s="18"/>
      <c r="AA18" s="21">
        <v>0</v>
      </c>
      <c r="AB18" s="18"/>
      <c r="AC18" s="21">
        <v>38.74</v>
      </c>
      <c r="AD18" s="18"/>
      <c r="AE18" s="21">
        <f t="shared" ref="AE18:AE23" si="0">ROUND(SUM(G18:AC18),5)</f>
        <v>1755.74</v>
      </c>
      <c r="AF18" s="34"/>
      <c r="AG18" s="34"/>
      <c r="AH18" s="34"/>
    </row>
    <row r="19" spans="1:34" ht="15" thickBot="1">
      <c r="A19" s="6"/>
      <c r="B19" s="6"/>
      <c r="C19" s="6"/>
      <c r="D19" s="6"/>
      <c r="E19" s="6"/>
      <c r="F19" s="6" t="s">
        <v>857</v>
      </c>
      <c r="G19" s="106">
        <v>116.81</v>
      </c>
      <c r="H19" s="18"/>
      <c r="I19" s="106">
        <v>707.43</v>
      </c>
      <c r="J19" s="18"/>
      <c r="K19" s="106">
        <v>1734.85</v>
      </c>
      <c r="L19" s="18"/>
      <c r="M19" s="106">
        <v>293.7</v>
      </c>
      <c r="N19" s="18"/>
      <c r="O19" s="106">
        <v>137.29</v>
      </c>
      <c r="P19" s="18"/>
      <c r="Q19" s="106">
        <v>516.80999999999995</v>
      </c>
      <c r="R19" s="18"/>
      <c r="S19" s="106">
        <v>130.05000000000001</v>
      </c>
      <c r="T19" s="18"/>
      <c r="U19" s="106">
        <v>549</v>
      </c>
      <c r="V19" s="18"/>
      <c r="W19" s="106">
        <v>15.8</v>
      </c>
      <c r="X19" s="18"/>
      <c r="Y19" s="106">
        <v>1369.24</v>
      </c>
      <c r="Z19" s="18"/>
      <c r="AA19" s="106">
        <v>992.4</v>
      </c>
      <c r="AB19" s="18"/>
      <c r="AC19" s="106">
        <v>264.23</v>
      </c>
      <c r="AD19" s="18"/>
      <c r="AE19" s="106">
        <f t="shared" si="0"/>
        <v>6827.61</v>
      </c>
      <c r="AF19" s="34"/>
      <c r="AG19" s="34"/>
      <c r="AH19" s="34"/>
    </row>
    <row r="20" spans="1:34">
      <c r="A20" s="6"/>
      <c r="B20" s="6"/>
      <c r="C20" s="6"/>
      <c r="D20" s="6"/>
      <c r="E20" s="6" t="s">
        <v>858</v>
      </c>
      <c r="F20" s="6"/>
      <c r="G20" s="21">
        <f>ROUND(SUM(G17:G19),5)</f>
        <v>116.81</v>
      </c>
      <c r="H20" s="18"/>
      <c r="I20" s="21">
        <f>ROUND(SUM(I17:I19),5)</f>
        <v>739.33</v>
      </c>
      <c r="J20" s="18"/>
      <c r="K20" s="21">
        <f>ROUND(SUM(K17:K19),5)</f>
        <v>1871.84</v>
      </c>
      <c r="L20" s="18"/>
      <c r="M20" s="21">
        <f>ROUND(SUM(M17:M19),5)</f>
        <v>293.7</v>
      </c>
      <c r="N20" s="18"/>
      <c r="O20" s="21">
        <f>ROUND(SUM(O17:O19),5)</f>
        <v>137.29</v>
      </c>
      <c r="P20" s="18"/>
      <c r="Q20" s="21">
        <f>ROUND(SUM(Q17:Q19),5)</f>
        <v>516.80999999999995</v>
      </c>
      <c r="R20" s="18"/>
      <c r="S20" s="21">
        <f>ROUND(SUM(S17:S19),5)</f>
        <v>130.05000000000001</v>
      </c>
      <c r="T20" s="18"/>
      <c r="U20" s="21">
        <f>ROUND(SUM(U17:U19),5)</f>
        <v>549</v>
      </c>
      <c r="V20" s="18"/>
      <c r="W20" s="21">
        <f>ROUND(SUM(W17:W19),5)</f>
        <v>363.91</v>
      </c>
      <c r="X20" s="18"/>
      <c r="Y20" s="21">
        <f>ROUND(SUM(Y17:Y19),5)</f>
        <v>2569.2399999999998</v>
      </c>
      <c r="Z20" s="18"/>
      <c r="AA20" s="21">
        <f>ROUND(SUM(AA17:AA19),5)</f>
        <v>992.4</v>
      </c>
      <c r="AB20" s="18"/>
      <c r="AC20" s="21">
        <f>ROUND(SUM(AC17:AC19),5)</f>
        <v>302.97000000000003</v>
      </c>
      <c r="AD20" s="18"/>
      <c r="AE20" s="21">
        <f t="shared" si="0"/>
        <v>8583.35</v>
      </c>
      <c r="AF20" s="34"/>
      <c r="AG20" s="34"/>
      <c r="AH20" s="34"/>
    </row>
    <row r="21" spans="1:34">
      <c r="A21" s="6"/>
      <c r="B21" s="6"/>
      <c r="C21" s="6"/>
      <c r="D21" s="6"/>
      <c r="E21" s="6" t="s">
        <v>505</v>
      </c>
      <c r="F21" s="6"/>
      <c r="G21" s="21">
        <v>0</v>
      </c>
      <c r="H21" s="18"/>
      <c r="I21" s="21">
        <v>0</v>
      </c>
      <c r="J21" s="18"/>
      <c r="K21" s="21">
        <v>186.96</v>
      </c>
      <c r="L21" s="18"/>
      <c r="M21" s="21">
        <v>888.26</v>
      </c>
      <c r="N21" s="18"/>
      <c r="O21" s="21">
        <v>579.62</v>
      </c>
      <c r="P21" s="18"/>
      <c r="Q21" s="21">
        <v>37.61</v>
      </c>
      <c r="R21" s="18"/>
      <c r="S21" s="21">
        <v>0</v>
      </c>
      <c r="T21" s="18"/>
      <c r="U21" s="21">
        <v>0</v>
      </c>
      <c r="V21" s="18"/>
      <c r="W21" s="21">
        <v>0</v>
      </c>
      <c r="X21" s="18"/>
      <c r="Y21" s="21">
        <v>123.74</v>
      </c>
      <c r="Z21" s="18"/>
      <c r="AA21" s="21">
        <v>1794.71</v>
      </c>
      <c r="AB21" s="18"/>
      <c r="AC21" s="21">
        <v>0</v>
      </c>
      <c r="AD21" s="18"/>
      <c r="AE21" s="21">
        <f t="shared" si="0"/>
        <v>3610.9</v>
      </c>
      <c r="AF21" s="34"/>
      <c r="AG21" s="34"/>
      <c r="AH21" s="34"/>
    </row>
    <row r="22" spans="1:34" ht="15" thickBot="1">
      <c r="A22" s="6"/>
      <c r="B22" s="6"/>
      <c r="C22" s="6"/>
      <c r="D22" s="6"/>
      <c r="E22" s="6" t="s">
        <v>859</v>
      </c>
      <c r="F22" s="6"/>
      <c r="G22" s="106">
        <v>282.07</v>
      </c>
      <c r="H22" s="18"/>
      <c r="I22" s="106">
        <v>49.77</v>
      </c>
      <c r="J22" s="18"/>
      <c r="K22" s="106">
        <v>0</v>
      </c>
      <c r="L22" s="18"/>
      <c r="M22" s="106">
        <v>76.08</v>
      </c>
      <c r="N22" s="18"/>
      <c r="O22" s="106">
        <v>23.64</v>
      </c>
      <c r="P22" s="18"/>
      <c r="Q22" s="106">
        <v>0</v>
      </c>
      <c r="R22" s="18"/>
      <c r="S22" s="106">
        <v>0</v>
      </c>
      <c r="T22" s="18"/>
      <c r="U22" s="106">
        <v>0</v>
      </c>
      <c r="V22" s="18"/>
      <c r="W22" s="106">
        <v>87.72</v>
      </c>
      <c r="X22" s="18"/>
      <c r="Y22" s="106">
        <v>4.53</v>
      </c>
      <c r="Z22" s="18"/>
      <c r="AA22" s="106">
        <v>18.489999999999998</v>
      </c>
      <c r="AB22" s="18"/>
      <c r="AC22" s="106">
        <v>79.8</v>
      </c>
      <c r="AD22" s="18"/>
      <c r="AE22" s="106">
        <f t="shared" si="0"/>
        <v>622.1</v>
      </c>
      <c r="AF22" s="34"/>
      <c r="AG22" s="34"/>
      <c r="AH22" s="34"/>
    </row>
    <row r="23" spans="1:34">
      <c r="A23" s="6"/>
      <c r="B23" s="6"/>
      <c r="C23" s="6"/>
      <c r="D23" s="6" t="s">
        <v>860</v>
      </c>
      <c r="E23" s="6"/>
      <c r="F23" s="6"/>
      <c r="G23" s="21">
        <f>ROUND(G16+SUM(G20:G22),5)</f>
        <v>398.88</v>
      </c>
      <c r="H23" s="18"/>
      <c r="I23" s="21">
        <f>ROUND(I16+SUM(I20:I22),5)</f>
        <v>789.1</v>
      </c>
      <c r="J23" s="18"/>
      <c r="K23" s="21">
        <f>ROUND(K16+SUM(K20:K22),5)</f>
        <v>2058.8000000000002</v>
      </c>
      <c r="L23" s="18"/>
      <c r="M23" s="21">
        <f>ROUND(M16+SUM(M20:M22),5)</f>
        <v>1258.04</v>
      </c>
      <c r="N23" s="18"/>
      <c r="O23" s="21">
        <f>ROUND(O16+SUM(O20:O22),5)</f>
        <v>740.55</v>
      </c>
      <c r="P23" s="18"/>
      <c r="Q23" s="21">
        <f>ROUND(Q16+SUM(Q20:Q22),5)</f>
        <v>554.41999999999996</v>
      </c>
      <c r="R23" s="18"/>
      <c r="S23" s="21">
        <f>ROUND(S16+SUM(S20:S22),5)</f>
        <v>130.05000000000001</v>
      </c>
      <c r="T23" s="18"/>
      <c r="U23" s="21">
        <f>ROUND(U16+SUM(U20:U22),5)</f>
        <v>549</v>
      </c>
      <c r="V23" s="18"/>
      <c r="W23" s="21">
        <f>ROUND(W16+SUM(W20:W22),5)</f>
        <v>451.63</v>
      </c>
      <c r="X23" s="18"/>
      <c r="Y23" s="21">
        <f>ROUND(Y16+SUM(Y20:Y22),5)</f>
        <v>2697.51</v>
      </c>
      <c r="Z23" s="18"/>
      <c r="AA23" s="21">
        <f>ROUND(AA16+SUM(AA20:AA22),5)</f>
        <v>2805.6</v>
      </c>
      <c r="AB23" s="18"/>
      <c r="AC23" s="21">
        <f>ROUND(AC16+SUM(AC20:AC22),5)</f>
        <v>382.77</v>
      </c>
      <c r="AD23" s="18"/>
      <c r="AE23" s="21">
        <f t="shared" si="0"/>
        <v>12816.35</v>
      </c>
      <c r="AF23" s="34"/>
      <c r="AG23" s="34"/>
      <c r="AH23" s="34"/>
    </row>
    <row r="24" spans="1:34">
      <c r="A24" s="6"/>
      <c r="B24" s="6"/>
      <c r="C24" s="6"/>
      <c r="D24" s="6" t="s">
        <v>861</v>
      </c>
      <c r="E24" s="6"/>
      <c r="F24" s="6"/>
      <c r="G24" s="21"/>
      <c r="H24" s="18"/>
      <c r="I24" s="21"/>
      <c r="J24" s="18"/>
      <c r="K24" s="21"/>
      <c r="L24" s="18"/>
      <c r="M24" s="21"/>
      <c r="N24" s="18"/>
      <c r="O24" s="21"/>
      <c r="P24" s="18"/>
      <c r="Q24" s="21"/>
      <c r="R24" s="18"/>
      <c r="S24" s="21"/>
      <c r="T24" s="18"/>
      <c r="U24" s="21"/>
      <c r="V24" s="18"/>
      <c r="W24" s="21"/>
      <c r="X24" s="18"/>
      <c r="Y24" s="21"/>
      <c r="Z24" s="18"/>
      <c r="AA24" s="21"/>
      <c r="AB24" s="18"/>
      <c r="AC24" s="21"/>
      <c r="AD24" s="18"/>
      <c r="AE24" s="21"/>
      <c r="AF24" s="34"/>
      <c r="AG24" s="34"/>
      <c r="AH24" s="34"/>
    </row>
    <row r="25" spans="1:34">
      <c r="A25" s="6"/>
      <c r="B25" s="6"/>
      <c r="C25" s="6"/>
      <c r="D25" s="6"/>
      <c r="E25" s="6" t="s">
        <v>862</v>
      </c>
      <c r="F25" s="6"/>
      <c r="G25" s="21">
        <v>8307.25</v>
      </c>
      <c r="H25" s="18"/>
      <c r="I25" s="21">
        <v>9146.75</v>
      </c>
      <c r="J25" s="18"/>
      <c r="K25" s="21">
        <v>6852.5</v>
      </c>
      <c r="L25" s="18"/>
      <c r="M25" s="21">
        <v>10636.25</v>
      </c>
      <c r="N25" s="18"/>
      <c r="O25" s="21">
        <v>8238.35</v>
      </c>
      <c r="P25" s="18"/>
      <c r="Q25" s="21">
        <v>9837</v>
      </c>
      <c r="R25" s="18"/>
      <c r="S25" s="21">
        <v>9265.5</v>
      </c>
      <c r="T25" s="18"/>
      <c r="U25" s="21">
        <v>10121.75</v>
      </c>
      <c r="V25" s="18"/>
      <c r="W25" s="21">
        <v>8518.5</v>
      </c>
      <c r="X25" s="18"/>
      <c r="Y25" s="21">
        <v>9611.25</v>
      </c>
      <c r="Z25" s="18"/>
      <c r="AA25" s="21">
        <v>9510.25</v>
      </c>
      <c r="AB25" s="18"/>
      <c r="AC25" s="21">
        <v>9141.75</v>
      </c>
      <c r="AD25" s="18"/>
      <c r="AE25" s="21">
        <f>ROUND(SUM(G25:AC25),5)</f>
        <v>109187.1</v>
      </c>
      <c r="AF25" s="34"/>
      <c r="AG25" s="34"/>
      <c r="AH25" s="34"/>
    </row>
    <row r="26" spans="1:34">
      <c r="A26" s="6"/>
      <c r="B26" s="6"/>
      <c r="C26" s="6"/>
      <c r="D26" s="6"/>
      <c r="E26" s="6" t="s">
        <v>863</v>
      </c>
      <c r="F26" s="6"/>
      <c r="G26" s="21"/>
      <c r="H26" s="18"/>
      <c r="I26" s="21"/>
      <c r="J26" s="18"/>
      <c r="K26" s="21"/>
      <c r="L26" s="18"/>
      <c r="M26" s="21"/>
      <c r="N26" s="18"/>
      <c r="O26" s="21"/>
      <c r="P26" s="18"/>
      <c r="Q26" s="21"/>
      <c r="R26" s="18"/>
      <c r="S26" s="21"/>
      <c r="T26" s="18"/>
      <c r="U26" s="21"/>
      <c r="V26" s="18"/>
      <c r="W26" s="21"/>
      <c r="X26" s="18"/>
      <c r="Y26" s="21"/>
      <c r="Z26" s="18"/>
      <c r="AA26" s="21"/>
      <c r="AB26" s="18"/>
      <c r="AC26" s="21"/>
      <c r="AD26" s="18"/>
      <c r="AE26" s="21"/>
      <c r="AF26" s="34"/>
      <c r="AG26" s="34"/>
      <c r="AH26" s="34"/>
    </row>
    <row r="27" spans="1:34">
      <c r="A27" s="6"/>
      <c r="B27" s="6"/>
      <c r="C27" s="6"/>
      <c r="D27" s="6"/>
      <c r="E27" s="6"/>
      <c r="F27" s="6" t="s">
        <v>864</v>
      </c>
      <c r="G27" s="21">
        <v>1307.96</v>
      </c>
      <c r="H27" s="18"/>
      <c r="I27" s="21">
        <v>681.73</v>
      </c>
      <c r="J27" s="18"/>
      <c r="K27" s="21">
        <v>1129.52</v>
      </c>
      <c r="L27" s="18"/>
      <c r="M27" s="21">
        <v>1441.71</v>
      </c>
      <c r="N27" s="18"/>
      <c r="O27" s="21">
        <v>924.19</v>
      </c>
      <c r="P27" s="18"/>
      <c r="Q27" s="21">
        <v>1223.6600000000001</v>
      </c>
      <c r="R27" s="18"/>
      <c r="S27" s="21">
        <v>1372.37</v>
      </c>
      <c r="T27" s="18"/>
      <c r="U27" s="21">
        <v>1274.97</v>
      </c>
      <c r="V27" s="18"/>
      <c r="W27" s="21">
        <v>1153.5999999999999</v>
      </c>
      <c r="X27" s="18"/>
      <c r="Y27" s="21">
        <v>1596.28</v>
      </c>
      <c r="Z27" s="18"/>
      <c r="AA27" s="21">
        <v>1181.28</v>
      </c>
      <c r="AB27" s="18"/>
      <c r="AC27" s="21">
        <v>1398.61</v>
      </c>
      <c r="AD27" s="18"/>
      <c r="AE27" s="21">
        <f t="shared" ref="AE27:AE35" si="1">ROUND(SUM(G27:AC27),5)</f>
        <v>14685.88</v>
      </c>
      <c r="AF27" s="34"/>
      <c r="AG27" s="34"/>
      <c r="AH27" s="34"/>
    </row>
    <row r="28" spans="1:34">
      <c r="A28" s="6"/>
      <c r="B28" s="6"/>
      <c r="C28" s="6"/>
      <c r="D28" s="6"/>
      <c r="E28" s="6"/>
      <c r="F28" s="6" t="s">
        <v>865</v>
      </c>
      <c r="G28" s="21">
        <v>798.69</v>
      </c>
      <c r="H28" s="18"/>
      <c r="I28" s="21">
        <v>374.55</v>
      </c>
      <c r="J28" s="18"/>
      <c r="K28" s="21">
        <v>0</v>
      </c>
      <c r="L28" s="18"/>
      <c r="M28" s="21">
        <v>738.73</v>
      </c>
      <c r="N28" s="18"/>
      <c r="O28" s="21">
        <v>0</v>
      </c>
      <c r="P28" s="18"/>
      <c r="Q28" s="21">
        <v>1574.55</v>
      </c>
      <c r="R28" s="18"/>
      <c r="S28" s="21">
        <v>388.47</v>
      </c>
      <c r="T28" s="18"/>
      <c r="U28" s="21">
        <v>582.9</v>
      </c>
      <c r="V28" s="18"/>
      <c r="W28" s="21">
        <v>934.5</v>
      </c>
      <c r="X28" s="18"/>
      <c r="Y28" s="21">
        <v>918.12</v>
      </c>
      <c r="Z28" s="18"/>
      <c r="AA28" s="21">
        <v>771.77</v>
      </c>
      <c r="AB28" s="18"/>
      <c r="AC28" s="21">
        <v>529.59</v>
      </c>
      <c r="AD28" s="18"/>
      <c r="AE28" s="21">
        <f t="shared" si="1"/>
        <v>7611.87</v>
      </c>
      <c r="AF28" s="34"/>
      <c r="AG28" s="34"/>
      <c r="AH28" s="34"/>
    </row>
    <row r="29" spans="1:34">
      <c r="A29" s="6"/>
      <c r="B29" s="6"/>
      <c r="C29" s="6"/>
      <c r="D29" s="6"/>
      <c r="E29" s="6"/>
      <c r="F29" s="6" t="s">
        <v>866</v>
      </c>
      <c r="G29" s="21">
        <v>428.46</v>
      </c>
      <c r="H29" s="18"/>
      <c r="I29" s="21">
        <v>366.21</v>
      </c>
      <c r="J29" s="18"/>
      <c r="K29" s="21">
        <v>0</v>
      </c>
      <c r="L29" s="18"/>
      <c r="M29" s="21">
        <v>956.88</v>
      </c>
      <c r="N29" s="18"/>
      <c r="O29" s="21">
        <v>0</v>
      </c>
      <c r="P29" s="18"/>
      <c r="Q29" s="21">
        <v>260.01</v>
      </c>
      <c r="R29" s="18"/>
      <c r="S29" s="21">
        <v>293</v>
      </c>
      <c r="T29" s="18"/>
      <c r="U29" s="21">
        <v>203.72</v>
      </c>
      <c r="V29" s="18"/>
      <c r="W29" s="21">
        <v>201.03</v>
      </c>
      <c r="X29" s="18"/>
      <c r="Y29" s="21">
        <v>273.62</v>
      </c>
      <c r="Z29" s="18"/>
      <c r="AA29" s="21">
        <v>188</v>
      </c>
      <c r="AB29" s="18"/>
      <c r="AC29" s="21">
        <v>235.07</v>
      </c>
      <c r="AD29" s="18"/>
      <c r="AE29" s="21">
        <f t="shared" si="1"/>
        <v>3406</v>
      </c>
      <c r="AF29" s="34"/>
      <c r="AG29" s="34"/>
      <c r="AH29" s="34"/>
    </row>
    <row r="30" spans="1:34">
      <c r="A30" s="6"/>
      <c r="B30" s="6"/>
      <c r="C30" s="6"/>
      <c r="D30" s="6"/>
      <c r="E30" s="6"/>
      <c r="F30" s="6" t="s">
        <v>867</v>
      </c>
      <c r="G30" s="21">
        <v>0</v>
      </c>
      <c r="H30" s="18"/>
      <c r="I30" s="21">
        <v>0</v>
      </c>
      <c r="J30" s="18"/>
      <c r="K30" s="21">
        <v>84.22</v>
      </c>
      <c r="L30" s="18"/>
      <c r="M30" s="21">
        <v>0</v>
      </c>
      <c r="N30" s="18"/>
      <c r="O30" s="21">
        <v>0</v>
      </c>
      <c r="P30" s="18"/>
      <c r="Q30" s="21">
        <v>0</v>
      </c>
      <c r="R30" s="18"/>
      <c r="S30" s="21">
        <v>0</v>
      </c>
      <c r="T30" s="18"/>
      <c r="U30" s="21">
        <v>0</v>
      </c>
      <c r="V30" s="18"/>
      <c r="W30" s="21">
        <v>0</v>
      </c>
      <c r="X30" s="18"/>
      <c r="Y30" s="21">
        <v>0</v>
      </c>
      <c r="Z30" s="18"/>
      <c r="AA30" s="21">
        <v>0</v>
      </c>
      <c r="AB30" s="18"/>
      <c r="AC30" s="21">
        <v>0</v>
      </c>
      <c r="AD30" s="18"/>
      <c r="AE30" s="21">
        <f t="shared" si="1"/>
        <v>84.22</v>
      </c>
      <c r="AF30" s="34"/>
      <c r="AG30" s="34"/>
      <c r="AH30" s="34"/>
    </row>
    <row r="31" spans="1:34">
      <c r="A31" s="6"/>
      <c r="B31" s="6"/>
      <c r="C31" s="6"/>
      <c r="D31" s="6"/>
      <c r="E31" s="6"/>
      <c r="F31" s="6" t="s">
        <v>868</v>
      </c>
      <c r="G31" s="21">
        <v>0</v>
      </c>
      <c r="H31" s="18"/>
      <c r="I31" s="21">
        <v>0</v>
      </c>
      <c r="J31" s="18"/>
      <c r="K31" s="21">
        <v>0</v>
      </c>
      <c r="L31" s="18"/>
      <c r="M31" s="21">
        <v>0</v>
      </c>
      <c r="N31" s="18"/>
      <c r="O31" s="21">
        <v>0</v>
      </c>
      <c r="P31" s="18"/>
      <c r="Q31" s="21">
        <v>0</v>
      </c>
      <c r="R31" s="18"/>
      <c r="S31" s="21">
        <v>0</v>
      </c>
      <c r="T31" s="18"/>
      <c r="U31" s="21">
        <v>0</v>
      </c>
      <c r="V31" s="18"/>
      <c r="W31" s="21">
        <v>40</v>
      </c>
      <c r="X31" s="18"/>
      <c r="Y31" s="21">
        <v>0</v>
      </c>
      <c r="Z31" s="18"/>
      <c r="AA31" s="21">
        <v>0</v>
      </c>
      <c r="AB31" s="18"/>
      <c r="AC31" s="21">
        <v>179.47</v>
      </c>
      <c r="AD31" s="18"/>
      <c r="AE31" s="21">
        <f t="shared" si="1"/>
        <v>219.47</v>
      </c>
      <c r="AF31" s="34"/>
      <c r="AG31" s="34"/>
      <c r="AH31" s="34"/>
    </row>
    <row r="32" spans="1:34" ht="15" thickBot="1">
      <c r="A32" s="6"/>
      <c r="B32" s="6"/>
      <c r="C32" s="6"/>
      <c r="D32" s="6"/>
      <c r="E32" s="6"/>
      <c r="F32" s="6" t="s">
        <v>869</v>
      </c>
      <c r="G32" s="106">
        <v>0</v>
      </c>
      <c r="H32" s="18"/>
      <c r="I32" s="106">
        <v>0</v>
      </c>
      <c r="J32" s="18"/>
      <c r="K32" s="106">
        <v>0</v>
      </c>
      <c r="L32" s="18"/>
      <c r="M32" s="106">
        <v>0</v>
      </c>
      <c r="N32" s="18"/>
      <c r="O32" s="106">
        <v>0</v>
      </c>
      <c r="P32" s="18"/>
      <c r="Q32" s="106">
        <v>0</v>
      </c>
      <c r="R32" s="18"/>
      <c r="S32" s="106">
        <v>0</v>
      </c>
      <c r="T32" s="18"/>
      <c r="U32" s="106">
        <v>0</v>
      </c>
      <c r="V32" s="18"/>
      <c r="W32" s="106">
        <v>0</v>
      </c>
      <c r="X32" s="18"/>
      <c r="Y32" s="106">
        <v>0</v>
      </c>
      <c r="Z32" s="18"/>
      <c r="AA32" s="106">
        <v>47.04</v>
      </c>
      <c r="AB32" s="18"/>
      <c r="AC32" s="106">
        <v>0</v>
      </c>
      <c r="AD32" s="18"/>
      <c r="AE32" s="106">
        <f t="shared" si="1"/>
        <v>47.04</v>
      </c>
      <c r="AF32" s="34"/>
      <c r="AG32" s="34"/>
      <c r="AH32" s="34"/>
    </row>
    <row r="33" spans="1:34">
      <c r="A33" s="6"/>
      <c r="B33" s="6"/>
      <c r="C33" s="6"/>
      <c r="D33" s="6"/>
      <c r="E33" s="6" t="s">
        <v>870</v>
      </c>
      <c r="F33" s="6"/>
      <c r="G33" s="21">
        <f>ROUND(SUM(G26:G32),5)</f>
        <v>2535.11</v>
      </c>
      <c r="H33" s="18"/>
      <c r="I33" s="21">
        <f>ROUND(SUM(I26:I32),5)</f>
        <v>1422.49</v>
      </c>
      <c r="J33" s="18"/>
      <c r="K33" s="21">
        <f>ROUND(SUM(K26:K32),5)</f>
        <v>1213.74</v>
      </c>
      <c r="L33" s="18"/>
      <c r="M33" s="21">
        <f>ROUND(SUM(M26:M32),5)</f>
        <v>3137.32</v>
      </c>
      <c r="N33" s="18"/>
      <c r="O33" s="21">
        <f>ROUND(SUM(O26:O32),5)</f>
        <v>924.19</v>
      </c>
      <c r="P33" s="18"/>
      <c r="Q33" s="21">
        <f>ROUND(SUM(Q26:Q32),5)</f>
        <v>3058.22</v>
      </c>
      <c r="R33" s="18"/>
      <c r="S33" s="21">
        <f>ROUND(SUM(S26:S32),5)</f>
        <v>2053.84</v>
      </c>
      <c r="T33" s="18"/>
      <c r="U33" s="21">
        <f>ROUND(SUM(U26:U32),5)</f>
        <v>2061.59</v>
      </c>
      <c r="V33" s="18"/>
      <c r="W33" s="21">
        <f>ROUND(SUM(W26:W32),5)</f>
        <v>2329.13</v>
      </c>
      <c r="X33" s="18"/>
      <c r="Y33" s="21">
        <f>ROUND(SUM(Y26:Y32),5)</f>
        <v>2788.02</v>
      </c>
      <c r="Z33" s="18"/>
      <c r="AA33" s="21">
        <f>ROUND(SUM(AA26:AA32),5)</f>
        <v>2188.09</v>
      </c>
      <c r="AB33" s="18"/>
      <c r="AC33" s="21">
        <f>ROUND(SUM(AC26:AC32),5)</f>
        <v>2342.7399999999998</v>
      </c>
      <c r="AD33" s="18"/>
      <c r="AE33" s="21">
        <f t="shared" si="1"/>
        <v>26054.48</v>
      </c>
      <c r="AF33" s="34"/>
      <c r="AG33" s="34"/>
      <c r="AH33" s="34"/>
    </row>
    <row r="34" spans="1:34" ht="15" thickBot="1">
      <c r="A34" s="6"/>
      <c r="B34" s="6"/>
      <c r="C34" s="6"/>
      <c r="D34" s="6"/>
      <c r="E34" s="6" t="s">
        <v>871</v>
      </c>
      <c r="F34" s="6"/>
      <c r="G34" s="106">
        <v>32.76</v>
      </c>
      <c r="H34" s="18"/>
      <c r="I34" s="106">
        <v>32.76</v>
      </c>
      <c r="J34" s="18"/>
      <c r="K34" s="106">
        <v>32.76</v>
      </c>
      <c r="L34" s="18"/>
      <c r="M34" s="106">
        <v>85.73</v>
      </c>
      <c r="N34" s="18"/>
      <c r="O34" s="106">
        <v>32.76</v>
      </c>
      <c r="P34" s="18"/>
      <c r="Q34" s="106">
        <v>32.76</v>
      </c>
      <c r="R34" s="18"/>
      <c r="S34" s="106">
        <v>32.76</v>
      </c>
      <c r="T34" s="18"/>
      <c r="U34" s="106">
        <v>32.76</v>
      </c>
      <c r="V34" s="18"/>
      <c r="W34" s="106">
        <v>32.76</v>
      </c>
      <c r="X34" s="18"/>
      <c r="Y34" s="106">
        <v>32.76</v>
      </c>
      <c r="Z34" s="18"/>
      <c r="AA34" s="106">
        <v>32.76</v>
      </c>
      <c r="AB34" s="18"/>
      <c r="AC34" s="106">
        <v>31.73</v>
      </c>
      <c r="AD34" s="18"/>
      <c r="AE34" s="106">
        <f t="shared" si="1"/>
        <v>445.06</v>
      </c>
      <c r="AF34" s="34"/>
      <c r="AG34" s="34"/>
      <c r="AH34" s="34"/>
    </row>
    <row r="35" spans="1:34">
      <c r="A35" s="6"/>
      <c r="B35" s="6"/>
      <c r="C35" s="6"/>
      <c r="D35" s="6" t="s">
        <v>872</v>
      </c>
      <c r="E35" s="6"/>
      <c r="F35" s="6"/>
      <c r="G35" s="21">
        <f>ROUND(SUM(G24:G25)+SUM(G33:G34),5)</f>
        <v>10875.12</v>
      </c>
      <c r="H35" s="18"/>
      <c r="I35" s="21">
        <f>ROUND(SUM(I24:I25)+SUM(I33:I34),5)</f>
        <v>10602</v>
      </c>
      <c r="J35" s="18"/>
      <c r="K35" s="21">
        <f>ROUND(SUM(K24:K25)+SUM(K33:K34),5)</f>
        <v>8099</v>
      </c>
      <c r="L35" s="18"/>
      <c r="M35" s="21">
        <f>ROUND(SUM(M24:M25)+SUM(M33:M34),5)</f>
        <v>13859.3</v>
      </c>
      <c r="N35" s="18"/>
      <c r="O35" s="21">
        <f>ROUND(SUM(O24:O25)+SUM(O33:O34),5)</f>
        <v>9195.2999999999993</v>
      </c>
      <c r="P35" s="18"/>
      <c r="Q35" s="21">
        <f>ROUND(SUM(Q24:Q25)+SUM(Q33:Q34),5)</f>
        <v>12927.98</v>
      </c>
      <c r="R35" s="18"/>
      <c r="S35" s="21">
        <f>ROUND(SUM(S24:S25)+SUM(S33:S34),5)</f>
        <v>11352.1</v>
      </c>
      <c r="T35" s="18"/>
      <c r="U35" s="21">
        <f>ROUND(SUM(U24:U25)+SUM(U33:U34),5)</f>
        <v>12216.1</v>
      </c>
      <c r="V35" s="18"/>
      <c r="W35" s="21">
        <f>ROUND(SUM(W24:W25)+SUM(W33:W34),5)</f>
        <v>10880.39</v>
      </c>
      <c r="X35" s="18"/>
      <c r="Y35" s="21">
        <f>ROUND(SUM(Y24:Y25)+SUM(Y33:Y34),5)</f>
        <v>12432.03</v>
      </c>
      <c r="Z35" s="18"/>
      <c r="AA35" s="21">
        <f>ROUND(SUM(AA24:AA25)+SUM(AA33:AA34),5)</f>
        <v>11731.1</v>
      </c>
      <c r="AB35" s="18"/>
      <c r="AC35" s="21">
        <f>ROUND(SUM(AC24:AC25)+SUM(AC33:AC34),5)</f>
        <v>11516.22</v>
      </c>
      <c r="AD35" s="18"/>
      <c r="AE35" s="21">
        <f t="shared" si="1"/>
        <v>135686.64000000001</v>
      </c>
      <c r="AF35" s="34"/>
      <c r="AG35" s="34"/>
      <c r="AH35" s="34"/>
    </row>
    <row r="36" spans="1:34">
      <c r="A36" s="6"/>
      <c r="B36" s="6"/>
      <c r="C36" s="6"/>
      <c r="D36" s="6" t="s">
        <v>24</v>
      </c>
      <c r="E36" s="6"/>
      <c r="F36" s="6"/>
      <c r="G36" s="21"/>
      <c r="H36" s="18"/>
      <c r="I36" s="21"/>
      <c r="J36" s="18"/>
      <c r="K36" s="21"/>
      <c r="L36" s="18"/>
      <c r="M36" s="21"/>
      <c r="N36" s="18"/>
      <c r="O36" s="21"/>
      <c r="P36" s="18"/>
      <c r="Q36" s="21"/>
      <c r="R36" s="18"/>
      <c r="S36" s="21"/>
      <c r="T36" s="18"/>
      <c r="U36" s="21"/>
      <c r="V36" s="18"/>
      <c r="W36" s="21"/>
      <c r="X36" s="18"/>
      <c r="Y36" s="21"/>
      <c r="Z36" s="18"/>
      <c r="AA36" s="21"/>
      <c r="AB36" s="18"/>
      <c r="AC36" s="21"/>
      <c r="AD36" s="18"/>
      <c r="AE36" s="21"/>
      <c r="AF36" s="34"/>
      <c r="AG36" s="34"/>
      <c r="AH36" s="34"/>
    </row>
    <row r="37" spans="1:34">
      <c r="A37" s="6"/>
      <c r="B37" s="6"/>
      <c r="C37" s="6"/>
      <c r="D37" s="6"/>
      <c r="E37" s="6" t="s">
        <v>25</v>
      </c>
      <c r="F37" s="6"/>
      <c r="G37" s="21">
        <v>3922.94</v>
      </c>
      <c r="H37" s="18"/>
      <c r="I37" s="21">
        <v>4206.1000000000004</v>
      </c>
      <c r="J37" s="18"/>
      <c r="K37" s="21">
        <v>4470.37</v>
      </c>
      <c r="L37" s="18"/>
      <c r="M37" s="21">
        <v>3153.03</v>
      </c>
      <c r="N37" s="18"/>
      <c r="O37" s="21">
        <v>5132.6099999999997</v>
      </c>
      <c r="P37" s="18"/>
      <c r="Q37" s="21">
        <v>4478.03</v>
      </c>
      <c r="R37" s="18"/>
      <c r="S37" s="21">
        <v>5429.03</v>
      </c>
      <c r="T37" s="18"/>
      <c r="U37" s="21">
        <v>4847.92</v>
      </c>
      <c r="V37" s="18"/>
      <c r="W37" s="21">
        <v>4746.8999999999996</v>
      </c>
      <c r="X37" s="18"/>
      <c r="Y37" s="21">
        <v>4027.52</v>
      </c>
      <c r="Z37" s="18"/>
      <c r="AA37" s="21">
        <v>4308.12</v>
      </c>
      <c r="AB37" s="18"/>
      <c r="AC37" s="21">
        <v>4872.43</v>
      </c>
      <c r="AD37" s="18"/>
      <c r="AE37" s="21">
        <f>ROUND(SUM(G37:AC37),5)</f>
        <v>53595</v>
      </c>
      <c r="AF37" s="34"/>
      <c r="AG37" s="34"/>
      <c r="AH37" s="34"/>
    </row>
    <row r="38" spans="1:34" ht="15" thickBot="1">
      <c r="A38" s="6"/>
      <c r="B38" s="6"/>
      <c r="C38" s="6"/>
      <c r="D38" s="6"/>
      <c r="E38" s="6" t="s">
        <v>26</v>
      </c>
      <c r="F38" s="6"/>
      <c r="G38" s="106">
        <v>168.88</v>
      </c>
      <c r="H38" s="18"/>
      <c r="I38" s="106">
        <v>212.24</v>
      </c>
      <c r="J38" s="18"/>
      <c r="K38" s="106">
        <v>224.99</v>
      </c>
      <c r="L38" s="18"/>
      <c r="M38" s="106">
        <v>1339.8</v>
      </c>
      <c r="N38" s="18"/>
      <c r="O38" s="106">
        <v>1108.1400000000001</v>
      </c>
      <c r="P38" s="18"/>
      <c r="Q38" s="106">
        <v>930.1</v>
      </c>
      <c r="R38" s="18"/>
      <c r="S38" s="106">
        <v>1066.33</v>
      </c>
      <c r="T38" s="18"/>
      <c r="U38" s="106">
        <v>1233.67</v>
      </c>
      <c r="V38" s="18"/>
      <c r="W38" s="106">
        <v>1479.58</v>
      </c>
      <c r="X38" s="18"/>
      <c r="Y38" s="106">
        <v>1200.51</v>
      </c>
      <c r="Z38" s="18"/>
      <c r="AA38" s="106">
        <v>852.54</v>
      </c>
      <c r="AB38" s="18"/>
      <c r="AC38" s="106">
        <v>265.81</v>
      </c>
      <c r="AD38" s="18"/>
      <c r="AE38" s="106">
        <f>ROUND(SUM(G38:AC38),5)</f>
        <v>10082.59</v>
      </c>
      <c r="AF38" s="34"/>
      <c r="AG38" s="34"/>
      <c r="AH38" s="34"/>
    </row>
    <row r="39" spans="1:34">
      <c r="A39" s="6"/>
      <c r="B39" s="6"/>
      <c r="C39" s="6"/>
      <c r="D39" s="6" t="s">
        <v>27</v>
      </c>
      <c r="E39" s="6"/>
      <c r="F39" s="6"/>
      <c r="G39" s="21">
        <f>ROUND(SUM(G36:G38),5)</f>
        <v>4091.82</v>
      </c>
      <c r="H39" s="18"/>
      <c r="I39" s="21">
        <f>ROUND(SUM(I36:I38),5)</f>
        <v>4418.34</v>
      </c>
      <c r="J39" s="18"/>
      <c r="K39" s="21">
        <f>ROUND(SUM(K36:K38),5)</f>
        <v>4695.3599999999997</v>
      </c>
      <c r="L39" s="18"/>
      <c r="M39" s="21">
        <f>ROUND(SUM(M36:M38),5)</f>
        <v>4492.83</v>
      </c>
      <c r="N39" s="18"/>
      <c r="O39" s="21">
        <f>ROUND(SUM(O36:O38),5)</f>
        <v>6240.75</v>
      </c>
      <c r="P39" s="18"/>
      <c r="Q39" s="21">
        <f>ROUND(SUM(Q36:Q38),5)</f>
        <v>5408.13</v>
      </c>
      <c r="R39" s="18"/>
      <c r="S39" s="21">
        <f>ROUND(SUM(S36:S38),5)</f>
        <v>6495.36</v>
      </c>
      <c r="T39" s="18"/>
      <c r="U39" s="21">
        <f>ROUND(SUM(U36:U38),5)</f>
        <v>6081.59</v>
      </c>
      <c r="V39" s="18"/>
      <c r="W39" s="21">
        <f>ROUND(SUM(W36:W38),5)</f>
        <v>6226.48</v>
      </c>
      <c r="X39" s="18"/>
      <c r="Y39" s="21">
        <f>ROUND(SUM(Y36:Y38),5)</f>
        <v>5228.03</v>
      </c>
      <c r="Z39" s="18"/>
      <c r="AA39" s="21">
        <f>ROUND(SUM(AA36:AA38),5)</f>
        <v>5160.66</v>
      </c>
      <c r="AB39" s="18"/>
      <c r="AC39" s="21">
        <f>ROUND(SUM(AC36:AC38),5)</f>
        <v>5138.24</v>
      </c>
      <c r="AD39" s="18"/>
      <c r="AE39" s="21">
        <f>ROUND(SUM(G39:AC39),5)</f>
        <v>63677.59</v>
      </c>
      <c r="AF39" s="34"/>
      <c r="AG39" s="34"/>
      <c r="AH39" s="34"/>
    </row>
    <row r="40" spans="1:34">
      <c r="A40" s="6"/>
      <c r="B40" s="6"/>
      <c r="C40" s="6"/>
      <c r="D40" s="6" t="s">
        <v>873</v>
      </c>
      <c r="E40" s="6"/>
      <c r="F40" s="6"/>
      <c r="G40" s="21"/>
      <c r="H40" s="18"/>
      <c r="I40" s="21"/>
      <c r="J40" s="18"/>
      <c r="K40" s="21"/>
      <c r="L40" s="18"/>
      <c r="M40" s="21"/>
      <c r="N40" s="18"/>
      <c r="O40" s="21"/>
      <c r="P40" s="18"/>
      <c r="Q40" s="21"/>
      <c r="R40" s="18"/>
      <c r="S40" s="21"/>
      <c r="T40" s="18"/>
      <c r="U40" s="21"/>
      <c r="V40" s="18"/>
      <c r="W40" s="21"/>
      <c r="X40" s="18"/>
      <c r="Y40" s="21"/>
      <c r="Z40" s="18"/>
      <c r="AA40" s="21"/>
      <c r="AB40" s="18"/>
      <c r="AC40" s="21"/>
      <c r="AD40" s="18"/>
      <c r="AE40" s="21"/>
      <c r="AF40" s="34"/>
      <c r="AG40" s="34"/>
      <c r="AH40" s="34"/>
    </row>
    <row r="41" spans="1:34" ht="15" thickBot="1">
      <c r="A41" s="6"/>
      <c r="B41" s="6"/>
      <c r="C41" s="6"/>
      <c r="D41" s="6"/>
      <c r="E41" s="6" t="s">
        <v>874</v>
      </c>
      <c r="F41" s="6"/>
      <c r="G41" s="106">
        <v>0</v>
      </c>
      <c r="H41" s="18"/>
      <c r="I41" s="106">
        <v>26.6</v>
      </c>
      <c r="J41" s="18"/>
      <c r="K41" s="106">
        <v>33.35</v>
      </c>
      <c r="L41" s="18"/>
      <c r="M41" s="106">
        <v>0</v>
      </c>
      <c r="N41" s="18"/>
      <c r="O41" s="106">
        <v>0</v>
      </c>
      <c r="P41" s="18"/>
      <c r="Q41" s="106">
        <v>26.4</v>
      </c>
      <c r="R41" s="18"/>
      <c r="S41" s="106">
        <v>60</v>
      </c>
      <c r="T41" s="18"/>
      <c r="U41" s="106">
        <v>0</v>
      </c>
      <c r="V41" s="18"/>
      <c r="W41" s="106">
        <v>277</v>
      </c>
      <c r="X41" s="18"/>
      <c r="Y41" s="106">
        <v>0</v>
      </c>
      <c r="Z41" s="18"/>
      <c r="AA41" s="106">
        <v>0</v>
      </c>
      <c r="AB41" s="18"/>
      <c r="AC41" s="106">
        <v>0</v>
      </c>
      <c r="AD41" s="18"/>
      <c r="AE41" s="106">
        <f>ROUND(SUM(G41:AC41),5)</f>
        <v>423.35</v>
      </c>
      <c r="AF41" s="34"/>
      <c r="AG41" s="34"/>
      <c r="AH41" s="34"/>
    </row>
    <row r="42" spans="1:34">
      <c r="A42" s="6"/>
      <c r="B42" s="6"/>
      <c r="C42" s="6"/>
      <c r="D42" s="6" t="s">
        <v>875</v>
      </c>
      <c r="E42" s="6"/>
      <c r="F42" s="6"/>
      <c r="G42" s="21">
        <f>ROUND(SUM(G40:G41),5)</f>
        <v>0</v>
      </c>
      <c r="H42" s="18"/>
      <c r="I42" s="21">
        <f>ROUND(SUM(I40:I41),5)</f>
        <v>26.6</v>
      </c>
      <c r="J42" s="18"/>
      <c r="K42" s="21">
        <f>ROUND(SUM(K40:K41),5)</f>
        <v>33.35</v>
      </c>
      <c r="L42" s="18"/>
      <c r="M42" s="21">
        <f>ROUND(SUM(M40:M41),5)</f>
        <v>0</v>
      </c>
      <c r="N42" s="18"/>
      <c r="O42" s="21">
        <f>ROUND(SUM(O40:O41),5)</f>
        <v>0</v>
      </c>
      <c r="P42" s="18"/>
      <c r="Q42" s="21">
        <f>ROUND(SUM(Q40:Q41),5)</f>
        <v>26.4</v>
      </c>
      <c r="R42" s="18"/>
      <c r="S42" s="21">
        <f>ROUND(SUM(S40:S41),5)</f>
        <v>60</v>
      </c>
      <c r="T42" s="18"/>
      <c r="U42" s="21">
        <f>ROUND(SUM(U40:U41),5)</f>
        <v>0</v>
      </c>
      <c r="V42" s="18"/>
      <c r="W42" s="21">
        <f>ROUND(SUM(W40:W41),5)</f>
        <v>277</v>
      </c>
      <c r="X42" s="18"/>
      <c r="Y42" s="21">
        <f>ROUND(SUM(Y40:Y41),5)</f>
        <v>0</v>
      </c>
      <c r="Z42" s="18"/>
      <c r="AA42" s="21">
        <f>ROUND(SUM(AA40:AA41),5)</f>
        <v>0</v>
      </c>
      <c r="AB42" s="18"/>
      <c r="AC42" s="21">
        <f>ROUND(SUM(AC40:AC41),5)</f>
        <v>0</v>
      </c>
      <c r="AD42" s="18"/>
      <c r="AE42" s="21">
        <f>ROUND(SUM(G42:AC42),5)</f>
        <v>423.35</v>
      </c>
      <c r="AF42" s="34"/>
      <c r="AG42" s="34"/>
      <c r="AH42" s="34"/>
    </row>
    <row r="43" spans="1:34">
      <c r="A43" s="6"/>
      <c r="B43" s="6"/>
      <c r="C43" s="6"/>
      <c r="D43" s="6" t="s">
        <v>876</v>
      </c>
      <c r="E43" s="6"/>
      <c r="F43" s="6"/>
      <c r="G43" s="21"/>
      <c r="H43" s="18"/>
      <c r="I43" s="21"/>
      <c r="J43" s="18"/>
      <c r="K43" s="21"/>
      <c r="L43" s="18"/>
      <c r="M43" s="21"/>
      <c r="N43" s="18"/>
      <c r="O43" s="21"/>
      <c r="P43" s="18"/>
      <c r="Q43" s="21"/>
      <c r="R43" s="18"/>
      <c r="S43" s="21"/>
      <c r="T43" s="18"/>
      <c r="U43" s="21"/>
      <c r="V43" s="18"/>
      <c r="W43" s="21"/>
      <c r="X43" s="18"/>
      <c r="Y43" s="21"/>
      <c r="Z43" s="18"/>
      <c r="AA43" s="21"/>
      <c r="AB43" s="18"/>
      <c r="AC43" s="21"/>
      <c r="AD43" s="18"/>
      <c r="AE43" s="21"/>
      <c r="AF43" s="34"/>
      <c r="AG43" s="34"/>
      <c r="AH43" s="34"/>
    </row>
    <row r="44" spans="1:34">
      <c r="A44" s="6"/>
      <c r="B44" s="6"/>
      <c r="C44" s="6"/>
      <c r="D44" s="6"/>
      <c r="E44" s="6" t="s">
        <v>877</v>
      </c>
      <c r="F44" s="6"/>
      <c r="G44" s="21">
        <v>147.03</v>
      </c>
      <c r="H44" s="18"/>
      <c r="I44" s="21">
        <v>147.03</v>
      </c>
      <c r="J44" s="18"/>
      <c r="K44" s="21">
        <v>147.03</v>
      </c>
      <c r="L44" s="18"/>
      <c r="M44" s="21">
        <v>147.03</v>
      </c>
      <c r="N44" s="18"/>
      <c r="O44" s="21">
        <v>151.63</v>
      </c>
      <c r="P44" s="18"/>
      <c r="Q44" s="21">
        <v>181.64</v>
      </c>
      <c r="R44" s="18"/>
      <c r="S44" s="21">
        <v>181.64</v>
      </c>
      <c r="T44" s="18"/>
      <c r="U44" s="21">
        <v>181.64</v>
      </c>
      <c r="V44" s="18"/>
      <c r="W44" s="21">
        <v>181.64</v>
      </c>
      <c r="X44" s="18"/>
      <c r="Y44" s="21">
        <v>181.64</v>
      </c>
      <c r="Z44" s="18"/>
      <c r="AA44" s="21">
        <v>181.64</v>
      </c>
      <c r="AB44" s="18"/>
      <c r="AC44" s="21">
        <v>181.64</v>
      </c>
      <c r="AD44" s="18"/>
      <c r="AE44" s="21">
        <f>ROUND(SUM(G44:AC44),5)</f>
        <v>2011.23</v>
      </c>
      <c r="AF44" s="34"/>
      <c r="AG44" s="34"/>
      <c r="AH44" s="34"/>
    </row>
    <row r="45" spans="1:34">
      <c r="A45" s="6"/>
      <c r="B45" s="6"/>
      <c r="C45" s="6"/>
      <c r="D45" s="6"/>
      <c r="E45" s="6" t="s">
        <v>878</v>
      </c>
      <c r="F45" s="6"/>
      <c r="G45" s="21">
        <v>1010</v>
      </c>
      <c r="H45" s="18"/>
      <c r="I45" s="21">
        <v>1010</v>
      </c>
      <c r="J45" s="18"/>
      <c r="K45" s="21">
        <v>1010</v>
      </c>
      <c r="L45" s="18"/>
      <c r="M45" s="21">
        <v>-351.26</v>
      </c>
      <c r="N45" s="18"/>
      <c r="O45" s="21">
        <v>700</v>
      </c>
      <c r="P45" s="18"/>
      <c r="Q45" s="21">
        <v>700</v>
      </c>
      <c r="R45" s="18"/>
      <c r="S45" s="21">
        <v>808.57</v>
      </c>
      <c r="T45" s="18"/>
      <c r="U45" s="21">
        <v>700</v>
      </c>
      <c r="V45" s="18"/>
      <c r="W45" s="21">
        <v>932.06</v>
      </c>
      <c r="X45" s="18"/>
      <c r="Y45" s="21">
        <v>700</v>
      </c>
      <c r="Z45" s="18"/>
      <c r="AA45" s="21">
        <v>700</v>
      </c>
      <c r="AB45" s="18"/>
      <c r="AC45" s="21">
        <v>860</v>
      </c>
      <c r="AD45" s="18"/>
      <c r="AE45" s="21">
        <f>ROUND(SUM(G45:AC45),5)</f>
        <v>8779.3700000000008</v>
      </c>
      <c r="AF45" s="34"/>
      <c r="AG45" s="34"/>
      <c r="AH45" s="34"/>
    </row>
    <row r="46" spans="1:34">
      <c r="A46" s="6"/>
      <c r="B46" s="6"/>
      <c r="C46" s="6"/>
      <c r="D46" s="6"/>
      <c r="E46" s="6" t="s">
        <v>879</v>
      </c>
      <c r="F46" s="6"/>
      <c r="G46" s="21">
        <v>996.42</v>
      </c>
      <c r="H46" s="18"/>
      <c r="I46" s="21">
        <v>996.42</v>
      </c>
      <c r="J46" s="18"/>
      <c r="K46" s="21">
        <v>996.42</v>
      </c>
      <c r="L46" s="18"/>
      <c r="M46" s="21">
        <v>996.42</v>
      </c>
      <c r="N46" s="18"/>
      <c r="O46" s="21">
        <v>996.42</v>
      </c>
      <c r="P46" s="18"/>
      <c r="Q46" s="21">
        <v>924.42</v>
      </c>
      <c r="R46" s="18"/>
      <c r="S46" s="21">
        <v>924.42</v>
      </c>
      <c r="T46" s="18"/>
      <c r="U46" s="21">
        <v>924.42</v>
      </c>
      <c r="V46" s="18"/>
      <c r="W46" s="21">
        <v>924.42</v>
      </c>
      <c r="X46" s="18"/>
      <c r="Y46" s="21">
        <v>924.42</v>
      </c>
      <c r="Z46" s="18"/>
      <c r="AA46" s="21">
        <v>924.42</v>
      </c>
      <c r="AB46" s="18"/>
      <c r="AC46" s="21">
        <v>924.42</v>
      </c>
      <c r="AD46" s="18"/>
      <c r="AE46" s="21">
        <f>ROUND(SUM(G46:AC46),5)</f>
        <v>11453.04</v>
      </c>
      <c r="AF46" s="34"/>
      <c r="AG46" s="34"/>
      <c r="AH46" s="34"/>
    </row>
    <row r="47" spans="1:34">
      <c r="A47" s="6"/>
      <c r="B47" s="6"/>
      <c r="C47" s="6"/>
      <c r="D47" s="6"/>
      <c r="E47" s="6" t="s">
        <v>880</v>
      </c>
      <c r="F47" s="6"/>
      <c r="G47" s="21"/>
      <c r="H47" s="18"/>
      <c r="I47" s="21"/>
      <c r="J47" s="18"/>
      <c r="K47" s="21"/>
      <c r="L47" s="18"/>
      <c r="M47" s="21"/>
      <c r="N47" s="18"/>
      <c r="O47" s="21"/>
      <c r="P47" s="18"/>
      <c r="Q47" s="21"/>
      <c r="R47" s="18"/>
      <c r="S47" s="21"/>
      <c r="T47" s="18"/>
      <c r="U47" s="21"/>
      <c r="V47" s="18"/>
      <c r="W47" s="21"/>
      <c r="X47" s="18"/>
      <c r="Y47" s="21"/>
      <c r="Z47" s="18"/>
      <c r="AA47" s="21"/>
      <c r="AB47" s="18"/>
      <c r="AC47" s="21"/>
      <c r="AD47" s="18"/>
      <c r="AE47" s="21"/>
      <c r="AF47" s="34"/>
      <c r="AG47" s="34"/>
      <c r="AH47" s="34"/>
    </row>
    <row r="48" spans="1:34" ht="15" thickBot="1">
      <c r="A48" s="6"/>
      <c r="B48" s="6"/>
      <c r="C48" s="6"/>
      <c r="D48" s="6"/>
      <c r="E48" s="6"/>
      <c r="F48" s="6" t="s">
        <v>881</v>
      </c>
      <c r="G48" s="22">
        <v>0</v>
      </c>
      <c r="H48" s="18"/>
      <c r="I48" s="22">
        <v>0</v>
      </c>
      <c r="J48" s="18"/>
      <c r="K48" s="22">
        <v>0</v>
      </c>
      <c r="L48" s="18"/>
      <c r="M48" s="22">
        <v>0</v>
      </c>
      <c r="N48" s="18"/>
      <c r="O48" s="22">
        <v>0</v>
      </c>
      <c r="P48" s="18"/>
      <c r="Q48" s="22">
        <v>0</v>
      </c>
      <c r="R48" s="18"/>
      <c r="S48" s="22">
        <v>0</v>
      </c>
      <c r="T48" s="18"/>
      <c r="U48" s="22">
        <v>0</v>
      </c>
      <c r="V48" s="18"/>
      <c r="W48" s="22">
        <v>0</v>
      </c>
      <c r="X48" s="18"/>
      <c r="Y48" s="22">
        <v>0</v>
      </c>
      <c r="Z48" s="18"/>
      <c r="AA48" s="22">
        <v>0</v>
      </c>
      <c r="AB48" s="18"/>
      <c r="AC48" s="22">
        <v>2000</v>
      </c>
      <c r="AD48" s="18"/>
      <c r="AE48" s="22">
        <f>ROUND(SUM(G48:AC48),5)</f>
        <v>2000</v>
      </c>
      <c r="AF48" s="34"/>
      <c r="AG48" s="34"/>
      <c r="AH48" s="34"/>
    </row>
    <row r="49" spans="1:34" ht="15" thickBot="1">
      <c r="A49" s="6"/>
      <c r="B49" s="6"/>
      <c r="C49" s="6"/>
      <c r="D49" s="6"/>
      <c r="E49" s="6" t="s">
        <v>882</v>
      </c>
      <c r="F49" s="6"/>
      <c r="G49" s="107">
        <f>ROUND(SUM(G47:G48),5)</f>
        <v>0</v>
      </c>
      <c r="H49" s="18"/>
      <c r="I49" s="107">
        <f>ROUND(SUM(I47:I48),5)</f>
        <v>0</v>
      </c>
      <c r="J49" s="18"/>
      <c r="K49" s="107">
        <f>ROUND(SUM(K47:K48),5)</f>
        <v>0</v>
      </c>
      <c r="L49" s="18"/>
      <c r="M49" s="107">
        <f>ROUND(SUM(M47:M48),5)</f>
        <v>0</v>
      </c>
      <c r="N49" s="18"/>
      <c r="O49" s="107">
        <f>ROUND(SUM(O47:O48),5)</f>
        <v>0</v>
      </c>
      <c r="P49" s="18"/>
      <c r="Q49" s="107">
        <f>ROUND(SUM(Q47:Q48),5)</f>
        <v>0</v>
      </c>
      <c r="R49" s="18"/>
      <c r="S49" s="107">
        <f>ROUND(SUM(S47:S48),5)</f>
        <v>0</v>
      </c>
      <c r="T49" s="18"/>
      <c r="U49" s="107">
        <f>ROUND(SUM(U47:U48),5)</f>
        <v>0</v>
      </c>
      <c r="V49" s="18"/>
      <c r="W49" s="107">
        <f>ROUND(SUM(W47:W48),5)</f>
        <v>0</v>
      </c>
      <c r="X49" s="18"/>
      <c r="Y49" s="107">
        <f>ROUND(SUM(Y47:Y48),5)</f>
        <v>0</v>
      </c>
      <c r="Z49" s="18"/>
      <c r="AA49" s="107">
        <f>ROUND(SUM(AA47:AA48),5)</f>
        <v>0</v>
      </c>
      <c r="AB49" s="18"/>
      <c r="AC49" s="107">
        <f>ROUND(SUM(AC47:AC48),5)</f>
        <v>2000</v>
      </c>
      <c r="AD49" s="18"/>
      <c r="AE49" s="107">
        <f>ROUND(SUM(G49:AC49),5)</f>
        <v>2000</v>
      </c>
      <c r="AF49" s="34"/>
      <c r="AG49" s="34"/>
      <c r="AH49" s="34"/>
    </row>
    <row r="50" spans="1:34">
      <c r="A50" s="6"/>
      <c r="B50" s="6"/>
      <c r="C50" s="6"/>
      <c r="D50" s="6" t="s">
        <v>883</v>
      </c>
      <c r="E50" s="6"/>
      <c r="F50" s="6"/>
      <c r="G50" s="21">
        <f>ROUND(SUM(G43:G46)+G49,5)</f>
        <v>2153.4499999999998</v>
      </c>
      <c r="H50" s="18"/>
      <c r="I50" s="21">
        <f>ROUND(SUM(I43:I46)+I49,5)</f>
        <v>2153.4499999999998</v>
      </c>
      <c r="J50" s="18"/>
      <c r="K50" s="21">
        <f>ROUND(SUM(K43:K46)+K49,5)</f>
        <v>2153.4499999999998</v>
      </c>
      <c r="L50" s="18"/>
      <c r="M50" s="21">
        <f>ROUND(SUM(M43:M46)+M49,5)</f>
        <v>792.19</v>
      </c>
      <c r="N50" s="18"/>
      <c r="O50" s="21">
        <f>ROUND(SUM(O43:O46)+O49,5)</f>
        <v>1848.05</v>
      </c>
      <c r="P50" s="18"/>
      <c r="Q50" s="21">
        <f>ROUND(SUM(Q43:Q46)+Q49,5)</f>
        <v>1806.06</v>
      </c>
      <c r="R50" s="18"/>
      <c r="S50" s="21">
        <f>ROUND(SUM(S43:S46)+S49,5)</f>
        <v>1914.63</v>
      </c>
      <c r="T50" s="18"/>
      <c r="U50" s="21">
        <f>ROUND(SUM(U43:U46)+U49,5)</f>
        <v>1806.06</v>
      </c>
      <c r="V50" s="18"/>
      <c r="W50" s="21">
        <f>ROUND(SUM(W43:W46)+W49,5)</f>
        <v>2038.12</v>
      </c>
      <c r="X50" s="18"/>
      <c r="Y50" s="21">
        <f>ROUND(SUM(Y43:Y46)+Y49,5)</f>
        <v>1806.06</v>
      </c>
      <c r="Z50" s="18"/>
      <c r="AA50" s="21">
        <f>ROUND(SUM(AA43:AA46)+AA49,5)</f>
        <v>1806.06</v>
      </c>
      <c r="AB50" s="18"/>
      <c r="AC50" s="21">
        <f>ROUND(SUM(AC43:AC46)+AC49,5)</f>
        <v>3966.06</v>
      </c>
      <c r="AD50" s="18"/>
      <c r="AE50" s="21">
        <f>ROUND(SUM(G50:AC50),5)</f>
        <v>24243.64</v>
      </c>
      <c r="AF50" s="34"/>
      <c r="AG50" s="34"/>
      <c r="AH50" s="34"/>
    </row>
    <row r="51" spans="1:34">
      <c r="A51" s="6"/>
      <c r="B51" s="6"/>
      <c r="C51" s="6"/>
      <c r="D51" s="6" t="s">
        <v>637</v>
      </c>
      <c r="E51" s="6"/>
      <c r="F51" s="6"/>
      <c r="G51" s="21"/>
      <c r="H51" s="18"/>
      <c r="I51" s="21"/>
      <c r="J51" s="18"/>
      <c r="K51" s="21"/>
      <c r="L51" s="18"/>
      <c r="M51" s="21"/>
      <c r="N51" s="18"/>
      <c r="O51" s="21"/>
      <c r="P51" s="18"/>
      <c r="Q51" s="21"/>
      <c r="R51" s="18"/>
      <c r="S51" s="21"/>
      <c r="T51" s="18"/>
      <c r="U51" s="21"/>
      <c r="V51" s="18"/>
      <c r="W51" s="21"/>
      <c r="X51" s="18"/>
      <c r="Y51" s="21"/>
      <c r="Z51" s="18"/>
      <c r="AA51" s="21"/>
      <c r="AB51" s="18"/>
      <c r="AC51" s="21"/>
      <c r="AD51" s="18"/>
      <c r="AE51" s="21"/>
      <c r="AF51" s="34"/>
      <c r="AG51" s="34"/>
      <c r="AH51" s="34"/>
    </row>
    <row r="52" spans="1:34">
      <c r="A52" s="6"/>
      <c r="B52" s="6"/>
      <c r="C52" s="6"/>
      <c r="D52" s="6"/>
      <c r="E52" s="6" t="s">
        <v>884</v>
      </c>
      <c r="F52" s="6"/>
      <c r="G52" s="21">
        <v>8000</v>
      </c>
      <c r="H52" s="18"/>
      <c r="I52" s="21">
        <v>8000</v>
      </c>
      <c r="J52" s="18"/>
      <c r="K52" s="21">
        <v>8000</v>
      </c>
      <c r="L52" s="18"/>
      <c r="M52" s="21">
        <v>8000</v>
      </c>
      <c r="N52" s="18"/>
      <c r="O52" s="21">
        <v>8000</v>
      </c>
      <c r="P52" s="18"/>
      <c r="Q52" s="21">
        <v>8000</v>
      </c>
      <c r="R52" s="18"/>
      <c r="S52" s="21">
        <v>8000</v>
      </c>
      <c r="T52" s="18"/>
      <c r="U52" s="21">
        <v>7500</v>
      </c>
      <c r="V52" s="18"/>
      <c r="W52" s="21">
        <v>8000</v>
      </c>
      <c r="X52" s="18"/>
      <c r="Y52" s="21">
        <v>8000</v>
      </c>
      <c r="Z52" s="18"/>
      <c r="AA52" s="21">
        <v>8000</v>
      </c>
      <c r="AB52" s="18"/>
      <c r="AC52" s="21">
        <v>8000</v>
      </c>
      <c r="AD52" s="18"/>
      <c r="AE52" s="21">
        <f>ROUND(SUM(G52:AC52),5)</f>
        <v>95500</v>
      </c>
      <c r="AF52" s="34"/>
      <c r="AG52" s="34"/>
      <c r="AH52" s="34"/>
    </row>
    <row r="53" spans="1:34">
      <c r="A53" s="6"/>
      <c r="B53" s="6"/>
      <c r="C53" s="6"/>
      <c r="D53" s="6"/>
      <c r="E53" s="6" t="s">
        <v>885</v>
      </c>
      <c r="F53" s="6"/>
      <c r="G53" s="21">
        <v>607.75</v>
      </c>
      <c r="H53" s="18"/>
      <c r="I53" s="21">
        <v>790.5</v>
      </c>
      <c r="J53" s="18"/>
      <c r="K53" s="21">
        <v>629</v>
      </c>
      <c r="L53" s="18"/>
      <c r="M53" s="21">
        <v>714</v>
      </c>
      <c r="N53" s="18"/>
      <c r="O53" s="21">
        <v>569.5</v>
      </c>
      <c r="P53" s="18"/>
      <c r="Q53" s="21">
        <v>739.5</v>
      </c>
      <c r="R53" s="18"/>
      <c r="S53" s="21">
        <v>888.25</v>
      </c>
      <c r="T53" s="18"/>
      <c r="U53" s="21">
        <v>1632</v>
      </c>
      <c r="V53" s="18"/>
      <c r="W53" s="21">
        <v>1572.5</v>
      </c>
      <c r="X53" s="18"/>
      <c r="Y53" s="21">
        <v>1593.75</v>
      </c>
      <c r="Z53" s="18"/>
      <c r="AA53" s="21">
        <v>1746</v>
      </c>
      <c r="AB53" s="18"/>
      <c r="AC53" s="21">
        <v>1534.5</v>
      </c>
      <c r="AD53" s="18"/>
      <c r="AE53" s="21">
        <f>ROUND(SUM(G53:AC53),5)</f>
        <v>13017.25</v>
      </c>
      <c r="AF53" s="34"/>
      <c r="AG53" s="34"/>
      <c r="AH53" s="34"/>
    </row>
    <row r="54" spans="1:34">
      <c r="A54" s="6"/>
      <c r="B54" s="6"/>
      <c r="C54" s="6"/>
      <c r="D54" s="6"/>
      <c r="E54" s="6" t="s">
        <v>886</v>
      </c>
      <c r="F54" s="6"/>
      <c r="G54" s="21"/>
      <c r="H54" s="18"/>
      <c r="I54" s="21"/>
      <c r="J54" s="18"/>
      <c r="K54" s="21"/>
      <c r="L54" s="18"/>
      <c r="M54" s="21"/>
      <c r="N54" s="18"/>
      <c r="O54" s="21"/>
      <c r="P54" s="18"/>
      <c r="Q54" s="21"/>
      <c r="R54" s="18"/>
      <c r="S54" s="21"/>
      <c r="T54" s="18"/>
      <c r="U54" s="21"/>
      <c r="V54" s="18"/>
      <c r="W54" s="21"/>
      <c r="X54" s="18"/>
      <c r="Y54" s="21"/>
      <c r="Z54" s="18"/>
      <c r="AA54" s="21"/>
      <c r="AB54" s="18"/>
      <c r="AC54" s="21"/>
      <c r="AD54" s="18"/>
      <c r="AE54" s="21"/>
      <c r="AF54" s="34"/>
      <c r="AG54" s="34"/>
      <c r="AH54" s="34"/>
    </row>
    <row r="55" spans="1:34">
      <c r="A55" s="6"/>
      <c r="B55" s="6"/>
      <c r="C55" s="6"/>
      <c r="D55" s="6"/>
      <c r="E55" s="6"/>
      <c r="F55" s="6" t="s">
        <v>887</v>
      </c>
      <c r="G55" s="21">
        <v>204.97</v>
      </c>
      <c r="H55" s="18"/>
      <c r="I55" s="21">
        <v>275.8</v>
      </c>
      <c r="J55" s="18"/>
      <c r="K55" s="21">
        <v>170.9</v>
      </c>
      <c r="L55" s="18"/>
      <c r="M55" s="21">
        <v>259.23</v>
      </c>
      <c r="N55" s="18"/>
      <c r="O55" s="21">
        <v>243.15</v>
      </c>
      <c r="P55" s="18"/>
      <c r="Q55" s="21">
        <v>241.9</v>
      </c>
      <c r="R55" s="18"/>
      <c r="S55" s="21">
        <v>227.38</v>
      </c>
      <c r="T55" s="18"/>
      <c r="U55" s="21">
        <v>274.86</v>
      </c>
      <c r="V55" s="18"/>
      <c r="W55" s="21">
        <v>291.02999999999997</v>
      </c>
      <c r="X55" s="18"/>
      <c r="Y55" s="21">
        <v>277.39999999999998</v>
      </c>
      <c r="Z55" s="18"/>
      <c r="AA55" s="21">
        <v>288.14999999999998</v>
      </c>
      <c r="AB55" s="18"/>
      <c r="AC55" s="21">
        <v>250.42</v>
      </c>
      <c r="AD55" s="18"/>
      <c r="AE55" s="21">
        <f t="shared" ref="AE55:AE61" si="2">ROUND(SUM(G55:AC55),5)</f>
        <v>3005.19</v>
      </c>
      <c r="AF55" s="34"/>
      <c r="AG55" s="34"/>
      <c r="AH55" s="34"/>
    </row>
    <row r="56" spans="1:34">
      <c r="A56" s="6"/>
      <c r="B56" s="6"/>
      <c r="C56" s="6"/>
      <c r="D56" s="6"/>
      <c r="E56" s="6"/>
      <c r="F56" s="6" t="s">
        <v>888</v>
      </c>
      <c r="G56" s="21">
        <v>1079.05</v>
      </c>
      <c r="H56" s="18"/>
      <c r="I56" s="21">
        <v>128.6</v>
      </c>
      <c r="J56" s="18"/>
      <c r="K56" s="21">
        <v>429.32</v>
      </c>
      <c r="L56" s="18"/>
      <c r="M56" s="21">
        <v>673.45</v>
      </c>
      <c r="N56" s="18"/>
      <c r="O56" s="21">
        <v>523.63</v>
      </c>
      <c r="P56" s="18"/>
      <c r="Q56" s="21">
        <v>239.25</v>
      </c>
      <c r="R56" s="18"/>
      <c r="S56" s="21">
        <v>701.27</v>
      </c>
      <c r="T56" s="18"/>
      <c r="U56" s="21">
        <v>716.29</v>
      </c>
      <c r="V56" s="18"/>
      <c r="W56" s="21">
        <v>178.61</v>
      </c>
      <c r="X56" s="18"/>
      <c r="Y56" s="21">
        <v>1319.62</v>
      </c>
      <c r="Z56" s="18"/>
      <c r="AA56" s="21">
        <v>714.01</v>
      </c>
      <c r="AB56" s="18"/>
      <c r="AC56" s="21">
        <v>1220.8399999999999</v>
      </c>
      <c r="AD56" s="18"/>
      <c r="AE56" s="21">
        <f t="shared" si="2"/>
        <v>7923.94</v>
      </c>
      <c r="AF56" s="34"/>
      <c r="AG56" s="34"/>
      <c r="AH56" s="34"/>
    </row>
    <row r="57" spans="1:34">
      <c r="A57" s="6"/>
      <c r="B57" s="6"/>
      <c r="C57" s="6"/>
      <c r="D57" s="6"/>
      <c r="E57" s="6"/>
      <c r="F57" s="6" t="s">
        <v>889</v>
      </c>
      <c r="G57" s="21">
        <v>335.4</v>
      </c>
      <c r="H57" s="18"/>
      <c r="I57" s="21">
        <v>396.65</v>
      </c>
      <c r="J57" s="18"/>
      <c r="K57" s="21">
        <v>449.4</v>
      </c>
      <c r="L57" s="18"/>
      <c r="M57" s="21">
        <v>231.35</v>
      </c>
      <c r="N57" s="18"/>
      <c r="O57" s="21">
        <v>570.79999999999995</v>
      </c>
      <c r="P57" s="18"/>
      <c r="Q57" s="21">
        <v>471</v>
      </c>
      <c r="R57" s="18"/>
      <c r="S57" s="21">
        <v>404.05</v>
      </c>
      <c r="T57" s="18"/>
      <c r="U57" s="21">
        <v>418.45</v>
      </c>
      <c r="V57" s="18"/>
      <c r="W57" s="21">
        <v>404.05</v>
      </c>
      <c r="X57" s="18"/>
      <c r="Y57" s="21">
        <v>537.70000000000005</v>
      </c>
      <c r="Z57" s="18"/>
      <c r="AA57" s="21">
        <v>493.15</v>
      </c>
      <c r="AB57" s="18"/>
      <c r="AC57" s="21">
        <v>727.95</v>
      </c>
      <c r="AD57" s="18"/>
      <c r="AE57" s="21">
        <f t="shared" si="2"/>
        <v>5439.95</v>
      </c>
      <c r="AF57" s="34"/>
      <c r="AG57" s="34"/>
      <c r="AH57" s="34"/>
    </row>
    <row r="58" spans="1:34">
      <c r="A58" s="6"/>
      <c r="B58" s="6"/>
      <c r="C58" s="6"/>
      <c r="D58" s="6"/>
      <c r="E58" s="6"/>
      <c r="F58" s="6" t="s">
        <v>890</v>
      </c>
      <c r="G58" s="21">
        <v>104.89</v>
      </c>
      <c r="H58" s="18"/>
      <c r="I58" s="21">
        <v>88.37</v>
      </c>
      <c r="J58" s="18"/>
      <c r="K58" s="21">
        <v>84.1</v>
      </c>
      <c r="L58" s="18"/>
      <c r="M58" s="21">
        <v>100.83</v>
      </c>
      <c r="N58" s="18"/>
      <c r="O58" s="21">
        <v>92.04</v>
      </c>
      <c r="P58" s="18"/>
      <c r="Q58" s="21">
        <v>159.43</v>
      </c>
      <c r="R58" s="18"/>
      <c r="S58" s="21">
        <v>94.21</v>
      </c>
      <c r="T58" s="18"/>
      <c r="U58" s="21">
        <v>94.12</v>
      </c>
      <c r="V58" s="18"/>
      <c r="W58" s="21">
        <v>102.88</v>
      </c>
      <c r="X58" s="18"/>
      <c r="Y58" s="21">
        <v>92.83</v>
      </c>
      <c r="Z58" s="18"/>
      <c r="AA58" s="21">
        <v>101.64</v>
      </c>
      <c r="AB58" s="18"/>
      <c r="AC58" s="21">
        <v>285.76</v>
      </c>
      <c r="AD58" s="18"/>
      <c r="AE58" s="21">
        <f t="shared" si="2"/>
        <v>1401.1</v>
      </c>
      <c r="AF58" s="34"/>
      <c r="AG58" s="34"/>
      <c r="AH58" s="34"/>
    </row>
    <row r="59" spans="1:34" ht="15" thickBot="1">
      <c r="A59" s="6"/>
      <c r="B59" s="6"/>
      <c r="C59" s="6"/>
      <c r="D59" s="6"/>
      <c r="E59" s="6"/>
      <c r="F59" s="6" t="s">
        <v>891</v>
      </c>
      <c r="G59" s="106">
        <v>0</v>
      </c>
      <c r="H59" s="18"/>
      <c r="I59" s="106">
        <v>50</v>
      </c>
      <c r="J59" s="18"/>
      <c r="K59" s="106">
        <v>50</v>
      </c>
      <c r="L59" s="18"/>
      <c r="M59" s="106">
        <v>0</v>
      </c>
      <c r="N59" s="18"/>
      <c r="O59" s="106">
        <v>100</v>
      </c>
      <c r="P59" s="18"/>
      <c r="Q59" s="106">
        <v>50</v>
      </c>
      <c r="R59" s="18"/>
      <c r="S59" s="106">
        <v>50</v>
      </c>
      <c r="T59" s="18"/>
      <c r="U59" s="106">
        <v>0</v>
      </c>
      <c r="V59" s="18"/>
      <c r="W59" s="106">
        <v>0</v>
      </c>
      <c r="X59" s="18"/>
      <c r="Y59" s="106">
        <v>0</v>
      </c>
      <c r="Z59" s="18"/>
      <c r="AA59" s="106">
        <v>0</v>
      </c>
      <c r="AB59" s="18"/>
      <c r="AC59" s="106">
        <v>0</v>
      </c>
      <c r="AD59" s="18"/>
      <c r="AE59" s="106">
        <f t="shared" si="2"/>
        <v>300</v>
      </c>
      <c r="AF59" s="34"/>
      <c r="AG59" s="34"/>
      <c r="AH59" s="34"/>
    </row>
    <row r="60" spans="1:34">
      <c r="A60" s="6"/>
      <c r="B60" s="6"/>
      <c r="C60" s="6"/>
      <c r="D60" s="6"/>
      <c r="E60" s="6" t="s">
        <v>892</v>
      </c>
      <c r="F60" s="6"/>
      <c r="G60" s="21">
        <f>ROUND(SUM(G54:G59),5)</f>
        <v>1724.31</v>
      </c>
      <c r="H60" s="18"/>
      <c r="I60" s="21">
        <f>ROUND(SUM(I54:I59),5)</f>
        <v>939.42</v>
      </c>
      <c r="J60" s="18"/>
      <c r="K60" s="21">
        <f>ROUND(SUM(K54:K59),5)</f>
        <v>1183.72</v>
      </c>
      <c r="L60" s="18"/>
      <c r="M60" s="21">
        <f>ROUND(SUM(M54:M59),5)</f>
        <v>1264.8599999999999</v>
      </c>
      <c r="N60" s="18"/>
      <c r="O60" s="21">
        <f>ROUND(SUM(O54:O59),5)</f>
        <v>1529.62</v>
      </c>
      <c r="P60" s="18"/>
      <c r="Q60" s="21">
        <f>ROUND(SUM(Q54:Q59),5)</f>
        <v>1161.58</v>
      </c>
      <c r="R60" s="18"/>
      <c r="S60" s="21">
        <f>ROUND(SUM(S54:S59),5)</f>
        <v>1476.91</v>
      </c>
      <c r="T60" s="18"/>
      <c r="U60" s="21">
        <f>ROUND(SUM(U54:U59),5)</f>
        <v>1503.72</v>
      </c>
      <c r="V60" s="18"/>
      <c r="W60" s="21">
        <f>ROUND(SUM(W54:W59),5)</f>
        <v>976.57</v>
      </c>
      <c r="X60" s="18"/>
      <c r="Y60" s="21">
        <f>ROUND(SUM(Y54:Y59),5)</f>
        <v>2227.5500000000002</v>
      </c>
      <c r="Z60" s="18"/>
      <c r="AA60" s="21">
        <f>ROUND(SUM(AA54:AA59),5)</f>
        <v>1596.95</v>
      </c>
      <c r="AB60" s="18"/>
      <c r="AC60" s="21">
        <f>ROUND(SUM(AC54:AC59),5)</f>
        <v>2484.9699999999998</v>
      </c>
      <c r="AD60" s="18"/>
      <c r="AE60" s="21">
        <f t="shared" si="2"/>
        <v>18070.18</v>
      </c>
      <c r="AF60" s="34"/>
      <c r="AG60" s="34"/>
      <c r="AH60" s="34"/>
    </row>
    <row r="61" spans="1:34">
      <c r="A61" s="6"/>
      <c r="B61" s="6"/>
      <c r="C61" s="6"/>
      <c r="D61" s="6"/>
      <c r="E61" s="6" t="s">
        <v>893</v>
      </c>
      <c r="F61" s="6"/>
      <c r="G61" s="21">
        <v>0</v>
      </c>
      <c r="H61" s="18"/>
      <c r="I61" s="21">
        <v>0</v>
      </c>
      <c r="J61" s="18"/>
      <c r="K61" s="21">
        <v>0</v>
      </c>
      <c r="L61" s="18"/>
      <c r="M61" s="21">
        <v>0</v>
      </c>
      <c r="N61" s="18"/>
      <c r="O61" s="21">
        <v>0</v>
      </c>
      <c r="P61" s="18"/>
      <c r="Q61" s="21">
        <v>0</v>
      </c>
      <c r="R61" s="18"/>
      <c r="S61" s="21">
        <v>0</v>
      </c>
      <c r="T61" s="18"/>
      <c r="U61" s="21">
        <v>0</v>
      </c>
      <c r="V61" s="18"/>
      <c r="W61" s="21">
        <v>0</v>
      </c>
      <c r="X61" s="18"/>
      <c r="Y61" s="21">
        <v>500</v>
      </c>
      <c r="Z61" s="18"/>
      <c r="AA61" s="21">
        <v>0</v>
      </c>
      <c r="AB61" s="18"/>
      <c r="AC61" s="21">
        <v>0</v>
      </c>
      <c r="AD61" s="18"/>
      <c r="AE61" s="21">
        <f t="shared" si="2"/>
        <v>500</v>
      </c>
      <c r="AF61" s="34"/>
      <c r="AG61" s="34"/>
      <c r="AH61" s="34"/>
    </row>
    <row r="62" spans="1:34">
      <c r="A62" s="6"/>
      <c r="B62" s="6"/>
      <c r="C62" s="6"/>
      <c r="D62" s="6"/>
      <c r="E62" s="6" t="s">
        <v>894</v>
      </c>
      <c r="F62" s="6"/>
      <c r="G62" s="21"/>
      <c r="H62" s="18"/>
      <c r="I62" s="21"/>
      <c r="J62" s="18"/>
      <c r="K62" s="21"/>
      <c r="L62" s="18"/>
      <c r="M62" s="21"/>
      <c r="N62" s="18"/>
      <c r="O62" s="21"/>
      <c r="P62" s="18"/>
      <c r="Q62" s="21"/>
      <c r="R62" s="18"/>
      <c r="S62" s="21"/>
      <c r="T62" s="18"/>
      <c r="U62" s="21"/>
      <c r="V62" s="18"/>
      <c r="W62" s="21"/>
      <c r="X62" s="18"/>
      <c r="Y62" s="21"/>
      <c r="Z62" s="18"/>
      <c r="AA62" s="21"/>
      <c r="AB62" s="18"/>
      <c r="AC62" s="21"/>
      <c r="AD62" s="18"/>
      <c r="AE62" s="21"/>
      <c r="AF62" s="34"/>
      <c r="AG62" s="34"/>
      <c r="AH62" s="34"/>
    </row>
    <row r="63" spans="1:34">
      <c r="A63" s="6"/>
      <c r="B63" s="6"/>
      <c r="C63" s="6"/>
      <c r="D63" s="6"/>
      <c r="E63" s="6"/>
      <c r="F63" s="6" t="s">
        <v>895</v>
      </c>
      <c r="G63" s="21">
        <v>1069.4100000000001</v>
      </c>
      <c r="H63" s="18"/>
      <c r="I63" s="21">
        <v>0</v>
      </c>
      <c r="J63" s="18"/>
      <c r="K63" s="21">
        <v>724.9</v>
      </c>
      <c r="L63" s="18"/>
      <c r="M63" s="21">
        <v>667.44</v>
      </c>
      <c r="N63" s="18"/>
      <c r="O63" s="21">
        <v>584.78</v>
      </c>
      <c r="P63" s="18"/>
      <c r="Q63" s="21">
        <v>599.20000000000005</v>
      </c>
      <c r="R63" s="18"/>
      <c r="S63" s="21">
        <v>609.27</v>
      </c>
      <c r="T63" s="18"/>
      <c r="U63" s="21">
        <v>765.18</v>
      </c>
      <c r="V63" s="18"/>
      <c r="W63" s="21">
        <v>631.79999999999995</v>
      </c>
      <c r="X63" s="18"/>
      <c r="Y63" s="21">
        <v>600.5</v>
      </c>
      <c r="Z63" s="18"/>
      <c r="AA63" s="21">
        <v>569.29999999999995</v>
      </c>
      <c r="AB63" s="18"/>
      <c r="AC63" s="21">
        <v>817.99</v>
      </c>
      <c r="AD63" s="18"/>
      <c r="AE63" s="21">
        <f>ROUND(SUM(G63:AC63),5)</f>
        <v>7639.77</v>
      </c>
      <c r="AF63" s="34"/>
      <c r="AG63" s="34"/>
      <c r="AH63" s="34"/>
    </row>
    <row r="64" spans="1:34" ht="15" thickBot="1">
      <c r="A64" s="6"/>
      <c r="B64" s="6"/>
      <c r="C64" s="6"/>
      <c r="D64" s="6"/>
      <c r="E64" s="6"/>
      <c r="F64" s="6" t="s">
        <v>896</v>
      </c>
      <c r="G64" s="106">
        <v>146.78</v>
      </c>
      <c r="H64" s="18"/>
      <c r="I64" s="106">
        <v>126.05</v>
      </c>
      <c r="J64" s="18"/>
      <c r="K64" s="106">
        <v>120.5</v>
      </c>
      <c r="L64" s="18"/>
      <c r="M64" s="106">
        <v>73.849999999999994</v>
      </c>
      <c r="N64" s="18"/>
      <c r="O64" s="106">
        <v>92.05</v>
      </c>
      <c r="P64" s="18"/>
      <c r="Q64" s="106">
        <v>91.31</v>
      </c>
      <c r="R64" s="18"/>
      <c r="S64" s="106">
        <v>90.1</v>
      </c>
      <c r="T64" s="18"/>
      <c r="U64" s="106">
        <v>241.07</v>
      </c>
      <c r="V64" s="18"/>
      <c r="W64" s="106">
        <v>17.559999999999999</v>
      </c>
      <c r="X64" s="18"/>
      <c r="Y64" s="106">
        <v>112.86</v>
      </c>
      <c r="Z64" s="18"/>
      <c r="AA64" s="106">
        <v>117.57</v>
      </c>
      <c r="AB64" s="18"/>
      <c r="AC64" s="106">
        <v>262.75</v>
      </c>
      <c r="AD64" s="18"/>
      <c r="AE64" s="106">
        <f>ROUND(SUM(G64:AC64),5)</f>
        <v>1492.45</v>
      </c>
      <c r="AF64" s="34"/>
      <c r="AG64" s="34"/>
      <c r="AH64" s="34"/>
    </row>
    <row r="65" spans="1:34">
      <c r="A65" s="6"/>
      <c r="B65" s="6"/>
      <c r="C65" s="6"/>
      <c r="D65" s="6"/>
      <c r="E65" s="6" t="s">
        <v>897</v>
      </c>
      <c r="F65" s="6"/>
      <c r="G65" s="21">
        <f>ROUND(SUM(G62:G64),5)</f>
        <v>1216.19</v>
      </c>
      <c r="H65" s="18"/>
      <c r="I65" s="21">
        <f>ROUND(SUM(I62:I64),5)</f>
        <v>126.05</v>
      </c>
      <c r="J65" s="18"/>
      <c r="K65" s="21">
        <f>ROUND(SUM(K62:K64),5)</f>
        <v>845.4</v>
      </c>
      <c r="L65" s="18"/>
      <c r="M65" s="21">
        <f>ROUND(SUM(M62:M64),5)</f>
        <v>741.29</v>
      </c>
      <c r="N65" s="18"/>
      <c r="O65" s="21">
        <f>ROUND(SUM(O62:O64),5)</f>
        <v>676.83</v>
      </c>
      <c r="P65" s="18"/>
      <c r="Q65" s="21">
        <f>ROUND(SUM(Q62:Q64),5)</f>
        <v>690.51</v>
      </c>
      <c r="R65" s="18"/>
      <c r="S65" s="21">
        <f>ROUND(SUM(S62:S64),5)</f>
        <v>699.37</v>
      </c>
      <c r="T65" s="18"/>
      <c r="U65" s="21">
        <f>ROUND(SUM(U62:U64),5)</f>
        <v>1006.25</v>
      </c>
      <c r="V65" s="18"/>
      <c r="W65" s="21">
        <f>ROUND(SUM(W62:W64),5)</f>
        <v>649.36</v>
      </c>
      <c r="X65" s="18"/>
      <c r="Y65" s="21">
        <f>ROUND(SUM(Y62:Y64),5)</f>
        <v>713.36</v>
      </c>
      <c r="Z65" s="18"/>
      <c r="AA65" s="21">
        <f>ROUND(SUM(AA62:AA64),5)</f>
        <v>686.87</v>
      </c>
      <c r="AB65" s="18"/>
      <c r="AC65" s="21">
        <f>ROUND(SUM(AC62:AC64),5)</f>
        <v>1080.74</v>
      </c>
      <c r="AD65" s="18"/>
      <c r="AE65" s="21">
        <f>ROUND(SUM(G65:AC65),5)</f>
        <v>9132.2199999999993</v>
      </c>
      <c r="AF65" s="34"/>
      <c r="AG65" s="34"/>
      <c r="AH65" s="34"/>
    </row>
    <row r="66" spans="1:34">
      <c r="A66" s="6"/>
      <c r="B66" s="6"/>
      <c r="C66" s="6"/>
      <c r="D66" s="6"/>
      <c r="E66" s="6" t="s">
        <v>638</v>
      </c>
      <c r="F66" s="6"/>
      <c r="G66" s="21"/>
      <c r="H66" s="18"/>
      <c r="I66" s="21"/>
      <c r="J66" s="18"/>
      <c r="K66" s="21"/>
      <c r="L66" s="18"/>
      <c r="M66" s="21"/>
      <c r="N66" s="18"/>
      <c r="O66" s="21"/>
      <c r="P66" s="18"/>
      <c r="Q66" s="21"/>
      <c r="R66" s="18"/>
      <c r="S66" s="21"/>
      <c r="T66" s="18"/>
      <c r="U66" s="21"/>
      <c r="V66" s="18"/>
      <c r="W66" s="21"/>
      <c r="X66" s="18"/>
      <c r="Y66" s="21"/>
      <c r="Z66" s="18"/>
      <c r="AA66" s="21"/>
      <c r="AB66" s="18"/>
      <c r="AC66" s="21"/>
      <c r="AD66" s="18"/>
      <c r="AE66" s="21"/>
      <c r="AF66" s="34"/>
      <c r="AG66" s="34"/>
      <c r="AH66" s="34"/>
    </row>
    <row r="67" spans="1:34">
      <c r="A67" s="6"/>
      <c r="B67" s="6"/>
      <c r="C67" s="6"/>
      <c r="D67" s="6"/>
      <c r="E67" s="6"/>
      <c r="F67" s="6" t="s">
        <v>898</v>
      </c>
      <c r="G67" s="21">
        <v>327.7</v>
      </c>
      <c r="H67" s="18"/>
      <c r="I67" s="21">
        <v>327.7</v>
      </c>
      <c r="J67" s="18"/>
      <c r="K67" s="21">
        <v>338.79</v>
      </c>
      <c r="L67" s="18"/>
      <c r="M67" s="21">
        <v>338.79</v>
      </c>
      <c r="N67" s="18"/>
      <c r="O67" s="21">
        <v>338.79</v>
      </c>
      <c r="P67" s="18"/>
      <c r="Q67" s="21">
        <v>338.79</v>
      </c>
      <c r="R67" s="18"/>
      <c r="S67" s="21">
        <v>338.79</v>
      </c>
      <c r="T67" s="18"/>
      <c r="U67" s="21">
        <v>338.79</v>
      </c>
      <c r="V67" s="18"/>
      <c r="W67" s="21">
        <v>338.79</v>
      </c>
      <c r="X67" s="18"/>
      <c r="Y67" s="21">
        <v>338.79</v>
      </c>
      <c r="Z67" s="18"/>
      <c r="AA67" s="21">
        <v>338.79</v>
      </c>
      <c r="AB67" s="18"/>
      <c r="AC67" s="21">
        <v>338.79</v>
      </c>
      <c r="AD67" s="18"/>
      <c r="AE67" s="21">
        <f t="shared" ref="AE67:AE74" si="3">ROUND(SUM(G67:AC67),5)</f>
        <v>4043.3</v>
      </c>
      <c r="AF67" s="34"/>
      <c r="AG67" s="34"/>
      <c r="AH67" s="34"/>
    </row>
    <row r="68" spans="1:34">
      <c r="A68" s="6"/>
      <c r="B68" s="6"/>
      <c r="C68" s="6"/>
      <c r="D68" s="6"/>
      <c r="E68" s="6"/>
      <c r="F68" s="6" t="s">
        <v>899</v>
      </c>
      <c r="G68" s="21">
        <v>0</v>
      </c>
      <c r="H68" s="18"/>
      <c r="I68" s="21">
        <v>0</v>
      </c>
      <c r="J68" s="18"/>
      <c r="K68" s="21">
        <v>0</v>
      </c>
      <c r="L68" s="18"/>
      <c r="M68" s="21">
        <v>0</v>
      </c>
      <c r="N68" s="18"/>
      <c r="O68" s="21">
        <v>0</v>
      </c>
      <c r="P68" s="18"/>
      <c r="Q68" s="21">
        <v>0</v>
      </c>
      <c r="R68" s="18"/>
      <c r="S68" s="21">
        <v>0</v>
      </c>
      <c r="T68" s="18"/>
      <c r="U68" s="21">
        <v>0</v>
      </c>
      <c r="V68" s="18"/>
      <c r="W68" s="21">
        <v>0</v>
      </c>
      <c r="X68" s="18"/>
      <c r="Y68" s="21">
        <v>0</v>
      </c>
      <c r="Z68" s="18"/>
      <c r="AA68" s="21">
        <v>0</v>
      </c>
      <c r="AB68" s="18"/>
      <c r="AC68" s="21">
        <v>0</v>
      </c>
      <c r="AD68" s="18"/>
      <c r="AE68" s="21">
        <f t="shared" si="3"/>
        <v>0</v>
      </c>
      <c r="AF68" s="34"/>
      <c r="AG68" s="34"/>
      <c r="AH68" s="34"/>
    </row>
    <row r="69" spans="1:34">
      <c r="A69" s="6"/>
      <c r="B69" s="6"/>
      <c r="C69" s="6"/>
      <c r="D69" s="6"/>
      <c r="E69" s="6"/>
      <c r="F69" s="6" t="s">
        <v>634</v>
      </c>
      <c r="G69" s="21">
        <v>510.25</v>
      </c>
      <c r="H69" s="18"/>
      <c r="I69" s="21">
        <v>935.3</v>
      </c>
      <c r="J69" s="18"/>
      <c r="K69" s="21">
        <v>935.3</v>
      </c>
      <c r="L69" s="18"/>
      <c r="M69" s="21">
        <v>935.3</v>
      </c>
      <c r="N69" s="18"/>
      <c r="O69" s="21">
        <v>935.3</v>
      </c>
      <c r="P69" s="18"/>
      <c r="Q69" s="21">
        <v>935.3</v>
      </c>
      <c r="R69" s="18"/>
      <c r="S69" s="21">
        <v>935.3</v>
      </c>
      <c r="T69" s="18"/>
      <c r="U69" s="21">
        <v>935.3</v>
      </c>
      <c r="V69" s="18"/>
      <c r="W69" s="21">
        <v>935.3</v>
      </c>
      <c r="X69" s="18"/>
      <c r="Y69" s="21">
        <v>935.3</v>
      </c>
      <c r="Z69" s="18"/>
      <c r="AA69" s="21">
        <v>935.3</v>
      </c>
      <c r="AB69" s="18"/>
      <c r="AC69" s="21">
        <v>1051.6199999999999</v>
      </c>
      <c r="AD69" s="18"/>
      <c r="AE69" s="21">
        <f t="shared" si="3"/>
        <v>10914.87</v>
      </c>
      <c r="AF69" s="34"/>
      <c r="AG69" s="34"/>
      <c r="AH69" s="34"/>
    </row>
    <row r="70" spans="1:34">
      <c r="A70" s="6"/>
      <c r="B70" s="6"/>
      <c r="C70" s="6"/>
      <c r="D70" s="6"/>
      <c r="E70" s="6"/>
      <c r="F70" s="6" t="s">
        <v>900</v>
      </c>
      <c r="G70" s="21">
        <v>850</v>
      </c>
      <c r="H70" s="18"/>
      <c r="I70" s="21">
        <v>850</v>
      </c>
      <c r="J70" s="18"/>
      <c r="K70" s="21">
        <v>850</v>
      </c>
      <c r="L70" s="18"/>
      <c r="M70" s="21">
        <v>850</v>
      </c>
      <c r="N70" s="18"/>
      <c r="O70" s="21">
        <v>850</v>
      </c>
      <c r="P70" s="18"/>
      <c r="Q70" s="21">
        <v>850</v>
      </c>
      <c r="R70" s="18"/>
      <c r="S70" s="21">
        <v>850</v>
      </c>
      <c r="T70" s="18"/>
      <c r="U70" s="21">
        <v>850</v>
      </c>
      <c r="V70" s="18"/>
      <c r="W70" s="21">
        <v>850</v>
      </c>
      <c r="X70" s="18"/>
      <c r="Y70" s="21">
        <v>850</v>
      </c>
      <c r="Z70" s="18"/>
      <c r="AA70" s="21">
        <v>850</v>
      </c>
      <c r="AB70" s="18"/>
      <c r="AC70" s="21">
        <v>850</v>
      </c>
      <c r="AD70" s="18"/>
      <c r="AE70" s="21">
        <f t="shared" si="3"/>
        <v>10200</v>
      </c>
      <c r="AF70" s="34"/>
      <c r="AG70" s="34"/>
      <c r="AH70" s="34"/>
    </row>
    <row r="71" spans="1:34" ht="15" thickBot="1">
      <c r="A71" s="6"/>
      <c r="B71" s="6"/>
      <c r="C71" s="6"/>
      <c r="D71" s="6"/>
      <c r="E71" s="6"/>
      <c r="F71" s="6" t="s">
        <v>901</v>
      </c>
      <c r="G71" s="106">
        <v>0</v>
      </c>
      <c r="H71" s="18"/>
      <c r="I71" s="106">
        <v>0</v>
      </c>
      <c r="J71" s="18"/>
      <c r="K71" s="106">
        <v>2520</v>
      </c>
      <c r="L71" s="18"/>
      <c r="M71" s="106">
        <v>0</v>
      </c>
      <c r="N71" s="18"/>
      <c r="O71" s="106">
        <v>0</v>
      </c>
      <c r="P71" s="18"/>
      <c r="Q71" s="106">
        <v>0</v>
      </c>
      <c r="R71" s="18"/>
      <c r="S71" s="106">
        <v>0</v>
      </c>
      <c r="T71" s="18"/>
      <c r="U71" s="106">
        <v>0</v>
      </c>
      <c r="V71" s="18"/>
      <c r="W71" s="106">
        <v>0</v>
      </c>
      <c r="X71" s="18"/>
      <c r="Y71" s="106">
        <v>0</v>
      </c>
      <c r="Z71" s="18"/>
      <c r="AA71" s="106">
        <v>0</v>
      </c>
      <c r="AB71" s="18"/>
      <c r="AC71" s="106">
        <v>0</v>
      </c>
      <c r="AD71" s="18"/>
      <c r="AE71" s="106">
        <f t="shared" si="3"/>
        <v>2520</v>
      </c>
      <c r="AF71" s="34"/>
      <c r="AG71" s="34"/>
      <c r="AH71" s="34"/>
    </row>
    <row r="72" spans="1:34">
      <c r="A72" s="6"/>
      <c r="B72" s="6"/>
      <c r="C72" s="6"/>
      <c r="D72" s="6"/>
      <c r="E72" s="6" t="s">
        <v>641</v>
      </c>
      <c r="F72" s="6"/>
      <c r="G72" s="21">
        <f>ROUND(SUM(G66:G71),5)</f>
        <v>1687.95</v>
      </c>
      <c r="H72" s="18"/>
      <c r="I72" s="21">
        <f>ROUND(SUM(I66:I71),5)</f>
        <v>2113</v>
      </c>
      <c r="J72" s="18"/>
      <c r="K72" s="21">
        <f>ROUND(SUM(K66:K71),5)</f>
        <v>4644.09</v>
      </c>
      <c r="L72" s="18"/>
      <c r="M72" s="21">
        <f>ROUND(SUM(M66:M71),5)</f>
        <v>2124.09</v>
      </c>
      <c r="N72" s="18"/>
      <c r="O72" s="21">
        <f>ROUND(SUM(O66:O71),5)</f>
        <v>2124.09</v>
      </c>
      <c r="P72" s="18"/>
      <c r="Q72" s="21">
        <f>ROUND(SUM(Q66:Q71),5)</f>
        <v>2124.09</v>
      </c>
      <c r="R72" s="18"/>
      <c r="S72" s="21">
        <f>ROUND(SUM(S66:S71),5)</f>
        <v>2124.09</v>
      </c>
      <c r="T72" s="18"/>
      <c r="U72" s="21">
        <f>ROUND(SUM(U66:U71),5)</f>
        <v>2124.09</v>
      </c>
      <c r="V72" s="18"/>
      <c r="W72" s="21">
        <f>ROUND(SUM(W66:W71),5)</f>
        <v>2124.09</v>
      </c>
      <c r="X72" s="18"/>
      <c r="Y72" s="21">
        <f>ROUND(SUM(Y66:Y71),5)</f>
        <v>2124.09</v>
      </c>
      <c r="Z72" s="18"/>
      <c r="AA72" s="21">
        <f>ROUND(SUM(AA66:AA71),5)</f>
        <v>2124.09</v>
      </c>
      <c r="AB72" s="18"/>
      <c r="AC72" s="21">
        <f>ROUND(SUM(AC66:AC71),5)</f>
        <v>2240.41</v>
      </c>
      <c r="AD72" s="18"/>
      <c r="AE72" s="21">
        <f t="shared" si="3"/>
        <v>27678.17</v>
      </c>
      <c r="AF72" s="34"/>
      <c r="AG72" s="34"/>
      <c r="AH72" s="34"/>
    </row>
    <row r="73" spans="1:34">
      <c r="A73" s="6"/>
      <c r="B73" s="6"/>
      <c r="C73" s="6"/>
      <c r="D73" s="6"/>
      <c r="E73" s="6" t="s">
        <v>902</v>
      </c>
      <c r="F73" s="6"/>
      <c r="G73" s="21">
        <v>0</v>
      </c>
      <c r="H73" s="18"/>
      <c r="I73" s="21">
        <v>0</v>
      </c>
      <c r="J73" s="18"/>
      <c r="K73" s="21">
        <v>0</v>
      </c>
      <c r="L73" s="18"/>
      <c r="M73" s="21">
        <v>265.33999999999997</v>
      </c>
      <c r="N73" s="18"/>
      <c r="O73" s="21">
        <v>0</v>
      </c>
      <c r="P73" s="18"/>
      <c r="Q73" s="21">
        <v>138.02000000000001</v>
      </c>
      <c r="R73" s="18"/>
      <c r="S73" s="21">
        <v>245.65</v>
      </c>
      <c r="T73" s="18"/>
      <c r="U73" s="21">
        <v>0</v>
      </c>
      <c r="V73" s="18"/>
      <c r="W73" s="21">
        <v>65</v>
      </c>
      <c r="X73" s="18"/>
      <c r="Y73" s="21">
        <v>0</v>
      </c>
      <c r="Z73" s="18"/>
      <c r="AA73" s="21">
        <v>0</v>
      </c>
      <c r="AB73" s="18"/>
      <c r="AC73" s="21">
        <v>48.78</v>
      </c>
      <c r="AD73" s="18"/>
      <c r="AE73" s="21">
        <f t="shared" si="3"/>
        <v>762.79</v>
      </c>
      <c r="AF73" s="34"/>
      <c r="AG73" s="34"/>
      <c r="AH73" s="34"/>
    </row>
    <row r="74" spans="1:34">
      <c r="A74" s="6"/>
      <c r="B74" s="6"/>
      <c r="C74" s="6"/>
      <c r="D74" s="6"/>
      <c r="E74" s="6" t="s">
        <v>903</v>
      </c>
      <c r="F74" s="6"/>
      <c r="G74" s="21">
        <v>0</v>
      </c>
      <c r="H74" s="18"/>
      <c r="I74" s="21">
        <v>0</v>
      </c>
      <c r="J74" s="18"/>
      <c r="K74" s="21">
        <v>0</v>
      </c>
      <c r="L74" s="18"/>
      <c r="M74" s="21">
        <v>1624.31</v>
      </c>
      <c r="N74" s="18"/>
      <c r="O74" s="21">
        <v>0</v>
      </c>
      <c r="P74" s="18"/>
      <c r="Q74" s="21">
        <v>0</v>
      </c>
      <c r="R74" s="18"/>
      <c r="S74" s="21">
        <v>0</v>
      </c>
      <c r="T74" s="18"/>
      <c r="U74" s="21">
        <v>0</v>
      </c>
      <c r="V74" s="18"/>
      <c r="W74" s="21">
        <v>0</v>
      </c>
      <c r="X74" s="18"/>
      <c r="Y74" s="21">
        <v>0</v>
      </c>
      <c r="Z74" s="18"/>
      <c r="AA74" s="21">
        <v>0</v>
      </c>
      <c r="AB74" s="18"/>
      <c r="AC74" s="21">
        <v>0</v>
      </c>
      <c r="AD74" s="18"/>
      <c r="AE74" s="21">
        <f t="shared" si="3"/>
        <v>1624.31</v>
      </c>
      <c r="AF74" s="34"/>
      <c r="AG74" s="34"/>
      <c r="AH74" s="34"/>
    </row>
    <row r="75" spans="1:34">
      <c r="A75" s="6"/>
      <c r="B75" s="6"/>
      <c r="C75" s="6"/>
      <c r="D75" s="6"/>
      <c r="E75" s="6" t="s">
        <v>904</v>
      </c>
      <c r="F75" s="6"/>
      <c r="G75" s="21"/>
      <c r="H75" s="18"/>
      <c r="I75" s="21"/>
      <c r="J75" s="18"/>
      <c r="K75" s="21"/>
      <c r="L75" s="18"/>
      <c r="M75" s="21"/>
      <c r="N75" s="18"/>
      <c r="O75" s="21"/>
      <c r="P75" s="18"/>
      <c r="Q75" s="21"/>
      <c r="R75" s="18"/>
      <c r="S75" s="21"/>
      <c r="T75" s="18"/>
      <c r="U75" s="21"/>
      <c r="V75" s="18"/>
      <c r="W75" s="21"/>
      <c r="X75" s="18"/>
      <c r="Y75" s="21"/>
      <c r="Z75" s="18"/>
      <c r="AA75" s="21"/>
      <c r="AB75" s="18"/>
      <c r="AC75" s="21"/>
      <c r="AD75" s="18"/>
      <c r="AE75" s="21"/>
      <c r="AF75" s="34"/>
      <c r="AG75" s="34"/>
      <c r="AH75" s="34"/>
    </row>
    <row r="76" spans="1:34">
      <c r="A76" s="6"/>
      <c r="B76" s="6"/>
      <c r="C76" s="6"/>
      <c r="D76" s="6"/>
      <c r="E76" s="6"/>
      <c r="F76" s="6" t="s">
        <v>905</v>
      </c>
      <c r="G76" s="21">
        <v>300</v>
      </c>
      <c r="H76" s="18"/>
      <c r="I76" s="21">
        <v>300</v>
      </c>
      <c r="J76" s="18"/>
      <c r="K76" s="21">
        <v>300</v>
      </c>
      <c r="L76" s="18"/>
      <c r="M76" s="21">
        <v>450</v>
      </c>
      <c r="N76" s="18"/>
      <c r="O76" s="21">
        <v>300</v>
      </c>
      <c r="P76" s="18"/>
      <c r="Q76" s="21">
        <v>300</v>
      </c>
      <c r="R76" s="18"/>
      <c r="S76" s="21">
        <v>300</v>
      </c>
      <c r="T76" s="18"/>
      <c r="U76" s="21">
        <v>300</v>
      </c>
      <c r="V76" s="18"/>
      <c r="W76" s="21">
        <v>300</v>
      </c>
      <c r="X76" s="18"/>
      <c r="Y76" s="21">
        <v>300</v>
      </c>
      <c r="Z76" s="18"/>
      <c r="AA76" s="21">
        <v>300</v>
      </c>
      <c r="AB76" s="18"/>
      <c r="AC76" s="21">
        <v>300</v>
      </c>
      <c r="AD76" s="18"/>
      <c r="AE76" s="21">
        <f>ROUND(SUM(G76:AC76),5)</f>
        <v>3750</v>
      </c>
      <c r="AF76" s="34"/>
      <c r="AG76" s="34"/>
      <c r="AH76" s="34"/>
    </row>
    <row r="77" spans="1:34" ht="15" thickBot="1">
      <c r="A77" s="6"/>
      <c r="B77" s="6"/>
      <c r="C77" s="6"/>
      <c r="D77" s="6"/>
      <c r="E77" s="6"/>
      <c r="F77" s="6" t="s">
        <v>906</v>
      </c>
      <c r="G77" s="22">
        <v>0</v>
      </c>
      <c r="H77" s="18"/>
      <c r="I77" s="22">
        <v>0</v>
      </c>
      <c r="J77" s="18"/>
      <c r="K77" s="22">
        <v>0</v>
      </c>
      <c r="L77" s="18"/>
      <c r="M77" s="22">
        <v>0</v>
      </c>
      <c r="N77" s="18"/>
      <c r="O77" s="22">
        <v>26.73</v>
      </c>
      <c r="P77" s="18"/>
      <c r="Q77" s="22">
        <v>0</v>
      </c>
      <c r="R77" s="18"/>
      <c r="S77" s="22">
        <v>0</v>
      </c>
      <c r="T77" s="18"/>
      <c r="U77" s="22">
        <v>0</v>
      </c>
      <c r="V77" s="18"/>
      <c r="W77" s="22">
        <v>25.27</v>
      </c>
      <c r="X77" s="18"/>
      <c r="Y77" s="22">
        <v>0</v>
      </c>
      <c r="Z77" s="18"/>
      <c r="AA77" s="22">
        <v>0</v>
      </c>
      <c r="AB77" s="18"/>
      <c r="AC77" s="22">
        <v>0</v>
      </c>
      <c r="AD77" s="18"/>
      <c r="AE77" s="22">
        <f>ROUND(SUM(G77:AC77),5)</f>
        <v>52</v>
      </c>
      <c r="AF77" s="34"/>
      <c r="AG77" s="34"/>
      <c r="AH77" s="34"/>
    </row>
    <row r="78" spans="1:34" ht="15" thickBot="1">
      <c r="A78" s="6"/>
      <c r="B78" s="6"/>
      <c r="C78" s="6"/>
      <c r="D78" s="6"/>
      <c r="E78" s="6" t="s">
        <v>907</v>
      </c>
      <c r="F78" s="6"/>
      <c r="G78" s="107">
        <f>ROUND(SUM(G75:G77),5)</f>
        <v>300</v>
      </c>
      <c r="H78" s="18"/>
      <c r="I78" s="107">
        <f>ROUND(SUM(I75:I77),5)</f>
        <v>300</v>
      </c>
      <c r="J78" s="18"/>
      <c r="K78" s="107">
        <f>ROUND(SUM(K75:K77),5)</f>
        <v>300</v>
      </c>
      <c r="L78" s="18"/>
      <c r="M78" s="107">
        <f>ROUND(SUM(M75:M77),5)</f>
        <v>450</v>
      </c>
      <c r="N78" s="18"/>
      <c r="O78" s="107">
        <f>ROUND(SUM(O75:O77),5)</f>
        <v>326.73</v>
      </c>
      <c r="P78" s="18"/>
      <c r="Q78" s="107">
        <f>ROUND(SUM(Q75:Q77),5)</f>
        <v>300</v>
      </c>
      <c r="R78" s="18"/>
      <c r="S78" s="107">
        <f>ROUND(SUM(S75:S77),5)</f>
        <v>300</v>
      </c>
      <c r="T78" s="18"/>
      <c r="U78" s="107">
        <f>ROUND(SUM(U75:U77),5)</f>
        <v>300</v>
      </c>
      <c r="V78" s="18"/>
      <c r="W78" s="107">
        <f>ROUND(SUM(W75:W77),5)</f>
        <v>325.27</v>
      </c>
      <c r="X78" s="18"/>
      <c r="Y78" s="107">
        <f>ROUND(SUM(Y75:Y77),5)</f>
        <v>300</v>
      </c>
      <c r="Z78" s="18"/>
      <c r="AA78" s="107">
        <f>ROUND(SUM(AA75:AA77),5)</f>
        <v>300</v>
      </c>
      <c r="AB78" s="18"/>
      <c r="AC78" s="107">
        <f>ROUND(SUM(AC75:AC77),5)</f>
        <v>300</v>
      </c>
      <c r="AD78" s="18"/>
      <c r="AE78" s="107">
        <f>ROUND(SUM(G78:AC78),5)</f>
        <v>3802</v>
      </c>
      <c r="AF78" s="34"/>
      <c r="AG78" s="34"/>
      <c r="AH78" s="34"/>
    </row>
    <row r="79" spans="1:34">
      <c r="A79" s="6"/>
      <c r="B79" s="6"/>
      <c r="C79" s="6"/>
      <c r="D79" s="6" t="s">
        <v>642</v>
      </c>
      <c r="E79" s="6"/>
      <c r="F79" s="6"/>
      <c r="G79" s="21">
        <f>ROUND(SUM(G51:G53)+SUM(G60:G61)+G65+SUM(G72:G74)+G78,5)</f>
        <v>13536.2</v>
      </c>
      <c r="H79" s="18"/>
      <c r="I79" s="21">
        <f>ROUND(SUM(I51:I53)+SUM(I60:I61)+I65+SUM(I72:I74)+I78,5)</f>
        <v>12268.97</v>
      </c>
      <c r="J79" s="18"/>
      <c r="K79" s="21">
        <f>ROUND(SUM(K51:K53)+SUM(K60:K61)+K65+SUM(K72:K74)+K78,5)</f>
        <v>15602.21</v>
      </c>
      <c r="L79" s="18"/>
      <c r="M79" s="21">
        <f>ROUND(SUM(M51:M53)+SUM(M60:M61)+M65+SUM(M72:M74)+M78,5)</f>
        <v>15183.89</v>
      </c>
      <c r="N79" s="18"/>
      <c r="O79" s="21">
        <f>ROUND(SUM(O51:O53)+SUM(O60:O61)+O65+SUM(O72:O74)+O78,5)</f>
        <v>13226.77</v>
      </c>
      <c r="P79" s="18"/>
      <c r="Q79" s="21">
        <f>ROUND(SUM(Q51:Q53)+SUM(Q60:Q61)+Q65+SUM(Q72:Q74)+Q78,5)</f>
        <v>13153.7</v>
      </c>
      <c r="R79" s="18"/>
      <c r="S79" s="21">
        <f>ROUND(SUM(S51:S53)+SUM(S60:S61)+S65+SUM(S72:S74)+S78,5)</f>
        <v>13734.27</v>
      </c>
      <c r="T79" s="18"/>
      <c r="U79" s="21">
        <f>ROUND(SUM(U51:U53)+SUM(U60:U61)+U65+SUM(U72:U74)+U78,5)</f>
        <v>14066.06</v>
      </c>
      <c r="V79" s="18"/>
      <c r="W79" s="21">
        <f>ROUND(SUM(W51:W53)+SUM(W60:W61)+W65+SUM(W72:W74)+W78,5)</f>
        <v>13712.79</v>
      </c>
      <c r="X79" s="18"/>
      <c r="Y79" s="21">
        <f>ROUND(SUM(Y51:Y53)+SUM(Y60:Y61)+Y65+SUM(Y72:Y74)+Y78,5)</f>
        <v>15458.75</v>
      </c>
      <c r="Z79" s="18"/>
      <c r="AA79" s="21">
        <f>ROUND(SUM(AA51:AA53)+SUM(AA60:AA61)+AA65+SUM(AA72:AA74)+AA78,5)</f>
        <v>14453.91</v>
      </c>
      <c r="AB79" s="18"/>
      <c r="AC79" s="21">
        <f>ROUND(SUM(AC51:AC53)+SUM(AC60:AC61)+AC65+SUM(AC72:AC74)+AC78,5)</f>
        <v>15689.4</v>
      </c>
      <c r="AD79" s="18"/>
      <c r="AE79" s="21">
        <f>ROUND(SUM(G79:AC79),5)</f>
        <v>170086.92</v>
      </c>
      <c r="AF79" s="34"/>
      <c r="AG79" s="34"/>
      <c r="AH79" s="34"/>
    </row>
    <row r="80" spans="1:34">
      <c r="A80" s="6"/>
      <c r="B80" s="6"/>
      <c r="C80" s="6"/>
      <c r="D80" s="6" t="s">
        <v>908</v>
      </c>
      <c r="E80" s="6"/>
      <c r="F80" s="6"/>
      <c r="G80" s="21"/>
      <c r="H80" s="18"/>
      <c r="I80" s="21"/>
      <c r="J80" s="18"/>
      <c r="K80" s="21"/>
      <c r="L80" s="18"/>
      <c r="M80" s="21"/>
      <c r="N80" s="18"/>
      <c r="O80" s="21"/>
      <c r="P80" s="18"/>
      <c r="Q80" s="21"/>
      <c r="R80" s="18"/>
      <c r="S80" s="21"/>
      <c r="T80" s="18"/>
      <c r="U80" s="21"/>
      <c r="V80" s="18"/>
      <c r="W80" s="21"/>
      <c r="X80" s="18"/>
      <c r="Y80" s="21"/>
      <c r="Z80" s="18"/>
      <c r="AA80" s="21"/>
      <c r="AB80" s="18"/>
      <c r="AC80" s="21"/>
      <c r="AD80" s="18"/>
      <c r="AE80" s="21"/>
      <c r="AF80" s="34"/>
      <c r="AG80" s="34"/>
      <c r="AH80" s="34"/>
    </row>
    <row r="81" spans="1:34">
      <c r="A81" s="6"/>
      <c r="B81" s="6"/>
      <c r="C81" s="6"/>
      <c r="D81" s="6"/>
      <c r="E81" s="6" t="s">
        <v>909</v>
      </c>
      <c r="F81" s="6"/>
      <c r="G81" s="21">
        <v>0</v>
      </c>
      <c r="H81" s="18"/>
      <c r="I81" s="21">
        <v>0</v>
      </c>
      <c r="J81" s="18"/>
      <c r="K81" s="21">
        <v>0</v>
      </c>
      <c r="L81" s="18"/>
      <c r="M81" s="21">
        <v>0</v>
      </c>
      <c r="N81" s="18"/>
      <c r="O81" s="21">
        <v>0</v>
      </c>
      <c r="P81" s="18"/>
      <c r="Q81" s="21">
        <v>0</v>
      </c>
      <c r="R81" s="18"/>
      <c r="S81" s="21">
        <v>0</v>
      </c>
      <c r="T81" s="18"/>
      <c r="U81" s="21">
        <v>0</v>
      </c>
      <c r="V81" s="18"/>
      <c r="W81" s="21">
        <v>0</v>
      </c>
      <c r="X81" s="18"/>
      <c r="Y81" s="21">
        <v>0</v>
      </c>
      <c r="Z81" s="18"/>
      <c r="AA81" s="21">
        <v>0</v>
      </c>
      <c r="AB81" s="18"/>
      <c r="AC81" s="21">
        <v>114</v>
      </c>
      <c r="AD81" s="18"/>
      <c r="AE81" s="21">
        <f t="shared" ref="AE81:AE86" si="4">ROUND(SUM(G81:AC81),5)</f>
        <v>114</v>
      </c>
      <c r="AF81" s="34"/>
      <c r="AG81" s="34"/>
      <c r="AH81" s="34"/>
    </row>
    <row r="82" spans="1:34">
      <c r="A82" s="6"/>
      <c r="B82" s="6"/>
      <c r="C82" s="6"/>
      <c r="D82" s="6"/>
      <c r="E82" s="6" t="s">
        <v>910</v>
      </c>
      <c r="F82" s="6"/>
      <c r="G82" s="21">
        <v>1458</v>
      </c>
      <c r="H82" s="18"/>
      <c r="I82" s="21">
        <v>1458</v>
      </c>
      <c r="J82" s="18"/>
      <c r="K82" s="21">
        <v>1458</v>
      </c>
      <c r="L82" s="18"/>
      <c r="M82" s="21">
        <v>1458</v>
      </c>
      <c r="N82" s="18"/>
      <c r="O82" s="21">
        <v>984</v>
      </c>
      <c r="P82" s="18"/>
      <c r="Q82" s="21">
        <v>984</v>
      </c>
      <c r="R82" s="18"/>
      <c r="S82" s="21">
        <v>984</v>
      </c>
      <c r="T82" s="18"/>
      <c r="U82" s="21">
        <v>984</v>
      </c>
      <c r="V82" s="18"/>
      <c r="W82" s="21">
        <v>984</v>
      </c>
      <c r="X82" s="18"/>
      <c r="Y82" s="21">
        <v>984</v>
      </c>
      <c r="Z82" s="18"/>
      <c r="AA82" s="21">
        <v>984</v>
      </c>
      <c r="AB82" s="18"/>
      <c r="AC82" s="21">
        <v>6743</v>
      </c>
      <c r="AD82" s="18"/>
      <c r="AE82" s="21">
        <f t="shared" si="4"/>
        <v>19463</v>
      </c>
      <c r="AF82" s="34"/>
      <c r="AG82" s="34"/>
      <c r="AH82" s="34"/>
    </row>
    <row r="83" spans="1:34">
      <c r="A83" s="6"/>
      <c r="B83" s="6"/>
      <c r="C83" s="6"/>
      <c r="D83" s="6"/>
      <c r="E83" s="6" t="s">
        <v>911</v>
      </c>
      <c r="F83" s="6"/>
      <c r="G83" s="21">
        <v>389</v>
      </c>
      <c r="H83" s="18"/>
      <c r="I83" s="21">
        <v>389</v>
      </c>
      <c r="J83" s="18"/>
      <c r="K83" s="21">
        <v>389</v>
      </c>
      <c r="L83" s="18"/>
      <c r="M83" s="21">
        <v>-1179</v>
      </c>
      <c r="N83" s="18"/>
      <c r="O83" s="21">
        <v>781</v>
      </c>
      <c r="P83" s="18"/>
      <c r="Q83" s="21">
        <v>781</v>
      </c>
      <c r="R83" s="18"/>
      <c r="S83" s="21">
        <v>781</v>
      </c>
      <c r="T83" s="18"/>
      <c r="U83" s="21">
        <v>781</v>
      </c>
      <c r="V83" s="18"/>
      <c r="W83" s="21">
        <v>781</v>
      </c>
      <c r="X83" s="18"/>
      <c r="Y83" s="21">
        <v>781</v>
      </c>
      <c r="Z83" s="18"/>
      <c r="AA83" s="21">
        <v>781</v>
      </c>
      <c r="AB83" s="18"/>
      <c r="AC83" s="21">
        <v>3228</v>
      </c>
      <c r="AD83" s="18"/>
      <c r="AE83" s="21">
        <f t="shared" si="4"/>
        <v>8683</v>
      </c>
      <c r="AF83" s="34"/>
      <c r="AG83" s="34"/>
      <c r="AH83" s="34"/>
    </row>
    <row r="84" spans="1:34" ht="15" thickBot="1">
      <c r="A84" s="6"/>
      <c r="B84" s="6"/>
      <c r="C84" s="6"/>
      <c r="D84" s="6"/>
      <c r="E84" s="6" t="s">
        <v>912</v>
      </c>
      <c r="F84" s="6"/>
      <c r="G84" s="106">
        <v>160</v>
      </c>
      <c r="H84" s="18"/>
      <c r="I84" s="106">
        <v>160</v>
      </c>
      <c r="J84" s="18"/>
      <c r="K84" s="106">
        <v>160</v>
      </c>
      <c r="L84" s="18"/>
      <c r="M84" s="106">
        <v>-52</v>
      </c>
      <c r="N84" s="18"/>
      <c r="O84" s="106">
        <v>107</v>
      </c>
      <c r="P84" s="18"/>
      <c r="Q84" s="106">
        <v>107</v>
      </c>
      <c r="R84" s="18"/>
      <c r="S84" s="106">
        <v>107</v>
      </c>
      <c r="T84" s="18"/>
      <c r="U84" s="106">
        <v>107</v>
      </c>
      <c r="V84" s="18"/>
      <c r="W84" s="106">
        <v>107</v>
      </c>
      <c r="X84" s="18"/>
      <c r="Y84" s="106">
        <v>107</v>
      </c>
      <c r="Z84" s="18"/>
      <c r="AA84" s="106">
        <v>107</v>
      </c>
      <c r="AB84" s="18"/>
      <c r="AC84" s="106">
        <v>119</v>
      </c>
      <c r="AD84" s="18"/>
      <c r="AE84" s="106">
        <f t="shared" si="4"/>
        <v>1296</v>
      </c>
      <c r="AF84" s="34"/>
      <c r="AG84" s="34"/>
      <c r="AH84" s="34"/>
    </row>
    <row r="85" spans="1:34">
      <c r="A85" s="6"/>
      <c r="B85" s="6"/>
      <c r="C85" s="6"/>
      <c r="D85" s="6" t="s">
        <v>913</v>
      </c>
      <c r="E85" s="6"/>
      <c r="F85" s="6"/>
      <c r="G85" s="21">
        <f>ROUND(SUM(G80:G84),5)</f>
        <v>2007</v>
      </c>
      <c r="H85" s="18"/>
      <c r="I85" s="21">
        <f>ROUND(SUM(I80:I84),5)</f>
        <v>2007</v>
      </c>
      <c r="J85" s="18"/>
      <c r="K85" s="21">
        <f>ROUND(SUM(K80:K84),5)</f>
        <v>2007</v>
      </c>
      <c r="L85" s="18"/>
      <c r="M85" s="21">
        <f>ROUND(SUM(M80:M84),5)</f>
        <v>227</v>
      </c>
      <c r="N85" s="18"/>
      <c r="O85" s="21">
        <f>ROUND(SUM(O80:O84),5)</f>
        <v>1872</v>
      </c>
      <c r="P85" s="18"/>
      <c r="Q85" s="21">
        <f>ROUND(SUM(Q80:Q84),5)</f>
        <v>1872</v>
      </c>
      <c r="R85" s="18"/>
      <c r="S85" s="21">
        <f>ROUND(SUM(S80:S84),5)</f>
        <v>1872</v>
      </c>
      <c r="T85" s="18"/>
      <c r="U85" s="21">
        <f>ROUND(SUM(U80:U84),5)</f>
        <v>1872</v>
      </c>
      <c r="V85" s="18"/>
      <c r="W85" s="21">
        <f>ROUND(SUM(W80:W84),5)</f>
        <v>1872</v>
      </c>
      <c r="X85" s="18"/>
      <c r="Y85" s="21">
        <f>ROUND(SUM(Y80:Y84),5)</f>
        <v>1872</v>
      </c>
      <c r="Z85" s="18"/>
      <c r="AA85" s="21">
        <f>ROUND(SUM(AA80:AA84),5)</f>
        <v>1872</v>
      </c>
      <c r="AB85" s="18"/>
      <c r="AC85" s="21">
        <f>ROUND(SUM(AC80:AC84),5)</f>
        <v>10204</v>
      </c>
      <c r="AD85" s="18"/>
      <c r="AE85" s="21">
        <f t="shared" si="4"/>
        <v>29556</v>
      </c>
      <c r="AF85" s="34"/>
      <c r="AG85" s="34"/>
      <c r="AH85" s="34"/>
    </row>
    <row r="86" spans="1:34">
      <c r="A86" s="6"/>
      <c r="B86" s="6"/>
      <c r="C86" s="6"/>
      <c r="D86" s="6" t="s">
        <v>914</v>
      </c>
      <c r="E86" s="6"/>
      <c r="F86" s="6"/>
      <c r="G86" s="21">
        <v>10365.41</v>
      </c>
      <c r="H86" s="18"/>
      <c r="I86" s="21">
        <v>0</v>
      </c>
      <c r="J86" s="18"/>
      <c r="K86" s="21">
        <v>0</v>
      </c>
      <c r="L86" s="18"/>
      <c r="M86" s="21">
        <v>0</v>
      </c>
      <c r="N86" s="18"/>
      <c r="O86" s="21">
        <v>0</v>
      </c>
      <c r="P86" s="18"/>
      <c r="Q86" s="21">
        <v>0</v>
      </c>
      <c r="R86" s="18"/>
      <c r="S86" s="21">
        <v>0</v>
      </c>
      <c r="T86" s="18"/>
      <c r="U86" s="21">
        <v>0</v>
      </c>
      <c r="V86" s="18"/>
      <c r="W86" s="21">
        <v>0</v>
      </c>
      <c r="X86" s="18"/>
      <c r="Y86" s="21">
        <v>0</v>
      </c>
      <c r="Z86" s="18"/>
      <c r="AA86" s="21">
        <v>0</v>
      </c>
      <c r="AB86" s="18"/>
      <c r="AC86" s="21">
        <v>0</v>
      </c>
      <c r="AD86" s="18"/>
      <c r="AE86" s="21">
        <f t="shared" si="4"/>
        <v>10365.41</v>
      </c>
      <c r="AF86" s="34"/>
      <c r="AG86" s="34"/>
      <c r="AH86" s="34"/>
    </row>
    <row r="87" spans="1:34">
      <c r="A87" s="6"/>
      <c r="B87" s="6"/>
      <c r="C87" s="6"/>
      <c r="D87" s="6" t="s">
        <v>28</v>
      </c>
      <c r="E87" s="6"/>
      <c r="F87" s="6"/>
      <c r="G87" s="21"/>
      <c r="H87" s="18"/>
      <c r="I87" s="21"/>
      <c r="J87" s="18"/>
      <c r="K87" s="21"/>
      <c r="L87" s="18"/>
      <c r="M87" s="21"/>
      <c r="N87" s="18"/>
      <c r="O87" s="21"/>
      <c r="P87" s="18"/>
      <c r="Q87" s="21"/>
      <c r="R87" s="18"/>
      <c r="S87" s="21"/>
      <c r="T87" s="18"/>
      <c r="U87" s="21"/>
      <c r="V87" s="18"/>
      <c r="W87" s="21"/>
      <c r="X87" s="18"/>
      <c r="Y87" s="21"/>
      <c r="Z87" s="18"/>
      <c r="AA87" s="21"/>
      <c r="AB87" s="18"/>
      <c r="AC87" s="21"/>
      <c r="AD87" s="18"/>
      <c r="AE87" s="21"/>
      <c r="AF87" s="34"/>
      <c r="AG87" s="34"/>
      <c r="AH87" s="34"/>
    </row>
    <row r="88" spans="1:34">
      <c r="A88" s="6"/>
      <c r="B88" s="6"/>
      <c r="C88" s="6"/>
      <c r="D88" s="6"/>
      <c r="E88" s="6" t="s">
        <v>29</v>
      </c>
      <c r="F88" s="6"/>
      <c r="G88" s="21">
        <v>994</v>
      </c>
      <c r="H88" s="18"/>
      <c r="I88" s="21">
        <v>0</v>
      </c>
      <c r="J88" s="18"/>
      <c r="K88" s="21">
        <v>0</v>
      </c>
      <c r="L88" s="18"/>
      <c r="M88" s="21">
        <v>3076</v>
      </c>
      <c r="N88" s="18"/>
      <c r="O88" s="21">
        <v>0</v>
      </c>
      <c r="P88" s="18"/>
      <c r="Q88" s="21">
        <v>0</v>
      </c>
      <c r="R88" s="18"/>
      <c r="S88" s="21">
        <v>0</v>
      </c>
      <c r="T88" s="18"/>
      <c r="U88" s="21">
        <v>1959.89</v>
      </c>
      <c r="V88" s="18"/>
      <c r="W88" s="21">
        <v>47.25</v>
      </c>
      <c r="X88" s="18"/>
      <c r="Y88" s="21">
        <v>0</v>
      </c>
      <c r="Z88" s="18"/>
      <c r="AA88" s="21">
        <v>0</v>
      </c>
      <c r="AB88" s="18"/>
      <c r="AC88" s="21">
        <v>1410</v>
      </c>
      <c r="AD88" s="18"/>
      <c r="AE88" s="21">
        <f t="shared" ref="AE88:AE94" si="5">ROUND(SUM(G88:AC88),5)</f>
        <v>7487.14</v>
      </c>
      <c r="AF88" s="34"/>
      <c r="AG88" s="34"/>
      <c r="AH88" s="34"/>
    </row>
    <row r="89" spans="1:34">
      <c r="A89" s="6"/>
      <c r="B89" s="6"/>
      <c r="C89" s="6"/>
      <c r="D89" s="6"/>
      <c r="E89" s="6" t="s">
        <v>915</v>
      </c>
      <c r="F89" s="6"/>
      <c r="G89" s="21">
        <v>0</v>
      </c>
      <c r="H89" s="18"/>
      <c r="I89" s="21">
        <v>0</v>
      </c>
      <c r="J89" s="18"/>
      <c r="K89" s="21">
        <v>0</v>
      </c>
      <c r="L89" s="18"/>
      <c r="M89" s="21">
        <v>179.22</v>
      </c>
      <c r="N89" s="18"/>
      <c r="O89" s="21">
        <v>0</v>
      </c>
      <c r="P89" s="18"/>
      <c r="Q89" s="21">
        <v>0</v>
      </c>
      <c r="R89" s="18"/>
      <c r="S89" s="21">
        <v>0</v>
      </c>
      <c r="T89" s="18"/>
      <c r="U89" s="21">
        <v>0</v>
      </c>
      <c r="V89" s="18"/>
      <c r="W89" s="21">
        <v>0</v>
      </c>
      <c r="X89" s="18"/>
      <c r="Y89" s="21">
        <v>197.19</v>
      </c>
      <c r="Z89" s="18"/>
      <c r="AA89" s="21">
        <v>0</v>
      </c>
      <c r="AB89" s="18"/>
      <c r="AC89" s="21">
        <v>556.91999999999996</v>
      </c>
      <c r="AD89" s="18"/>
      <c r="AE89" s="21">
        <f t="shared" si="5"/>
        <v>933.33</v>
      </c>
      <c r="AF89" s="34"/>
      <c r="AG89" s="34"/>
      <c r="AH89" s="34"/>
    </row>
    <row r="90" spans="1:34">
      <c r="A90" s="6"/>
      <c r="B90" s="6"/>
      <c r="C90" s="6"/>
      <c r="D90" s="6"/>
      <c r="E90" s="6" t="s">
        <v>916</v>
      </c>
      <c r="F90" s="6"/>
      <c r="G90" s="21">
        <v>605.42999999999995</v>
      </c>
      <c r="H90" s="18"/>
      <c r="I90" s="21">
        <v>1102.81</v>
      </c>
      <c r="J90" s="18"/>
      <c r="K90" s="21">
        <v>950.56</v>
      </c>
      <c r="L90" s="18"/>
      <c r="M90" s="21">
        <v>1190.42</v>
      </c>
      <c r="N90" s="18"/>
      <c r="O90" s="21">
        <v>1094.8</v>
      </c>
      <c r="P90" s="18"/>
      <c r="Q90" s="21">
        <v>708.44</v>
      </c>
      <c r="R90" s="18"/>
      <c r="S90" s="21">
        <v>1178.23</v>
      </c>
      <c r="T90" s="18"/>
      <c r="U90" s="21">
        <v>1246.42</v>
      </c>
      <c r="V90" s="18"/>
      <c r="W90" s="21">
        <v>1174.3399999999999</v>
      </c>
      <c r="X90" s="18"/>
      <c r="Y90" s="21">
        <v>1243.4100000000001</v>
      </c>
      <c r="Z90" s="18"/>
      <c r="AA90" s="21">
        <v>1246.5899999999999</v>
      </c>
      <c r="AB90" s="18"/>
      <c r="AC90" s="21">
        <v>2388.63</v>
      </c>
      <c r="AD90" s="18"/>
      <c r="AE90" s="21">
        <f t="shared" si="5"/>
        <v>14130.08</v>
      </c>
      <c r="AF90" s="34"/>
      <c r="AG90" s="34"/>
      <c r="AH90" s="34"/>
    </row>
    <row r="91" spans="1:34">
      <c r="A91" s="6"/>
      <c r="B91" s="6"/>
      <c r="C91" s="6"/>
      <c r="D91" s="6"/>
      <c r="E91" s="6" t="s">
        <v>917</v>
      </c>
      <c r="F91" s="6"/>
      <c r="G91" s="21">
        <v>141.59</v>
      </c>
      <c r="H91" s="18"/>
      <c r="I91" s="21">
        <v>257.92</v>
      </c>
      <c r="J91" s="18"/>
      <c r="K91" s="21">
        <v>222.31</v>
      </c>
      <c r="L91" s="18"/>
      <c r="M91" s="21">
        <v>278.41000000000003</v>
      </c>
      <c r="N91" s="18"/>
      <c r="O91" s="21">
        <v>256.04000000000002</v>
      </c>
      <c r="P91" s="18"/>
      <c r="Q91" s="21">
        <v>165.67</v>
      </c>
      <c r="R91" s="18"/>
      <c r="S91" s="21">
        <v>275.56</v>
      </c>
      <c r="T91" s="18"/>
      <c r="U91" s="21">
        <v>291.5</v>
      </c>
      <c r="V91" s="18"/>
      <c r="W91" s="21">
        <v>274.64</v>
      </c>
      <c r="X91" s="18"/>
      <c r="Y91" s="21">
        <v>290.8</v>
      </c>
      <c r="Z91" s="18"/>
      <c r="AA91" s="21">
        <v>291.54000000000002</v>
      </c>
      <c r="AB91" s="18"/>
      <c r="AC91" s="21">
        <v>558.63</v>
      </c>
      <c r="AD91" s="18"/>
      <c r="AE91" s="21">
        <f t="shared" si="5"/>
        <v>3304.61</v>
      </c>
      <c r="AF91" s="34"/>
      <c r="AG91" s="34"/>
      <c r="AH91" s="34"/>
    </row>
    <row r="92" spans="1:34">
      <c r="A92" s="6"/>
      <c r="B92" s="6"/>
      <c r="C92" s="6"/>
      <c r="D92" s="6"/>
      <c r="E92" s="6" t="s">
        <v>918</v>
      </c>
      <c r="F92" s="6"/>
      <c r="G92" s="21">
        <v>53.5</v>
      </c>
      <c r="H92" s="18"/>
      <c r="I92" s="21">
        <v>88.9</v>
      </c>
      <c r="J92" s="18"/>
      <c r="K92" s="21">
        <v>21.85</v>
      </c>
      <c r="L92" s="18"/>
      <c r="M92" s="21">
        <v>44.83</v>
      </c>
      <c r="N92" s="18"/>
      <c r="O92" s="21">
        <v>3.42</v>
      </c>
      <c r="P92" s="18"/>
      <c r="Q92" s="21">
        <v>22.12</v>
      </c>
      <c r="R92" s="18"/>
      <c r="S92" s="21">
        <v>5.33</v>
      </c>
      <c r="T92" s="18"/>
      <c r="U92" s="21">
        <v>9.7899999999999991</v>
      </c>
      <c r="V92" s="18"/>
      <c r="W92" s="21">
        <v>2.58</v>
      </c>
      <c r="X92" s="18"/>
      <c r="Y92" s="21">
        <v>0</v>
      </c>
      <c r="Z92" s="18"/>
      <c r="AA92" s="21">
        <v>0</v>
      </c>
      <c r="AB92" s="18"/>
      <c r="AC92" s="21">
        <v>-2.29</v>
      </c>
      <c r="AD92" s="18"/>
      <c r="AE92" s="21">
        <f t="shared" si="5"/>
        <v>250.03</v>
      </c>
      <c r="AF92" s="34"/>
      <c r="AG92" s="34"/>
      <c r="AH92" s="34"/>
    </row>
    <row r="93" spans="1:34">
      <c r="A93" s="6"/>
      <c r="B93" s="6"/>
      <c r="C93" s="6"/>
      <c r="D93" s="6"/>
      <c r="E93" s="6" t="s">
        <v>919</v>
      </c>
      <c r="F93" s="6"/>
      <c r="G93" s="21">
        <v>155.13999999999999</v>
      </c>
      <c r="H93" s="18"/>
      <c r="I93" s="21">
        <v>171.46</v>
      </c>
      <c r="J93" s="18"/>
      <c r="K93" s="21">
        <v>135.02000000000001</v>
      </c>
      <c r="L93" s="18"/>
      <c r="M93" s="21">
        <v>-195.87</v>
      </c>
      <c r="N93" s="18"/>
      <c r="O93" s="21">
        <v>178.62</v>
      </c>
      <c r="P93" s="18"/>
      <c r="Q93" s="21">
        <v>214.04</v>
      </c>
      <c r="R93" s="18"/>
      <c r="S93" s="21">
        <v>-295.24</v>
      </c>
      <c r="T93" s="18"/>
      <c r="U93" s="21">
        <v>238.43</v>
      </c>
      <c r="V93" s="18"/>
      <c r="W93" s="21">
        <v>-317.17</v>
      </c>
      <c r="X93" s="18"/>
      <c r="Y93" s="21">
        <v>0</v>
      </c>
      <c r="Z93" s="18"/>
      <c r="AA93" s="21">
        <v>0</v>
      </c>
      <c r="AB93" s="18"/>
      <c r="AC93" s="21">
        <v>175.04</v>
      </c>
      <c r="AD93" s="18"/>
      <c r="AE93" s="21">
        <f t="shared" si="5"/>
        <v>459.47</v>
      </c>
      <c r="AF93" s="34"/>
      <c r="AG93" s="34"/>
      <c r="AH93" s="34"/>
    </row>
    <row r="94" spans="1:34">
      <c r="A94" s="6"/>
      <c r="B94" s="6"/>
      <c r="C94" s="6"/>
      <c r="D94" s="6"/>
      <c r="E94" s="6" t="s">
        <v>920</v>
      </c>
      <c r="F94" s="6"/>
      <c r="G94" s="21">
        <v>0</v>
      </c>
      <c r="H94" s="18"/>
      <c r="I94" s="21">
        <v>0</v>
      </c>
      <c r="J94" s="18"/>
      <c r="K94" s="21">
        <v>0</v>
      </c>
      <c r="L94" s="18"/>
      <c r="M94" s="21">
        <v>0</v>
      </c>
      <c r="N94" s="18"/>
      <c r="O94" s="21">
        <v>0</v>
      </c>
      <c r="P94" s="18"/>
      <c r="Q94" s="21">
        <v>0</v>
      </c>
      <c r="R94" s="18"/>
      <c r="S94" s="21">
        <v>0</v>
      </c>
      <c r="T94" s="18"/>
      <c r="U94" s="21">
        <v>0</v>
      </c>
      <c r="V94" s="18"/>
      <c r="W94" s="21">
        <v>91.39</v>
      </c>
      <c r="X94" s="18"/>
      <c r="Y94" s="21">
        <v>12.78</v>
      </c>
      <c r="Z94" s="18"/>
      <c r="AA94" s="21">
        <v>13.34</v>
      </c>
      <c r="AB94" s="18"/>
      <c r="AC94" s="21">
        <v>-108.96</v>
      </c>
      <c r="AD94" s="18"/>
      <c r="AE94" s="21">
        <f t="shared" si="5"/>
        <v>8.5500000000000007</v>
      </c>
      <c r="AF94" s="34"/>
      <c r="AG94" s="34"/>
      <c r="AH94" s="34"/>
    </row>
    <row r="95" spans="1:34">
      <c r="A95" s="6"/>
      <c r="B95" s="6"/>
      <c r="C95" s="6"/>
      <c r="D95" s="6"/>
      <c r="E95" s="6" t="s">
        <v>921</v>
      </c>
      <c r="F95" s="6"/>
      <c r="G95" s="21"/>
      <c r="H95" s="18"/>
      <c r="I95" s="21"/>
      <c r="J95" s="18"/>
      <c r="K95" s="21"/>
      <c r="L95" s="18"/>
      <c r="M95" s="21"/>
      <c r="N95" s="18"/>
      <c r="O95" s="21"/>
      <c r="P95" s="18"/>
      <c r="Q95" s="21"/>
      <c r="R95" s="18"/>
      <c r="S95" s="21"/>
      <c r="T95" s="18"/>
      <c r="U95" s="21"/>
      <c r="V95" s="18"/>
      <c r="W95" s="21"/>
      <c r="X95" s="18"/>
      <c r="Y95" s="21"/>
      <c r="Z95" s="18"/>
      <c r="AA95" s="21"/>
      <c r="AB95" s="18"/>
      <c r="AC95" s="21"/>
      <c r="AD95" s="18"/>
      <c r="AE95" s="21"/>
      <c r="AF95" s="34"/>
      <c r="AG95" s="34"/>
      <c r="AH95" s="34"/>
    </row>
    <row r="96" spans="1:34">
      <c r="A96" s="6"/>
      <c r="B96" s="6"/>
      <c r="C96" s="6"/>
      <c r="D96" s="6"/>
      <c r="E96" s="6"/>
      <c r="F96" s="6" t="s">
        <v>922</v>
      </c>
      <c r="G96" s="21">
        <v>581.32000000000005</v>
      </c>
      <c r="H96" s="18"/>
      <c r="I96" s="21">
        <v>550.86</v>
      </c>
      <c r="J96" s="18"/>
      <c r="K96" s="21">
        <v>568.23</v>
      </c>
      <c r="L96" s="18"/>
      <c r="M96" s="21">
        <v>616.54</v>
      </c>
      <c r="N96" s="18"/>
      <c r="O96" s="21">
        <v>622.29</v>
      </c>
      <c r="P96" s="18"/>
      <c r="Q96" s="21">
        <v>644.03</v>
      </c>
      <c r="R96" s="18"/>
      <c r="S96" s="21">
        <v>693.69</v>
      </c>
      <c r="T96" s="18"/>
      <c r="U96" s="21">
        <v>674.13</v>
      </c>
      <c r="V96" s="18"/>
      <c r="W96" s="21">
        <v>686.39</v>
      </c>
      <c r="X96" s="18"/>
      <c r="Y96" s="21">
        <v>637.80999999999995</v>
      </c>
      <c r="Z96" s="18"/>
      <c r="AA96" s="21">
        <v>629.34</v>
      </c>
      <c r="AB96" s="18"/>
      <c r="AC96" s="21">
        <v>631.89</v>
      </c>
      <c r="AD96" s="18"/>
      <c r="AE96" s="21">
        <f t="shared" ref="AE96:AE102" si="6">ROUND(SUM(G96:AC96),5)</f>
        <v>7536.52</v>
      </c>
      <c r="AF96" s="34"/>
      <c r="AG96" s="34"/>
      <c r="AH96" s="34"/>
    </row>
    <row r="97" spans="1:34">
      <c r="A97" s="6"/>
      <c r="B97" s="6"/>
      <c r="C97" s="6"/>
      <c r="D97" s="6"/>
      <c r="E97" s="6"/>
      <c r="F97" s="6" t="s">
        <v>923</v>
      </c>
      <c r="G97" s="21">
        <v>18.88</v>
      </c>
      <c r="H97" s="18"/>
      <c r="I97" s="21">
        <v>18.86</v>
      </c>
      <c r="J97" s="18"/>
      <c r="K97" s="21">
        <v>18.86</v>
      </c>
      <c r="L97" s="18"/>
      <c r="M97" s="21">
        <v>20.67</v>
      </c>
      <c r="N97" s="18"/>
      <c r="O97" s="21">
        <v>19.45</v>
      </c>
      <c r="P97" s="18"/>
      <c r="Q97" s="21">
        <v>19.91</v>
      </c>
      <c r="R97" s="18"/>
      <c r="S97" s="21">
        <v>23.32</v>
      </c>
      <c r="T97" s="18"/>
      <c r="U97" s="21">
        <v>22.82</v>
      </c>
      <c r="V97" s="18"/>
      <c r="W97" s="21">
        <v>22.16</v>
      </c>
      <c r="X97" s="18"/>
      <c r="Y97" s="21">
        <v>21.06</v>
      </c>
      <c r="Z97" s="18"/>
      <c r="AA97" s="21">
        <v>20.61</v>
      </c>
      <c r="AB97" s="18"/>
      <c r="AC97" s="21">
        <v>19.95</v>
      </c>
      <c r="AD97" s="18"/>
      <c r="AE97" s="21">
        <f t="shared" si="6"/>
        <v>246.55</v>
      </c>
      <c r="AF97" s="34"/>
      <c r="AG97" s="34"/>
      <c r="AH97" s="34"/>
    </row>
    <row r="98" spans="1:34">
      <c r="A98" s="6"/>
      <c r="B98" s="6"/>
      <c r="C98" s="6"/>
      <c r="D98" s="6"/>
      <c r="E98" s="6"/>
      <c r="F98" s="6" t="s">
        <v>924</v>
      </c>
      <c r="G98" s="21">
        <v>0</v>
      </c>
      <c r="H98" s="18"/>
      <c r="I98" s="21">
        <v>0</v>
      </c>
      <c r="J98" s="18"/>
      <c r="K98" s="21">
        <v>113.71</v>
      </c>
      <c r="L98" s="18"/>
      <c r="M98" s="21">
        <v>0</v>
      </c>
      <c r="N98" s="18"/>
      <c r="O98" s="21">
        <v>27.65</v>
      </c>
      <c r="P98" s="18"/>
      <c r="Q98" s="21">
        <v>0</v>
      </c>
      <c r="R98" s="18"/>
      <c r="S98" s="21">
        <v>5</v>
      </c>
      <c r="T98" s="18"/>
      <c r="U98" s="21">
        <v>0</v>
      </c>
      <c r="V98" s="18"/>
      <c r="W98" s="21">
        <v>0</v>
      </c>
      <c r="X98" s="18"/>
      <c r="Y98" s="21">
        <v>116.42</v>
      </c>
      <c r="Z98" s="18"/>
      <c r="AA98" s="21">
        <v>0</v>
      </c>
      <c r="AB98" s="18"/>
      <c r="AC98" s="21">
        <v>0.73</v>
      </c>
      <c r="AD98" s="18"/>
      <c r="AE98" s="21">
        <f t="shared" si="6"/>
        <v>263.51</v>
      </c>
      <c r="AF98" s="34"/>
      <c r="AG98" s="34"/>
      <c r="AH98" s="34"/>
    </row>
    <row r="99" spans="1:34" ht="15" thickBot="1">
      <c r="A99" s="6"/>
      <c r="B99" s="6"/>
      <c r="C99" s="6"/>
      <c r="D99" s="6"/>
      <c r="E99" s="6"/>
      <c r="F99" s="6" t="s">
        <v>925</v>
      </c>
      <c r="G99" s="106">
        <v>-0.91</v>
      </c>
      <c r="H99" s="18"/>
      <c r="I99" s="106">
        <v>-0.9</v>
      </c>
      <c r="J99" s="18"/>
      <c r="K99" s="106">
        <v>-1.01</v>
      </c>
      <c r="L99" s="18"/>
      <c r="M99" s="106">
        <v>0</v>
      </c>
      <c r="N99" s="18"/>
      <c r="O99" s="106">
        <v>-1.01</v>
      </c>
      <c r="P99" s="18"/>
      <c r="Q99" s="106">
        <v>-1.02</v>
      </c>
      <c r="R99" s="18"/>
      <c r="S99" s="106">
        <v>-1.1200000000000001</v>
      </c>
      <c r="T99" s="18"/>
      <c r="U99" s="106">
        <v>6.23</v>
      </c>
      <c r="V99" s="18"/>
      <c r="W99" s="106">
        <v>0</v>
      </c>
      <c r="X99" s="18"/>
      <c r="Y99" s="106">
        <v>0</v>
      </c>
      <c r="Z99" s="18"/>
      <c r="AA99" s="106">
        <v>0</v>
      </c>
      <c r="AB99" s="18"/>
      <c r="AC99" s="106">
        <v>5.97</v>
      </c>
      <c r="AD99" s="18"/>
      <c r="AE99" s="106">
        <f t="shared" si="6"/>
        <v>6.23</v>
      </c>
      <c r="AF99" s="34"/>
      <c r="AG99" s="34"/>
      <c r="AH99" s="34"/>
    </row>
    <row r="100" spans="1:34">
      <c r="A100" s="6"/>
      <c r="B100" s="6"/>
      <c r="C100" s="6"/>
      <c r="D100" s="6"/>
      <c r="E100" s="6" t="s">
        <v>926</v>
      </c>
      <c r="F100" s="6"/>
      <c r="G100" s="21">
        <f>ROUND(SUM(G95:G99),5)</f>
        <v>599.29</v>
      </c>
      <c r="H100" s="18"/>
      <c r="I100" s="21">
        <f>ROUND(SUM(I95:I99),5)</f>
        <v>568.82000000000005</v>
      </c>
      <c r="J100" s="18"/>
      <c r="K100" s="21">
        <f>ROUND(SUM(K95:K99),5)</f>
        <v>699.79</v>
      </c>
      <c r="L100" s="18"/>
      <c r="M100" s="21">
        <f>ROUND(SUM(M95:M99),5)</f>
        <v>637.21</v>
      </c>
      <c r="N100" s="18"/>
      <c r="O100" s="21">
        <f>ROUND(SUM(O95:O99),5)</f>
        <v>668.38</v>
      </c>
      <c r="P100" s="18"/>
      <c r="Q100" s="21">
        <f>ROUND(SUM(Q95:Q99),5)</f>
        <v>662.92</v>
      </c>
      <c r="R100" s="18"/>
      <c r="S100" s="21">
        <f>ROUND(SUM(S95:S99),5)</f>
        <v>720.89</v>
      </c>
      <c r="T100" s="18"/>
      <c r="U100" s="21">
        <f>ROUND(SUM(U95:U99),5)</f>
        <v>703.18</v>
      </c>
      <c r="V100" s="18"/>
      <c r="W100" s="21">
        <f>ROUND(SUM(W95:W99),5)</f>
        <v>708.55</v>
      </c>
      <c r="X100" s="18"/>
      <c r="Y100" s="21">
        <f>ROUND(SUM(Y95:Y99),5)</f>
        <v>775.29</v>
      </c>
      <c r="Z100" s="18"/>
      <c r="AA100" s="21">
        <f>ROUND(SUM(AA95:AA99),5)</f>
        <v>649.95000000000005</v>
      </c>
      <c r="AB100" s="18"/>
      <c r="AC100" s="21">
        <f>ROUND(SUM(AC95:AC99),5)</f>
        <v>658.54</v>
      </c>
      <c r="AD100" s="18"/>
      <c r="AE100" s="21">
        <f t="shared" si="6"/>
        <v>8052.81</v>
      </c>
      <c r="AF100" s="34"/>
      <c r="AG100" s="34"/>
      <c r="AH100" s="34"/>
    </row>
    <row r="101" spans="1:34" ht="15" thickBot="1">
      <c r="A101" s="6"/>
      <c r="B101" s="6"/>
      <c r="C101" s="6"/>
      <c r="D101" s="6"/>
      <c r="E101" s="6" t="s">
        <v>927</v>
      </c>
      <c r="F101" s="6"/>
      <c r="G101" s="106">
        <v>60</v>
      </c>
      <c r="H101" s="18"/>
      <c r="I101" s="106">
        <v>60</v>
      </c>
      <c r="J101" s="18"/>
      <c r="K101" s="106">
        <v>0</v>
      </c>
      <c r="L101" s="18"/>
      <c r="M101" s="106">
        <v>0</v>
      </c>
      <c r="N101" s="18"/>
      <c r="O101" s="106">
        <v>0</v>
      </c>
      <c r="P101" s="18"/>
      <c r="Q101" s="106">
        <v>75</v>
      </c>
      <c r="R101" s="18"/>
      <c r="S101" s="106">
        <v>0</v>
      </c>
      <c r="T101" s="18"/>
      <c r="U101" s="106">
        <v>0</v>
      </c>
      <c r="V101" s="18"/>
      <c r="W101" s="106">
        <v>18</v>
      </c>
      <c r="X101" s="18"/>
      <c r="Y101" s="106">
        <v>0</v>
      </c>
      <c r="Z101" s="18"/>
      <c r="AA101" s="106">
        <v>0</v>
      </c>
      <c r="AB101" s="18"/>
      <c r="AC101" s="106">
        <v>60</v>
      </c>
      <c r="AD101" s="18"/>
      <c r="AE101" s="106">
        <f t="shared" si="6"/>
        <v>273</v>
      </c>
      <c r="AF101" s="34"/>
      <c r="AG101" s="34"/>
      <c r="AH101" s="34"/>
    </row>
    <row r="102" spans="1:34">
      <c r="A102" s="6"/>
      <c r="B102" s="6"/>
      <c r="C102" s="6"/>
      <c r="D102" s="6" t="s">
        <v>30</v>
      </c>
      <c r="E102" s="6"/>
      <c r="F102" s="6"/>
      <c r="G102" s="21">
        <f>ROUND(SUM(G87:G94)+SUM(G100:G101),5)</f>
        <v>2608.9499999999998</v>
      </c>
      <c r="H102" s="18"/>
      <c r="I102" s="21">
        <f>ROUND(SUM(I87:I94)+SUM(I100:I101),5)</f>
        <v>2249.91</v>
      </c>
      <c r="J102" s="18"/>
      <c r="K102" s="21">
        <f>ROUND(SUM(K87:K94)+SUM(K100:K101),5)</f>
        <v>2029.53</v>
      </c>
      <c r="L102" s="18"/>
      <c r="M102" s="21">
        <f>ROUND(SUM(M87:M94)+SUM(M100:M101),5)</f>
        <v>5210.22</v>
      </c>
      <c r="N102" s="18"/>
      <c r="O102" s="21">
        <f>ROUND(SUM(O87:O94)+SUM(O100:O101),5)</f>
        <v>2201.2600000000002</v>
      </c>
      <c r="P102" s="18"/>
      <c r="Q102" s="21">
        <f>ROUND(SUM(Q87:Q94)+SUM(Q100:Q101),5)</f>
        <v>1848.19</v>
      </c>
      <c r="R102" s="18"/>
      <c r="S102" s="21">
        <f>ROUND(SUM(S87:S94)+SUM(S100:S101),5)</f>
        <v>1884.77</v>
      </c>
      <c r="T102" s="18"/>
      <c r="U102" s="21">
        <f>ROUND(SUM(U87:U94)+SUM(U100:U101),5)</f>
        <v>4449.21</v>
      </c>
      <c r="V102" s="18"/>
      <c r="W102" s="21">
        <f>ROUND(SUM(W87:W94)+SUM(W100:W101),5)</f>
        <v>1999.58</v>
      </c>
      <c r="X102" s="18"/>
      <c r="Y102" s="21">
        <f>ROUND(SUM(Y87:Y94)+SUM(Y100:Y101),5)</f>
        <v>2519.4699999999998</v>
      </c>
      <c r="Z102" s="18"/>
      <c r="AA102" s="21">
        <f>ROUND(SUM(AA87:AA94)+SUM(AA100:AA101),5)</f>
        <v>2201.42</v>
      </c>
      <c r="AB102" s="18"/>
      <c r="AC102" s="21">
        <f>ROUND(SUM(AC87:AC94)+SUM(AC100:AC101),5)</f>
        <v>5696.51</v>
      </c>
      <c r="AD102" s="18"/>
      <c r="AE102" s="21">
        <f t="shared" si="6"/>
        <v>34899.019999999997</v>
      </c>
      <c r="AF102" s="34"/>
      <c r="AG102" s="34"/>
      <c r="AH102" s="34"/>
    </row>
    <row r="103" spans="1:34">
      <c r="A103" s="6"/>
      <c r="B103" s="6"/>
      <c r="C103" s="6"/>
      <c r="D103" s="6" t="s">
        <v>613</v>
      </c>
      <c r="E103" s="6"/>
      <c r="F103" s="6"/>
      <c r="G103" s="21"/>
      <c r="H103" s="18"/>
      <c r="I103" s="21"/>
      <c r="J103" s="18"/>
      <c r="K103" s="21"/>
      <c r="L103" s="18"/>
      <c r="M103" s="21"/>
      <c r="N103" s="18"/>
      <c r="O103" s="21"/>
      <c r="P103" s="18"/>
      <c r="Q103" s="21"/>
      <c r="R103" s="18"/>
      <c r="S103" s="21"/>
      <c r="T103" s="18"/>
      <c r="U103" s="21"/>
      <c r="V103" s="18"/>
      <c r="W103" s="21"/>
      <c r="X103" s="18"/>
      <c r="Y103" s="21"/>
      <c r="Z103" s="18"/>
      <c r="AA103" s="21"/>
      <c r="AB103" s="18"/>
      <c r="AC103" s="21"/>
      <c r="AD103" s="18"/>
      <c r="AE103" s="21"/>
      <c r="AF103" s="34"/>
      <c r="AG103" s="34"/>
      <c r="AH103" s="34"/>
    </row>
    <row r="104" spans="1:34">
      <c r="A104" s="6"/>
      <c r="B104" s="6"/>
      <c r="C104" s="6"/>
      <c r="D104" s="6"/>
      <c r="E104" s="6" t="s">
        <v>614</v>
      </c>
      <c r="F104" s="6"/>
      <c r="G104" s="21">
        <v>0</v>
      </c>
      <c r="H104" s="18"/>
      <c r="I104" s="21">
        <v>0</v>
      </c>
      <c r="J104" s="18"/>
      <c r="K104" s="21">
        <v>0</v>
      </c>
      <c r="L104" s="18"/>
      <c r="M104" s="21">
        <v>0</v>
      </c>
      <c r="N104" s="18"/>
      <c r="O104" s="21">
        <v>0</v>
      </c>
      <c r="P104" s="18"/>
      <c r="Q104" s="21">
        <v>600</v>
      </c>
      <c r="R104" s="18"/>
      <c r="S104" s="21">
        <v>0</v>
      </c>
      <c r="T104" s="18"/>
      <c r="U104" s="21">
        <v>600</v>
      </c>
      <c r="V104" s="18"/>
      <c r="W104" s="21">
        <v>600</v>
      </c>
      <c r="X104" s="18"/>
      <c r="Y104" s="21">
        <v>600</v>
      </c>
      <c r="Z104" s="18"/>
      <c r="AA104" s="21">
        <v>600</v>
      </c>
      <c r="AB104" s="18"/>
      <c r="AC104" s="21">
        <v>600</v>
      </c>
      <c r="AD104" s="18"/>
      <c r="AE104" s="21">
        <f>ROUND(SUM(G104:AC104),5)</f>
        <v>3600</v>
      </c>
      <c r="AF104" s="34"/>
      <c r="AG104" s="34"/>
      <c r="AH104" s="34"/>
    </row>
    <row r="105" spans="1:34" ht="15" thickBot="1">
      <c r="A105" s="6"/>
      <c r="B105" s="6"/>
      <c r="C105" s="6"/>
      <c r="D105" s="6"/>
      <c r="E105" s="6" t="s">
        <v>928</v>
      </c>
      <c r="F105" s="6"/>
      <c r="G105" s="22">
        <v>2500</v>
      </c>
      <c r="H105" s="18"/>
      <c r="I105" s="22">
        <v>2500</v>
      </c>
      <c r="J105" s="18"/>
      <c r="K105" s="22">
        <v>2500</v>
      </c>
      <c r="L105" s="18"/>
      <c r="M105" s="22">
        <v>2500</v>
      </c>
      <c r="N105" s="18"/>
      <c r="O105" s="22">
        <v>2500</v>
      </c>
      <c r="P105" s="18"/>
      <c r="Q105" s="22">
        <v>2500</v>
      </c>
      <c r="R105" s="18"/>
      <c r="S105" s="22">
        <v>2500</v>
      </c>
      <c r="T105" s="18"/>
      <c r="U105" s="22">
        <v>2500</v>
      </c>
      <c r="V105" s="18"/>
      <c r="W105" s="22">
        <v>2500</v>
      </c>
      <c r="X105" s="18"/>
      <c r="Y105" s="22">
        <v>2500</v>
      </c>
      <c r="Z105" s="18"/>
      <c r="AA105" s="22">
        <v>2500</v>
      </c>
      <c r="AB105" s="18"/>
      <c r="AC105" s="22">
        <v>2500</v>
      </c>
      <c r="AD105" s="18"/>
      <c r="AE105" s="22">
        <f>ROUND(SUM(G105:AC105),5)</f>
        <v>30000</v>
      </c>
      <c r="AF105" s="34"/>
      <c r="AG105" s="34"/>
      <c r="AH105" s="34"/>
    </row>
    <row r="106" spans="1:34" ht="15" thickBot="1">
      <c r="A106" s="6"/>
      <c r="B106" s="6"/>
      <c r="C106" s="6"/>
      <c r="D106" s="6" t="s">
        <v>624</v>
      </c>
      <c r="E106" s="6"/>
      <c r="F106" s="6"/>
      <c r="G106" s="23">
        <f>ROUND(SUM(G103:G105),5)</f>
        <v>2500</v>
      </c>
      <c r="H106" s="18"/>
      <c r="I106" s="23">
        <f>ROUND(SUM(I103:I105),5)</f>
        <v>2500</v>
      </c>
      <c r="J106" s="18"/>
      <c r="K106" s="23">
        <f>ROUND(SUM(K103:K105),5)</f>
        <v>2500</v>
      </c>
      <c r="L106" s="18"/>
      <c r="M106" s="23">
        <f>ROUND(SUM(M103:M105),5)</f>
        <v>2500</v>
      </c>
      <c r="N106" s="18"/>
      <c r="O106" s="23">
        <f>ROUND(SUM(O103:O105),5)</f>
        <v>2500</v>
      </c>
      <c r="P106" s="18"/>
      <c r="Q106" s="23">
        <f>ROUND(SUM(Q103:Q105),5)</f>
        <v>3100</v>
      </c>
      <c r="R106" s="18"/>
      <c r="S106" s="23">
        <f>ROUND(SUM(S103:S105),5)</f>
        <v>2500</v>
      </c>
      <c r="T106" s="18"/>
      <c r="U106" s="23">
        <f>ROUND(SUM(U103:U105),5)</f>
        <v>3100</v>
      </c>
      <c r="V106" s="18"/>
      <c r="W106" s="23">
        <f>ROUND(SUM(W103:W105),5)</f>
        <v>3100</v>
      </c>
      <c r="X106" s="18"/>
      <c r="Y106" s="23">
        <f>ROUND(SUM(Y103:Y105),5)</f>
        <v>3100</v>
      </c>
      <c r="Z106" s="18"/>
      <c r="AA106" s="23">
        <f>ROUND(SUM(AA103:AA105),5)</f>
        <v>3100</v>
      </c>
      <c r="AB106" s="18"/>
      <c r="AC106" s="23">
        <f>ROUND(SUM(AC103:AC105),5)</f>
        <v>3100</v>
      </c>
      <c r="AD106" s="18"/>
      <c r="AE106" s="23">
        <f>ROUND(SUM(G106:AC106),5)</f>
        <v>33600</v>
      </c>
      <c r="AF106" s="34"/>
      <c r="AG106" s="34"/>
      <c r="AH106" s="34"/>
    </row>
    <row r="107" spans="1:34" ht="15" thickBot="1">
      <c r="A107" s="6"/>
      <c r="B107" s="6"/>
      <c r="C107" s="6" t="s">
        <v>929</v>
      </c>
      <c r="D107" s="6"/>
      <c r="E107" s="6"/>
      <c r="F107" s="6"/>
      <c r="G107" s="107">
        <f>ROUND(SUM(G14:G15)+G23+G35+G39+G42+G50+G79+SUM(G85:G86)+G102+G106,5)</f>
        <v>48536.83</v>
      </c>
      <c r="H107" s="18"/>
      <c r="I107" s="107">
        <f>ROUND(SUM(I14:I15)+I23+I35+I39+I42+I50+I79+SUM(I85:I86)+I102+I106,5)</f>
        <v>37015.370000000003</v>
      </c>
      <c r="J107" s="18"/>
      <c r="K107" s="107">
        <f>ROUND(SUM(K14:K15)+K23+K35+K39+K42+K50+K79+SUM(K85:K86)+K102+K106,5)</f>
        <v>39178.720000000001</v>
      </c>
      <c r="L107" s="18"/>
      <c r="M107" s="107">
        <f>ROUND(SUM(M14:M15)+M23+M35+M39+M42+M50+M79+SUM(M85:M86)+M102+M106,5)</f>
        <v>43523.47</v>
      </c>
      <c r="N107" s="18"/>
      <c r="O107" s="107">
        <f>ROUND(SUM(O14:O15)+O23+O35+O39+O42+O50+O79+SUM(O85:O86)+O102+O106,5)</f>
        <v>37824.68</v>
      </c>
      <c r="P107" s="18"/>
      <c r="Q107" s="107">
        <f>ROUND(SUM(Q14:Q15)+Q23+Q35+Q39+Q42+Q50+Q79+SUM(Q85:Q86)+Q102+Q106,5)</f>
        <v>40696.93</v>
      </c>
      <c r="R107" s="18"/>
      <c r="S107" s="107">
        <f>ROUND(SUM(S14:S15)+S23+S35+S39+S42+S50+S79+SUM(S85:S86)+S102+S106,5)</f>
        <v>39943.18</v>
      </c>
      <c r="T107" s="18"/>
      <c r="U107" s="107">
        <f>ROUND(SUM(U14:U15)+U23+U35+U39+U42+U50+U79+SUM(U85:U86)+U102+U106,5)</f>
        <v>44140.07</v>
      </c>
      <c r="V107" s="18"/>
      <c r="W107" s="107">
        <f>ROUND(SUM(W14:W15)+W23+W35+W39+W42+W50+W79+SUM(W85:W86)+W102+W106,5)</f>
        <v>40557.99</v>
      </c>
      <c r="X107" s="18"/>
      <c r="Y107" s="107">
        <f>ROUND(SUM(Y14:Y15)+Y23+Y35+Y39+Y42+Y50+Y79+SUM(Y85:Y86)+Y102+Y106,5)</f>
        <v>45084.35</v>
      </c>
      <c r="Z107" s="18"/>
      <c r="AA107" s="107">
        <f>ROUND(SUM(AA14:AA15)+AA23+AA35+AA39+AA42+AA50+AA79+SUM(AA85:AA86)+AA102+AA106,5)</f>
        <v>43160.25</v>
      </c>
      <c r="AB107" s="18"/>
      <c r="AC107" s="107">
        <f>ROUND(SUM(AC14:AC15)+AC23+AC35+AC39+AC42+AC50+AC79+SUM(AC85:AC86)+AC102+AC106,5)</f>
        <v>55693.15</v>
      </c>
      <c r="AD107" s="18"/>
      <c r="AE107" s="107">
        <f>ROUND(SUM(G107:AC107),5)</f>
        <v>515354.99</v>
      </c>
      <c r="AF107" s="34"/>
      <c r="AG107" s="34"/>
      <c r="AH107" s="34"/>
    </row>
    <row r="108" spans="1:34">
      <c r="A108" s="6"/>
      <c r="B108" s="6" t="s">
        <v>930</v>
      </c>
      <c r="C108" s="6"/>
      <c r="D108" s="6"/>
      <c r="E108" s="6"/>
      <c r="F108" s="6"/>
      <c r="G108" s="21">
        <f>ROUND(G4+G13-G107,5)</f>
        <v>-6601.12</v>
      </c>
      <c r="H108" s="18"/>
      <c r="I108" s="21">
        <f>ROUND(I4+I13-I107,5)</f>
        <v>2932.44</v>
      </c>
      <c r="J108" s="18"/>
      <c r="K108" s="21">
        <f>ROUND(K4+K13-K107,5)</f>
        <v>1899.69</v>
      </c>
      <c r="L108" s="18"/>
      <c r="M108" s="21">
        <f>ROUND(M4+M13-M107,5)</f>
        <v>1399.78</v>
      </c>
      <c r="N108" s="18"/>
      <c r="O108" s="21">
        <f>ROUND(O4+O13-O107,5)</f>
        <v>6932.03</v>
      </c>
      <c r="P108" s="18"/>
      <c r="Q108" s="21">
        <f>ROUND(Q4+Q13-Q107,5)</f>
        <v>5506.86</v>
      </c>
      <c r="R108" s="18"/>
      <c r="S108" s="21">
        <f>ROUND(S4+S13-S107,5)</f>
        <v>10622.27</v>
      </c>
      <c r="T108" s="18"/>
      <c r="U108" s="21">
        <f>ROUND(U4+U13-U107,5)</f>
        <v>4846.8100000000004</v>
      </c>
      <c r="V108" s="18"/>
      <c r="W108" s="21">
        <f>ROUND(W4+W13-W107,5)</f>
        <v>9062.91</v>
      </c>
      <c r="X108" s="18"/>
      <c r="Y108" s="21">
        <f>ROUND(Y4+Y13-Y107,5)</f>
        <v>974.07</v>
      </c>
      <c r="Z108" s="18"/>
      <c r="AA108" s="21">
        <f>ROUND(AA4+AA13-AA107,5)</f>
        <v>2296.9899999999998</v>
      </c>
      <c r="AB108" s="18"/>
      <c r="AC108" s="21">
        <f>ROUND(AC4+AC13-AC107,5)</f>
        <v>-10201.01</v>
      </c>
      <c r="AD108" s="18"/>
      <c r="AE108" s="21">
        <f>ROUND(SUM(G108:AC108),5)</f>
        <v>29671.72</v>
      </c>
      <c r="AF108" s="34"/>
      <c r="AG108" s="34"/>
      <c r="AH108" s="34"/>
    </row>
    <row r="109" spans="1:34">
      <c r="A109" s="6"/>
      <c r="B109" s="6" t="s">
        <v>931</v>
      </c>
      <c r="C109" s="6"/>
      <c r="D109" s="6"/>
      <c r="E109" s="6"/>
      <c r="F109" s="6"/>
      <c r="G109" s="21"/>
      <c r="H109" s="18"/>
      <c r="I109" s="21"/>
      <c r="J109" s="18"/>
      <c r="K109" s="21"/>
      <c r="L109" s="18"/>
      <c r="M109" s="21"/>
      <c r="N109" s="18"/>
      <c r="O109" s="21"/>
      <c r="P109" s="18"/>
      <c r="Q109" s="21"/>
      <c r="R109" s="18"/>
      <c r="S109" s="21"/>
      <c r="T109" s="18"/>
      <c r="U109" s="21"/>
      <c r="V109" s="18"/>
      <c r="W109" s="21"/>
      <c r="X109" s="18"/>
      <c r="Y109" s="21"/>
      <c r="Z109" s="18"/>
      <c r="AA109" s="21"/>
      <c r="AB109" s="18"/>
      <c r="AC109" s="21"/>
      <c r="AD109" s="18"/>
      <c r="AE109" s="21"/>
      <c r="AF109" s="34"/>
      <c r="AG109" s="34"/>
      <c r="AH109" s="34"/>
    </row>
    <row r="110" spans="1:34">
      <c r="A110" s="6"/>
      <c r="B110" s="6"/>
      <c r="C110" s="6" t="s">
        <v>932</v>
      </c>
      <c r="D110" s="6"/>
      <c r="E110" s="6"/>
      <c r="F110" s="6"/>
      <c r="G110" s="21"/>
      <c r="H110" s="18"/>
      <c r="I110" s="21"/>
      <c r="J110" s="18"/>
      <c r="K110" s="21"/>
      <c r="L110" s="18"/>
      <c r="M110" s="21"/>
      <c r="N110" s="18"/>
      <c r="O110" s="21"/>
      <c r="P110" s="18"/>
      <c r="Q110" s="21"/>
      <c r="R110" s="18"/>
      <c r="S110" s="21"/>
      <c r="T110" s="18"/>
      <c r="U110" s="21"/>
      <c r="V110" s="18"/>
      <c r="W110" s="21"/>
      <c r="X110" s="18"/>
      <c r="Y110" s="21"/>
      <c r="Z110" s="18"/>
      <c r="AA110" s="21"/>
      <c r="AB110" s="18"/>
      <c r="AC110" s="21"/>
      <c r="AD110" s="18"/>
      <c r="AE110" s="21"/>
      <c r="AF110" s="34"/>
      <c r="AG110" s="34"/>
      <c r="AH110" s="34"/>
    </row>
    <row r="111" spans="1:34">
      <c r="A111" s="6"/>
      <c r="B111" s="6"/>
      <c r="C111" s="6"/>
      <c r="D111" s="6" t="s">
        <v>933</v>
      </c>
      <c r="E111" s="6"/>
      <c r="F111" s="6"/>
      <c r="G111" s="21"/>
      <c r="H111" s="18"/>
      <c r="I111" s="21"/>
      <c r="J111" s="18"/>
      <c r="K111" s="21"/>
      <c r="L111" s="18"/>
      <c r="M111" s="21"/>
      <c r="N111" s="18"/>
      <c r="O111" s="21"/>
      <c r="P111" s="18"/>
      <c r="Q111" s="21"/>
      <c r="R111" s="18"/>
      <c r="S111" s="21"/>
      <c r="T111" s="18"/>
      <c r="U111" s="21"/>
      <c r="V111" s="18"/>
      <c r="W111" s="21"/>
      <c r="X111" s="18"/>
      <c r="Y111" s="21"/>
      <c r="Z111" s="18"/>
      <c r="AA111" s="21"/>
      <c r="AB111" s="18"/>
      <c r="AC111" s="21"/>
      <c r="AD111" s="18"/>
      <c r="AE111" s="21"/>
      <c r="AF111" s="34"/>
      <c r="AG111" s="34"/>
      <c r="AH111" s="34"/>
    </row>
    <row r="112" spans="1:34">
      <c r="A112" s="6"/>
      <c r="B112" s="6"/>
      <c r="C112" s="6"/>
      <c r="D112" s="6"/>
      <c r="E112" s="6" t="s">
        <v>934</v>
      </c>
      <c r="F112" s="6"/>
      <c r="G112" s="21">
        <v>0</v>
      </c>
      <c r="H112" s="18"/>
      <c r="I112" s="21">
        <v>0</v>
      </c>
      <c r="J112" s="18"/>
      <c r="K112" s="21">
        <v>0</v>
      </c>
      <c r="L112" s="18"/>
      <c r="M112" s="21">
        <v>0</v>
      </c>
      <c r="N112" s="18"/>
      <c r="O112" s="21">
        <v>0</v>
      </c>
      <c r="P112" s="18"/>
      <c r="Q112" s="21">
        <v>0</v>
      </c>
      <c r="R112" s="18"/>
      <c r="S112" s="21">
        <v>0</v>
      </c>
      <c r="T112" s="18"/>
      <c r="U112" s="21">
        <v>3658.52</v>
      </c>
      <c r="V112" s="18"/>
      <c r="W112" s="21">
        <v>3658.52</v>
      </c>
      <c r="X112" s="18"/>
      <c r="Y112" s="21">
        <v>3658.52</v>
      </c>
      <c r="Z112" s="18"/>
      <c r="AA112" s="21">
        <v>3658.52</v>
      </c>
      <c r="AB112" s="18"/>
      <c r="AC112" s="21">
        <v>-8954.0400000000009</v>
      </c>
      <c r="AD112" s="18"/>
      <c r="AE112" s="21">
        <f t="shared" ref="AE112:AE119" si="7">ROUND(SUM(G112:AC112),5)</f>
        <v>5680.04</v>
      </c>
      <c r="AF112" s="34"/>
      <c r="AG112" s="34"/>
      <c r="AH112" s="34"/>
    </row>
    <row r="113" spans="1:34">
      <c r="A113" s="6"/>
      <c r="B113" s="6"/>
      <c r="C113" s="6"/>
      <c r="D113" s="6"/>
      <c r="E113" s="6" t="s">
        <v>935</v>
      </c>
      <c r="F113" s="6"/>
      <c r="G113" s="21">
        <v>3792.16</v>
      </c>
      <c r="H113" s="18"/>
      <c r="I113" s="21">
        <v>3792.16</v>
      </c>
      <c r="J113" s="18"/>
      <c r="K113" s="21">
        <v>3792.16</v>
      </c>
      <c r="L113" s="18"/>
      <c r="M113" s="21">
        <v>3792.16</v>
      </c>
      <c r="N113" s="18"/>
      <c r="O113" s="21">
        <v>3792.16</v>
      </c>
      <c r="P113" s="18"/>
      <c r="Q113" s="21">
        <v>3792.16</v>
      </c>
      <c r="R113" s="18"/>
      <c r="S113" s="21">
        <v>-22034.48</v>
      </c>
      <c r="T113" s="18"/>
      <c r="U113" s="21">
        <v>0</v>
      </c>
      <c r="V113" s="18"/>
      <c r="W113" s="21">
        <v>0</v>
      </c>
      <c r="X113" s="18"/>
      <c r="Y113" s="21">
        <v>0</v>
      </c>
      <c r="Z113" s="18"/>
      <c r="AA113" s="21">
        <v>0</v>
      </c>
      <c r="AB113" s="18"/>
      <c r="AC113" s="21">
        <v>-195.7</v>
      </c>
      <c r="AD113" s="18"/>
      <c r="AE113" s="21">
        <f t="shared" si="7"/>
        <v>522.78</v>
      </c>
      <c r="AF113" s="34"/>
      <c r="AG113" s="34"/>
      <c r="AH113" s="34"/>
    </row>
    <row r="114" spans="1:34" ht="15" thickBot="1">
      <c r="A114" s="6"/>
      <c r="B114" s="6"/>
      <c r="C114" s="6"/>
      <c r="D114" s="6"/>
      <c r="E114" s="6" t="s">
        <v>936</v>
      </c>
      <c r="F114" s="6"/>
      <c r="G114" s="106">
        <v>68.510000000000005</v>
      </c>
      <c r="H114" s="18"/>
      <c r="I114" s="106">
        <v>6</v>
      </c>
      <c r="J114" s="18"/>
      <c r="K114" s="106">
        <v>105.78</v>
      </c>
      <c r="L114" s="18"/>
      <c r="M114" s="106">
        <v>38.18</v>
      </c>
      <c r="N114" s="18"/>
      <c r="O114" s="106">
        <v>46.95</v>
      </c>
      <c r="P114" s="18"/>
      <c r="Q114" s="106">
        <v>125.93</v>
      </c>
      <c r="R114" s="18"/>
      <c r="S114" s="106">
        <v>65.069999999999993</v>
      </c>
      <c r="T114" s="18"/>
      <c r="U114" s="106">
        <v>60.08</v>
      </c>
      <c r="V114" s="18"/>
      <c r="W114" s="106">
        <v>70.95</v>
      </c>
      <c r="X114" s="18"/>
      <c r="Y114" s="106">
        <v>66.819999999999993</v>
      </c>
      <c r="Z114" s="18"/>
      <c r="AA114" s="106">
        <v>28.26</v>
      </c>
      <c r="AB114" s="18"/>
      <c r="AC114" s="106">
        <v>-5.93</v>
      </c>
      <c r="AD114" s="18"/>
      <c r="AE114" s="106">
        <f t="shared" si="7"/>
        <v>676.6</v>
      </c>
      <c r="AF114" s="34"/>
      <c r="AG114" s="34"/>
      <c r="AH114" s="34"/>
    </row>
    <row r="115" spans="1:34">
      <c r="A115" s="6"/>
      <c r="B115" s="6"/>
      <c r="C115" s="6"/>
      <c r="D115" s="6" t="s">
        <v>937</v>
      </c>
      <c r="E115" s="6"/>
      <c r="F115" s="6"/>
      <c r="G115" s="21">
        <f>ROUND(SUM(G111:G114),5)</f>
        <v>3860.67</v>
      </c>
      <c r="H115" s="18"/>
      <c r="I115" s="21">
        <f>ROUND(SUM(I111:I114),5)</f>
        <v>3798.16</v>
      </c>
      <c r="J115" s="18"/>
      <c r="K115" s="21">
        <f>ROUND(SUM(K111:K114),5)</f>
        <v>3897.94</v>
      </c>
      <c r="L115" s="18"/>
      <c r="M115" s="21">
        <f>ROUND(SUM(M111:M114),5)</f>
        <v>3830.34</v>
      </c>
      <c r="N115" s="18"/>
      <c r="O115" s="21">
        <f>ROUND(SUM(O111:O114),5)</f>
        <v>3839.11</v>
      </c>
      <c r="P115" s="18"/>
      <c r="Q115" s="21">
        <f>ROUND(SUM(Q111:Q114),5)</f>
        <v>3918.09</v>
      </c>
      <c r="R115" s="18"/>
      <c r="S115" s="21">
        <f>ROUND(SUM(S111:S114),5)</f>
        <v>-21969.41</v>
      </c>
      <c r="T115" s="18"/>
      <c r="U115" s="21">
        <f>ROUND(SUM(U111:U114),5)</f>
        <v>3718.6</v>
      </c>
      <c r="V115" s="18"/>
      <c r="W115" s="21">
        <f>ROUND(SUM(W111:W114),5)</f>
        <v>3729.47</v>
      </c>
      <c r="X115" s="18"/>
      <c r="Y115" s="21">
        <f>ROUND(SUM(Y111:Y114),5)</f>
        <v>3725.34</v>
      </c>
      <c r="Z115" s="18"/>
      <c r="AA115" s="21">
        <f>ROUND(SUM(AA111:AA114),5)</f>
        <v>3686.78</v>
      </c>
      <c r="AB115" s="18"/>
      <c r="AC115" s="21">
        <f>ROUND(SUM(AC111:AC114),5)</f>
        <v>-9155.67</v>
      </c>
      <c r="AD115" s="18"/>
      <c r="AE115" s="21">
        <f t="shared" si="7"/>
        <v>6879.42</v>
      </c>
      <c r="AF115" s="34"/>
      <c r="AG115" s="34"/>
      <c r="AH115" s="34"/>
    </row>
    <row r="116" spans="1:34" ht="15" thickBot="1">
      <c r="A116" s="6"/>
      <c r="B116" s="6"/>
      <c r="C116" s="6"/>
      <c r="D116" s="6" t="s">
        <v>938</v>
      </c>
      <c r="E116" s="6"/>
      <c r="F116" s="6"/>
      <c r="G116" s="22">
        <v>0</v>
      </c>
      <c r="H116" s="18"/>
      <c r="I116" s="22">
        <v>0</v>
      </c>
      <c r="J116" s="18"/>
      <c r="K116" s="22">
        <v>0</v>
      </c>
      <c r="L116" s="18"/>
      <c r="M116" s="22">
        <v>0</v>
      </c>
      <c r="N116" s="18"/>
      <c r="O116" s="22">
        <v>0</v>
      </c>
      <c r="P116" s="18"/>
      <c r="Q116" s="22">
        <v>0</v>
      </c>
      <c r="R116" s="18"/>
      <c r="S116" s="22">
        <v>2750</v>
      </c>
      <c r="T116" s="18"/>
      <c r="U116" s="22">
        <v>0</v>
      </c>
      <c r="V116" s="18"/>
      <c r="W116" s="22">
        <v>0</v>
      </c>
      <c r="X116" s="18"/>
      <c r="Y116" s="22">
        <v>0</v>
      </c>
      <c r="Z116" s="18"/>
      <c r="AA116" s="22">
        <v>0</v>
      </c>
      <c r="AB116" s="18"/>
      <c r="AC116" s="22">
        <v>0</v>
      </c>
      <c r="AD116" s="18"/>
      <c r="AE116" s="22">
        <f t="shared" si="7"/>
        <v>2750</v>
      </c>
      <c r="AF116" s="34"/>
      <c r="AG116" s="34"/>
      <c r="AH116" s="34"/>
    </row>
    <row r="117" spans="1:34" ht="15" thickBot="1">
      <c r="A117" s="6"/>
      <c r="B117" s="6"/>
      <c r="C117" s="6" t="s">
        <v>939</v>
      </c>
      <c r="D117" s="6"/>
      <c r="E117" s="6"/>
      <c r="F117" s="6"/>
      <c r="G117" s="23">
        <f>ROUND(G110+SUM(G115:G116),5)</f>
        <v>3860.67</v>
      </c>
      <c r="H117" s="18"/>
      <c r="I117" s="23">
        <f>ROUND(I110+SUM(I115:I116),5)</f>
        <v>3798.16</v>
      </c>
      <c r="J117" s="18"/>
      <c r="K117" s="23">
        <f>ROUND(K110+SUM(K115:K116),5)</f>
        <v>3897.94</v>
      </c>
      <c r="L117" s="18"/>
      <c r="M117" s="23">
        <f>ROUND(M110+SUM(M115:M116),5)</f>
        <v>3830.34</v>
      </c>
      <c r="N117" s="18"/>
      <c r="O117" s="23">
        <f>ROUND(O110+SUM(O115:O116),5)</f>
        <v>3839.11</v>
      </c>
      <c r="P117" s="18"/>
      <c r="Q117" s="23">
        <f>ROUND(Q110+SUM(Q115:Q116),5)</f>
        <v>3918.09</v>
      </c>
      <c r="R117" s="18"/>
      <c r="S117" s="23">
        <f>ROUND(S110+SUM(S115:S116),5)</f>
        <v>-19219.41</v>
      </c>
      <c r="T117" s="18"/>
      <c r="U117" s="23">
        <f>ROUND(U110+SUM(U115:U116),5)</f>
        <v>3718.6</v>
      </c>
      <c r="V117" s="18"/>
      <c r="W117" s="23">
        <f>ROUND(W110+SUM(W115:W116),5)</f>
        <v>3729.47</v>
      </c>
      <c r="X117" s="18"/>
      <c r="Y117" s="23">
        <f>ROUND(Y110+SUM(Y115:Y116),5)</f>
        <v>3725.34</v>
      </c>
      <c r="Z117" s="18"/>
      <c r="AA117" s="23">
        <f>ROUND(AA110+SUM(AA115:AA116),5)</f>
        <v>3686.78</v>
      </c>
      <c r="AB117" s="18"/>
      <c r="AC117" s="23">
        <f>ROUND(AC110+SUM(AC115:AC116),5)</f>
        <v>-9155.67</v>
      </c>
      <c r="AD117" s="18"/>
      <c r="AE117" s="23">
        <f t="shared" si="7"/>
        <v>9629.42</v>
      </c>
      <c r="AF117" s="34"/>
      <c r="AG117" s="34"/>
      <c r="AH117" s="34"/>
    </row>
    <row r="118" spans="1:34" ht="15" thickBot="1">
      <c r="A118" s="6"/>
      <c r="B118" s="6" t="s">
        <v>940</v>
      </c>
      <c r="C118" s="6"/>
      <c r="D118" s="6"/>
      <c r="E118" s="6"/>
      <c r="F118" s="6"/>
      <c r="G118" s="23">
        <f>ROUND(G109-G117,5)</f>
        <v>-3860.67</v>
      </c>
      <c r="H118" s="18"/>
      <c r="I118" s="23">
        <f>ROUND(I109-I117,5)</f>
        <v>-3798.16</v>
      </c>
      <c r="J118" s="18"/>
      <c r="K118" s="23">
        <f>ROUND(K109-K117,5)</f>
        <v>-3897.94</v>
      </c>
      <c r="L118" s="18"/>
      <c r="M118" s="23">
        <f>ROUND(M109-M117,5)</f>
        <v>-3830.34</v>
      </c>
      <c r="N118" s="18"/>
      <c r="O118" s="23">
        <f>ROUND(O109-O117,5)</f>
        <v>-3839.11</v>
      </c>
      <c r="P118" s="18"/>
      <c r="Q118" s="23">
        <f>ROUND(Q109-Q117,5)</f>
        <v>-3918.09</v>
      </c>
      <c r="R118" s="18"/>
      <c r="S118" s="23">
        <f>ROUND(S109-S117,5)</f>
        <v>19219.41</v>
      </c>
      <c r="T118" s="18"/>
      <c r="U118" s="23">
        <f>ROUND(U109-U117,5)</f>
        <v>-3718.6</v>
      </c>
      <c r="V118" s="18"/>
      <c r="W118" s="23">
        <f>ROUND(W109-W117,5)</f>
        <v>-3729.47</v>
      </c>
      <c r="X118" s="18"/>
      <c r="Y118" s="23">
        <f>ROUND(Y109-Y117,5)</f>
        <v>-3725.34</v>
      </c>
      <c r="Z118" s="18"/>
      <c r="AA118" s="23">
        <f>ROUND(AA109-AA117,5)</f>
        <v>-3686.78</v>
      </c>
      <c r="AB118" s="18"/>
      <c r="AC118" s="23">
        <f>ROUND(AC109-AC117,5)</f>
        <v>9155.67</v>
      </c>
      <c r="AD118" s="18"/>
      <c r="AE118" s="23">
        <f t="shared" si="7"/>
        <v>-9629.42</v>
      </c>
      <c r="AF118" s="34"/>
      <c r="AG118" s="34"/>
      <c r="AH118" s="34"/>
    </row>
    <row r="119" spans="1:34" ht="15" thickBot="1">
      <c r="A119" s="6" t="s">
        <v>828</v>
      </c>
      <c r="B119" s="6"/>
      <c r="C119" s="6"/>
      <c r="D119" s="6"/>
      <c r="E119" s="6"/>
      <c r="F119" s="6"/>
      <c r="G119" s="24">
        <f>ROUND(G108+G118,5)</f>
        <v>-10461.790000000001</v>
      </c>
      <c r="H119" s="6"/>
      <c r="I119" s="24">
        <f>ROUND(I108+I118,5)</f>
        <v>-865.72</v>
      </c>
      <c r="J119" s="6"/>
      <c r="K119" s="24">
        <f>ROUND(K108+K118,5)</f>
        <v>-1998.25</v>
      </c>
      <c r="L119" s="6"/>
      <c r="M119" s="24">
        <f>ROUND(M108+M118,5)</f>
        <v>-2430.56</v>
      </c>
      <c r="N119" s="6"/>
      <c r="O119" s="24">
        <f>ROUND(O108+O118,5)</f>
        <v>3092.92</v>
      </c>
      <c r="P119" s="6"/>
      <c r="Q119" s="24">
        <f>ROUND(Q108+Q118,5)</f>
        <v>1588.77</v>
      </c>
      <c r="R119" s="6"/>
      <c r="S119" s="24">
        <f>ROUND(S108+S118,5)</f>
        <v>29841.68</v>
      </c>
      <c r="T119" s="6"/>
      <c r="U119" s="24">
        <f>ROUND(U108+U118,5)</f>
        <v>1128.21</v>
      </c>
      <c r="V119" s="6"/>
      <c r="W119" s="24">
        <f>ROUND(W108+W118,5)</f>
        <v>5333.44</v>
      </c>
      <c r="X119" s="6"/>
      <c r="Y119" s="24">
        <f>ROUND(Y108+Y118,5)</f>
        <v>-2751.27</v>
      </c>
      <c r="Z119" s="6"/>
      <c r="AA119" s="24">
        <f>ROUND(AA108+AA118,5)</f>
        <v>-1389.79</v>
      </c>
      <c r="AB119" s="6"/>
      <c r="AC119" s="24">
        <f>ROUND(AC108+AC118,5)</f>
        <v>-1045.3399999999999</v>
      </c>
      <c r="AD119" s="6"/>
      <c r="AE119" s="24">
        <f t="shared" si="7"/>
        <v>20042.3</v>
      </c>
      <c r="AF119" s="7"/>
      <c r="AG119" s="7"/>
      <c r="AH119" s="7"/>
    </row>
    <row r="120" spans="1:34" ht="15" thickTop="1">
      <c r="A120" s="108"/>
      <c r="B120" s="108"/>
      <c r="C120" s="108"/>
      <c r="D120" s="108"/>
      <c r="E120" s="108"/>
      <c r="F120" s="108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4"/>
      <c r="AG120" s="34"/>
      <c r="AH120" s="34"/>
    </row>
    <row r="121" spans="1:34">
      <c r="A121" s="108"/>
      <c r="B121" s="108"/>
      <c r="C121" s="108"/>
      <c r="D121" s="108"/>
      <c r="E121" s="108"/>
      <c r="F121" s="108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34"/>
      <c r="AG121" s="34"/>
      <c r="AH121" s="34"/>
    </row>
    <row r="122" spans="1:34">
      <c r="A122" s="108"/>
      <c r="B122" s="108"/>
      <c r="C122" s="108"/>
      <c r="D122" s="108"/>
      <c r="E122" s="108"/>
      <c r="F122" s="108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34"/>
      <c r="AG122" s="34"/>
      <c r="AH122" s="34"/>
    </row>
    <row r="123" spans="1:34">
      <c r="A123" s="108"/>
      <c r="B123" s="108"/>
      <c r="C123" s="108"/>
      <c r="D123" s="108"/>
      <c r="E123" s="108"/>
      <c r="F123" s="10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34"/>
      <c r="AG123" s="34"/>
      <c r="AH123" s="34"/>
    </row>
    <row r="124" spans="1:34">
      <c r="A124" s="108"/>
      <c r="B124" s="108"/>
      <c r="C124" s="108"/>
      <c r="D124" s="108"/>
      <c r="E124" s="108"/>
      <c r="F124" s="10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34"/>
      <c r="AG124" s="34"/>
      <c r="AH124" s="34"/>
    </row>
    <row r="125" spans="1:34">
      <c r="A125" s="108"/>
      <c r="B125" s="108"/>
      <c r="C125" s="108"/>
      <c r="D125" s="108"/>
      <c r="E125" s="108"/>
      <c r="F125" s="10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34"/>
      <c r="AG125" s="34"/>
      <c r="AH125" s="34"/>
    </row>
    <row r="126" spans="1:34">
      <c r="A126" s="108"/>
      <c r="B126" s="108"/>
      <c r="C126" s="108"/>
      <c r="D126" s="108"/>
      <c r="E126" s="108"/>
      <c r="F126" s="10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34"/>
      <c r="AG126" s="34"/>
      <c r="AH126" s="34"/>
    </row>
    <row r="127" spans="1:34">
      <c r="A127" s="108"/>
      <c r="B127" s="108"/>
      <c r="C127" s="108"/>
      <c r="D127" s="108"/>
      <c r="E127" s="108"/>
      <c r="F127" s="10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34"/>
      <c r="AG127" s="34"/>
      <c r="AH127" s="34"/>
    </row>
    <row r="128" spans="1:34">
      <c r="A128" s="108"/>
      <c r="B128" s="108"/>
      <c r="C128" s="108"/>
      <c r="D128" s="108"/>
      <c r="E128" s="108"/>
      <c r="F128" s="10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34"/>
      <c r="AG128" s="34"/>
      <c r="AH128" s="34"/>
    </row>
    <row r="129" spans="1:34">
      <c r="A129" s="108"/>
      <c r="B129" s="108"/>
      <c r="C129" s="108"/>
      <c r="D129" s="108"/>
      <c r="E129" s="108"/>
      <c r="F129" s="10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34"/>
      <c r="AG129" s="34"/>
      <c r="AH129" s="34"/>
    </row>
    <row r="130" spans="1:34">
      <c r="A130" s="108"/>
      <c r="B130" s="108"/>
      <c r="C130" s="108"/>
      <c r="D130" s="108"/>
      <c r="E130" s="108"/>
      <c r="F130" s="10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34"/>
      <c r="AG130" s="34"/>
      <c r="AH130" s="34"/>
    </row>
    <row r="131" spans="1:34">
      <c r="A131" s="108"/>
      <c r="B131" s="108"/>
      <c r="C131" s="108"/>
      <c r="D131" s="108"/>
      <c r="E131" s="108"/>
      <c r="F131" s="10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34"/>
      <c r="AG131" s="34"/>
      <c r="AH131" s="34"/>
    </row>
    <row r="132" spans="1:34">
      <c r="A132" s="108"/>
      <c r="B132" s="108"/>
      <c r="C132" s="108"/>
      <c r="D132" s="108"/>
      <c r="E132" s="108"/>
      <c r="F132" s="10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34"/>
      <c r="AG132" s="34"/>
      <c r="AH132" s="34"/>
    </row>
    <row r="133" spans="1:34">
      <c r="A133" s="108"/>
      <c r="B133" s="108"/>
      <c r="C133" s="108"/>
      <c r="D133" s="108"/>
      <c r="E133" s="108"/>
      <c r="F133" s="10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34"/>
      <c r="AG133" s="34"/>
      <c r="AH133" s="34"/>
    </row>
    <row r="134" spans="1:34">
      <c r="A134" s="108"/>
      <c r="B134" s="108"/>
      <c r="C134" s="108"/>
      <c r="D134" s="108"/>
      <c r="E134" s="108"/>
      <c r="F134" s="10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34"/>
      <c r="AG134" s="34"/>
      <c r="AH134" s="34"/>
    </row>
    <row r="135" spans="1:34">
      <c r="A135" s="108"/>
      <c r="B135" s="108"/>
      <c r="C135" s="108"/>
      <c r="D135" s="108"/>
      <c r="E135" s="108"/>
      <c r="F135" s="10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34"/>
      <c r="AG135" s="34"/>
      <c r="AH135" s="34"/>
    </row>
    <row r="136" spans="1:34">
      <c r="A136" s="108"/>
      <c r="B136" s="108"/>
      <c r="C136" s="108"/>
      <c r="D136" s="108"/>
      <c r="E136" s="108"/>
      <c r="F136" s="10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34"/>
      <c r="AG136" s="34"/>
      <c r="AH136" s="34"/>
    </row>
    <row r="137" spans="1:34">
      <c r="A137" s="108"/>
      <c r="B137" s="108"/>
      <c r="C137" s="108"/>
      <c r="D137" s="108"/>
      <c r="E137" s="108"/>
      <c r="F137" s="10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34"/>
      <c r="AG137" s="34"/>
      <c r="AH137" s="34"/>
    </row>
    <row r="138" spans="1:34">
      <c r="A138" s="108"/>
      <c r="B138" s="108"/>
      <c r="C138" s="108"/>
      <c r="D138" s="108"/>
      <c r="E138" s="108"/>
      <c r="F138" s="10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34"/>
      <c r="AG138" s="34"/>
      <c r="AH138" s="34"/>
    </row>
    <row r="139" spans="1:34">
      <c r="A139" s="108"/>
      <c r="B139" s="108"/>
      <c r="C139" s="108"/>
      <c r="D139" s="108"/>
      <c r="E139" s="108"/>
      <c r="F139" s="10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34"/>
      <c r="AG139" s="34"/>
      <c r="AH139" s="34"/>
    </row>
    <row r="140" spans="1:34">
      <c r="A140" s="108"/>
      <c r="B140" s="108"/>
      <c r="C140" s="108"/>
      <c r="D140" s="108"/>
      <c r="E140" s="108"/>
      <c r="F140" s="10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34"/>
      <c r="AG140" s="34"/>
      <c r="AH140" s="34"/>
    </row>
    <row r="141" spans="1:34">
      <c r="A141" s="108"/>
      <c r="B141" s="108"/>
      <c r="C141" s="108"/>
      <c r="D141" s="108"/>
      <c r="E141" s="108"/>
      <c r="F141" s="10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34"/>
      <c r="AG141" s="34"/>
      <c r="AH141" s="34"/>
    </row>
    <row r="142" spans="1:34">
      <c r="A142" s="108"/>
      <c r="B142" s="108"/>
      <c r="C142" s="108"/>
      <c r="D142" s="108"/>
      <c r="E142" s="108"/>
      <c r="F142" s="10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34"/>
      <c r="AG142" s="34"/>
      <c r="AH142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19" workbookViewId="0"/>
  </sheetViews>
  <sheetFormatPr defaultRowHeight="14.4"/>
  <cols>
    <col min="3" max="3" width="7" customWidth="1"/>
    <col min="4" max="4" width="15.33203125" customWidth="1"/>
    <col min="5" max="5" width="16.44140625" customWidth="1"/>
    <col min="6" max="7" width="9.5546875" bestFit="1" customWidth="1"/>
    <col min="8" max="8" width="10.88671875" bestFit="1" customWidth="1"/>
    <col min="9" max="9" width="12.33203125" bestFit="1" customWidth="1"/>
    <col min="10" max="10" width="11.44140625" bestFit="1" customWidth="1"/>
    <col min="11" max="11" width="10.88671875" bestFit="1" customWidth="1"/>
    <col min="12" max="12" width="9.88671875" bestFit="1" customWidth="1"/>
    <col min="13" max="13" width="11.44140625" bestFit="1" customWidth="1"/>
    <col min="15" max="15" width="11.44140625" bestFit="1" customWidth="1"/>
    <col min="16" max="16" width="11" bestFit="1" customWidth="1"/>
    <col min="18" max="18" width="10.33203125" bestFit="1" customWidth="1"/>
  </cols>
  <sheetData>
    <row r="1" spans="1:23" ht="25.8">
      <c r="A1" s="1" t="s">
        <v>682</v>
      </c>
    </row>
    <row r="2" spans="1:23" ht="21">
      <c r="A2" s="28"/>
      <c r="B2" s="28"/>
      <c r="C2" s="28"/>
      <c r="D2" s="28" t="s">
        <v>683</v>
      </c>
      <c r="E2" s="28" t="s">
        <v>684</v>
      </c>
      <c r="F2" s="28" t="s">
        <v>502</v>
      </c>
      <c r="G2" s="28" t="s">
        <v>498</v>
      </c>
      <c r="H2" s="28" t="s">
        <v>497</v>
      </c>
      <c r="I2" s="28" t="s">
        <v>495</v>
      </c>
      <c r="J2" s="28" t="s">
        <v>499</v>
      </c>
      <c r="K2" s="28" t="s">
        <v>500</v>
      </c>
      <c r="L2" s="28" t="s">
        <v>685</v>
      </c>
      <c r="M2" s="28" t="s">
        <v>503</v>
      </c>
      <c r="N2" s="28" t="s">
        <v>592</v>
      </c>
      <c r="O2" s="28" t="s">
        <v>636</v>
      </c>
      <c r="P2" s="28" t="s">
        <v>648</v>
      </c>
      <c r="Q2" s="28"/>
      <c r="R2" s="28" t="s">
        <v>23</v>
      </c>
      <c r="S2" s="28"/>
      <c r="T2" s="28"/>
      <c r="U2" s="28"/>
      <c r="V2" s="28"/>
    </row>
    <row r="3" spans="1:23" ht="21">
      <c r="D3" s="3" t="s">
        <v>686</v>
      </c>
      <c r="E3" s="3" t="s">
        <v>689</v>
      </c>
      <c r="F3" s="3" t="s">
        <v>692</v>
      </c>
      <c r="G3" s="3" t="s">
        <v>692</v>
      </c>
      <c r="H3" s="3" t="s">
        <v>692</v>
      </c>
      <c r="I3" s="3" t="s">
        <v>697</v>
      </c>
      <c r="J3" s="3" t="s">
        <v>692</v>
      </c>
      <c r="K3" s="3" t="s">
        <v>703</v>
      </c>
      <c r="L3" s="3" t="s">
        <v>692</v>
      </c>
      <c r="M3" s="3" t="s">
        <v>692</v>
      </c>
      <c r="N3" s="3" t="s">
        <v>692</v>
      </c>
      <c r="O3" s="3" t="s">
        <v>692</v>
      </c>
      <c r="P3" s="3" t="s">
        <v>692</v>
      </c>
      <c r="Q3" s="3"/>
      <c r="R3" s="3" t="s">
        <v>711</v>
      </c>
      <c r="S3" s="3"/>
      <c r="W3" s="28"/>
    </row>
    <row r="4" spans="1:23">
      <c r="D4" s="3" t="s">
        <v>687</v>
      </c>
      <c r="E4" s="3" t="s">
        <v>690</v>
      </c>
      <c r="F4" s="3" t="s">
        <v>417</v>
      </c>
      <c r="G4" s="3" t="s">
        <v>693</v>
      </c>
      <c r="H4" s="3" t="s">
        <v>15</v>
      </c>
      <c r="I4" s="3" t="s">
        <v>698</v>
      </c>
      <c r="J4" s="3" t="s">
        <v>700</v>
      </c>
      <c r="K4" s="3" t="s">
        <v>696</v>
      </c>
      <c r="L4" s="3" t="s">
        <v>715</v>
      </c>
      <c r="M4" s="3" t="s">
        <v>704</v>
      </c>
      <c r="N4" s="3" t="s">
        <v>706</v>
      </c>
      <c r="O4" s="3" t="s">
        <v>708</v>
      </c>
      <c r="P4" s="3" t="s">
        <v>673</v>
      </c>
      <c r="Q4" s="3"/>
      <c r="R4" s="3" t="s">
        <v>16</v>
      </c>
      <c r="S4" s="3"/>
    </row>
    <row r="5" spans="1:23">
      <c r="D5" s="3" t="s">
        <v>688</v>
      </c>
      <c r="E5" s="3" t="s">
        <v>691</v>
      </c>
      <c r="F5" s="3" t="s">
        <v>16</v>
      </c>
      <c r="G5" s="3" t="s">
        <v>694</v>
      </c>
      <c r="H5" s="3" t="s">
        <v>695</v>
      </c>
      <c r="I5" s="3" t="s">
        <v>699</v>
      </c>
      <c r="J5" s="3" t="s">
        <v>701</v>
      </c>
      <c r="K5" s="3" t="s">
        <v>713</v>
      </c>
      <c r="L5" s="103">
        <v>0.16</v>
      </c>
      <c r="M5" s="3" t="s">
        <v>705</v>
      </c>
      <c r="N5" s="3" t="s">
        <v>707</v>
      </c>
      <c r="O5" s="3" t="s">
        <v>702</v>
      </c>
      <c r="P5" s="3" t="s">
        <v>709</v>
      </c>
      <c r="Q5" s="3"/>
      <c r="R5" s="3" t="s">
        <v>712</v>
      </c>
      <c r="S5" s="3"/>
    </row>
    <row r="6" spans="1:23">
      <c r="D6" s="3" t="s">
        <v>679</v>
      </c>
      <c r="E6" s="3"/>
      <c r="F6" s="3"/>
      <c r="G6" s="3" t="s">
        <v>16</v>
      </c>
      <c r="H6" s="3" t="s">
        <v>696</v>
      </c>
      <c r="I6" s="3" t="s">
        <v>17</v>
      </c>
      <c r="J6" s="3" t="s">
        <v>702</v>
      </c>
      <c r="K6" s="3" t="s">
        <v>407</v>
      </c>
      <c r="L6" s="3" t="s">
        <v>716</v>
      </c>
      <c r="M6" s="3" t="s">
        <v>702</v>
      </c>
      <c r="N6" s="3" t="s">
        <v>415</v>
      </c>
      <c r="O6" s="3" t="s">
        <v>16</v>
      </c>
      <c r="P6" s="3" t="s">
        <v>710</v>
      </c>
      <c r="Q6" s="3"/>
      <c r="R6" s="3"/>
      <c r="S6" s="3"/>
    </row>
    <row r="7" spans="1:23" ht="15.6">
      <c r="A7" s="42" t="s">
        <v>353</v>
      </c>
      <c r="T7" s="3"/>
    </row>
    <row r="8" spans="1:23">
      <c r="A8" s="36" t="s">
        <v>354</v>
      </c>
      <c r="R8">
        <f>SUM(D8:Q8)</f>
        <v>0</v>
      </c>
    </row>
    <row r="9" spans="1:23">
      <c r="A9" s="36" t="s">
        <v>355</v>
      </c>
      <c r="R9" s="34">
        <f t="shared" ref="R9:R15" si="0">SUM(D9:Q9)</f>
        <v>0</v>
      </c>
    </row>
    <row r="10" spans="1:23">
      <c r="A10" s="36" t="s">
        <v>356</v>
      </c>
      <c r="R10" s="34">
        <f t="shared" si="0"/>
        <v>0</v>
      </c>
    </row>
    <row r="11" spans="1:23">
      <c r="A11" s="36" t="s">
        <v>357</v>
      </c>
      <c r="R11" s="34">
        <f t="shared" si="0"/>
        <v>0</v>
      </c>
    </row>
    <row r="12" spans="1:23">
      <c r="A12" s="46" t="s">
        <v>399</v>
      </c>
      <c r="R12" s="34">
        <f t="shared" si="0"/>
        <v>0</v>
      </c>
    </row>
    <row r="13" spans="1:23">
      <c r="A13" s="34"/>
      <c r="R13" s="34">
        <f t="shared" si="0"/>
        <v>0</v>
      </c>
    </row>
    <row r="14" spans="1:23">
      <c r="A14" s="36" t="s">
        <v>358</v>
      </c>
      <c r="R14" s="34">
        <f t="shared" si="0"/>
        <v>0</v>
      </c>
    </row>
    <row r="15" spans="1:23">
      <c r="A15" s="36" t="s">
        <v>359</v>
      </c>
      <c r="D15">
        <v>-1218</v>
      </c>
      <c r="R15" s="34">
        <f t="shared" si="0"/>
        <v>-1218</v>
      </c>
    </row>
    <row r="16" spans="1:23">
      <c r="A16" s="51" t="s">
        <v>360</v>
      </c>
    </row>
    <row r="17" spans="1:18">
      <c r="A17" s="34"/>
    </row>
    <row r="18" spans="1:18">
      <c r="A18" s="34" t="s">
        <v>361</v>
      </c>
      <c r="R18" s="51">
        <f>SUM(R8:R17)</f>
        <v>-1218</v>
      </c>
    </row>
    <row r="19" spans="1:18">
      <c r="A19" s="34"/>
    </row>
    <row r="20" spans="1:18">
      <c r="A20" s="34"/>
    </row>
    <row r="21" spans="1:18">
      <c r="A21" s="34"/>
    </row>
    <row r="22" spans="1:18">
      <c r="A22" s="34"/>
    </row>
    <row r="23" spans="1:18" ht="15.6">
      <c r="A23" s="42" t="s">
        <v>362</v>
      </c>
    </row>
    <row r="24" spans="1:18">
      <c r="A24" s="36"/>
    </row>
    <row r="25" spans="1:18">
      <c r="A25" s="36"/>
    </row>
    <row r="26" spans="1:18">
      <c r="A26" s="36" t="s">
        <v>363</v>
      </c>
      <c r="R26">
        <f>SUM(D26:Q26)</f>
        <v>0</v>
      </c>
    </row>
    <row r="27" spans="1:18">
      <c r="A27" s="36" t="s">
        <v>364</v>
      </c>
      <c r="N27">
        <v>5736</v>
      </c>
      <c r="R27" s="34">
        <f t="shared" ref="R27:R64" si="1">SUM(D27:Q27)</f>
        <v>5736</v>
      </c>
    </row>
    <row r="28" spans="1:18">
      <c r="A28" s="36" t="s">
        <v>365</v>
      </c>
      <c r="R28" s="34">
        <f t="shared" si="1"/>
        <v>0</v>
      </c>
    </row>
    <row r="29" spans="1:18">
      <c r="A29" s="36" t="s">
        <v>366</v>
      </c>
      <c r="H29">
        <v>3009</v>
      </c>
      <c r="R29" s="34">
        <f t="shared" si="1"/>
        <v>3009</v>
      </c>
    </row>
    <row r="30" spans="1:18">
      <c r="A30" s="36" t="s">
        <v>367</v>
      </c>
      <c r="R30" s="34">
        <f t="shared" si="1"/>
        <v>0</v>
      </c>
    </row>
    <row r="31" spans="1:18">
      <c r="A31" s="36"/>
      <c r="R31" s="34">
        <f t="shared" si="1"/>
        <v>0</v>
      </c>
    </row>
    <row r="32" spans="1:18">
      <c r="A32" s="36" t="s">
        <v>368</v>
      </c>
      <c r="R32" s="34">
        <f t="shared" si="1"/>
        <v>0</v>
      </c>
    </row>
    <row r="33" spans="1:18">
      <c r="A33" s="36" t="s">
        <v>369</v>
      </c>
      <c r="G33">
        <v>5032</v>
      </c>
      <c r="R33" s="34">
        <f t="shared" si="1"/>
        <v>5032</v>
      </c>
    </row>
    <row r="34" spans="1:18">
      <c r="A34" s="36" t="s">
        <v>357</v>
      </c>
      <c r="G34">
        <v>963</v>
      </c>
      <c r="R34" s="34">
        <f t="shared" si="1"/>
        <v>963</v>
      </c>
    </row>
    <row r="35" spans="1:18">
      <c r="A35" s="36" t="s">
        <v>370</v>
      </c>
      <c r="R35" s="34">
        <f t="shared" si="1"/>
        <v>0</v>
      </c>
    </row>
    <row r="36" spans="1:18">
      <c r="A36" s="36" t="s">
        <v>371</v>
      </c>
      <c r="M36">
        <v>536</v>
      </c>
      <c r="R36" s="34">
        <f t="shared" si="1"/>
        <v>536</v>
      </c>
    </row>
    <row r="37" spans="1:18">
      <c r="A37" s="36" t="s">
        <v>372</v>
      </c>
      <c r="M37">
        <v>3050</v>
      </c>
      <c r="R37" s="34">
        <f t="shared" si="1"/>
        <v>3050</v>
      </c>
    </row>
    <row r="38" spans="1:18">
      <c r="A38" s="36" t="s">
        <v>373</v>
      </c>
      <c r="H38">
        <v>-723</v>
      </c>
      <c r="R38" s="34">
        <f t="shared" si="1"/>
        <v>-723</v>
      </c>
    </row>
    <row r="39" spans="1:18">
      <c r="A39" s="36" t="s">
        <v>374</v>
      </c>
      <c r="R39" s="34">
        <f t="shared" si="1"/>
        <v>0</v>
      </c>
    </row>
    <row r="40" spans="1:18">
      <c r="A40" s="36" t="s">
        <v>401</v>
      </c>
      <c r="R40" s="34">
        <f t="shared" si="1"/>
        <v>0</v>
      </c>
    </row>
    <row r="41" spans="1:18">
      <c r="A41" s="36" t="s">
        <v>376</v>
      </c>
      <c r="H41">
        <v>6657</v>
      </c>
      <c r="R41" s="34">
        <f t="shared" si="1"/>
        <v>6657</v>
      </c>
    </row>
    <row r="42" spans="1:18">
      <c r="A42" s="36" t="s">
        <v>377</v>
      </c>
      <c r="R42" s="34">
        <f t="shared" si="1"/>
        <v>0</v>
      </c>
    </row>
    <row r="43" spans="1:18">
      <c r="A43" s="36" t="s">
        <v>378</v>
      </c>
      <c r="R43" s="34">
        <f t="shared" si="1"/>
        <v>0</v>
      </c>
    </row>
    <row r="44" spans="1:18">
      <c r="A44" s="36" t="s">
        <v>379</v>
      </c>
      <c r="R44" s="34">
        <f t="shared" si="1"/>
        <v>0</v>
      </c>
    </row>
    <row r="45" spans="1:18">
      <c r="A45" s="34" t="s">
        <v>375</v>
      </c>
      <c r="J45">
        <v>4019</v>
      </c>
      <c r="R45" s="34">
        <f t="shared" si="1"/>
        <v>4019</v>
      </c>
    </row>
    <row r="46" spans="1:18">
      <c r="A46" s="36" t="s">
        <v>380</v>
      </c>
      <c r="O46">
        <v>1705</v>
      </c>
      <c r="R46" s="34">
        <f t="shared" si="1"/>
        <v>1705</v>
      </c>
    </row>
    <row r="47" spans="1:18">
      <c r="A47" s="36" t="s">
        <v>381</v>
      </c>
      <c r="F47">
        <v>12377</v>
      </c>
      <c r="R47" s="34">
        <f t="shared" si="1"/>
        <v>12377</v>
      </c>
    </row>
    <row r="48" spans="1:18">
      <c r="A48" s="36" t="s">
        <v>382</v>
      </c>
      <c r="L48" s="332">
        <v>-576</v>
      </c>
      <c r="R48" s="34">
        <f t="shared" si="1"/>
        <v>-576</v>
      </c>
    </row>
    <row r="49" spans="1:18">
      <c r="A49" s="36" t="s">
        <v>383</v>
      </c>
      <c r="I49">
        <v>-916</v>
      </c>
      <c r="R49" s="34">
        <f t="shared" si="1"/>
        <v>-916</v>
      </c>
    </row>
    <row r="50" spans="1:18">
      <c r="A50" s="36" t="s">
        <v>384</v>
      </c>
      <c r="R50" s="34">
        <f t="shared" si="1"/>
        <v>0</v>
      </c>
    </row>
    <row r="51" spans="1:18">
      <c r="A51" s="36" t="s">
        <v>385</v>
      </c>
      <c r="H51">
        <v>599</v>
      </c>
      <c r="R51" s="34">
        <f t="shared" si="1"/>
        <v>599</v>
      </c>
    </row>
    <row r="52" spans="1:18">
      <c r="A52" s="36" t="s">
        <v>402</v>
      </c>
      <c r="H52">
        <v>140</v>
      </c>
      <c r="R52" s="34">
        <f t="shared" si="1"/>
        <v>140</v>
      </c>
    </row>
    <row r="53" spans="1:18">
      <c r="A53" s="36" t="s">
        <v>386</v>
      </c>
      <c r="H53">
        <v>11</v>
      </c>
      <c r="R53" s="34">
        <f t="shared" si="1"/>
        <v>11</v>
      </c>
    </row>
    <row r="54" spans="1:18">
      <c r="A54" s="36" t="s">
        <v>387</v>
      </c>
      <c r="H54">
        <v>13</v>
      </c>
      <c r="R54" s="34">
        <f t="shared" si="1"/>
        <v>13</v>
      </c>
    </row>
    <row r="55" spans="1:18">
      <c r="A55" s="36" t="s">
        <v>403</v>
      </c>
      <c r="R55" s="34">
        <f t="shared" si="1"/>
        <v>0</v>
      </c>
    </row>
    <row r="56" spans="1:18">
      <c r="A56" s="36" t="s">
        <v>388</v>
      </c>
      <c r="R56" s="34">
        <f t="shared" si="1"/>
        <v>0</v>
      </c>
    </row>
    <row r="57" spans="1:18">
      <c r="A57" s="36" t="s">
        <v>389</v>
      </c>
      <c r="R57" s="34">
        <f t="shared" si="1"/>
        <v>0</v>
      </c>
    </row>
    <row r="58" spans="1:18">
      <c r="A58" s="36" t="s">
        <v>404</v>
      </c>
      <c r="R58" s="34">
        <f t="shared" si="1"/>
        <v>0</v>
      </c>
    </row>
    <row r="59" spans="1:18">
      <c r="A59" s="36" t="s">
        <v>409</v>
      </c>
      <c r="E59">
        <v>3600</v>
      </c>
      <c r="R59" s="34">
        <f t="shared" si="1"/>
        <v>3600</v>
      </c>
    </row>
    <row r="60" spans="1:18">
      <c r="A60" s="36"/>
      <c r="R60" s="34">
        <f t="shared" si="1"/>
        <v>0</v>
      </c>
    </row>
    <row r="61" spans="1:18">
      <c r="A61" s="36" t="s">
        <v>391</v>
      </c>
      <c r="R61" s="34">
        <f t="shared" si="1"/>
        <v>0</v>
      </c>
    </row>
    <row r="62" spans="1:18">
      <c r="A62" s="36" t="s">
        <v>392</v>
      </c>
      <c r="R62" s="34">
        <f t="shared" si="1"/>
        <v>0</v>
      </c>
    </row>
    <row r="63" spans="1:18">
      <c r="A63" s="36" t="s">
        <v>390</v>
      </c>
      <c r="P63">
        <v>807</v>
      </c>
      <c r="R63" s="34">
        <f t="shared" si="1"/>
        <v>807</v>
      </c>
    </row>
    <row r="64" spans="1:18">
      <c r="A64" s="36" t="s">
        <v>408</v>
      </c>
      <c r="R64" s="34">
        <f t="shared" si="1"/>
        <v>0</v>
      </c>
    </row>
    <row r="65" spans="1:18">
      <c r="A65" s="46" t="s">
        <v>393</v>
      </c>
      <c r="E65">
        <f>SUM(E26:E64)</f>
        <v>3600</v>
      </c>
      <c r="F65" s="34">
        <f t="shared" ref="F65:P65" si="2">SUM(F26:F64)</f>
        <v>12377</v>
      </c>
      <c r="G65" s="34">
        <f t="shared" si="2"/>
        <v>5995</v>
      </c>
      <c r="H65" s="34">
        <f t="shared" si="2"/>
        <v>9706</v>
      </c>
      <c r="I65" s="34">
        <f t="shared" si="2"/>
        <v>-916</v>
      </c>
      <c r="J65" s="34">
        <f t="shared" si="2"/>
        <v>4019</v>
      </c>
      <c r="K65" s="34">
        <f t="shared" si="2"/>
        <v>0</v>
      </c>
      <c r="L65" s="34">
        <f t="shared" si="2"/>
        <v>-576</v>
      </c>
      <c r="M65" s="34">
        <f t="shared" si="2"/>
        <v>3586</v>
      </c>
      <c r="N65" s="34">
        <f t="shared" si="2"/>
        <v>5736</v>
      </c>
      <c r="O65" s="34">
        <f t="shared" si="2"/>
        <v>1705</v>
      </c>
      <c r="P65" s="34">
        <f t="shared" si="2"/>
        <v>807</v>
      </c>
      <c r="Q65" s="34"/>
      <c r="R65" s="51">
        <f>SUM(R26:R64)</f>
        <v>46039</v>
      </c>
    </row>
    <row r="66" spans="1:18">
      <c r="A66" s="36" t="s">
        <v>405</v>
      </c>
    </row>
    <row r="67" spans="1:18">
      <c r="A67" s="51" t="s">
        <v>406</v>
      </c>
    </row>
    <row r="68" spans="1:18">
      <c r="A68" s="34" t="s">
        <v>407</v>
      </c>
      <c r="K68">
        <v>10275</v>
      </c>
      <c r="R68">
        <f>SUM(K68:Q68)</f>
        <v>10275</v>
      </c>
    </row>
    <row r="69" spans="1:18">
      <c r="A69" s="34"/>
    </row>
    <row r="70" spans="1:18">
      <c r="A70" s="46"/>
    </row>
    <row r="71" spans="1:18">
      <c r="A71" s="34"/>
    </row>
    <row r="72" spans="1:18">
      <c r="A72" s="34"/>
    </row>
    <row r="73" spans="1:18">
      <c r="A73" s="36"/>
    </row>
    <row r="74" spans="1:18">
      <c r="A74" s="46"/>
    </row>
    <row r="75" spans="1:18">
      <c r="A75" s="34"/>
    </row>
    <row r="76" spans="1:18">
      <c r="A76" s="34"/>
    </row>
    <row r="77" spans="1:18">
      <c r="A77" s="34"/>
    </row>
    <row r="78" spans="1:18">
      <c r="A78" s="34"/>
    </row>
    <row r="79" spans="1:18">
      <c r="A79" s="34"/>
    </row>
    <row r="80" spans="1:18">
      <c r="A80" s="34"/>
    </row>
    <row r="81" spans="1:1">
      <c r="A81" s="51"/>
    </row>
    <row r="82" spans="1:1">
      <c r="A82" s="51"/>
    </row>
    <row r="83" spans="1:1">
      <c r="A83" s="51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90" spans="1:1">
      <c r="A90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</sheetData>
  <printOptions gridLine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O297"/>
  <sheetViews>
    <sheetView workbookViewId="0">
      <selection activeCell="J148" sqref="J148"/>
    </sheetView>
  </sheetViews>
  <sheetFormatPr defaultColWidth="9.109375" defaultRowHeight="13.2"/>
  <cols>
    <col min="1" max="1" width="10.6640625" style="323" customWidth="1"/>
    <col min="2" max="2" width="35.109375" style="323" customWidth="1"/>
    <col min="3" max="3" width="13.6640625" style="323" customWidth="1"/>
    <col min="4" max="4" width="8.88671875" style="323" bestFit="1" customWidth="1"/>
    <col min="5" max="5" width="10.5546875" style="323" bestFit="1" customWidth="1"/>
    <col min="6" max="6" width="11.88671875" style="323" bestFit="1" customWidth="1"/>
    <col min="7" max="7" width="6.44140625" style="323" customWidth="1"/>
    <col min="8" max="8" width="11.5546875" style="323" customWidth="1"/>
    <col min="9" max="9" width="10.5546875" style="323" customWidth="1"/>
    <col min="10" max="10" width="14.6640625" style="323" customWidth="1"/>
    <col min="11" max="11" width="11.44140625" style="323" bestFit="1" customWidth="1"/>
    <col min="12" max="12" width="9.44140625" style="323" bestFit="1" customWidth="1"/>
    <col min="13" max="16384" width="9.109375" style="323"/>
  </cols>
  <sheetData>
    <row r="1" spans="2:11">
      <c r="B1" s="322" t="s">
        <v>340</v>
      </c>
      <c r="H1" s="324"/>
      <c r="I1" s="324"/>
    </row>
    <row r="2" spans="2:11">
      <c r="B2" s="322" t="s">
        <v>1067</v>
      </c>
    </row>
    <row r="3" spans="2:11">
      <c r="B3" s="322" t="s">
        <v>1088</v>
      </c>
      <c r="H3" s="378">
        <f ca="1">'LG Nonpublic 2018 V5.2a'!K22+H2</f>
        <v>0.1322493934817468</v>
      </c>
      <c r="I3" s="327" t="s">
        <v>1231</v>
      </c>
    </row>
    <row r="4" spans="2:11">
      <c r="B4" s="322" t="s">
        <v>1068</v>
      </c>
      <c r="C4" s="325"/>
      <c r="D4" s="325"/>
      <c r="E4" s="325"/>
      <c r="F4" s="325"/>
      <c r="G4" s="325"/>
      <c r="H4" s="325"/>
      <c r="I4" s="325"/>
      <c r="J4" s="325"/>
    </row>
    <row r="5" spans="2:11" ht="24.75" customHeight="1">
      <c r="B5" s="322"/>
      <c r="C5" s="325"/>
      <c r="D5" s="325"/>
      <c r="E5" s="325"/>
      <c r="F5" s="325"/>
      <c r="G5" s="325"/>
      <c r="H5" s="325" t="s">
        <v>1092</v>
      </c>
      <c r="I5" s="325"/>
      <c r="J5" s="394"/>
      <c r="K5" s="326"/>
    </row>
    <row r="6" spans="2:11">
      <c r="B6" s="322"/>
      <c r="C6" s="325"/>
      <c r="D6" s="325"/>
      <c r="E6" s="325"/>
      <c r="F6" s="325"/>
      <c r="G6" s="325"/>
      <c r="H6" s="325"/>
      <c r="I6" s="325"/>
      <c r="J6" s="325"/>
      <c r="K6" s="326"/>
    </row>
    <row r="7" spans="2:11">
      <c r="B7" s="322" t="s">
        <v>1071</v>
      </c>
      <c r="C7" s="325"/>
      <c r="D7" s="325"/>
      <c r="E7" s="325"/>
      <c r="F7" s="325"/>
      <c r="G7" s="325"/>
      <c r="H7" s="325"/>
      <c r="I7" s="325"/>
      <c r="J7" s="325"/>
      <c r="K7" s="326"/>
    </row>
    <row r="8" spans="2:11">
      <c r="B8" s="323" t="s">
        <v>354</v>
      </c>
      <c r="F8" s="327"/>
      <c r="H8" s="323">
        <f>'RESULTS OF OPERATIONS'!H9</f>
        <v>292333</v>
      </c>
      <c r="K8" s="326"/>
    </row>
    <row r="9" spans="2:11">
      <c r="B9" s="323" t="s">
        <v>355</v>
      </c>
      <c r="F9" s="327"/>
      <c r="H9" s="323">
        <f>'RESULTS OF OPERATIONS'!H10</f>
        <v>172643</v>
      </c>
    </row>
    <row r="10" spans="2:11">
      <c r="B10" s="323" t="s">
        <v>1072</v>
      </c>
      <c r="F10" s="327"/>
      <c r="H10" s="345">
        <f>'RESULTS OF OPERATIONS'!H11</f>
        <v>27514</v>
      </c>
    </row>
    <row r="11" spans="2:11">
      <c r="F11" s="327"/>
      <c r="H11" s="323">
        <f>SUM(H8:H10)</f>
        <v>492490</v>
      </c>
      <c r="K11" s="326"/>
    </row>
    <row r="12" spans="2:11">
      <c r="C12" s="324"/>
      <c r="D12" s="324"/>
      <c r="E12" s="324"/>
      <c r="F12" s="328"/>
      <c r="K12" s="329"/>
    </row>
    <row r="13" spans="2:11">
      <c r="C13" s="324"/>
      <c r="D13" s="324"/>
      <c r="E13" s="324"/>
      <c r="G13" s="375" t="s">
        <v>1218</v>
      </c>
      <c r="H13" s="323">
        <f>F138</f>
        <v>490229.16126338131</v>
      </c>
    </row>
    <row r="14" spans="2:11">
      <c r="B14" s="324"/>
      <c r="C14" s="324"/>
      <c r="F14" s="324"/>
      <c r="G14" s="376" t="s">
        <v>1219</v>
      </c>
      <c r="H14" s="374">
        <f>(H11-H13)/H11</f>
        <v>4.5906287165601214E-3</v>
      </c>
      <c r="I14" s="324"/>
      <c r="J14" s="324"/>
    </row>
    <row r="15" spans="2:11">
      <c r="F15" s="327"/>
    </row>
    <row r="16" spans="2:11">
      <c r="D16" s="322"/>
      <c r="E16" s="322" t="s">
        <v>1073</v>
      </c>
      <c r="F16" s="325" t="s">
        <v>1069</v>
      </c>
      <c r="G16" s="325"/>
      <c r="H16" s="325"/>
      <c r="I16" s="325" t="s">
        <v>1069</v>
      </c>
      <c r="J16" s="325"/>
    </row>
    <row r="17" spans="1:11">
      <c r="A17" s="323" t="s">
        <v>1203</v>
      </c>
      <c r="B17" s="322" t="s">
        <v>1074</v>
      </c>
      <c r="C17" s="322" t="s">
        <v>1126</v>
      </c>
      <c r="D17" s="322"/>
      <c r="E17" s="322" t="s">
        <v>679</v>
      </c>
      <c r="F17" s="325" t="s">
        <v>1070</v>
      </c>
      <c r="G17" s="325"/>
      <c r="H17" s="325"/>
      <c r="I17" s="325" t="s">
        <v>1070</v>
      </c>
      <c r="J17" s="325"/>
    </row>
    <row r="18" spans="1:11">
      <c r="C18" s="322" t="s">
        <v>1073</v>
      </c>
      <c r="D18" s="322" t="s">
        <v>12</v>
      </c>
      <c r="E18" s="322" t="s">
        <v>12</v>
      </c>
      <c r="F18" s="325" t="s">
        <v>1075</v>
      </c>
      <c r="G18" s="325"/>
      <c r="H18" s="325" t="s">
        <v>349</v>
      </c>
      <c r="I18" s="325" t="s">
        <v>349</v>
      </c>
      <c r="J18" s="325"/>
      <c r="K18" s="326"/>
    </row>
    <row r="19" spans="1:11">
      <c r="B19" s="344" t="s">
        <v>354</v>
      </c>
      <c r="C19" s="322" t="s">
        <v>1096</v>
      </c>
      <c r="D19" s="322" t="s">
        <v>608</v>
      </c>
      <c r="E19" s="322" t="s">
        <v>352</v>
      </c>
      <c r="F19" s="325" t="s">
        <v>352</v>
      </c>
      <c r="G19" s="325"/>
      <c r="H19" s="325" t="s">
        <v>608</v>
      </c>
      <c r="I19" s="325" t="s">
        <v>608</v>
      </c>
      <c r="J19" s="325"/>
      <c r="K19" s="326"/>
    </row>
    <row r="20" spans="1:11">
      <c r="B20" s="344" t="s">
        <v>1114</v>
      </c>
      <c r="C20" s="322"/>
      <c r="D20" s="322"/>
      <c r="E20" s="322"/>
      <c r="F20" s="325"/>
      <c r="G20" s="325"/>
      <c r="H20" s="325"/>
      <c r="I20" s="325"/>
      <c r="J20" s="325"/>
      <c r="K20" s="326"/>
    </row>
    <row r="21" spans="1:11">
      <c r="A21" s="323" t="s">
        <v>1114</v>
      </c>
      <c r="B21" s="323" t="s">
        <v>1084</v>
      </c>
      <c r="C21" s="340">
        <f>'PROFORMA REV'!H76</f>
        <v>5.75</v>
      </c>
      <c r="D21" s="382">
        <f>'PROFORMA REV'!M76</f>
        <v>15.62</v>
      </c>
      <c r="E21" s="348">
        <f>D21*C21</f>
        <v>89.814999999999998</v>
      </c>
      <c r="F21" s="348">
        <f>E21*12</f>
        <v>1077.78</v>
      </c>
      <c r="G21" s="379"/>
      <c r="H21" s="381">
        <f t="shared" ref="H21:H43" ca="1" si="0">D21*(1+$H$3)</f>
        <v>17.685735526184885</v>
      </c>
      <c r="I21" s="348">
        <f ca="1">C21*H21*12</f>
        <v>1220.3157513067572</v>
      </c>
    </row>
    <row r="22" spans="1:11">
      <c r="A22" s="323" t="s">
        <v>1114</v>
      </c>
      <c r="B22" s="323" t="s">
        <v>1108</v>
      </c>
      <c r="C22" s="340">
        <v>0</v>
      </c>
      <c r="D22" s="382">
        <v>10.14</v>
      </c>
      <c r="E22" s="348">
        <f t="shared" ref="E22:E23" si="1">D22*C22</f>
        <v>0</v>
      </c>
      <c r="F22" s="348">
        <f t="shared" ref="F22:F23" si="2">E22*12</f>
        <v>0</v>
      </c>
      <c r="G22" s="379"/>
      <c r="H22" s="381">
        <f t="shared" ca="1" si="0"/>
        <v>11.481008849904914</v>
      </c>
      <c r="I22" s="348">
        <f t="shared" ref="I22:I84" ca="1" si="3">C22*H22*12</f>
        <v>0</v>
      </c>
    </row>
    <row r="23" spans="1:11">
      <c r="A23" s="323" t="s">
        <v>1114</v>
      </c>
      <c r="B23" s="323" t="s">
        <v>1109</v>
      </c>
      <c r="C23" s="340">
        <v>0</v>
      </c>
      <c r="D23" s="382">
        <v>7.72</v>
      </c>
      <c r="E23" s="348">
        <f t="shared" si="1"/>
        <v>0</v>
      </c>
      <c r="F23" s="348">
        <f t="shared" si="2"/>
        <v>0</v>
      </c>
      <c r="G23" s="379"/>
      <c r="H23" s="381">
        <f t="shared" ca="1" si="0"/>
        <v>8.7409653176790858</v>
      </c>
      <c r="I23" s="348">
        <f t="shared" ca="1" si="3"/>
        <v>0</v>
      </c>
    </row>
    <row r="24" spans="1:11">
      <c r="A24" s="323" t="s">
        <v>1114</v>
      </c>
      <c r="B24" s="323" t="s">
        <v>1076</v>
      </c>
      <c r="C24" s="340">
        <f>'PROFORMA REV'!H63</f>
        <v>335.8619652863195</v>
      </c>
      <c r="D24" s="382">
        <f>'PROFORMA REV'!M63</f>
        <v>24.39</v>
      </c>
      <c r="E24" s="348">
        <f t="shared" ref="E24:E30" si="4">D24*C24</f>
        <v>8191.6733333333332</v>
      </c>
      <c r="F24" s="348">
        <f t="shared" ref="F24:F30" si="5">E24*12</f>
        <v>98300.08</v>
      </c>
      <c r="G24" s="379"/>
      <c r="H24" s="381">
        <f t="shared" ca="1" si="0"/>
        <v>27.615562707019805</v>
      </c>
      <c r="I24" s="348">
        <f t="shared" ca="1" si="3"/>
        <v>111300.20595920717</v>
      </c>
      <c r="K24" s="326"/>
    </row>
    <row r="25" spans="1:11">
      <c r="A25" s="323" t="s">
        <v>1114</v>
      </c>
      <c r="B25" s="323" t="s">
        <v>1081</v>
      </c>
      <c r="C25" s="340">
        <f>'PROFORMA REV'!H69</f>
        <v>91.428908554572274</v>
      </c>
      <c r="D25" s="382">
        <f>'PROFORMA REV'!M69</f>
        <v>16.95</v>
      </c>
      <c r="E25" s="348">
        <f t="shared" si="4"/>
        <v>1549.72</v>
      </c>
      <c r="F25" s="348">
        <f t="shared" si="5"/>
        <v>18596.64</v>
      </c>
      <c r="G25" s="379"/>
      <c r="H25" s="381">
        <f t="shared" ca="1" si="0"/>
        <v>19.191627219515606</v>
      </c>
      <c r="I25" s="348">
        <f t="shared" ca="1" si="3"/>
        <v>21056.034360798392</v>
      </c>
    </row>
    <row r="26" spans="1:11">
      <c r="A26" s="323" t="s">
        <v>1114</v>
      </c>
      <c r="B26" s="323" t="s">
        <v>1083</v>
      </c>
      <c r="C26" s="340">
        <f>'PROFORMA REV'!H71</f>
        <v>20.279113247863247</v>
      </c>
      <c r="D26" s="382">
        <f>'PROFORMA REV'!M71</f>
        <v>9.36</v>
      </c>
      <c r="E26" s="348">
        <f t="shared" si="4"/>
        <v>189.81249999999997</v>
      </c>
      <c r="F26" s="348">
        <f t="shared" si="5"/>
        <v>2277.7499999999995</v>
      </c>
      <c r="G26" s="379"/>
      <c r="H26" s="381">
        <f t="shared" ca="1" si="0"/>
        <v>10.59785432298915</v>
      </c>
      <c r="I26" s="348">
        <f t="shared" ca="1" si="3"/>
        <v>2578.9810560030487</v>
      </c>
    </row>
    <row r="27" spans="1:11">
      <c r="A27" s="323" t="s">
        <v>1114</v>
      </c>
      <c r="B27" s="323" t="s">
        <v>1077</v>
      </c>
      <c r="C27" s="340">
        <f>'PROFORMA REV'!H64</f>
        <v>219.50774119006357</v>
      </c>
      <c r="D27" s="382">
        <f>'PROFORMA REV'!M64</f>
        <v>28.85</v>
      </c>
      <c r="E27" s="348">
        <f t="shared" si="4"/>
        <v>6332.7983333333341</v>
      </c>
      <c r="F27" s="348">
        <f t="shared" si="5"/>
        <v>75993.580000000016</v>
      </c>
      <c r="G27" s="379"/>
      <c r="H27" s="381">
        <f t="shared" ca="1" si="0"/>
        <v>32.665395001948397</v>
      </c>
      <c r="I27" s="348">
        <f t="shared" ca="1" si="3"/>
        <v>86043.684863506613</v>
      </c>
      <c r="K27" s="326"/>
    </row>
    <row r="28" spans="1:11">
      <c r="A28" s="323" t="s">
        <v>1114</v>
      </c>
      <c r="B28" s="323" t="s">
        <v>1082</v>
      </c>
      <c r="C28" s="340">
        <f>'PROFORMA REV'!H70</f>
        <v>3.9166666666666665</v>
      </c>
      <c r="D28" s="382">
        <f>'PROFORMA REV'!M70</f>
        <v>24.22</v>
      </c>
      <c r="E28" s="348">
        <f t="shared" si="4"/>
        <v>94.861666666666665</v>
      </c>
      <c r="F28" s="348">
        <f t="shared" si="5"/>
        <v>1138.3399999999999</v>
      </c>
      <c r="G28" s="379"/>
      <c r="H28" s="381">
        <f t="shared" ca="1" si="0"/>
        <v>27.423080310127908</v>
      </c>
      <c r="I28" s="348">
        <f t="shared" ca="1" si="3"/>
        <v>1288.8847745760118</v>
      </c>
    </row>
    <row r="29" spans="1:11">
      <c r="A29" s="323" t="s">
        <v>1114</v>
      </c>
      <c r="B29" s="323" t="s">
        <v>1101</v>
      </c>
      <c r="C29" s="340">
        <f>'PROFORMA REV'!H72</f>
        <v>0.41666666666666669</v>
      </c>
      <c r="D29" s="382">
        <f>'PROFORMA REV'!M72</f>
        <v>15.45</v>
      </c>
      <c r="E29" s="348">
        <f t="shared" si="4"/>
        <v>6.4375</v>
      </c>
      <c r="F29" s="348">
        <f t="shared" si="5"/>
        <v>77.25</v>
      </c>
      <c r="G29" s="379"/>
      <c r="H29" s="381">
        <f t="shared" ca="1" si="0"/>
        <v>17.493253129292988</v>
      </c>
      <c r="I29" s="348">
        <f t="shared" ca="1" si="3"/>
        <v>87.466265646464947</v>
      </c>
    </row>
    <row r="30" spans="1:11">
      <c r="A30" s="323" t="s">
        <v>1114</v>
      </c>
      <c r="B30" s="323" t="s">
        <v>1078</v>
      </c>
      <c r="C30" s="340">
        <f>'PROFORMA REV'!H65</f>
        <v>12.967589835219378</v>
      </c>
      <c r="D30" s="382">
        <f>'PROFORMA REV'!M65</f>
        <v>33.58</v>
      </c>
      <c r="E30" s="348">
        <f t="shared" si="4"/>
        <v>435.45166666666671</v>
      </c>
      <c r="F30" s="348">
        <f t="shared" si="5"/>
        <v>5225.42</v>
      </c>
      <c r="G30" s="379"/>
      <c r="H30" s="381">
        <f t="shared" ca="1" si="0"/>
        <v>38.020934633117058</v>
      </c>
      <c r="I30" s="348">
        <f t="shared" ca="1" si="3"/>
        <v>5916.4786256873904</v>
      </c>
    </row>
    <row r="31" spans="1:11">
      <c r="A31" s="323" t="s">
        <v>1114</v>
      </c>
      <c r="B31" s="323" t="s">
        <v>1110</v>
      </c>
      <c r="C31" s="323">
        <v>0</v>
      </c>
      <c r="D31" s="382">
        <v>27.51</v>
      </c>
      <c r="E31" s="348">
        <f t="shared" ref="E31:E47" si="6">D31*C31</f>
        <v>0</v>
      </c>
      <c r="F31" s="348">
        <f t="shared" ref="F31:F53" si="7">E31*12</f>
        <v>0</v>
      </c>
      <c r="G31" s="348"/>
      <c r="H31" s="381">
        <f t="shared" ca="1" si="0"/>
        <v>31.148180814682856</v>
      </c>
      <c r="I31" s="348">
        <f t="shared" ca="1" si="3"/>
        <v>0</v>
      </c>
    </row>
    <row r="32" spans="1:11">
      <c r="A32" s="323" t="s">
        <v>1114</v>
      </c>
      <c r="B32" s="323" t="s">
        <v>1111</v>
      </c>
      <c r="C32" s="323">
        <v>0</v>
      </c>
      <c r="D32" s="382">
        <v>18.41</v>
      </c>
      <c r="E32" s="348">
        <f t="shared" si="6"/>
        <v>0</v>
      </c>
      <c r="F32" s="348">
        <f t="shared" si="7"/>
        <v>0</v>
      </c>
      <c r="G32" s="348"/>
      <c r="H32" s="381">
        <f t="shared" ca="1" si="0"/>
        <v>20.844711333998958</v>
      </c>
      <c r="I32" s="348">
        <f t="shared" ca="1" si="3"/>
        <v>0</v>
      </c>
    </row>
    <row r="33" spans="1:9">
      <c r="A33" s="323" t="s">
        <v>1114</v>
      </c>
      <c r="B33" s="323" t="s">
        <v>1079</v>
      </c>
      <c r="C33" s="340">
        <f>'PROFORMA REV'!H66</f>
        <v>6.4562816483324603</v>
      </c>
      <c r="D33" s="382">
        <f>'PROFORMA REV'!M66</f>
        <v>38.18</v>
      </c>
      <c r="E33" s="348">
        <f>D33*C33</f>
        <v>246.50083333333333</v>
      </c>
      <c r="F33" s="348">
        <f>E33*12</f>
        <v>2958.01</v>
      </c>
      <c r="G33" s="379"/>
      <c r="H33" s="381">
        <f t="shared" ca="1" si="0"/>
        <v>43.229281843133094</v>
      </c>
      <c r="I33" s="348">
        <f t="shared" ca="1" si="3"/>
        <v>3349.2050284129423</v>
      </c>
    </row>
    <row r="34" spans="1:9">
      <c r="A34" s="323" t="s">
        <v>1114</v>
      </c>
      <c r="B34" s="323" t="s">
        <v>1112</v>
      </c>
      <c r="C34" s="323">
        <v>0</v>
      </c>
      <c r="D34" s="382">
        <v>32.26</v>
      </c>
      <c r="E34" s="348">
        <f t="shared" si="6"/>
        <v>0</v>
      </c>
      <c r="F34" s="348">
        <f t="shared" si="7"/>
        <v>0</v>
      </c>
      <c r="G34" s="348"/>
      <c r="H34" s="381">
        <f t="shared" ca="1" si="0"/>
        <v>36.526365433721146</v>
      </c>
      <c r="I34" s="348">
        <f t="shared" ca="1" si="3"/>
        <v>0</v>
      </c>
    </row>
    <row r="35" spans="1:9">
      <c r="A35" s="323" t="s">
        <v>1114</v>
      </c>
      <c r="B35" s="323" t="s">
        <v>1113</v>
      </c>
      <c r="C35" s="323">
        <v>0</v>
      </c>
      <c r="D35" s="382">
        <v>21.29</v>
      </c>
      <c r="E35" s="348">
        <f t="shared" si="6"/>
        <v>0</v>
      </c>
      <c r="F35" s="348">
        <f t="shared" si="7"/>
        <v>0</v>
      </c>
      <c r="G35" s="348"/>
      <c r="H35" s="381">
        <f t="shared" ca="1" si="0"/>
        <v>24.105589587226387</v>
      </c>
      <c r="I35" s="348">
        <f t="shared" ca="1" si="3"/>
        <v>0</v>
      </c>
    </row>
    <row r="36" spans="1:9">
      <c r="A36" s="323" t="s">
        <v>1114</v>
      </c>
      <c r="B36" s="323" t="s">
        <v>1080</v>
      </c>
      <c r="C36" s="340">
        <f>'PROFORMA REV'!H67</f>
        <v>1</v>
      </c>
      <c r="D36" s="382">
        <f>'PROFORMA REV'!M67</f>
        <v>42.79</v>
      </c>
      <c r="E36" s="348">
        <f t="shared" ref="E36:E43" si="8">D36*C36</f>
        <v>42.79</v>
      </c>
      <c r="F36" s="348">
        <f t="shared" ref="F36:F43" si="9">E36*12</f>
        <v>513.48</v>
      </c>
      <c r="G36" s="379"/>
      <c r="H36" s="381">
        <f t="shared" ca="1" si="0"/>
        <v>48.448951547083944</v>
      </c>
      <c r="I36" s="348">
        <f t="shared" ca="1" si="3"/>
        <v>581.38741856500735</v>
      </c>
    </row>
    <row r="37" spans="1:9">
      <c r="A37" s="323" t="s">
        <v>1114</v>
      </c>
      <c r="B37" s="342" t="s">
        <v>1100</v>
      </c>
      <c r="C37" s="340">
        <f>'PROFORMA REV'!H68</f>
        <v>1.202099599071534</v>
      </c>
      <c r="D37" s="383">
        <f>'PROFORMA REV'!M68</f>
        <v>47.39</v>
      </c>
      <c r="E37" s="348">
        <f t="shared" si="8"/>
        <v>56.967499999999994</v>
      </c>
      <c r="F37" s="348">
        <f t="shared" si="9"/>
        <v>683.6099999999999</v>
      </c>
      <c r="G37" s="379"/>
      <c r="H37" s="381">
        <f t="shared" ca="1" si="0"/>
        <v>53.65729875709998</v>
      </c>
      <c r="I37" s="348">
        <f t="shared" ca="1" si="3"/>
        <v>774.01700787805692</v>
      </c>
    </row>
    <row r="38" spans="1:9">
      <c r="A38" s="323" t="s">
        <v>1114</v>
      </c>
      <c r="B38" s="323" t="s">
        <v>1102</v>
      </c>
      <c r="C38" s="340">
        <f>'PROFORMA REV'!H95</f>
        <v>21.033662019721181</v>
      </c>
      <c r="D38" s="382">
        <f>'PROFORMA REV'!M95</f>
        <v>29.41</v>
      </c>
      <c r="E38" s="348">
        <f t="shared" si="8"/>
        <v>618.59999999999991</v>
      </c>
      <c r="F38" s="348">
        <f t="shared" si="9"/>
        <v>7423.1999999999989</v>
      </c>
      <c r="G38" s="379"/>
      <c r="H38" s="381">
        <f t="shared" ca="1" si="0"/>
        <v>33.299454662298174</v>
      </c>
      <c r="I38" s="348">
        <f t="shared" ca="1" si="3"/>
        <v>8404.9136976937007</v>
      </c>
    </row>
    <row r="39" spans="1:9">
      <c r="A39" s="323" t="s">
        <v>1114</v>
      </c>
      <c r="B39" s="323" t="s">
        <v>1103</v>
      </c>
      <c r="C39" s="340">
        <f>'PROFORMA REV'!H96</f>
        <v>4.9425433450658316</v>
      </c>
      <c r="D39" s="382">
        <f>'PROFORMA REV'!M96</f>
        <v>25.57</v>
      </c>
      <c r="E39" s="348">
        <f t="shared" si="8"/>
        <v>126.38083333333331</v>
      </c>
      <c r="F39" s="348">
        <f t="shared" si="9"/>
        <v>1516.5699999999997</v>
      </c>
      <c r="G39" s="379"/>
      <c r="H39" s="381">
        <f t="shared" ca="1" si="0"/>
        <v>28.951616991328265</v>
      </c>
      <c r="I39" s="348">
        <f t="shared" ca="1" si="3"/>
        <v>1717.1354626726124</v>
      </c>
    </row>
    <row r="40" spans="1:9">
      <c r="A40" s="323" t="s">
        <v>1114</v>
      </c>
      <c r="B40" s="323" t="s">
        <v>1104</v>
      </c>
      <c r="C40" s="340">
        <f>'PROFORMA REV'!H97</f>
        <v>0.33333333333333331</v>
      </c>
      <c r="D40" s="382">
        <f>'PROFORMA REV'!M97</f>
        <v>16.829999999999998</v>
      </c>
      <c r="E40" s="348">
        <f t="shared" si="8"/>
        <v>5.6099999999999994</v>
      </c>
      <c r="F40" s="348">
        <f t="shared" si="9"/>
        <v>67.319999999999993</v>
      </c>
      <c r="G40" s="379"/>
      <c r="H40" s="381">
        <f t="shared" ca="1" si="0"/>
        <v>19.055757292297798</v>
      </c>
      <c r="I40" s="348">
        <f t="shared" ca="1" si="3"/>
        <v>76.223029169191193</v>
      </c>
    </row>
    <row r="41" spans="1:9">
      <c r="A41" s="323" t="s">
        <v>1114</v>
      </c>
      <c r="B41" s="323" t="s">
        <v>1105</v>
      </c>
      <c r="C41" s="340">
        <f>'PROFORMA REV'!H98</f>
        <v>5.4082549187339604</v>
      </c>
      <c r="D41" s="382">
        <f>'PROFORMA REV'!M98</f>
        <v>35.07</v>
      </c>
      <c r="E41" s="348">
        <f t="shared" si="8"/>
        <v>189.66749999999999</v>
      </c>
      <c r="F41" s="348">
        <f t="shared" si="9"/>
        <v>2276.0099999999998</v>
      </c>
      <c r="G41" s="379"/>
      <c r="H41" s="381">
        <f t="shared" ca="1" si="0"/>
        <v>39.70798622940486</v>
      </c>
      <c r="I41" s="348">
        <f t="shared" ca="1" si="3"/>
        <v>2577.0109420583904</v>
      </c>
    </row>
    <row r="42" spans="1:9">
      <c r="A42" s="323" t="s">
        <v>1114</v>
      </c>
      <c r="B42" s="323" t="s">
        <v>1106</v>
      </c>
      <c r="C42" s="340">
        <f>'PROFORMA REV'!H99</f>
        <v>0.16013071895424838</v>
      </c>
      <c r="D42" s="382">
        <f>'PROFORMA REV'!M99</f>
        <v>29.07</v>
      </c>
      <c r="E42" s="348">
        <f t="shared" si="8"/>
        <v>4.6550000000000002</v>
      </c>
      <c r="F42" s="348">
        <f t="shared" si="9"/>
        <v>55.86</v>
      </c>
      <c r="G42" s="379"/>
      <c r="H42" s="381">
        <f t="shared" ca="1" si="0"/>
        <v>32.91448986851438</v>
      </c>
      <c r="I42" s="348">
        <f t="shared" ca="1" si="3"/>
        <v>63.247451119890385</v>
      </c>
    </row>
    <row r="43" spans="1:9">
      <c r="A43" s="323" t="s">
        <v>1114</v>
      </c>
      <c r="B43" s="345" t="s">
        <v>1107</v>
      </c>
      <c r="C43" s="340">
        <f>'PROFORMA REV'!H101</f>
        <v>1</v>
      </c>
      <c r="D43" s="382">
        <v>18.71</v>
      </c>
      <c r="E43" s="348">
        <f t="shared" si="8"/>
        <v>18.71</v>
      </c>
      <c r="F43" s="349">
        <f t="shared" si="9"/>
        <v>224.52</v>
      </c>
      <c r="G43" s="379"/>
      <c r="H43" s="381">
        <f t="shared" ca="1" si="0"/>
        <v>21.184386152043484</v>
      </c>
      <c r="I43" s="349">
        <f t="shared" ca="1" si="3"/>
        <v>254.21263382452179</v>
      </c>
    </row>
    <row r="44" spans="1:9">
      <c r="B44" s="346" t="s">
        <v>1115</v>
      </c>
      <c r="D44" s="381"/>
      <c r="E44" s="348"/>
      <c r="F44" s="377">
        <f>SUM(F21:F43)</f>
        <v>218405.42000000004</v>
      </c>
      <c r="G44" s="348"/>
      <c r="H44" s="381"/>
      <c r="I44" s="377">
        <f ca="1">SUM(I21:I43)</f>
        <v>247289.4043281262</v>
      </c>
    </row>
    <row r="45" spans="1:9">
      <c r="B45" s="346"/>
      <c r="D45" s="381"/>
      <c r="E45" s="348"/>
      <c r="F45" s="348"/>
      <c r="G45" s="348"/>
      <c r="H45" s="381"/>
      <c r="I45" s="348"/>
    </row>
    <row r="46" spans="1:9">
      <c r="B46" s="344" t="s">
        <v>1128</v>
      </c>
      <c r="D46" s="381"/>
      <c r="E46" s="348"/>
      <c r="F46" s="348"/>
      <c r="G46" s="348"/>
      <c r="H46" s="381"/>
      <c r="I46" s="348"/>
    </row>
    <row r="47" spans="1:9">
      <c r="A47" s="323" t="s">
        <v>1114</v>
      </c>
      <c r="B47" s="323" t="s">
        <v>1116</v>
      </c>
      <c r="C47" s="323">
        <f>'PROFORMA REV'!H84+'PROFORMA REV'!H85*2+'PROFORMA REV'!H86*3</f>
        <v>30.5</v>
      </c>
      <c r="D47" s="382">
        <v>7.1</v>
      </c>
      <c r="E47" s="348">
        <f t="shared" si="6"/>
        <v>216.54999999999998</v>
      </c>
      <c r="F47" s="348">
        <f t="shared" si="7"/>
        <v>2598.6</v>
      </c>
      <c r="G47" s="348"/>
      <c r="H47" s="381">
        <f t="shared" ref="H47:H53" ca="1" si="10">D47*(1+$H$3)</f>
        <v>8.0389706937204011</v>
      </c>
      <c r="I47" s="348">
        <f t="shared" ca="1" si="3"/>
        <v>2942.2632739016667</v>
      </c>
    </row>
    <row r="48" spans="1:9">
      <c r="A48" s="323" t="s">
        <v>1114</v>
      </c>
      <c r="B48" s="323" t="s">
        <v>1117</v>
      </c>
      <c r="C48" s="323">
        <v>0</v>
      </c>
      <c r="D48" s="382">
        <v>3.72</v>
      </c>
      <c r="E48" s="348">
        <f t="shared" ref="E48:E53" si="11">D48*C48</f>
        <v>0</v>
      </c>
      <c r="F48" s="348">
        <f t="shared" si="7"/>
        <v>0</v>
      </c>
      <c r="G48" s="348"/>
      <c r="H48" s="381">
        <f t="shared" ca="1" si="10"/>
        <v>4.2119677437520986</v>
      </c>
      <c r="I48" s="348">
        <f t="shared" ca="1" si="3"/>
        <v>0</v>
      </c>
    </row>
    <row r="49" spans="1:9">
      <c r="A49" s="323" t="s">
        <v>1114</v>
      </c>
      <c r="B49" s="323" t="s">
        <v>1118</v>
      </c>
      <c r="C49" s="323">
        <f>'PROFORMA REV'!H100</f>
        <v>0.66666666666666663</v>
      </c>
      <c r="D49" s="382">
        <v>8.93</v>
      </c>
      <c r="E49" s="348">
        <f t="shared" si="11"/>
        <v>5.9533333333333331</v>
      </c>
      <c r="F49" s="348">
        <f t="shared" si="7"/>
        <v>71.44</v>
      </c>
      <c r="G49" s="348"/>
      <c r="H49" s="381">
        <f t="shared" ca="1" si="10"/>
        <v>10.110987083791999</v>
      </c>
      <c r="I49" s="348">
        <f t="shared" ca="1" si="3"/>
        <v>80.887896670335991</v>
      </c>
    </row>
    <row r="50" spans="1:9">
      <c r="A50" s="323" t="s">
        <v>1114</v>
      </c>
      <c r="B50" s="323" t="s">
        <v>1119</v>
      </c>
      <c r="C50" s="323">
        <v>0</v>
      </c>
      <c r="D50" s="382">
        <v>11.9</v>
      </c>
      <c r="E50" s="348">
        <f t="shared" si="11"/>
        <v>0</v>
      </c>
      <c r="F50" s="348">
        <f t="shared" si="7"/>
        <v>0</v>
      </c>
      <c r="G50" s="348"/>
      <c r="H50" s="381">
        <f t="shared" ca="1" si="10"/>
        <v>13.473767782432787</v>
      </c>
      <c r="I50" s="348">
        <f t="shared" ca="1" si="3"/>
        <v>0</v>
      </c>
    </row>
    <row r="51" spans="1:9">
      <c r="A51" s="323" t="s">
        <v>1114</v>
      </c>
      <c r="B51" s="323" t="s">
        <v>1122</v>
      </c>
      <c r="C51" s="323">
        <f>'PROFORMA REV'!H87</f>
        <v>4.333333333333333</v>
      </c>
      <c r="D51" s="382">
        <v>6.99</v>
      </c>
      <c r="E51" s="348">
        <f t="shared" si="11"/>
        <v>30.29</v>
      </c>
      <c r="F51" s="348">
        <f t="shared" si="7"/>
        <v>363.48</v>
      </c>
      <c r="G51" s="348"/>
      <c r="H51" s="381">
        <f t="shared" ca="1" si="10"/>
        <v>7.9144232604374105</v>
      </c>
      <c r="I51" s="348">
        <f t="shared" ca="1" si="3"/>
        <v>411.55000954274533</v>
      </c>
    </row>
    <row r="52" spans="1:9">
      <c r="A52" s="323" t="s">
        <v>1114</v>
      </c>
      <c r="B52" s="323" t="s">
        <v>1120</v>
      </c>
      <c r="C52" s="323">
        <f>'PROFORMA REV'!H78+'PROFORMA REV'!H79*2+'PROFORMA REV'!H80*3</f>
        <v>4.583333333333333</v>
      </c>
      <c r="D52" s="382">
        <v>9.5500000000000007</v>
      </c>
      <c r="E52" s="348">
        <f t="shared" si="11"/>
        <v>43.770833333333336</v>
      </c>
      <c r="F52" s="348">
        <f t="shared" si="7"/>
        <v>525.25</v>
      </c>
      <c r="G52" s="348"/>
      <c r="H52" s="381">
        <f t="shared" ca="1" si="10"/>
        <v>10.812981707750684</v>
      </c>
      <c r="I52" s="348">
        <f t="shared" ca="1" si="3"/>
        <v>594.71399392628757</v>
      </c>
    </row>
    <row r="53" spans="1:9">
      <c r="A53" s="323" t="s">
        <v>1114</v>
      </c>
      <c r="B53" s="345" t="s">
        <v>1121</v>
      </c>
      <c r="C53" s="323">
        <v>0</v>
      </c>
      <c r="D53" s="382">
        <v>9.9</v>
      </c>
      <c r="E53" s="348">
        <f t="shared" si="11"/>
        <v>0</v>
      </c>
      <c r="F53" s="349">
        <f t="shared" si="7"/>
        <v>0</v>
      </c>
      <c r="G53" s="348"/>
      <c r="H53" s="381">
        <f t="shared" ca="1" si="10"/>
        <v>11.209268995469294</v>
      </c>
      <c r="I53" s="349">
        <f t="shared" ca="1" si="3"/>
        <v>0</v>
      </c>
    </row>
    <row r="54" spans="1:9">
      <c r="B54" s="346" t="s">
        <v>1125</v>
      </c>
      <c r="D54" s="381"/>
      <c r="E54" s="348"/>
      <c r="F54" s="377">
        <f>SUM(F47:F53)</f>
        <v>3558.77</v>
      </c>
      <c r="G54" s="348"/>
      <c r="H54" s="381"/>
      <c r="I54" s="377">
        <f ca="1">SUM(I47:I53)</f>
        <v>4029.4151740410357</v>
      </c>
    </row>
    <row r="55" spans="1:9">
      <c r="B55" s="346"/>
      <c r="D55" s="381"/>
      <c r="E55" s="348"/>
      <c r="F55" s="348"/>
      <c r="G55" s="348"/>
      <c r="H55" s="381"/>
      <c r="I55" s="348"/>
    </row>
    <row r="56" spans="1:9">
      <c r="D56" s="381"/>
      <c r="E56" s="348"/>
      <c r="F56" s="348"/>
      <c r="G56" s="348"/>
      <c r="H56" s="381"/>
      <c r="I56" s="348"/>
    </row>
    <row r="57" spans="1:9">
      <c r="B57" s="351" t="s">
        <v>1198</v>
      </c>
      <c r="D57" s="381"/>
      <c r="E57" s="348"/>
      <c r="F57" s="348"/>
      <c r="G57" s="348"/>
      <c r="H57" s="381"/>
      <c r="I57" s="348"/>
    </row>
    <row r="58" spans="1:9">
      <c r="A58" s="323" t="s">
        <v>1196</v>
      </c>
      <c r="B58" s="371" t="s">
        <v>1085</v>
      </c>
      <c r="C58" s="340">
        <f>'PROFORMA REV'!K28+'PROFORMA REV'!H88</f>
        <v>195.21641318124207</v>
      </c>
      <c r="D58" s="382">
        <v>18.41</v>
      </c>
      <c r="E58" s="348">
        <f>D58*C58</f>
        <v>3593.9341666666664</v>
      </c>
      <c r="F58" s="372">
        <f>E58*12</f>
        <v>43127.21</v>
      </c>
      <c r="G58" s="348"/>
      <c r="H58" s="381">
        <f t="shared" ref="H58:H69" ca="1" si="12">D58*(1+$H$3)</f>
        <v>20.844711333998958</v>
      </c>
      <c r="I58" s="348">
        <f t="shared" ca="1" si="3"/>
        <v>48830.757365059922</v>
      </c>
    </row>
    <row r="59" spans="1:9">
      <c r="A59" s="323" t="s">
        <v>1196</v>
      </c>
      <c r="B59" s="371" t="s">
        <v>1190</v>
      </c>
      <c r="C59" s="340">
        <f>'PROFORMA REV'!K20+'PROFORMA REV'!K84+'PROFORMA REV'!H61</f>
        <v>410.67071380004916</v>
      </c>
      <c r="D59" s="382">
        <v>33.93</v>
      </c>
      <c r="E59" s="348">
        <f>D59*C59</f>
        <v>13934.057319235668</v>
      </c>
      <c r="F59" s="348">
        <f>E59*12</f>
        <v>167208.68783082801</v>
      </c>
      <c r="G59" s="348"/>
      <c r="H59" s="381">
        <f t="shared" ca="1" si="12"/>
        <v>38.417221920835672</v>
      </c>
      <c r="I59" s="348">
        <f t="shared" ca="1" si="3"/>
        <v>189321.93538133378</v>
      </c>
    </row>
    <row r="60" spans="1:9">
      <c r="A60" s="323" t="s">
        <v>1196</v>
      </c>
      <c r="B60" s="323" t="s">
        <v>1191</v>
      </c>
      <c r="C60" s="323">
        <f>'PROFORMA REV'!K34</f>
        <v>27.562383338245411</v>
      </c>
      <c r="D60" s="382">
        <v>33.93</v>
      </c>
      <c r="E60" s="348">
        <f t="shared" ref="E60:E69" si="13">D60*C60</f>
        <v>935.19166666666683</v>
      </c>
      <c r="F60" s="372">
        <f t="shared" ref="F60:F69" si="14">E60*12</f>
        <v>11222.300000000003</v>
      </c>
      <c r="G60" s="348"/>
      <c r="H60" s="381">
        <f t="shared" ca="1" si="12"/>
        <v>38.417221920835672</v>
      </c>
      <c r="I60" s="348">
        <f t="shared" ca="1" si="3"/>
        <v>12706.442368470209</v>
      </c>
    </row>
    <row r="61" spans="1:9">
      <c r="A61" s="323" t="s">
        <v>1196</v>
      </c>
      <c r="B61" s="323" t="s">
        <v>1086</v>
      </c>
      <c r="C61" s="323">
        <f>'PROFORMA REV'!H62+'PROFORMA REV'!H93</f>
        <v>1.2737944830490626</v>
      </c>
      <c r="D61" s="382">
        <v>47.47</v>
      </c>
      <c r="E61" s="348">
        <f t="shared" si="13"/>
        <v>60.467024110339004</v>
      </c>
      <c r="F61" s="348">
        <f t="shared" si="14"/>
        <v>725.60428932406808</v>
      </c>
      <c r="G61" s="348"/>
      <c r="H61" s="381">
        <f t="shared" ca="1" si="12"/>
        <v>53.747878708578519</v>
      </c>
      <c r="I61" s="348">
        <f t="shared" ca="1" si="3"/>
        <v>821.56501649492998</v>
      </c>
    </row>
    <row r="62" spans="1:9">
      <c r="A62" s="323" t="s">
        <v>1196</v>
      </c>
      <c r="B62" s="323" t="s">
        <v>1192</v>
      </c>
      <c r="C62" s="323">
        <f>'PROFORMA REV'!H89</f>
        <v>4.166666666666667</v>
      </c>
      <c r="D62" s="382">
        <v>30.44</v>
      </c>
      <c r="E62" s="348">
        <f t="shared" ref="E62:E63" si="15">D62*C62</f>
        <v>126.83333333333334</v>
      </c>
      <c r="F62" s="348">
        <f t="shared" si="14"/>
        <v>1522</v>
      </c>
      <c r="G62" s="348"/>
      <c r="H62" s="381">
        <f t="shared" ca="1" si="12"/>
        <v>34.465671537584377</v>
      </c>
      <c r="I62" s="348">
        <f t="shared" ca="1" si="3"/>
        <v>1723.2835768792188</v>
      </c>
    </row>
    <row r="63" spans="1:9">
      <c r="A63" s="323" t="s">
        <v>1196</v>
      </c>
      <c r="B63" s="323" t="s">
        <v>1193</v>
      </c>
      <c r="C63" s="323">
        <f>'PROFORMA REV'!H90</f>
        <v>8.2083439436380612</v>
      </c>
      <c r="D63" s="382">
        <v>39.270000000000003</v>
      </c>
      <c r="E63" s="348">
        <f t="shared" si="15"/>
        <v>322.3416666666667</v>
      </c>
      <c r="F63" s="348">
        <f t="shared" si="14"/>
        <v>3868.1000000000004</v>
      </c>
      <c r="G63" s="348"/>
      <c r="H63" s="381">
        <f t="shared" ca="1" si="12"/>
        <v>44.463433682028203</v>
      </c>
      <c r="I63" s="348">
        <f t="shared" ca="1" si="3"/>
        <v>4379.6538789267452</v>
      </c>
    </row>
    <row r="64" spans="1:9">
      <c r="A64" s="323" t="s">
        <v>1196</v>
      </c>
      <c r="B64" s="323" t="s">
        <v>1194</v>
      </c>
      <c r="C64" s="323">
        <f>'PROFORMA REV'!H91</f>
        <v>8.8333333333333339</v>
      </c>
      <c r="D64" s="382">
        <v>2.2799999999999998</v>
      </c>
      <c r="E64" s="348">
        <f t="shared" si="13"/>
        <v>20.14</v>
      </c>
      <c r="F64" s="372">
        <f t="shared" si="14"/>
        <v>241.68</v>
      </c>
      <c r="G64" s="348"/>
      <c r="H64" s="381">
        <f t="shared" ca="1" si="12"/>
        <v>2.5815286171383827</v>
      </c>
      <c r="I64" s="348">
        <f t="shared" ca="1" si="3"/>
        <v>273.6420334166686</v>
      </c>
    </row>
    <row r="65" spans="1:9">
      <c r="A65" s="323" t="s">
        <v>1196</v>
      </c>
      <c r="B65" s="323" t="s">
        <v>1195</v>
      </c>
      <c r="C65" s="323">
        <f>'PROFORMA REV'!H92</f>
        <v>4.2091215624452616</v>
      </c>
      <c r="D65" s="382">
        <v>38.06</v>
      </c>
      <c r="E65" s="348">
        <f t="shared" si="13"/>
        <v>160.19916666666666</v>
      </c>
      <c r="F65" s="348">
        <f t="shared" si="14"/>
        <v>1922.3899999999999</v>
      </c>
      <c r="G65" s="348"/>
      <c r="H65" s="381">
        <f t="shared" ca="1" si="12"/>
        <v>43.093411915915283</v>
      </c>
      <c r="I65" s="348">
        <f t="shared" ca="1" si="3"/>
        <v>2176.6249115353748</v>
      </c>
    </row>
    <row r="66" spans="1:9">
      <c r="A66" s="323" t="s">
        <v>1197</v>
      </c>
      <c r="B66" s="323" t="s">
        <v>1199</v>
      </c>
      <c r="C66" s="323">
        <f>'PROFORMA REV'!K14+'PROFORMA REV'!K33+'PROFORMA REV'!K39</f>
        <v>122.06944444444444</v>
      </c>
      <c r="D66" s="382">
        <v>5.69</v>
      </c>
      <c r="E66" s="348">
        <f t="shared" si="13"/>
        <v>694.57513888888889</v>
      </c>
      <c r="F66" s="372">
        <f t="shared" si="14"/>
        <v>8334.9016666666666</v>
      </c>
      <c r="G66" s="348"/>
      <c r="H66" s="381">
        <f t="shared" ca="1" si="12"/>
        <v>6.4424990489111398</v>
      </c>
      <c r="I66" s="348">
        <f t="shared" ca="1" si="3"/>
        <v>9437.1873568133342</v>
      </c>
    </row>
    <row r="67" spans="1:9">
      <c r="A67" s="323" t="s">
        <v>1197</v>
      </c>
      <c r="B67" s="323" t="s">
        <v>1200</v>
      </c>
      <c r="C67" s="323">
        <v>0</v>
      </c>
      <c r="D67" s="382">
        <v>21.5</v>
      </c>
      <c r="E67" s="348">
        <f t="shared" si="13"/>
        <v>0</v>
      </c>
      <c r="F67" s="348">
        <f t="shared" si="14"/>
        <v>0</v>
      </c>
      <c r="G67" s="348"/>
      <c r="H67" s="381">
        <f t="shared" ca="1" si="12"/>
        <v>24.343361959857557</v>
      </c>
      <c r="I67" s="348">
        <f t="shared" ca="1" si="3"/>
        <v>0</v>
      </c>
    </row>
    <row r="68" spans="1:9">
      <c r="A68" s="323" t="s">
        <v>1197</v>
      </c>
      <c r="B68" s="323" t="s">
        <v>1201</v>
      </c>
      <c r="C68" s="323">
        <v>0</v>
      </c>
      <c r="D68" s="382">
        <v>12.38</v>
      </c>
      <c r="E68" s="348">
        <f t="shared" si="13"/>
        <v>0</v>
      </c>
      <c r="F68" s="372">
        <f t="shared" si="14"/>
        <v>0</v>
      </c>
      <c r="G68" s="348"/>
      <c r="H68" s="381">
        <f t="shared" ca="1" si="12"/>
        <v>14.017247491304026</v>
      </c>
      <c r="I68" s="348">
        <f t="shared" ca="1" si="3"/>
        <v>0</v>
      </c>
    </row>
    <row r="69" spans="1:9">
      <c r="A69" s="323" t="s">
        <v>1197</v>
      </c>
      <c r="B69" s="323" t="s">
        <v>1202</v>
      </c>
      <c r="C69" s="323">
        <f>'PROFORMA REV'!H45</f>
        <v>0.75</v>
      </c>
      <c r="D69" s="382">
        <v>12.38</v>
      </c>
      <c r="E69" s="348">
        <f t="shared" si="13"/>
        <v>9.2850000000000001</v>
      </c>
      <c r="F69" s="349">
        <f t="shared" si="14"/>
        <v>111.42</v>
      </c>
      <c r="G69" s="348"/>
      <c r="H69" s="381">
        <f t="shared" ca="1" si="12"/>
        <v>14.017247491304026</v>
      </c>
      <c r="I69" s="349">
        <f t="shared" ca="1" si="3"/>
        <v>126.15522742173624</v>
      </c>
    </row>
    <row r="70" spans="1:9">
      <c r="D70" s="381"/>
      <c r="E70" s="348"/>
      <c r="F70" s="377">
        <f>SUM(F58:F69)</f>
        <v>238284.2937868188</v>
      </c>
      <c r="G70" s="348"/>
      <c r="H70" s="381"/>
      <c r="I70" s="377">
        <f ca="1">SUM(I58:I69)</f>
        <v>269797.24711635191</v>
      </c>
    </row>
    <row r="71" spans="1:9">
      <c r="D71" s="381"/>
      <c r="E71" s="348"/>
      <c r="F71" s="348"/>
      <c r="G71" s="348"/>
      <c r="H71" s="381"/>
      <c r="I71" s="348"/>
    </row>
    <row r="72" spans="1:9">
      <c r="B72" s="322" t="s">
        <v>1072</v>
      </c>
      <c r="D72" s="381"/>
      <c r="E72" s="348"/>
      <c r="F72" s="348"/>
      <c r="G72" s="348"/>
      <c r="H72" s="381"/>
      <c r="I72" s="348"/>
    </row>
    <row r="73" spans="1:9">
      <c r="A73" s="323" t="s">
        <v>1204</v>
      </c>
      <c r="B73" s="323" t="s">
        <v>1205</v>
      </c>
      <c r="C73" s="323">
        <f>'PROFORMA REV'!H53</f>
        <v>5.4149050748448344</v>
      </c>
      <c r="D73" s="382">
        <v>91.3</v>
      </c>
      <c r="E73" s="348">
        <f t="shared" ref="E73" si="16">D73*C73</f>
        <v>494.38083333333338</v>
      </c>
      <c r="F73" s="348">
        <f t="shared" ref="F73:F84" si="17">E73*12</f>
        <v>5932.5700000000006</v>
      </c>
      <c r="G73" s="348"/>
      <c r="H73" s="381">
        <f t="shared" ref="H73:H84" ca="1" si="18">D73*(1+$H$3)</f>
        <v>103.37436962488349</v>
      </c>
      <c r="I73" s="348">
        <f t="shared" ca="1" si="3"/>
        <v>6717.1487842880069</v>
      </c>
    </row>
    <row r="74" spans="1:9">
      <c r="A74" s="323" t="s">
        <v>1204</v>
      </c>
      <c r="B74" s="323" t="s">
        <v>1206</v>
      </c>
      <c r="C74" s="323">
        <f>'PROFORMA REV'!H50</f>
        <v>5.916666666666667</v>
      </c>
      <c r="D74" s="382">
        <v>205.49</v>
      </c>
      <c r="E74" s="348">
        <f t="shared" ref="E74:E84" si="19">D74*C74</f>
        <v>1215.8158333333336</v>
      </c>
      <c r="F74" s="348">
        <f t="shared" si="17"/>
        <v>14589.790000000003</v>
      </c>
      <c r="G74" s="348"/>
      <c r="H74" s="381">
        <f t="shared" ca="1" si="18"/>
        <v>232.66592786656415</v>
      </c>
      <c r="I74" s="348">
        <f t="shared" ca="1" si="3"/>
        <v>16519.280878526057</v>
      </c>
    </row>
    <row r="75" spans="1:9">
      <c r="A75" s="323" t="s">
        <v>1204</v>
      </c>
      <c r="B75" s="323" t="s">
        <v>1207</v>
      </c>
      <c r="D75" s="382">
        <v>205.49</v>
      </c>
      <c r="E75" s="348">
        <f t="shared" si="19"/>
        <v>0</v>
      </c>
      <c r="F75" s="348">
        <f t="shared" si="17"/>
        <v>0</v>
      </c>
      <c r="G75" s="348"/>
      <c r="H75" s="381">
        <f t="shared" ca="1" si="18"/>
        <v>232.66592786656415</v>
      </c>
      <c r="I75" s="348">
        <f t="shared" ca="1" si="3"/>
        <v>0</v>
      </c>
    </row>
    <row r="76" spans="1:9">
      <c r="A76" s="323" t="s">
        <v>1204</v>
      </c>
      <c r="B76" s="323" t="s">
        <v>1208</v>
      </c>
      <c r="D76" s="382">
        <v>53.26</v>
      </c>
      <c r="E76" s="348">
        <f t="shared" si="19"/>
        <v>0</v>
      </c>
      <c r="F76" s="348">
        <f t="shared" si="17"/>
        <v>0</v>
      </c>
      <c r="G76" s="348"/>
      <c r="H76" s="381">
        <f t="shared" ca="1" si="18"/>
        <v>60.303602696837835</v>
      </c>
      <c r="I76" s="348">
        <f t="shared" ca="1" si="3"/>
        <v>0</v>
      </c>
    </row>
    <row r="77" spans="1:9">
      <c r="A77" s="323" t="s">
        <v>1204</v>
      </c>
      <c r="B77" s="323" t="s">
        <v>1209</v>
      </c>
      <c r="D77" s="382">
        <v>53.26</v>
      </c>
      <c r="E77" s="348">
        <f t="shared" si="19"/>
        <v>0</v>
      </c>
      <c r="F77" s="348">
        <f t="shared" si="17"/>
        <v>0</v>
      </c>
      <c r="G77" s="348"/>
      <c r="H77" s="381">
        <f t="shared" ca="1" si="18"/>
        <v>60.303602696837835</v>
      </c>
      <c r="I77" s="348">
        <f t="shared" ca="1" si="3"/>
        <v>0</v>
      </c>
    </row>
    <row r="78" spans="1:9">
      <c r="A78" s="323" t="s">
        <v>1204</v>
      </c>
      <c r="B78" s="323" t="s">
        <v>1210</v>
      </c>
      <c r="D78" s="382">
        <v>205.49</v>
      </c>
      <c r="E78" s="348">
        <f t="shared" si="19"/>
        <v>0</v>
      </c>
      <c r="F78" s="348">
        <f t="shared" si="17"/>
        <v>0</v>
      </c>
      <c r="G78" s="348"/>
      <c r="H78" s="381">
        <f t="shared" ca="1" si="18"/>
        <v>232.66592786656415</v>
      </c>
      <c r="I78" s="348">
        <f t="shared" ca="1" si="3"/>
        <v>0</v>
      </c>
    </row>
    <row r="79" spans="1:9">
      <c r="A79" s="323" t="s">
        <v>1204</v>
      </c>
      <c r="B79" s="323" t="s">
        <v>1211</v>
      </c>
      <c r="C79" s="323">
        <f>'PROFORMA REV'!H52</f>
        <v>18.083333333333336</v>
      </c>
      <c r="D79" s="382">
        <v>3.82</v>
      </c>
      <c r="E79" s="348">
        <f t="shared" si="19"/>
        <v>69.078333333333333</v>
      </c>
      <c r="F79" s="348">
        <f t="shared" si="17"/>
        <v>828.94</v>
      </c>
      <c r="G79" s="348"/>
      <c r="H79" s="381">
        <f t="shared" ca="1" si="18"/>
        <v>4.3251926831002727</v>
      </c>
      <c r="I79" s="348">
        <f t="shared" ca="1" si="3"/>
        <v>938.56681223275928</v>
      </c>
    </row>
    <row r="80" spans="1:9">
      <c r="A80" s="323" t="s">
        <v>1204</v>
      </c>
      <c r="B80" s="323" t="s">
        <v>1212</v>
      </c>
      <c r="D80" s="382">
        <v>91.3</v>
      </c>
      <c r="E80" s="348">
        <f t="shared" si="19"/>
        <v>0</v>
      </c>
      <c r="F80" s="348">
        <f t="shared" si="17"/>
        <v>0</v>
      </c>
      <c r="G80" s="348"/>
      <c r="H80" s="381">
        <f t="shared" ca="1" si="18"/>
        <v>103.37436962488349</v>
      </c>
      <c r="I80" s="348">
        <f t="shared" ca="1" si="3"/>
        <v>0</v>
      </c>
    </row>
    <row r="81" spans="1:9">
      <c r="A81" s="323" t="s">
        <v>1204</v>
      </c>
      <c r="B81" s="323" t="s">
        <v>1213</v>
      </c>
      <c r="C81" s="323">
        <f>'PROFORMA REV'!H51</f>
        <v>157.64782608695654</v>
      </c>
      <c r="D81" s="382">
        <v>2.2999999999999998</v>
      </c>
      <c r="E81" s="348">
        <f t="shared" si="19"/>
        <v>362.59000000000003</v>
      </c>
      <c r="F81" s="348">
        <f t="shared" si="17"/>
        <v>4351.08</v>
      </c>
      <c r="G81" s="348"/>
      <c r="H81" s="381">
        <f t="shared" ca="1" si="18"/>
        <v>2.6041736050080173</v>
      </c>
      <c r="I81" s="348">
        <f t="shared" ca="1" si="3"/>
        <v>4926.5076909905592</v>
      </c>
    </row>
    <row r="82" spans="1:9">
      <c r="A82" s="323" t="s">
        <v>1214</v>
      </c>
      <c r="B82" s="323" t="s">
        <v>1215</v>
      </c>
      <c r="D82" s="382">
        <v>205.49</v>
      </c>
      <c r="E82" s="348">
        <f t="shared" si="19"/>
        <v>0</v>
      </c>
      <c r="F82" s="348">
        <f t="shared" si="17"/>
        <v>0</v>
      </c>
      <c r="G82" s="348"/>
      <c r="H82" s="381">
        <f t="shared" ca="1" si="18"/>
        <v>232.66592786656415</v>
      </c>
      <c r="I82" s="348">
        <f t="shared" ca="1" si="3"/>
        <v>0</v>
      </c>
    </row>
    <row r="83" spans="1:9">
      <c r="A83" s="323" t="s">
        <v>1214</v>
      </c>
      <c r="B83" s="323" t="s">
        <v>1216</v>
      </c>
      <c r="D83" s="382">
        <v>205.49</v>
      </c>
      <c r="E83" s="348">
        <f t="shared" si="19"/>
        <v>0</v>
      </c>
      <c r="F83" s="348">
        <f t="shared" si="17"/>
        <v>0</v>
      </c>
      <c r="G83" s="348"/>
      <c r="H83" s="381">
        <f t="shared" ca="1" si="18"/>
        <v>232.66592786656415</v>
      </c>
      <c r="I83" s="348">
        <f t="shared" ca="1" si="3"/>
        <v>0</v>
      </c>
    </row>
    <row r="84" spans="1:9">
      <c r="A84" s="323" t="s">
        <v>1214</v>
      </c>
      <c r="B84" s="323" t="s">
        <v>1217</v>
      </c>
      <c r="D84" s="382">
        <v>205.49</v>
      </c>
      <c r="E84" s="348">
        <f t="shared" si="19"/>
        <v>0</v>
      </c>
      <c r="F84" s="349">
        <f t="shared" si="17"/>
        <v>0</v>
      </c>
      <c r="G84" s="348"/>
      <c r="H84" s="381">
        <f t="shared" ca="1" si="18"/>
        <v>232.66592786656415</v>
      </c>
      <c r="I84" s="349">
        <f t="shared" ca="1" si="3"/>
        <v>0</v>
      </c>
    </row>
    <row r="85" spans="1:9">
      <c r="D85" s="381"/>
      <c r="E85" s="348"/>
      <c r="F85" s="377">
        <f>SUM(F73:F84)</f>
        <v>25702.380000000005</v>
      </c>
      <c r="G85" s="348"/>
      <c r="H85" s="381"/>
      <c r="I85" s="377">
        <f ca="1">SUM(I73:I84)</f>
        <v>29101.504166037383</v>
      </c>
    </row>
    <row r="86" spans="1:9">
      <c r="D86" s="381"/>
      <c r="E86" s="348"/>
      <c r="F86" s="348"/>
      <c r="G86" s="348"/>
      <c r="H86" s="381"/>
      <c r="I86" s="348"/>
    </row>
    <row r="87" spans="1:9">
      <c r="B87" s="346" t="s">
        <v>1087</v>
      </c>
      <c r="D87" s="381"/>
      <c r="E87" s="348"/>
      <c r="F87" s="348"/>
      <c r="G87" s="348"/>
      <c r="H87" s="381"/>
      <c r="I87" s="348"/>
    </row>
    <row r="88" spans="1:9">
      <c r="A88" s="323" t="s">
        <v>1220</v>
      </c>
      <c r="B88" s="323" t="s">
        <v>1129</v>
      </c>
      <c r="C88" s="323">
        <f>'PROFORMA REV'!H58</f>
        <v>0.33333333333333331</v>
      </c>
      <c r="D88" s="382">
        <v>25</v>
      </c>
      <c r="E88" s="348">
        <f t="shared" ref="E88" si="20">D88*C88</f>
        <v>8.3333333333333321</v>
      </c>
      <c r="F88" s="348">
        <f t="shared" ref="F88:F108" si="21">E88*12</f>
        <v>99.999999999999986</v>
      </c>
      <c r="G88" s="348"/>
      <c r="H88" s="381">
        <f t="shared" ref="H88:H132" ca="1" si="22">D88*(1+$H$3)</f>
        <v>28.306234837043672</v>
      </c>
      <c r="I88" s="348">
        <f t="shared" ref="I88:I132" ca="1" si="23">C88*H88*12</f>
        <v>113.22493934817467</v>
      </c>
    </row>
    <row r="89" spans="1:9">
      <c r="A89" s="323" t="s">
        <v>1221</v>
      </c>
      <c r="B89" s="323" t="s">
        <v>1130</v>
      </c>
      <c r="C89" s="323">
        <v>0</v>
      </c>
      <c r="D89" s="382">
        <v>11.2</v>
      </c>
      <c r="E89" s="348">
        <f t="shared" ref="E89:E93" si="24">D89*C89</f>
        <v>0</v>
      </c>
      <c r="F89" s="348">
        <f t="shared" si="21"/>
        <v>0</v>
      </c>
      <c r="G89" s="348"/>
      <c r="H89" s="381">
        <f t="shared" ca="1" si="22"/>
        <v>12.681193206995564</v>
      </c>
      <c r="I89" s="348">
        <f t="shared" ca="1" si="23"/>
        <v>0</v>
      </c>
    </row>
    <row r="90" spans="1:9">
      <c r="A90" s="323" t="s">
        <v>1222</v>
      </c>
      <c r="B90" s="323" t="s">
        <v>1147</v>
      </c>
      <c r="C90" s="323">
        <f>'PROFORMA REV'!H49</f>
        <v>2.8333333333333335</v>
      </c>
      <c r="D90" s="382">
        <v>53.26</v>
      </c>
      <c r="E90" s="348">
        <f t="shared" si="24"/>
        <v>150.90333333333334</v>
      </c>
      <c r="F90" s="348">
        <f t="shared" si="21"/>
        <v>1810.8400000000001</v>
      </c>
      <c r="G90" s="348"/>
      <c r="H90" s="381">
        <f t="shared" ca="1" si="22"/>
        <v>60.303602696837835</v>
      </c>
      <c r="I90" s="348">
        <f t="shared" ca="1" si="23"/>
        <v>2050.3224916924864</v>
      </c>
    </row>
    <row r="91" spans="1:9">
      <c r="A91" s="323" t="s">
        <v>1222</v>
      </c>
      <c r="B91" s="323" t="s">
        <v>1148</v>
      </c>
      <c r="C91" s="323">
        <v>0</v>
      </c>
      <c r="D91" s="382">
        <v>30.44</v>
      </c>
      <c r="E91" s="348">
        <f t="shared" ref="E91:E92" si="25">D91*C91</f>
        <v>0</v>
      </c>
      <c r="F91" s="348">
        <f t="shared" ref="F91:F92" si="26">E91*12</f>
        <v>0</v>
      </c>
      <c r="G91" s="348"/>
      <c r="H91" s="381">
        <f t="shared" ca="1" si="22"/>
        <v>34.465671537584377</v>
      </c>
      <c r="I91" s="348">
        <f t="shared" ca="1" si="23"/>
        <v>0</v>
      </c>
    </row>
    <row r="92" spans="1:9">
      <c r="A92" s="323" t="s">
        <v>1223</v>
      </c>
      <c r="B92" s="323" t="s">
        <v>1131</v>
      </c>
      <c r="C92" s="323">
        <f>'PROFORMA REV'!H77</f>
        <v>1.3333333333333333</v>
      </c>
      <c r="D92" s="382">
        <v>7.16</v>
      </c>
      <c r="E92" s="348">
        <f t="shared" si="25"/>
        <v>9.5466666666666669</v>
      </c>
      <c r="F92" s="348">
        <f t="shared" si="26"/>
        <v>114.56</v>
      </c>
      <c r="G92" s="348"/>
      <c r="H92" s="381">
        <f t="shared" ca="1" si="22"/>
        <v>8.1069056573293068</v>
      </c>
      <c r="I92" s="348">
        <f t="shared" ca="1" si="23"/>
        <v>129.71049051726891</v>
      </c>
    </row>
    <row r="93" spans="1:9">
      <c r="A93" s="323" t="s">
        <v>1224</v>
      </c>
      <c r="B93" s="323" t="s">
        <v>1149</v>
      </c>
      <c r="C93" s="323">
        <v>0</v>
      </c>
      <c r="D93" s="382">
        <v>113.86</v>
      </c>
      <c r="E93" s="348">
        <f t="shared" si="24"/>
        <v>0</v>
      </c>
      <c r="F93" s="348">
        <f t="shared" si="21"/>
        <v>0</v>
      </c>
      <c r="G93" s="348"/>
      <c r="H93" s="381">
        <f t="shared" ca="1" si="22"/>
        <v>128.91791594183169</v>
      </c>
      <c r="I93" s="348">
        <f t="shared" ca="1" si="23"/>
        <v>0</v>
      </c>
    </row>
    <row r="94" spans="1:9">
      <c r="A94" s="323" t="s">
        <v>1225</v>
      </c>
      <c r="B94" s="323" t="s">
        <v>1132</v>
      </c>
      <c r="C94" s="323">
        <f>'PROFORMA REV'!H74</f>
        <v>0.16666666666666666</v>
      </c>
      <c r="D94" s="382">
        <v>13.89</v>
      </c>
      <c r="E94" s="348">
        <f t="shared" ref="E94:E108" si="27">D94*C94</f>
        <v>2.3149999999999999</v>
      </c>
      <c r="F94" s="348">
        <f t="shared" si="21"/>
        <v>27.78</v>
      </c>
      <c r="G94" s="348"/>
      <c r="H94" s="381">
        <f t="shared" ca="1" si="22"/>
        <v>15.726944075461464</v>
      </c>
      <c r="I94" s="348">
        <f t="shared" ca="1" si="23"/>
        <v>31.453888150922925</v>
      </c>
    </row>
    <row r="95" spans="1:9">
      <c r="A95" s="323" t="s">
        <v>1225</v>
      </c>
      <c r="B95" s="323" t="s">
        <v>1133</v>
      </c>
      <c r="C95" s="323">
        <v>0</v>
      </c>
      <c r="D95" s="382">
        <v>13.89</v>
      </c>
      <c r="E95" s="348">
        <f t="shared" si="27"/>
        <v>0</v>
      </c>
      <c r="F95" s="348">
        <f t="shared" si="21"/>
        <v>0</v>
      </c>
      <c r="G95" s="348"/>
      <c r="H95" s="381">
        <f t="shared" ca="1" si="22"/>
        <v>15.726944075461464</v>
      </c>
      <c r="I95" s="348">
        <f t="shared" ca="1" si="23"/>
        <v>0</v>
      </c>
    </row>
    <row r="96" spans="1:9">
      <c r="A96" s="323" t="s">
        <v>1225</v>
      </c>
      <c r="B96" s="323" t="s">
        <v>1134</v>
      </c>
      <c r="C96" s="323">
        <v>0</v>
      </c>
      <c r="D96" s="382">
        <v>15</v>
      </c>
      <c r="E96" s="348">
        <f t="shared" si="27"/>
        <v>0</v>
      </c>
      <c r="F96" s="348">
        <f t="shared" si="21"/>
        <v>0</v>
      </c>
      <c r="G96" s="348"/>
      <c r="H96" s="381">
        <f t="shared" ca="1" si="22"/>
        <v>16.983740902226202</v>
      </c>
      <c r="I96" s="348">
        <f t="shared" ca="1" si="23"/>
        <v>0</v>
      </c>
    </row>
    <row r="97" spans="1:10">
      <c r="A97" s="323" t="s">
        <v>1225</v>
      </c>
      <c r="B97" s="323" t="s">
        <v>1145</v>
      </c>
      <c r="C97" s="323">
        <v>0</v>
      </c>
      <c r="D97" s="382">
        <v>50</v>
      </c>
      <c r="E97" s="348">
        <f t="shared" si="27"/>
        <v>0</v>
      </c>
      <c r="F97" s="348">
        <f t="shared" si="21"/>
        <v>0</v>
      </c>
      <c r="G97" s="348"/>
      <c r="H97" s="381">
        <f t="shared" ca="1" si="22"/>
        <v>56.612469674087343</v>
      </c>
      <c r="I97" s="348">
        <f t="shared" ca="1" si="23"/>
        <v>0</v>
      </c>
    </row>
    <row r="98" spans="1:10">
      <c r="A98" s="323" t="s">
        <v>1225</v>
      </c>
      <c r="B98" s="323" t="s">
        <v>1146</v>
      </c>
      <c r="C98" s="323">
        <f>'PROFORMA REV'!H32</f>
        <v>0.16666666666666666</v>
      </c>
      <c r="D98" s="382">
        <v>25</v>
      </c>
      <c r="E98" s="348">
        <f t="shared" si="27"/>
        <v>4.1666666666666661</v>
      </c>
      <c r="F98" s="348">
        <f t="shared" si="21"/>
        <v>49.999999999999993</v>
      </c>
      <c r="G98" s="348"/>
      <c r="H98" s="381">
        <f t="shared" ca="1" si="22"/>
        <v>28.306234837043672</v>
      </c>
      <c r="I98" s="348">
        <f t="shared" ca="1" si="23"/>
        <v>56.612469674087336</v>
      </c>
    </row>
    <row r="99" spans="1:10">
      <c r="A99" s="323" t="s">
        <v>1226</v>
      </c>
      <c r="B99" s="323" t="s">
        <v>1135</v>
      </c>
      <c r="C99" s="323">
        <f>'PROFORMA REV'!K75</f>
        <v>0.44501953124999999</v>
      </c>
      <c r="D99" s="382">
        <v>1.18</v>
      </c>
      <c r="E99" s="348">
        <f t="shared" si="27"/>
        <v>0.525123046875</v>
      </c>
      <c r="F99" s="348">
        <f t="shared" si="21"/>
        <v>6.3014765624999995</v>
      </c>
      <c r="G99" s="348"/>
      <c r="H99" s="381">
        <f t="shared" ca="1" si="22"/>
        <v>1.3360542843084611</v>
      </c>
      <c r="I99" s="348">
        <f t="shared" ca="1" si="23"/>
        <v>7.1348430159300662</v>
      </c>
    </row>
    <row r="100" spans="1:10">
      <c r="A100" s="323" t="s">
        <v>1226</v>
      </c>
      <c r="B100" s="323" t="s">
        <v>1136</v>
      </c>
      <c r="C100" s="323">
        <v>0</v>
      </c>
      <c r="D100" s="382">
        <v>0.48</v>
      </c>
      <c r="E100" s="348">
        <f t="shared" si="27"/>
        <v>0</v>
      </c>
      <c r="F100" s="348">
        <f t="shared" si="21"/>
        <v>0</v>
      </c>
      <c r="G100" s="379"/>
      <c r="H100" s="381">
        <f t="shared" ca="1" si="22"/>
        <v>0.54347970887123842</v>
      </c>
      <c r="I100" s="348">
        <f t="shared" ca="1" si="23"/>
        <v>0</v>
      </c>
    </row>
    <row r="101" spans="1:10">
      <c r="A101" s="323" t="s">
        <v>1226</v>
      </c>
      <c r="B101" s="323" t="s">
        <v>1137</v>
      </c>
      <c r="C101" s="323">
        <f>'PROFORMA REV'!K37</f>
        <v>2.17</v>
      </c>
      <c r="D101" s="382">
        <v>2.15</v>
      </c>
      <c r="E101" s="348">
        <f t="shared" si="27"/>
        <v>4.6654999999999998</v>
      </c>
      <c r="F101" s="348">
        <f t="shared" si="21"/>
        <v>55.985999999999997</v>
      </c>
      <c r="G101" s="348"/>
      <c r="H101" s="381">
        <f t="shared" ca="1" si="22"/>
        <v>2.4343361959857557</v>
      </c>
      <c r="I101" s="348">
        <f t="shared" ca="1" si="23"/>
        <v>63.390114543469075</v>
      </c>
    </row>
    <row r="102" spans="1:10">
      <c r="A102" s="323" t="s">
        <v>1226</v>
      </c>
      <c r="B102" s="323" t="s">
        <v>1138</v>
      </c>
      <c r="C102" s="323">
        <v>1.5</v>
      </c>
      <c r="D102" s="382">
        <v>0.91</v>
      </c>
      <c r="E102" s="348">
        <f t="shared" si="27"/>
        <v>1.365</v>
      </c>
      <c r="F102" s="348">
        <f t="shared" si="21"/>
        <v>16.38</v>
      </c>
      <c r="G102" s="348"/>
      <c r="H102" s="381">
        <f t="shared" ca="1" si="22"/>
        <v>1.0303469480683896</v>
      </c>
      <c r="I102" s="348">
        <f t="shared" ca="1" si="23"/>
        <v>18.546245065231012</v>
      </c>
    </row>
    <row r="103" spans="1:10">
      <c r="A103" s="323" t="s">
        <v>1226</v>
      </c>
      <c r="B103" s="323" t="s">
        <v>1139</v>
      </c>
      <c r="C103" s="323">
        <v>0</v>
      </c>
      <c r="D103" s="382">
        <v>2.42</v>
      </c>
      <c r="E103" s="348">
        <f t="shared" si="27"/>
        <v>0</v>
      </c>
      <c r="F103" s="348">
        <f t="shared" si="21"/>
        <v>0</v>
      </c>
      <c r="G103" s="379"/>
      <c r="H103" s="381">
        <f t="shared" ca="1" si="22"/>
        <v>2.740043532225827</v>
      </c>
      <c r="I103" s="348">
        <f t="shared" ca="1" si="23"/>
        <v>0</v>
      </c>
    </row>
    <row r="104" spans="1:10">
      <c r="A104" s="323" t="s">
        <v>1226</v>
      </c>
      <c r="B104" s="323" t="s">
        <v>1140</v>
      </c>
      <c r="C104" s="323">
        <v>0</v>
      </c>
      <c r="D104" s="382">
        <v>4.83</v>
      </c>
      <c r="E104" s="348">
        <f t="shared" si="27"/>
        <v>0</v>
      </c>
      <c r="F104" s="348">
        <f t="shared" si="21"/>
        <v>0</v>
      </c>
      <c r="G104" s="379"/>
      <c r="H104" s="381">
        <f t="shared" ca="1" si="22"/>
        <v>5.4687645705168375</v>
      </c>
      <c r="I104" s="348">
        <f t="shared" ca="1" si="23"/>
        <v>0</v>
      </c>
    </row>
    <row r="105" spans="1:10">
      <c r="A105" s="323" t="s">
        <v>1226</v>
      </c>
      <c r="B105" s="323" t="s">
        <v>1141</v>
      </c>
      <c r="C105" s="323">
        <v>0</v>
      </c>
      <c r="D105" s="382">
        <v>2.42</v>
      </c>
      <c r="E105" s="348">
        <f t="shared" si="27"/>
        <v>0</v>
      </c>
      <c r="F105" s="348">
        <f t="shared" si="21"/>
        <v>0</v>
      </c>
      <c r="G105" s="379"/>
      <c r="H105" s="381">
        <f t="shared" ca="1" si="22"/>
        <v>2.740043532225827</v>
      </c>
      <c r="I105" s="348">
        <f t="shared" ca="1" si="23"/>
        <v>0</v>
      </c>
    </row>
    <row r="106" spans="1:10">
      <c r="A106" s="323" t="s">
        <v>1226</v>
      </c>
      <c r="B106" s="323" t="s">
        <v>1142</v>
      </c>
      <c r="C106" s="323">
        <v>0</v>
      </c>
      <c r="D106" s="382">
        <v>4.59</v>
      </c>
      <c r="E106" s="348">
        <f t="shared" si="27"/>
        <v>0</v>
      </c>
      <c r="F106" s="348">
        <f t="shared" si="21"/>
        <v>0</v>
      </c>
      <c r="G106" s="379"/>
      <c r="H106" s="381">
        <f t="shared" ca="1" si="22"/>
        <v>5.1970247160812173</v>
      </c>
      <c r="I106" s="348">
        <f t="shared" ca="1" si="23"/>
        <v>0</v>
      </c>
    </row>
    <row r="107" spans="1:10">
      <c r="A107" s="323" t="s">
        <v>1226</v>
      </c>
      <c r="B107" s="323" t="s">
        <v>1143</v>
      </c>
      <c r="C107" s="323">
        <v>0</v>
      </c>
      <c r="D107" s="382">
        <v>9.17</v>
      </c>
      <c r="E107" s="348">
        <f t="shared" si="27"/>
        <v>0</v>
      </c>
      <c r="F107" s="348">
        <f t="shared" si="21"/>
        <v>0</v>
      </c>
      <c r="G107" s="379"/>
      <c r="H107" s="381">
        <f t="shared" ca="1" si="22"/>
        <v>10.382726938227618</v>
      </c>
      <c r="I107" s="348">
        <f t="shared" ca="1" si="23"/>
        <v>0</v>
      </c>
    </row>
    <row r="108" spans="1:10">
      <c r="A108" s="323" t="s">
        <v>1226</v>
      </c>
      <c r="B108" s="323" t="s">
        <v>1144</v>
      </c>
      <c r="C108" s="323">
        <v>0</v>
      </c>
      <c r="D108" s="382">
        <v>4.59</v>
      </c>
      <c r="E108" s="348">
        <f t="shared" si="27"/>
        <v>0</v>
      </c>
      <c r="F108" s="372">
        <f t="shared" si="21"/>
        <v>0</v>
      </c>
      <c r="G108" s="379"/>
      <c r="H108" s="381">
        <f t="shared" ca="1" si="22"/>
        <v>5.1970247160812173</v>
      </c>
      <c r="I108" s="348">
        <f t="shared" ca="1" si="23"/>
        <v>0</v>
      </c>
    </row>
    <row r="109" spans="1:10">
      <c r="A109" s="323" t="s">
        <v>1227</v>
      </c>
      <c r="B109" s="323" t="s">
        <v>1168</v>
      </c>
      <c r="C109" s="323">
        <f>'PROFORMA REV'!H12</f>
        <v>1.0833333333333333</v>
      </c>
      <c r="D109" s="382">
        <v>18.68</v>
      </c>
      <c r="E109" s="348">
        <f t="shared" ref="E109:E132" si="28">D109*C109</f>
        <v>20.236666666666665</v>
      </c>
      <c r="F109" s="372">
        <f t="shared" ref="F109:F132" si="29">E109*12</f>
        <v>242.83999999999997</v>
      </c>
      <c r="G109" s="379"/>
      <c r="H109" s="381">
        <f t="shared" ca="1" si="22"/>
        <v>21.150418670239031</v>
      </c>
      <c r="I109" s="348">
        <f t="shared" ca="1" si="23"/>
        <v>274.95544271310735</v>
      </c>
    </row>
    <row r="110" spans="1:10">
      <c r="A110" s="323" t="s">
        <v>1227</v>
      </c>
      <c r="B110" s="323" t="s">
        <v>1172</v>
      </c>
      <c r="C110" s="323">
        <f>'PROFORMA REV'!H13</f>
        <v>4.1714947856315181E-2</v>
      </c>
      <c r="D110" s="382">
        <v>8.6300000000000008</v>
      </c>
      <c r="E110" s="348">
        <f t="shared" si="28"/>
        <v>0.36000000000000004</v>
      </c>
      <c r="F110" s="372">
        <f t="shared" si="29"/>
        <v>4.32</v>
      </c>
      <c r="G110" s="379"/>
      <c r="H110" s="381">
        <f t="shared" ca="1" si="22"/>
        <v>9.7713122657474756</v>
      </c>
      <c r="I110" s="348">
        <f t="shared" ca="1" si="23"/>
        <v>4.891317379841146</v>
      </c>
    </row>
    <row r="111" spans="1:10">
      <c r="A111" s="323" t="s">
        <v>1227</v>
      </c>
      <c r="B111" s="323" t="s">
        <v>1169</v>
      </c>
      <c r="C111" s="323">
        <f>'PROFORMA REV'!H11</f>
        <v>0.41666666666666669</v>
      </c>
      <c r="D111" s="382">
        <v>31.88</v>
      </c>
      <c r="E111" s="348">
        <f t="shared" si="28"/>
        <v>13.283333333333333</v>
      </c>
      <c r="F111" s="372">
        <f t="shared" si="29"/>
        <v>159.4</v>
      </c>
      <c r="G111" s="379"/>
      <c r="H111" s="381">
        <f t="shared" ca="1" si="22"/>
        <v>36.096110664198086</v>
      </c>
      <c r="I111" s="348">
        <f t="shared" ca="1" si="23"/>
        <v>180.48055332099045</v>
      </c>
      <c r="J111" s="322"/>
    </row>
    <row r="112" spans="1:10">
      <c r="A112" s="323" t="s">
        <v>1227</v>
      </c>
      <c r="B112" s="323" t="s">
        <v>1170</v>
      </c>
      <c r="C112" s="323">
        <v>0</v>
      </c>
      <c r="D112" s="382">
        <v>23.57</v>
      </c>
      <c r="E112" s="348">
        <f t="shared" si="28"/>
        <v>0</v>
      </c>
      <c r="F112" s="372">
        <f t="shared" si="29"/>
        <v>0</v>
      </c>
      <c r="G112" s="379"/>
      <c r="H112" s="381">
        <f t="shared" ca="1" si="22"/>
        <v>26.687118204364772</v>
      </c>
      <c r="I112" s="348">
        <f t="shared" ca="1" si="23"/>
        <v>0</v>
      </c>
      <c r="J112" s="322"/>
    </row>
    <row r="113" spans="1:12">
      <c r="A113" s="323" t="s">
        <v>1227</v>
      </c>
      <c r="B113" s="323" t="s">
        <v>1171</v>
      </c>
      <c r="C113" s="323">
        <v>0</v>
      </c>
      <c r="D113" s="382">
        <v>15.68</v>
      </c>
      <c r="E113" s="348">
        <f t="shared" si="28"/>
        <v>0</v>
      </c>
      <c r="F113" s="372">
        <f t="shared" si="29"/>
        <v>0</v>
      </c>
      <c r="G113" s="379"/>
      <c r="H113" s="381">
        <f t="shared" ca="1" si="22"/>
        <v>17.753670489793791</v>
      </c>
      <c r="I113" s="348">
        <f t="shared" ca="1" si="23"/>
        <v>0</v>
      </c>
      <c r="J113" s="322"/>
      <c r="K113" s="322"/>
      <c r="L113" s="322"/>
    </row>
    <row r="114" spans="1:12">
      <c r="A114" s="323" t="s">
        <v>1227</v>
      </c>
      <c r="B114" s="323" t="s">
        <v>1173</v>
      </c>
      <c r="C114" s="323">
        <f>'PROFORMA REV'!H56</f>
        <v>0.12501328232918926</v>
      </c>
      <c r="D114" s="382">
        <v>31.37</v>
      </c>
      <c r="E114" s="348">
        <f t="shared" si="28"/>
        <v>3.9216666666666673</v>
      </c>
      <c r="F114" s="372">
        <f t="shared" si="29"/>
        <v>47.060000000000009</v>
      </c>
      <c r="G114" s="379"/>
      <c r="H114" s="381">
        <f t="shared" ca="1" si="22"/>
        <v>35.518663473522402</v>
      </c>
      <c r="I114" s="348">
        <f t="shared" ca="1" si="23"/>
        <v>53.28365645725102</v>
      </c>
      <c r="J114" s="322"/>
      <c r="K114" s="322"/>
      <c r="L114" s="322"/>
    </row>
    <row r="115" spans="1:12">
      <c r="A115" s="323" t="s">
        <v>1227</v>
      </c>
      <c r="B115" s="323" t="s">
        <v>1174</v>
      </c>
      <c r="C115" s="323">
        <v>0</v>
      </c>
      <c r="D115" s="382">
        <v>31.37</v>
      </c>
      <c r="E115" s="348">
        <f t="shared" si="28"/>
        <v>0</v>
      </c>
      <c r="F115" s="372">
        <f t="shared" si="29"/>
        <v>0</v>
      </c>
      <c r="G115" s="380"/>
      <c r="H115" s="381">
        <f t="shared" ca="1" si="22"/>
        <v>35.518663473522402</v>
      </c>
      <c r="I115" s="348">
        <f t="shared" ca="1" si="23"/>
        <v>0</v>
      </c>
      <c r="J115" s="322"/>
      <c r="K115" s="322"/>
      <c r="L115" s="322"/>
    </row>
    <row r="116" spans="1:12">
      <c r="A116" s="323" t="s">
        <v>1227</v>
      </c>
      <c r="B116" s="323" t="s">
        <v>1175</v>
      </c>
      <c r="C116" s="323">
        <v>0</v>
      </c>
      <c r="D116" s="382">
        <v>31.88</v>
      </c>
      <c r="E116" s="348">
        <f t="shared" si="28"/>
        <v>0</v>
      </c>
      <c r="F116" s="372">
        <f t="shared" si="29"/>
        <v>0</v>
      </c>
      <c r="G116" s="380"/>
      <c r="H116" s="381">
        <f t="shared" ca="1" si="22"/>
        <v>36.096110664198086</v>
      </c>
      <c r="I116" s="348">
        <f t="shared" ca="1" si="23"/>
        <v>0</v>
      </c>
      <c r="J116" s="322"/>
      <c r="K116" s="322"/>
      <c r="L116" s="322"/>
    </row>
    <row r="117" spans="1:12">
      <c r="A117" s="323" t="s">
        <v>1227</v>
      </c>
      <c r="B117" s="323" t="s">
        <v>1176</v>
      </c>
      <c r="C117" s="323">
        <v>0</v>
      </c>
      <c r="D117" s="382">
        <v>36.1</v>
      </c>
      <c r="E117" s="348">
        <f t="shared" si="28"/>
        <v>0</v>
      </c>
      <c r="F117" s="372">
        <f t="shared" si="29"/>
        <v>0</v>
      </c>
      <c r="G117" s="380"/>
      <c r="H117" s="381">
        <f t="shared" ca="1" si="22"/>
        <v>40.874203104691063</v>
      </c>
      <c r="I117" s="348">
        <f t="shared" ca="1" si="23"/>
        <v>0</v>
      </c>
      <c r="J117" s="322"/>
      <c r="K117" s="322"/>
      <c r="L117" s="322"/>
    </row>
    <row r="118" spans="1:12">
      <c r="A118" s="323" t="s">
        <v>1227</v>
      </c>
      <c r="B118" s="323" t="s">
        <v>1177</v>
      </c>
      <c r="C118" s="323">
        <v>0</v>
      </c>
      <c r="D118" s="382">
        <v>15.47</v>
      </c>
      <c r="E118" s="348">
        <f t="shared" si="28"/>
        <v>0</v>
      </c>
      <c r="F118" s="372">
        <f t="shared" si="29"/>
        <v>0</v>
      </c>
      <c r="G118" s="380"/>
      <c r="H118" s="381">
        <f t="shared" ca="1" si="22"/>
        <v>17.515898117162624</v>
      </c>
      <c r="I118" s="348">
        <f t="shared" ca="1" si="23"/>
        <v>0</v>
      </c>
      <c r="J118" s="322"/>
      <c r="K118" s="322"/>
      <c r="L118" s="322"/>
    </row>
    <row r="119" spans="1:12">
      <c r="A119" s="323" t="s">
        <v>1227</v>
      </c>
      <c r="B119" s="323" t="s">
        <v>1178</v>
      </c>
      <c r="C119" s="323">
        <v>0</v>
      </c>
      <c r="D119" s="382">
        <v>7.16</v>
      </c>
      <c r="E119" s="348">
        <f t="shared" si="28"/>
        <v>0</v>
      </c>
      <c r="F119" s="372">
        <f t="shared" si="29"/>
        <v>0</v>
      </c>
      <c r="G119" s="380"/>
      <c r="H119" s="381">
        <f t="shared" ca="1" si="22"/>
        <v>8.1069056573293068</v>
      </c>
      <c r="I119" s="348">
        <f t="shared" ca="1" si="23"/>
        <v>0</v>
      </c>
      <c r="J119" s="322"/>
      <c r="K119" s="322"/>
      <c r="L119" s="322"/>
    </row>
    <row r="120" spans="1:12">
      <c r="A120" s="323" t="s">
        <v>1227</v>
      </c>
      <c r="B120" s="323" t="s">
        <v>1179</v>
      </c>
      <c r="C120" s="323">
        <v>0</v>
      </c>
      <c r="D120" s="382">
        <v>38.82</v>
      </c>
      <c r="E120" s="348">
        <f t="shared" si="28"/>
        <v>0</v>
      </c>
      <c r="F120" s="372">
        <f t="shared" si="29"/>
        <v>0</v>
      </c>
      <c r="G120" s="380"/>
      <c r="H120" s="381">
        <f t="shared" ca="1" si="22"/>
        <v>43.95392145496141</v>
      </c>
      <c r="I120" s="348">
        <f t="shared" ca="1" si="23"/>
        <v>0</v>
      </c>
      <c r="J120" s="322"/>
      <c r="K120" s="322"/>
      <c r="L120" s="322"/>
    </row>
    <row r="121" spans="1:12">
      <c r="A121" s="323" t="s">
        <v>1227</v>
      </c>
      <c r="B121" s="323" t="s">
        <v>1180</v>
      </c>
      <c r="C121" s="323">
        <f>'PROFORMA REV'!H57</f>
        <v>8.3333333333333329E-2</v>
      </c>
      <c r="D121" s="382">
        <v>30.95</v>
      </c>
      <c r="E121" s="348">
        <f t="shared" si="28"/>
        <v>2.5791666666666666</v>
      </c>
      <c r="F121" s="372">
        <f t="shared" si="29"/>
        <v>30.95</v>
      </c>
      <c r="G121" s="380"/>
      <c r="H121" s="381">
        <f t="shared" ca="1" si="22"/>
        <v>35.043118728260062</v>
      </c>
      <c r="I121" s="348">
        <f t="shared" ca="1" si="23"/>
        <v>35.043118728260055</v>
      </c>
      <c r="J121" s="322"/>
      <c r="K121" s="322"/>
      <c r="L121" s="322"/>
    </row>
    <row r="122" spans="1:12">
      <c r="A122" s="323" t="s">
        <v>1227</v>
      </c>
      <c r="B122" s="323" t="s">
        <v>1181</v>
      </c>
      <c r="C122" s="323">
        <v>0</v>
      </c>
      <c r="D122" s="382">
        <v>10.32</v>
      </c>
      <c r="E122" s="348">
        <f t="shared" si="28"/>
        <v>0</v>
      </c>
      <c r="F122" s="372">
        <f t="shared" si="29"/>
        <v>0</v>
      </c>
      <c r="G122" s="380"/>
      <c r="H122" s="381">
        <f t="shared" ca="1" si="22"/>
        <v>11.684813740731627</v>
      </c>
      <c r="I122" s="348">
        <f t="shared" ca="1" si="23"/>
        <v>0</v>
      </c>
      <c r="J122" s="322"/>
      <c r="K122" s="322"/>
      <c r="L122" s="322"/>
    </row>
    <row r="123" spans="1:12">
      <c r="A123" s="323" t="s">
        <v>1228</v>
      </c>
      <c r="B123" s="323" t="s">
        <v>1182</v>
      </c>
      <c r="C123" s="323">
        <v>0</v>
      </c>
      <c r="D123" s="382">
        <v>60.37</v>
      </c>
      <c r="E123" s="348">
        <f t="shared" si="28"/>
        <v>0</v>
      </c>
      <c r="F123" s="372">
        <f t="shared" si="29"/>
        <v>0</v>
      </c>
      <c r="G123" s="380"/>
      <c r="H123" s="381">
        <f t="shared" ca="1" si="22"/>
        <v>68.353895884493056</v>
      </c>
      <c r="I123" s="348">
        <f t="shared" ca="1" si="23"/>
        <v>0</v>
      </c>
      <c r="J123" s="322"/>
      <c r="K123" s="322"/>
      <c r="L123" s="322"/>
    </row>
    <row r="124" spans="1:12">
      <c r="A124" s="323" t="s">
        <v>1228</v>
      </c>
      <c r="B124" s="323" t="s">
        <v>1183</v>
      </c>
      <c r="C124" s="323">
        <v>0</v>
      </c>
      <c r="D124" s="382">
        <v>30.41</v>
      </c>
      <c r="E124" s="348">
        <f t="shared" si="28"/>
        <v>0</v>
      </c>
      <c r="F124" s="372">
        <f t="shared" si="29"/>
        <v>0</v>
      </c>
      <c r="G124" s="380"/>
      <c r="H124" s="381">
        <f t="shared" ca="1" si="22"/>
        <v>34.431704055779917</v>
      </c>
      <c r="I124" s="348">
        <f t="shared" ca="1" si="23"/>
        <v>0</v>
      </c>
      <c r="J124" s="322"/>
      <c r="K124" s="322"/>
      <c r="L124" s="322"/>
    </row>
    <row r="125" spans="1:12">
      <c r="A125" s="323" t="s">
        <v>1228</v>
      </c>
      <c r="B125" s="323" t="s">
        <v>1184</v>
      </c>
      <c r="C125" s="323">
        <v>0</v>
      </c>
      <c r="D125" s="382">
        <v>60.37</v>
      </c>
      <c r="E125" s="348">
        <f t="shared" si="28"/>
        <v>0</v>
      </c>
      <c r="F125" s="372">
        <f t="shared" si="29"/>
        <v>0</v>
      </c>
      <c r="G125" s="380"/>
      <c r="H125" s="381">
        <f t="shared" ca="1" si="22"/>
        <v>68.353895884493056</v>
      </c>
      <c r="I125" s="348">
        <f t="shared" ca="1" si="23"/>
        <v>0</v>
      </c>
      <c r="J125" s="322"/>
      <c r="K125" s="322"/>
      <c r="L125" s="322"/>
    </row>
    <row r="126" spans="1:12">
      <c r="A126" s="323" t="s">
        <v>1228</v>
      </c>
      <c r="B126" s="323" t="s">
        <v>1185</v>
      </c>
      <c r="C126" s="323">
        <f>'PROFORMA REV'!H94</f>
        <v>0.49999999999999994</v>
      </c>
      <c r="D126" s="382">
        <v>83.68</v>
      </c>
      <c r="E126" s="348">
        <f t="shared" si="28"/>
        <v>41.839999999999996</v>
      </c>
      <c r="F126" s="372">
        <f t="shared" si="29"/>
        <v>502.07999999999993</v>
      </c>
      <c r="G126" s="380"/>
      <c r="H126" s="381">
        <f t="shared" ca="1" si="22"/>
        <v>94.746629246552587</v>
      </c>
      <c r="I126" s="348">
        <f t="shared" ca="1" si="23"/>
        <v>568.47977547931544</v>
      </c>
      <c r="J126" s="322"/>
      <c r="K126" s="322"/>
      <c r="L126" s="322"/>
    </row>
    <row r="127" spans="1:12">
      <c r="A127" s="323" t="s">
        <v>1228</v>
      </c>
      <c r="B127" s="323" t="s">
        <v>1186</v>
      </c>
      <c r="C127" s="323">
        <v>0</v>
      </c>
      <c r="D127" s="382">
        <v>30.41</v>
      </c>
      <c r="E127" s="348">
        <f t="shared" si="28"/>
        <v>0</v>
      </c>
      <c r="F127" s="372">
        <f t="shared" si="29"/>
        <v>0</v>
      </c>
      <c r="G127" s="380"/>
      <c r="H127" s="381">
        <f t="shared" ca="1" si="22"/>
        <v>34.431704055779917</v>
      </c>
      <c r="I127" s="348">
        <f t="shared" ca="1" si="23"/>
        <v>0</v>
      </c>
      <c r="J127" s="322"/>
      <c r="K127" s="322"/>
      <c r="L127" s="322"/>
    </row>
    <row r="128" spans="1:12">
      <c r="A128" s="323" t="s">
        <v>1228</v>
      </c>
      <c r="B128" s="323" t="s">
        <v>1187</v>
      </c>
      <c r="C128" s="323">
        <v>0</v>
      </c>
      <c r="D128" s="382">
        <v>83.68</v>
      </c>
      <c r="E128" s="348">
        <f t="shared" si="28"/>
        <v>0</v>
      </c>
      <c r="F128" s="372">
        <f t="shared" si="29"/>
        <v>0</v>
      </c>
      <c r="G128" s="380"/>
      <c r="H128" s="381">
        <f t="shared" ca="1" si="22"/>
        <v>94.746629246552587</v>
      </c>
      <c r="I128" s="348">
        <f t="shared" ca="1" si="23"/>
        <v>0</v>
      </c>
      <c r="J128" s="322"/>
      <c r="K128" s="322"/>
      <c r="L128" s="322"/>
    </row>
    <row r="129" spans="1:12">
      <c r="A129" s="323" t="s">
        <v>1229</v>
      </c>
      <c r="B129" s="323" t="s">
        <v>1188</v>
      </c>
      <c r="C129" s="323">
        <v>0</v>
      </c>
      <c r="D129" s="382">
        <v>7.64</v>
      </c>
      <c r="E129" s="348">
        <f t="shared" si="28"/>
        <v>0</v>
      </c>
      <c r="F129" s="372">
        <f t="shared" si="29"/>
        <v>0</v>
      </c>
      <c r="G129" s="380"/>
      <c r="H129" s="381">
        <f t="shared" ca="1" si="22"/>
        <v>8.6503853662005454</v>
      </c>
      <c r="I129" s="348">
        <f t="shared" ca="1" si="23"/>
        <v>0</v>
      </c>
      <c r="J129" s="322"/>
      <c r="K129" s="322"/>
      <c r="L129" s="322"/>
    </row>
    <row r="130" spans="1:12">
      <c r="A130" s="323" t="s">
        <v>1229</v>
      </c>
      <c r="B130" s="323" t="s">
        <v>1189</v>
      </c>
      <c r="C130" s="323">
        <v>0</v>
      </c>
      <c r="D130" s="382">
        <v>2.42</v>
      </c>
      <c r="E130" s="348">
        <f t="shared" si="28"/>
        <v>0</v>
      </c>
      <c r="F130" s="372">
        <f t="shared" si="29"/>
        <v>0</v>
      </c>
      <c r="G130" s="380"/>
      <c r="H130" s="381">
        <f t="shared" ca="1" si="22"/>
        <v>2.740043532225827</v>
      </c>
      <c r="I130" s="348">
        <f t="shared" ca="1" si="23"/>
        <v>0</v>
      </c>
      <c r="J130" s="322"/>
      <c r="K130" s="322"/>
      <c r="L130" s="322"/>
    </row>
    <row r="131" spans="1:12">
      <c r="A131" s="323" t="s">
        <v>1230</v>
      </c>
      <c r="B131" s="323" t="s">
        <v>1166</v>
      </c>
      <c r="C131" s="323">
        <f>'PROFORMA REV'!H59</f>
        <v>4.25</v>
      </c>
      <c r="D131" s="382">
        <v>21.48</v>
      </c>
      <c r="E131" s="348">
        <f t="shared" si="28"/>
        <v>91.29</v>
      </c>
      <c r="F131" s="372">
        <f t="shared" si="29"/>
        <v>1095.48</v>
      </c>
      <c r="G131" s="380"/>
      <c r="H131" s="381">
        <f t="shared" ca="1" si="22"/>
        <v>24.32071697198792</v>
      </c>
      <c r="I131" s="348">
        <f t="shared" ca="1" si="23"/>
        <v>1240.356565571384</v>
      </c>
      <c r="J131" s="322"/>
      <c r="K131" s="322"/>
      <c r="L131" s="322"/>
    </row>
    <row r="132" spans="1:12">
      <c r="A132" s="323" t="s">
        <v>1230</v>
      </c>
      <c r="B132" s="323" t="s">
        <v>1167</v>
      </c>
      <c r="C132" s="323">
        <f>'PROFORMA REV'!H73</f>
        <v>0.16666666666666666</v>
      </c>
      <c r="D132" s="382">
        <v>7.16</v>
      </c>
      <c r="E132" s="348">
        <f t="shared" si="28"/>
        <v>1.1933333333333334</v>
      </c>
      <c r="F132" s="349">
        <f t="shared" si="29"/>
        <v>14.32</v>
      </c>
      <c r="G132" s="380"/>
      <c r="H132" s="381">
        <f t="shared" ca="1" si="22"/>
        <v>8.1069056573293068</v>
      </c>
      <c r="I132" s="349">
        <f t="shared" ca="1" si="23"/>
        <v>16.213811314658614</v>
      </c>
      <c r="J132" s="322"/>
      <c r="K132" s="322"/>
      <c r="L132" s="322"/>
    </row>
    <row r="133" spans="1:12">
      <c r="B133" s="346" t="s">
        <v>1150</v>
      </c>
      <c r="D133" s="348"/>
      <c r="E133" s="348"/>
      <c r="F133" s="377">
        <f>SUM(F88:F132)</f>
        <v>4278.2974765625004</v>
      </c>
      <c r="G133" s="380"/>
      <c r="H133" s="348"/>
      <c r="I133" s="377">
        <f ca="1">SUM(I88:I132)</f>
        <v>4844.099722972378</v>
      </c>
      <c r="J133" s="322"/>
      <c r="K133" s="322"/>
      <c r="L133" s="322"/>
    </row>
    <row r="134" spans="1:12">
      <c r="G134" s="380"/>
      <c r="H134" s="348"/>
      <c r="I134" s="377"/>
      <c r="J134" s="322"/>
      <c r="K134" s="322"/>
      <c r="L134" s="322"/>
    </row>
    <row r="135" spans="1:12">
      <c r="D135" s="348"/>
      <c r="E135" s="348"/>
      <c r="F135" s="348"/>
      <c r="G135" s="380"/>
      <c r="H135" s="348"/>
      <c r="I135" s="377"/>
      <c r="J135" s="322"/>
      <c r="K135" s="322"/>
      <c r="L135" s="322"/>
    </row>
    <row r="136" spans="1:12">
      <c r="G136" s="330"/>
      <c r="I136" s="322"/>
      <c r="J136" s="322"/>
      <c r="K136" s="322"/>
      <c r="L136" s="322"/>
    </row>
    <row r="137" spans="1:12">
      <c r="B137" s="322"/>
      <c r="C137" s="322"/>
      <c r="D137" s="322"/>
      <c r="E137" s="322"/>
      <c r="F137" s="322"/>
      <c r="G137" s="330"/>
      <c r="I137" s="322"/>
      <c r="J137" s="322"/>
      <c r="K137" s="322"/>
      <c r="L137" s="322"/>
    </row>
    <row r="138" spans="1:12">
      <c r="B138" s="322" t="s">
        <v>361</v>
      </c>
      <c r="F138" s="322">
        <f>F44+F54+F70+F85+F133</f>
        <v>490229.16126338131</v>
      </c>
      <c r="G138" s="328"/>
      <c r="I138" s="377">
        <f ca="1">I44+I54+I70+I85+I133</f>
        <v>555061.67050752894</v>
      </c>
      <c r="K138" s="322"/>
      <c r="L138" s="322"/>
    </row>
    <row r="139" spans="1:12">
      <c r="G139" s="328"/>
      <c r="I139" s="348"/>
      <c r="K139" s="322"/>
      <c r="L139" s="322"/>
    </row>
    <row r="140" spans="1:12">
      <c r="G140" s="328"/>
      <c r="I140" s="348">
        <f ca="1">I138-F138</f>
        <v>64832.50924414763</v>
      </c>
      <c r="J140" s="323" t="s">
        <v>1239</v>
      </c>
    </row>
    <row r="141" spans="1:12">
      <c r="G141" s="328"/>
      <c r="I141" s="349">
        <f ca="1">'LG Nonpublic 2018 V5.2a'!M21</f>
        <v>70585.072034832294</v>
      </c>
      <c r="J141" s="323" t="s">
        <v>1240</v>
      </c>
    </row>
    <row r="142" spans="1:12">
      <c r="G142" s="328"/>
      <c r="I142" s="348">
        <f ca="1">I140-I141</f>
        <v>-5752.5627906846639</v>
      </c>
      <c r="J142" s="323" t="s">
        <v>1241</v>
      </c>
    </row>
    <row r="143" spans="1:12">
      <c r="G143" s="328"/>
    </row>
    <row r="144" spans="1:12">
      <c r="G144" s="328"/>
    </row>
    <row r="145" spans="7:14">
      <c r="G145" s="328"/>
    </row>
    <row r="146" spans="7:14">
      <c r="G146" s="328"/>
      <c r="M146" s="322"/>
      <c r="N146" s="322"/>
    </row>
    <row r="147" spans="7:14">
      <c r="G147" s="328"/>
    </row>
    <row r="148" spans="7:14">
      <c r="G148" s="328"/>
    </row>
    <row r="149" spans="7:14">
      <c r="G149" s="328"/>
    </row>
    <row r="150" spans="7:14">
      <c r="G150" s="328"/>
    </row>
    <row r="151" spans="7:14">
      <c r="G151" s="328"/>
    </row>
    <row r="152" spans="7:14">
      <c r="G152" s="328"/>
    </row>
    <row r="153" spans="7:14">
      <c r="G153" s="328"/>
    </row>
    <row r="154" spans="7:14">
      <c r="G154" s="328"/>
    </row>
    <row r="155" spans="7:14">
      <c r="G155" s="328"/>
    </row>
    <row r="156" spans="7:14">
      <c r="G156" s="328"/>
    </row>
    <row r="157" spans="7:14">
      <c r="G157" s="328"/>
    </row>
    <row r="158" spans="7:14">
      <c r="G158" s="328"/>
    </row>
    <row r="159" spans="7:14">
      <c r="G159" s="328"/>
    </row>
    <row r="160" spans="7:14">
      <c r="G160" s="328"/>
    </row>
    <row r="161" spans="2:12">
      <c r="G161" s="328"/>
    </row>
    <row r="162" spans="2:12">
      <c r="G162" s="328"/>
    </row>
    <row r="163" spans="2:12">
      <c r="G163" s="328"/>
    </row>
    <row r="164" spans="2:12">
      <c r="G164" s="328"/>
    </row>
    <row r="165" spans="2:12">
      <c r="G165" s="328"/>
    </row>
    <row r="166" spans="2:12">
      <c r="B166" s="322"/>
      <c r="C166" s="322"/>
      <c r="D166" s="322"/>
      <c r="E166" s="322"/>
      <c r="F166" s="322"/>
      <c r="G166" s="328"/>
      <c r="I166" s="322"/>
      <c r="J166" s="322"/>
      <c r="K166" s="322"/>
      <c r="L166" s="322"/>
    </row>
    <row r="167" spans="2:12">
      <c r="G167" s="328"/>
    </row>
    <row r="168" spans="2:12">
      <c r="G168" s="328"/>
      <c r="K168" s="322"/>
    </row>
    <row r="169" spans="2:12">
      <c r="B169" s="322"/>
      <c r="C169" s="322"/>
      <c r="D169" s="322"/>
      <c r="E169" s="322"/>
      <c r="F169" s="322"/>
      <c r="G169" s="328"/>
      <c r="I169" s="322"/>
      <c r="J169" s="322"/>
    </row>
    <row r="170" spans="2:12">
      <c r="B170" s="322"/>
      <c r="C170" s="322"/>
      <c r="D170" s="322"/>
      <c r="E170" s="322"/>
      <c r="F170" s="322"/>
      <c r="G170" s="328"/>
      <c r="I170" s="322"/>
      <c r="J170" s="322"/>
    </row>
    <row r="171" spans="2:12">
      <c r="B171" s="322"/>
      <c r="C171" s="322"/>
      <c r="D171" s="322"/>
      <c r="E171" s="322"/>
      <c r="F171" s="322"/>
      <c r="G171" s="328"/>
      <c r="I171" s="322"/>
      <c r="J171" s="322"/>
      <c r="K171" s="322"/>
      <c r="L171" s="322"/>
    </row>
    <row r="172" spans="2:12">
      <c r="B172" s="322"/>
      <c r="C172" s="322"/>
      <c r="D172" s="322"/>
      <c r="E172" s="322"/>
      <c r="F172" s="322"/>
      <c r="G172" s="330"/>
      <c r="I172" s="322"/>
      <c r="J172" s="322"/>
      <c r="K172" s="322"/>
      <c r="L172" s="322"/>
    </row>
    <row r="173" spans="2:12">
      <c r="B173" s="322"/>
      <c r="C173" s="322"/>
      <c r="D173" s="322"/>
      <c r="E173" s="322"/>
      <c r="F173" s="322"/>
      <c r="G173" s="330"/>
      <c r="I173" s="322"/>
      <c r="J173" s="322"/>
      <c r="K173" s="322"/>
      <c r="L173" s="322"/>
    </row>
    <row r="174" spans="2:12">
      <c r="B174" s="322"/>
      <c r="C174" s="322"/>
      <c r="D174" s="322"/>
      <c r="E174" s="322"/>
      <c r="F174" s="322"/>
      <c r="G174" s="330"/>
      <c r="I174" s="322"/>
      <c r="J174" s="322"/>
      <c r="K174" s="322"/>
      <c r="L174" s="322"/>
    </row>
    <row r="175" spans="2:12">
      <c r="B175" s="322"/>
      <c r="C175" s="322"/>
      <c r="D175" s="322"/>
      <c r="E175" s="322"/>
      <c r="F175" s="322"/>
      <c r="G175" s="330"/>
      <c r="I175" s="322"/>
      <c r="J175" s="322"/>
      <c r="K175" s="322"/>
      <c r="L175" s="322"/>
    </row>
    <row r="176" spans="2:12">
      <c r="G176" s="328"/>
      <c r="K176" s="322"/>
      <c r="L176" s="322"/>
    </row>
    <row r="177" spans="7:15">
      <c r="G177" s="328"/>
      <c r="H177" s="331"/>
      <c r="K177" s="322"/>
      <c r="L177" s="322"/>
    </row>
    <row r="178" spans="7:15">
      <c r="G178" s="328"/>
    </row>
    <row r="179" spans="7:15">
      <c r="G179" s="328"/>
    </row>
    <row r="180" spans="7:15">
      <c r="G180" s="328"/>
    </row>
    <row r="181" spans="7:15">
      <c r="G181" s="328"/>
      <c r="M181" s="322"/>
      <c r="N181" s="322"/>
      <c r="O181" s="322"/>
    </row>
    <row r="182" spans="7:15">
      <c r="G182" s="328"/>
    </row>
    <row r="183" spans="7:15">
      <c r="G183" s="328"/>
    </row>
    <row r="184" spans="7:15">
      <c r="G184" s="328"/>
    </row>
    <row r="185" spans="7:15">
      <c r="G185" s="328"/>
    </row>
    <row r="186" spans="7:15">
      <c r="G186" s="328"/>
    </row>
    <row r="187" spans="7:15">
      <c r="G187" s="328"/>
    </row>
    <row r="188" spans="7:15">
      <c r="G188" s="328"/>
    </row>
    <row r="189" spans="7:15">
      <c r="G189" s="328"/>
    </row>
    <row r="190" spans="7:15">
      <c r="G190" s="328"/>
    </row>
    <row r="191" spans="7:15">
      <c r="G191" s="328"/>
    </row>
    <row r="192" spans="7:15">
      <c r="G192" s="328"/>
    </row>
    <row r="193" spans="2:12">
      <c r="G193" s="328"/>
    </row>
    <row r="194" spans="2:12">
      <c r="B194" s="322"/>
      <c r="C194" s="322"/>
      <c r="D194" s="322"/>
      <c r="G194" s="328"/>
      <c r="I194" s="322"/>
      <c r="J194" s="322"/>
    </row>
    <row r="195" spans="2:12">
      <c r="G195" s="328"/>
    </row>
    <row r="196" spans="2:12">
      <c r="B196" s="322"/>
      <c r="G196" s="328"/>
      <c r="K196" s="322"/>
      <c r="L196" s="322"/>
    </row>
    <row r="197" spans="2:12">
      <c r="G197" s="328"/>
    </row>
    <row r="198" spans="2:12">
      <c r="G198" s="328"/>
    </row>
    <row r="199" spans="2:12">
      <c r="G199" s="328"/>
    </row>
    <row r="200" spans="2:12">
      <c r="G200" s="328"/>
    </row>
    <row r="201" spans="2:12">
      <c r="G201" s="328"/>
    </row>
    <row r="202" spans="2:12">
      <c r="G202" s="328"/>
    </row>
    <row r="203" spans="2:12">
      <c r="G203" s="328"/>
    </row>
    <row r="204" spans="2:12">
      <c r="G204" s="328"/>
    </row>
    <row r="205" spans="2:12">
      <c r="G205" s="328"/>
    </row>
    <row r="206" spans="2:12">
      <c r="G206" s="328"/>
    </row>
    <row r="207" spans="2:12">
      <c r="G207" s="328"/>
    </row>
    <row r="208" spans="2:12">
      <c r="B208" s="322"/>
      <c r="C208" s="322"/>
      <c r="D208" s="322"/>
      <c r="E208" s="322"/>
      <c r="F208" s="322"/>
      <c r="G208" s="328"/>
      <c r="I208" s="322"/>
      <c r="J208" s="322"/>
    </row>
    <row r="209" spans="2:15">
      <c r="B209" s="322"/>
      <c r="C209" s="322"/>
      <c r="D209" s="322"/>
      <c r="E209" s="322"/>
      <c r="F209" s="322"/>
      <c r="G209" s="328"/>
      <c r="I209" s="322"/>
      <c r="J209" s="322"/>
      <c r="M209" s="322"/>
      <c r="N209" s="322"/>
      <c r="O209" s="322"/>
    </row>
    <row r="210" spans="2:15">
      <c r="B210" s="322"/>
      <c r="C210" s="322"/>
      <c r="D210" s="322"/>
      <c r="E210" s="322"/>
      <c r="F210" s="322"/>
      <c r="G210" s="328"/>
      <c r="I210" s="322"/>
      <c r="J210" s="322"/>
      <c r="K210" s="322"/>
      <c r="L210" s="322"/>
    </row>
    <row r="211" spans="2:15">
      <c r="B211" s="322"/>
      <c r="C211" s="322"/>
      <c r="D211" s="322"/>
      <c r="E211" s="322"/>
      <c r="F211" s="322"/>
      <c r="G211" s="328"/>
      <c r="I211" s="322"/>
      <c r="J211" s="322"/>
      <c r="K211" s="322"/>
      <c r="L211" s="322"/>
    </row>
    <row r="212" spans="2:15">
      <c r="B212" s="322"/>
      <c r="C212" s="322"/>
      <c r="D212" s="322"/>
      <c r="E212" s="322"/>
      <c r="F212" s="322"/>
      <c r="G212" s="330"/>
      <c r="I212" s="322"/>
      <c r="J212" s="322"/>
      <c r="K212" s="322"/>
      <c r="L212" s="322"/>
    </row>
    <row r="213" spans="2:15">
      <c r="B213" s="322"/>
      <c r="C213" s="322"/>
      <c r="D213" s="322"/>
      <c r="E213" s="322"/>
      <c r="F213" s="322"/>
      <c r="G213" s="330"/>
      <c r="I213" s="322"/>
      <c r="J213" s="322"/>
      <c r="K213" s="322"/>
      <c r="L213" s="322"/>
    </row>
    <row r="214" spans="2:15">
      <c r="B214" s="322"/>
      <c r="C214" s="322"/>
      <c r="D214" s="322"/>
      <c r="E214" s="322"/>
      <c r="F214" s="322"/>
      <c r="G214" s="330"/>
      <c r="I214" s="322"/>
      <c r="J214" s="322"/>
      <c r="K214" s="322"/>
      <c r="L214" s="322"/>
    </row>
    <row r="215" spans="2:15">
      <c r="B215" s="322"/>
      <c r="G215" s="328"/>
      <c r="K215" s="322"/>
      <c r="L215" s="322"/>
    </row>
    <row r="216" spans="2:15">
      <c r="B216" s="322"/>
      <c r="G216" s="328"/>
      <c r="K216" s="322"/>
      <c r="L216" s="322"/>
    </row>
    <row r="217" spans="2:15">
      <c r="G217" s="328"/>
    </row>
    <row r="218" spans="2:15">
      <c r="G218" s="328"/>
    </row>
    <row r="219" spans="2:15">
      <c r="G219" s="328"/>
    </row>
    <row r="220" spans="2:15">
      <c r="G220" s="328"/>
    </row>
    <row r="221" spans="2:15">
      <c r="G221" s="328"/>
    </row>
    <row r="222" spans="2:15">
      <c r="G222" s="328"/>
    </row>
    <row r="223" spans="2:15">
      <c r="G223" s="328"/>
    </row>
    <row r="224" spans="2:15">
      <c r="G224" s="328"/>
    </row>
    <row r="225" spans="2:15">
      <c r="G225" s="328"/>
    </row>
    <row r="226" spans="2:15">
      <c r="G226" s="328"/>
    </row>
    <row r="227" spans="2:15">
      <c r="G227" s="328"/>
    </row>
    <row r="228" spans="2:15">
      <c r="G228" s="328"/>
    </row>
    <row r="229" spans="2:15">
      <c r="G229" s="328"/>
      <c r="M229" s="322"/>
      <c r="N229" s="322"/>
      <c r="O229" s="322"/>
    </row>
    <row r="230" spans="2:15">
      <c r="G230" s="328"/>
    </row>
    <row r="231" spans="2:15">
      <c r="G231" s="328"/>
    </row>
    <row r="232" spans="2:15">
      <c r="G232" s="328"/>
    </row>
    <row r="233" spans="2:15">
      <c r="B233" s="322"/>
      <c r="C233" s="322"/>
      <c r="D233" s="322"/>
      <c r="E233" s="322"/>
      <c r="F233" s="322"/>
      <c r="G233" s="328"/>
      <c r="J233" s="322"/>
      <c r="N233" s="322"/>
    </row>
    <row r="234" spans="2:15">
      <c r="G234" s="328"/>
    </row>
    <row r="235" spans="2:15">
      <c r="B235" s="322"/>
      <c r="C235" s="322"/>
      <c r="D235" s="322"/>
      <c r="E235" s="322"/>
      <c r="F235" s="322"/>
      <c r="G235" s="328"/>
      <c r="I235" s="322"/>
      <c r="J235" s="322"/>
      <c r="M235" s="322"/>
    </row>
    <row r="236" spans="2:15">
      <c r="G236" s="328"/>
    </row>
    <row r="237" spans="2:15">
      <c r="G237" s="328"/>
      <c r="K237" s="322"/>
      <c r="L237" s="322"/>
    </row>
    <row r="238" spans="2:15">
      <c r="G238" s="328"/>
    </row>
    <row r="239" spans="2:15">
      <c r="G239" s="328"/>
    </row>
    <row r="240" spans="2:15">
      <c r="G240" s="328"/>
    </row>
    <row r="241" spans="2:14">
      <c r="G241" s="328"/>
    </row>
    <row r="242" spans="2:14">
      <c r="G242" s="328"/>
    </row>
    <row r="243" spans="2:14">
      <c r="G243" s="328"/>
    </row>
    <row r="244" spans="2:14">
      <c r="G244" s="328"/>
    </row>
    <row r="245" spans="2:14">
      <c r="G245" s="328"/>
      <c r="N245" s="322"/>
    </row>
    <row r="246" spans="2:14">
      <c r="G246" s="328"/>
    </row>
    <row r="247" spans="2:14">
      <c r="G247" s="328"/>
      <c r="M247" s="322"/>
    </row>
    <row r="248" spans="2:14">
      <c r="B248" s="322"/>
      <c r="G248" s="328"/>
      <c r="N248" s="322"/>
    </row>
    <row r="249" spans="2:14">
      <c r="B249" s="322"/>
      <c r="G249" s="328"/>
    </row>
    <row r="250" spans="2:14">
      <c r="B250" s="322"/>
      <c r="F250" s="322"/>
      <c r="G250" s="330"/>
      <c r="H250" s="322"/>
      <c r="I250" s="322"/>
      <c r="J250" s="322"/>
      <c r="M250" s="322"/>
    </row>
    <row r="251" spans="2:14">
      <c r="F251" s="322"/>
      <c r="G251" s="330"/>
      <c r="H251" s="322"/>
      <c r="I251" s="322"/>
      <c r="J251" s="322"/>
    </row>
    <row r="252" spans="2:14">
      <c r="F252" s="322"/>
      <c r="G252" s="330"/>
      <c r="H252" s="322"/>
      <c r="I252" s="322"/>
      <c r="J252" s="322"/>
    </row>
    <row r="253" spans="2:14">
      <c r="F253" s="322"/>
      <c r="G253" s="330"/>
      <c r="H253" s="322"/>
      <c r="I253" s="322"/>
      <c r="J253" s="322"/>
    </row>
    <row r="254" spans="2:14">
      <c r="G254" s="328"/>
    </row>
    <row r="255" spans="2:14">
      <c r="G255" s="328"/>
    </row>
    <row r="256" spans="2:14">
      <c r="G256" s="328"/>
    </row>
    <row r="257" spans="2:12">
      <c r="G257" s="328"/>
    </row>
    <row r="258" spans="2:12">
      <c r="G258" s="328"/>
    </row>
    <row r="259" spans="2:12">
      <c r="G259" s="328"/>
    </row>
    <row r="260" spans="2:12">
      <c r="G260" s="328"/>
    </row>
    <row r="261" spans="2:12">
      <c r="B261" s="322"/>
      <c r="C261" s="322"/>
      <c r="D261" s="322"/>
      <c r="E261" s="322"/>
      <c r="F261" s="322"/>
      <c r="G261" s="328"/>
      <c r="H261" s="322"/>
      <c r="I261" s="322"/>
      <c r="J261" s="322"/>
    </row>
    <row r="262" spans="2:12">
      <c r="G262" s="328"/>
    </row>
    <row r="263" spans="2:12">
      <c r="G263" s="328"/>
      <c r="K263" s="322"/>
      <c r="L263" s="322"/>
    </row>
    <row r="264" spans="2:12">
      <c r="G264" s="328"/>
    </row>
    <row r="265" spans="2:12">
      <c r="B265" s="322"/>
      <c r="C265" s="322"/>
      <c r="D265" s="322"/>
      <c r="E265" s="322"/>
      <c r="F265" s="322"/>
      <c r="G265" s="328"/>
      <c r="H265" s="322"/>
      <c r="I265" s="322"/>
      <c r="J265" s="322"/>
    </row>
    <row r="266" spans="2:12">
      <c r="G266" s="328"/>
    </row>
    <row r="267" spans="2:12">
      <c r="G267" s="328"/>
      <c r="K267" s="322"/>
      <c r="L267" s="322"/>
    </row>
    <row r="268" spans="2:12">
      <c r="G268" s="328"/>
    </row>
    <row r="269" spans="2:12">
      <c r="G269" s="328"/>
    </row>
    <row r="270" spans="2:12">
      <c r="G270" s="328"/>
    </row>
    <row r="271" spans="2:12">
      <c r="B271" s="322"/>
      <c r="C271" s="322"/>
      <c r="D271" s="322"/>
      <c r="F271" s="322"/>
      <c r="G271" s="328"/>
      <c r="H271" s="322"/>
      <c r="I271" s="322"/>
      <c r="J271" s="322"/>
    </row>
    <row r="272" spans="2:12">
      <c r="G272" s="328"/>
    </row>
    <row r="273" spans="7:12">
      <c r="K273" s="322"/>
    </row>
    <row r="275" spans="7:12">
      <c r="G275" s="328"/>
    </row>
    <row r="276" spans="7:12">
      <c r="G276" s="328"/>
    </row>
    <row r="277" spans="7:12">
      <c r="G277" s="328"/>
    </row>
    <row r="279" spans="7:12">
      <c r="K279" s="322"/>
      <c r="L279" s="322"/>
    </row>
    <row r="282" spans="7:12">
      <c r="K282" s="322"/>
      <c r="L282" s="322"/>
    </row>
    <row r="286" spans="7:12">
      <c r="G286" s="328"/>
    </row>
    <row r="287" spans="7:12">
      <c r="G287" s="328"/>
    </row>
    <row r="288" spans="7:12">
      <c r="G288" s="328"/>
    </row>
    <row r="289" spans="7:7">
      <c r="G289" s="328"/>
    </row>
    <row r="294" spans="7:7">
      <c r="G294" s="328"/>
    </row>
    <row r="295" spans="7:7">
      <c r="G295" s="328"/>
    </row>
    <row r="296" spans="7:7">
      <c r="G296" s="328"/>
    </row>
    <row r="297" spans="7:7">
      <c r="G297" s="328"/>
    </row>
  </sheetData>
  <phoneticPr fontId="68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/>
  </sheetViews>
  <sheetFormatPr defaultRowHeight="14.4"/>
  <cols>
    <col min="3" max="3" width="19" customWidth="1"/>
    <col min="4" max="4" width="12.33203125" customWidth="1"/>
    <col min="5" max="5" width="10.5546875" bestFit="1" customWidth="1"/>
    <col min="10" max="10" width="12.5546875" bestFit="1" customWidth="1"/>
    <col min="11" max="11" width="12.33203125" bestFit="1" customWidth="1"/>
  </cols>
  <sheetData>
    <row r="1" spans="1:11" ht="25.8">
      <c r="A1" s="1" t="s">
        <v>714</v>
      </c>
    </row>
    <row r="3" spans="1:11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39</v>
      </c>
      <c r="G3" s="3" t="s">
        <v>44</v>
      </c>
      <c r="H3" s="3" t="s">
        <v>45</v>
      </c>
    </row>
    <row r="4" spans="1:11">
      <c r="A4">
        <v>1408</v>
      </c>
      <c r="C4" t="s">
        <v>46</v>
      </c>
      <c r="D4" s="13">
        <v>1523</v>
      </c>
      <c r="E4" s="14">
        <v>0</v>
      </c>
      <c r="H4" s="14"/>
    </row>
    <row r="5" spans="1:11">
      <c r="A5">
        <v>20</v>
      </c>
      <c r="B5">
        <v>122</v>
      </c>
      <c r="C5" t="s">
        <v>47</v>
      </c>
      <c r="D5" s="13">
        <v>89.2</v>
      </c>
      <c r="E5" s="14">
        <v>4.01</v>
      </c>
      <c r="H5" s="14">
        <v>4.46</v>
      </c>
      <c r="J5" s="109">
        <f>A5*H5</f>
        <v>89.2</v>
      </c>
      <c r="K5" s="109">
        <f>J5-D5</f>
        <v>0</v>
      </c>
    </row>
    <row r="6" spans="1:11">
      <c r="A6">
        <v>5</v>
      </c>
      <c r="B6" t="s">
        <v>48</v>
      </c>
      <c r="C6" t="s">
        <v>49</v>
      </c>
      <c r="D6" s="13">
        <v>-37.200000000000003</v>
      </c>
      <c r="E6" s="14">
        <v>-1.8</v>
      </c>
      <c r="H6" s="13">
        <v>-7.44</v>
      </c>
      <c r="J6" s="109">
        <f t="shared" ref="J6:J69" si="0">A6*H6</f>
        <v>-37.200000000000003</v>
      </c>
      <c r="K6" s="109">
        <f t="shared" ref="K6:K69" si="1">J6-D6</f>
        <v>0</v>
      </c>
    </row>
    <row r="7" spans="1:11">
      <c r="A7">
        <v>1</v>
      </c>
      <c r="B7" t="s">
        <v>50</v>
      </c>
      <c r="C7" t="s">
        <v>51</v>
      </c>
      <c r="D7" s="13">
        <v>7.44</v>
      </c>
      <c r="E7" s="14">
        <v>0.27</v>
      </c>
      <c r="H7" s="14">
        <v>7.44</v>
      </c>
      <c r="J7" s="109">
        <f t="shared" si="0"/>
        <v>7.44</v>
      </c>
      <c r="K7" s="109">
        <f t="shared" si="1"/>
        <v>0</v>
      </c>
    </row>
    <row r="8" spans="1:11">
      <c r="A8">
        <v>4</v>
      </c>
      <c r="B8">
        <v>221</v>
      </c>
      <c r="C8" t="s">
        <v>52</v>
      </c>
      <c r="D8" s="13">
        <v>-17.84</v>
      </c>
      <c r="E8" s="14">
        <v>-0.91</v>
      </c>
      <c r="H8" s="13">
        <v>-4.46</v>
      </c>
      <c r="J8" s="109">
        <f t="shared" si="0"/>
        <v>-17.84</v>
      </c>
      <c r="K8" s="109">
        <f t="shared" si="1"/>
        <v>0</v>
      </c>
    </row>
    <row r="9" spans="1:11">
      <c r="A9">
        <v>4</v>
      </c>
      <c r="B9">
        <v>223</v>
      </c>
      <c r="C9" t="s">
        <v>53</v>
      </c>
      <c r="D9" s="13">
        <v>18.920000000000002</v>
      </c>
      <c r="E9" s="14">
        <v>0.68</v>
      </c>
      <c r="H9" s="14">
        <v>4.7300000000000004</v>
      </c>
      <c r="J9" s="109">
        <f t="shared" si="0"/>
        <v>18.920000000000002</v>
      </c>
      <c r="K9" s="109">
        <f t="shared" si="1"/>
        <v>0</v>
      </c>
    </row>
    <row r="10" spans="1:11">
      <c r="A10">
        <v>1</v>
      </c>
      <c r="B10">
        <v>322</v>
      </c>
      <c r="C10" t="s">
        <v>54</v>
      </c>
      <c r="D10" s="13">
        <v>-4.7300000000000004</v>
      </c>
      <c r="E10" s="14">
        <v>-0.17</v>
      </c>
      <c r="H10" s="14">
        <v>-4.7300000000000004</v>
      </c>
      <c r="J10" s="109">
        <f t="shared" si="0"/>
        <v>-4.7300000000000004</v>
      </c>
      <c r="K10" s="109">
        <f t="shared" si="1"/>
        <v>0</v>
      </c>
    </row>
    <row r="11" spans="1:11">
      <c r="A11">
        <v>2</v>
      </c>
      <c r="B11">
        <v>324</v>
      </c>
      <c r="C11" t="s">
        <v>55</v>
      </c>
      <c r="D11" s="13">
        <v>9.1999999999999993</v>
      </c>
      <c r="E11" s="14">
        <v>0.34</v>
      </c>
      <c r="H11" s="14">
        <v>4.5999999999999996</v>
      </c>
      <c r="J11" s="109">
        <f t="shared" si="0"/>
        <v>9.1999999999999993</v>
      </c>
      <c r="K11" s="109">
        <f t="shared" si="1"/>
        <v>0</v>
      </c>
    </row>
    <row r="12" spans="1:11">
      <c r="A12">
        <v>5</v>
      </c>
      <c r="B12" t="s">
        <v>56</v>
      </c>
      <c r="C12" t="s">
        <v>57</v>
      </c>
      <c r="D12" s="13">
        <v>159.4</v>
      </c>
      <c r="E12" s="14">
        <v>7.66</v>
      </c>
      <c r="H12" s="14">
        <v>31.88</v>
      </c>
      <c r="J12" s="109">
        <f t="shared" si="0"/>
        <v>159.4</v>
      </c>
      <c r="K12" s="109">
        <f t="shared" si="1"/>
        <v>0</v>
      </c>
    </row>
    <row r="13" spans="1:11">
      <c r="A13">
        <v>4</v>
      </c>
      <c r="B13" t="s">
        <v>58</v>
      </c>
      <c r="C13" t="s">
        <v>59</v>
      </c>
      <c r="D13" s="13">
        <v>242.84</v>
      </c>
      <c r="E13" s="14">
        <v>13.22</v>
      </c>
      <c r="F13">
        <v>13</v>
      </c>
      <c r="G13" t="s">
        <v>60</v>
      </c>
      <c r="H13" s="14">
        <v>18.68</v>
      </c>
      <c r="J13" s="109">
        <f t="shared" si="0"/>
        <v>74.72</v>
      </c>
      <c r="K13" s="109">
        <f t="shared" si="1"/>
        <v>-168.12</v>
      </c>
    </row>
    <row r="14" spans="1:11">
      <c r="A14">
        <v>1</v>
      </c>
      <c r="B14" t="s">
        <v>61</v>
      </c>
      <c r="C14" t="s">
        <v>62</v>
      </c>
      <c r="D14" s="13">
        <v>4.32</v>
      </c>
      <c r="E14" s="14">
        <v>0.16</v>
      </c>
      <c r="F14">
        <v>0.5</v>
      </c>
      <c r="G14" t="s">
        <v>60</v>
      </c>
      <c r="H14" s="14">
        <v>8.6300000000000008</v>
      </c>
      <c r="J14" s="109">
        <f t="shared" si="0"/>
        <v>8.6300000000000008</v>
      </c>
      <c r="K14" s="109">
        <f t="shared" si="1"/>
        <v>4.3100000000000005</v>
      </c>
    </row>
    <row r="15" spans="1:11">
      <c r="A15">
        <v>96</v>
      </c>
      <c r="B15" t="s">
        <v>63</v>
      </c>
      <c r="C15" t="s">
        <v>64</v>
      </c>
      <c r="D15" s="13">
        <v>2365.44</v>
      </c>
      <c r="E15" s="14">
        <v>138.72</v>
      </c>
      <c r="H15" s="14">
        <v>24.64</v>
      </c>
      <c r="J15" s="109">
        <f t="shared" si="0"/>
        <v>2365.44</v>
      </c>
      <c r="K15" s="109">
        <f t="shared" si="1"/>
        <v>0</v>
      </c>
    </row>
    <row r="16" spans="1:11">
      <c r="A16">
        <v>33</v>
      </c>
      <c r="B16" t="s">
        <v>65</v>
      </c>
      <c r="C16" t="s">
        <v>66</v>
      </c>
      <c r="D16" s="13">
        <v>1626.24</v>
      </c>
      <c r="E16" s="14">
        <v>156.09</v>
      </c>
      <c r="H16" s="14">
        <v>49.28</v>
      </c>
      <c r="J16" s="109">
        <f t="shared" si="0"/>
        <v>1626.24</v>
      </c>
      <c r="K16" s="109">
        <f t="shared" si="1"/>
        <v>0</v>
      </c>
    </row>
    <row r="17" spans="1:11">
      <c r="A17">
        <v>4</v>
      </c>
      <c r="B17" t="s">
        <v>67</v>
      </c>
      <c r="C17" t="s">
        <v>68</v>
      </c>
      <c r="D17" s="13">
        <v>246.4</v>
      </c>
      <c r="E17" s="14">
        <v>23.67</v>
      </c>
      <c r="H17" s="14">
        <v>73.92</v>
      </c>
      <c r="J17" s="109">
        <f t="shared" si="0"/>
        <v>295.68</v>
      </c>
      <c r="K17" s="109">
        <f t="shared" si="1"/>
        <v>49.28</v>
      </c>
    </row>
    <row r="18" spans="1:11">
      <c r="A18">
        <v>24</v>
      </c>
      <c r="B18" t="s">
        <v>69</v>
      </c>
      <c r="C18" t="s">
        <v>70</v>
      </c>
      <c r="D18" s="13">
        <v>295.92</v>
      </c>
      <c r="E18" s="14">
        <v>28.32</v>
      </c>
      <c r="H18" s="14">
        <v>12.33</v>
      </c>
      <c r="J18" s="109">
        <f t="shared" si="0"/>
        <v>295.92</v>
      </c>
      <c r="K18" s="109">
        <f t="shared" si="1"/>
        <v>0</v>
      </c>
    </row>
    <row r="19" spans="1:11">
      <c r="A19">
        <v>12</v>
      </c>
      <c r="B19" t="s">
        <v>71</v>
      </c>
      <c r="C19" t="s">
        <v>72</v>
      </c>
      <c r="D19" s="13">
        <v>295.92</v>
      </c>
      <c r="E19" s="14">
        <v>28.44</v>
      </c>
      <c r="H19" s="14">
        <v>24.66</v>
      </c>
      <c r="J19" s="109">
        <f t="shared" si="0"/>
        <v>295.92</v>
      </c>
      <c r="K19" s="109">
        <f t="shared" si="1"/>
        <v>0</v>
      </c>
    </row>
    <row r="20" spans="1:11">
      <c r="A20">
        <v>12</v>
      </c>
      <c r="B20" t="s">
        <v>73</v>
      </c>
      <c r="C20" t="s">
        <v>74</v>
      </c>
      <c r="D20" s="13">
        <v>1182.72</v>
      </c>
      <c r="E20" s="14">
        <v>113.52</v>
      </c>
      <c r="H20" s="14">
        <v>98.56</v>
      </c>
      <c r="J20" s="109">
        <f t="shared" si="0"/>
        <v>1182.72</v>
      </c>
      <c r="K20" s="109">
        <f t="shared" si="1"/>
        <v>0</v>
      </c>
    </row>
    <row r="21" spans="1:11">
      <c r="A21">
        <v>226</v>
      </c>
      <c r="B21" t="s">
        <v>75</v>
      </c>
      <c r="C21" t="s">
        <v>76</v>
      </c>
      <c r="D21" s="13">
        <v>33203.919999999998</v>
      </c>
      <c r="E21" s="14">
        <v>2395.06</v>
      </c>
      <c r="H21" s="14">
        <v>146.91999999999999</v>
      </c>
      <c r="J21" s="109">
        <f t="shared" si="0"/>
        <v>33203.919999999998</v>
      </c>
      <c r="K21" s="109">
        <f t="shared" si="1"/>
        <v>0</v>
      </c>
    </row>
    <row r="22" spans="1:11">
      <c r="A22">
        <v>66</v>
      </c>
      <c r="B22" t="s">
        <v>77</v>
      </c>
      <c r="C22" t="s">
        <v>78</v>
      </c>
      <c r="D22" s="13">
        <v>19065.669999999998</v>
      </c>
      <c r="E22" s="14">
        <v>1321.16</v>
      </c>
      <c r="H22" s="14">
        <v>293.83999999999997</v>
      </c>
      <c r="J22" s="109">
        <f t="shared" si="0"/>
        <v>19393.439999999999</v>
      </c>
      <c r="K22" s="109">
        <f t="shared" si="1"/>
        <v>327.77000000000044</v>
      </c>
    </row>
    <row r="23" spans="1:11">
      <c r="A23">
        <v>12</v>
      </c>
      <c r="B23" t="s">
        <v>79</v>
      </c>
      <c r="C23" t="s">
        <v>80</v>
      </c>
      <c r="D23" s="13">
        <v>7052.04</v>
      </c>
      <c r="E23" s="14">
        <v>677.04</v>
      </c>
      <c r="H23" s="14">
        <v>587.66999999999996</v>
      </c>
      <c r="J23" s="109">
        <f t="shared" si="0"/>
        <v>7052.0399999999991</v>
      </c>
      <c r="K23" s="109">
        <f t="shared" si="1"/>
        <v>0</v>
      </c>
    </row>
    <row r="24" spans="1:11">
      <c r="A24">
        <v>159</v>
      </c>
      <c r="B24" t="s">
        <v>81</v>
      </c>
      <c r="C24" t="s">
        <v>82</v>
      </c>
      <c r="D24" s="13">
        <v>10999.03</v>
      </c>
      <c r="E24" s="14">
        <v>580.86</v>
      </c>
      <c r="H24" s="14">
        <v>73.63</v>
      </c>
      <c r="J24" s="109">
        <f t="shared" si="0"/>
        <v>11707.17</v>
      </c>
      <c r="K24" s="109">
        <f t="shared" si="1"/>
        <v>708.13999999999942</v>
      </c>
    </row>
    <row r="25" spans="1:11">
      <c r="A25">
        <v>71</v>
      </c>
      <c r="B25" t="s">
        <v>83</v>
      </c>
      <c r="C25" t="s">
        <v>84</v>
      </c>
      <c r="D25" s="13">
        <v>2409.0300000000002</v>
      </c>
      <c r="E25" s="14">
        <v>141.32</v>
      </c>
      <c r="H25" s="14">
        <v>33.93</v>
      </c>
      <c r="J25" s="109">
        <f t="shared" si="0"/>
        <v>2409.0300000000002</v>
      </c>
      <c r="K25" s="109">
        <f t="shared" si="1"/>
        <v>0</v>
      </c>
    </row>
    <row r="26" spans="1:11">
      <c r="A26">
        <v>39</v>
      </c>
      <c r="B26" t="s">
        <v>85</v>
      </c>
      <c r="C26" t="s">
        <v>86</v>
      </c>
      <c r="D26" s="13">
        <v>10883.28</v>
      </c>
      <c r="E26" s="14">
        <v>688.02</v>
      </c>
      <c r="H26" s="14">
        <v>293.83999999999997</v>
      </c>
      <c r="J26" s="109">
        <f t="shared" si="0"/>
        <v>11459.759999999998</v>
      </c>
      <c r="K26" s="109">
        <f t="shared" si="1"/>
        <v>576.47999999999774</v>
      </c>
    </row>
    <row r="27" spans="1:11">
      <c r="A27">
        <v>22</v>
      </c>
      <c r="B27" t="s">
        <v>87</v>
      </c>
      <c r="C27" t="s">
        <v>88</v>
      </c>
      <c r="D27" s="13">
        <v>12928.74</v>
      </c>
      <c r="E27" s="14">
        <v>1241.24</v>
      </c>
      <c r="H27" s="14">
        <v>587.66999999999996</v>
      </c>
      <c r="J27" s="109">
        <f t="shared" si="0"/>
        <v>12928.74</v>
      </c>
      <c r="K27" s="109">
        <f t="shared" si="1"/>
        <v>0</v>
      </c>
    </row>
    <row r="28" spans="1:11">
      <c r="A28">
        <v>10</v>
      </c>
      <c r="B28" t="s">
        <v>89</v>
      </c>
      <c r="C28" t="s">
        <v>90</v>
      </c>
      <c r="D28" s="13">
        <v>8815.1</v>
      </c>
      <c r="E28" s="14">
        <v>846.2</v>
      </c>
      <c r="H28" s="14">
        <v>881.51</v>
      </c>
      <c r="J28" s="109">
        <f t="shared" si="0"/>
        <v>8815.1</v>
      </c>
      <c r="K28" s="109">
        <f t="shared" si="1"/>
        <v>0</v>
      </c>
    </row>
    <row r="29" spans="1:11">
      <c r="A29">
        <v>744</v>
      </c>
      <c r="B29" t="s">
        <v>91</v>
      </c>
      <c r="C29" t="s">
        <v>92</v>
      </c>
      <c r="D29" s="13">
        <v>13526.44</v>
      </c>
      <c r="E29" s="14">
        <v>979.12</v>
      </c>
      <c r="H29" s="14">
        <v>18.41</v>
      </c>
      <c r="J29" s="109">
        <f t="shared" si="0"/>
        <v>13697.04</v>
      </c>
      <c r="K29" s="109">
        <f t="shared" si="1"/>
        <v>170.60000000000036</v>
      </c>
    </row>
    <row r="30" spans="1:11">
      <c r="A30">
        <v>82</v>
      </c>
      <c r="B30" t="s">
        <v>93</v>
      </c>
      <c r="C30" t="s">
        <v>94</v>
      </c>
      <c r="D30" s="13">
        <v>3019.24</v>
      </c>
      <c r="E30" s="14">
        <v>229.6</v>
      </c>
      <c r="H30" s="14">
        <v>36.82</v>
      </c>
      <c r="J30" s="109">
        <f t="shared" si="0"/>
        <v>3019.2400000000002</v>
      </c>
      <c r="K30" s="109">
        <f t="shared" si="1"/>
        <v>0</v>
      </c>
    </row>
    <row r="31" spans="1:11">
      <c r="A31">
        <v>31</v>
      </c>
      <c r="B31" t="s">
        <v>95</v>
      </c>
      <c r="C31" t="s">
        <v>96</v>
      </c>
      <c r="D31" s="13">
        <v>1546.44</v>
      </c>
      <c r="E31" s="14">
        <v>117.61</v>
      </c>
      <c r="H31" s="14">
        <v>55.23</v>
      </c>
      <c r="J31" s="109">
        <f t="shared" si="0"/>
        <v>1712.1299999999999</v>
      </c>
      <c r="K31" s="109">
        <f t="shared" si="1"/>
        <v>165.68999999999983</v>
      </c>
    </row>
    <row r="32" spans="1:11">
      <c r="A32">
        <v>36</v>
      </c>
      <c r="B32" t="s">
        <v>97</v>
      </c>
      <c r="C32" t="s">
        <v>98</v>
      </c>
      <c r="D32" s="13">
        <v>2651.04</v>
      </c>
      <c r="E32" s="14">
        <v>201.6</v>
      </c>
      <c r="H32" s="14">
        <v>73.64</v>
      </c>
      <c r="J32" s="109">
        <f t="shared" si="0"/>
        <v>2651.04</v>
      </c>
      <c r="K32" s="109">
        <f t="shared" si="1"/>
        <v>0</v>
      </c>
    </row>
    <row r="33" spans="1:11">
      <c r="A33">
        <v>2</v>
      </c>
      <c r="B33" t="s">
        <v>99</v>
      </c>
      <c r="C33" t="s">
        <v>100</v>
      </c>
      <c r="D33" s="13">
        <v>50</v>
      </c>
      <c r="E33" s="14">
        <v>4.8</v>
      </c>
      <c r="H33" s="14">
        <v>25</v>
      </c>
      <c r="J33" s="109">
        <f t="shared" si="0"/>
        <v>50</v>
      </c>
      <c r="K33" s="109">
        <f t="shared" si="1"/>
        <v>0</v>
      </c>
    </row>
    <row r="34" spans="1:11">
      <c r="A34">
        <v>12</v>
      </c>
      <c r="B34" t="s">
        <v>101</v>
      </c>
      <c r="C34" t="s">
        <v>102</v>
      </c>
      <c r="D34" s="13">
        <v>1477.08</v>
      </c>
      <c r="E34" s="14">
        <v>141.84</v>
      </c>
      <c r="H34" s="14">
        <v>123.09</v>
      </c>
      <c r="J34" s="109">
        <f t="shared" si="0"/>
        <v>1477.08</v>
      </c>
      <c r="K34" s="109">
        <f t="shared" si="1"/>
        <v>0</v>
      </c>
    </row>
    <row r="35" spans="1:11">
      <c r="A35">
        <v>340</v>
      </c>
      <c r="B35" t="s">
        <v>103</v>
      </c>
      <c r="C35" t="s">
        <v>104</v>
      </c>
      <c r="D35" s="13">
        <v>10984.79</v>
      </c>
      <c r="E35" s="14">
        <v>740.67</v>
      </c>
      <c r="F35">
        <v>323.75</v>
      </c>
      <c r="G35" t="s">
        <v>105</v>
      </c>
      <c r="H35" s="14">
        <v>33.93</v>
      </c>
      <c r="J35" s="109">
        <f t="shared" si="0"/>
        <v>11536.2</v>
      </c>
      <c r="K35" s="109">
        <f t="shared" si="1"/>
        <v>551.40999999999985</v>
      </c>
    </row>
    <row r="36" spans="1:11">
      <c r="A36">
        <v>2</v>
      </c>
      <c r="B36" t="s">
        <v>106</v>
      </c>
      <c r="C36" t="s">
        <v>107</v>
      </c>
      <c r="D36" s="13">
        <v>135.72</v>
      </c>
      <c r="E36" s="14">
        <v>13.02</v>
      </c>
      <c r="H36" s="14">
        <v>67.86</v>
      </c>
      <c r="J36" s="109">
        <f t="shared" si="0"/>
        <v>135.72</v>
      </c>
      <c r="K36" s="109">
        <f t="shared" si="1"/>
        <v>0</v>
      </c>
    </row>
    <row r="37" spans="1:11">
      <c r="A37">
        <v>1</v>
      </c>
      <c r="B37" t="s">
        <v>108</v>
      </c>
      <c r="C37" t="s">
        <v>109</v>
      </c>
      <c r="D37" s="13">
        <v>101.79</v>
      </c>
      <c r="E37" s="14">
        <v>9.77</v>
      </c>
      <c r="H37" s="14">
        <v>101.79</v>
      </c>
      <c r="J37" s="109">
        <f t="shared" si="0"/>
        <v>101.79</v>
      </c>
      <c r="K37" s="109">
        <f t="shared" si="1"/>
        <v>0</v>
      </c>
    </row>
    <row r="38" spans="1:11">
      <c r="A38">
        <v>12</v>
      </c>
      <c r="B38" t="s">
        <v>110</v>
      </c>
      <c r="C38" t="s">
        <v>111</v>
      </c>
      <c r="D38" s="13">
        <v>55.92</v>
      </c>
      <c r="E38" s="14">
        <v>5.4</v>
      </c>
      <c r="H38" s="14">
        <v>4.66</v>
      </c>
      <c r="J38" s="109">
        <f t="shared" si="0"/>
        <v>55.92</v>
      </c>
      <c r="K38" s="109">
        <f t="shared" si="1"/>
        <v>0</v>
      </c>
    </row>
    <row r="39" spans="1:11">
      <c r="A39">
        <v>1</v>
      </c>
      <c r="B39" t="s">
        <v>112</v>
      </c>
      <c r="C39" t="s">
        <v>113</v>
      </c>
      <c r="D39" s="13">
        <v>15.8</v>
      </c>
      <c r="E39" s="14">
        <v>1.52</v>
      </c>
      <c r="H39" s="14">
        <v>34.29</v>
      </c>
      <c r="J39" s="109">
        <f t="shared" si="0"/>
        <v>34.29</v>
      </c>
      <c r="K39" s="109">
        <f t="shared" si="1"/>
        <v>18.489999999999998</v>
      </c>
    </row>
    <row r="40" spans="1:11">
      <c r="A40">
        <v>31</v>
      </c>
      <c r="B40" t="s">
        <v>114</v>
      </c>
      <c r="C40" t="s">
        <v>115</v>
      </c>
      <c r="D40" s="13">
        <v>176.39</v>
      </c>
      <c r="E40" s="14">
        <v>15.38</v>
      </c>
      <c r="H40" s="14">
        <v>5.69</v>
      </c>
      <c r="J40" s="109">
        <f t="shared" si="0"/>
        <v>176.39000000000001</v>
      </c>
      <c r="K40" s="109">
        <f t="shared" si="1"/>
        <v>0</v>
      </c>
    </row>
    <row r="41" spans="1:11">
      <c r="A41">
        <v>16</v>
      </c>
      <c r="B41" t="s">
        <v>116</v>
      </c>
      <c r="C41" t="s">
        <v>117</v>
      </c>
      <c r="D41" s="13">
        <v>182.08</v>
      </c>
      <c r="E41" s="14">
        <v>16.079999999999998</v>
      </c>
      <c r="H41" s="14">
        <v>11.38</v>
      </c>
      <c r="J41" s="109">
        <f t="shared" si="0"/>
        <v>182.08</v>
      </c>
      <c r="K41" s="109">
        <f t="shared" si="1"/>
        <v>0</v>
      </c>
    </row>
    <row r="42" spans="1:11">
      <c r="A42">
        <v>11</v>
      </c>
      <c r="B42" t="s">
        <v>118</v>
      </c>
      <c r="C42" t="s">
        <v>119</v>
      </c>
      <c r="D42" s="13">
        <v>187.77</v>
      </c>
      <c r="E42" s="14">
        <v>16.91</v>
      </c>
      <c r="H42" s="14">
        <v>17.07</v>
      </c>
      <c r="J42" s="109">
        <f t="shared" si="0"/>
        <v>187.77</v>
      </c>
      <c r="K42" s="109">
        <f t="shared" si="1"/>
        <v>0</v>
      </c>
    </row>
    <row r="43" spans="1:11">
      <c r="A43">
        <v>9</v>
      </c>
      <c r="B43" t="s">
        <v>120</v>
      </c>
      <c r="C43" t="s">
        <v>121</v>
      </c>
      <c r="D43" s="13">
        <v>204.84</v>
      </c>
      <c r="E43" s="14">
        <v>19.71</v>
      </c>
      <c r="H43" s="14">
        <v>22.76</v>
      </c>
      <c r="J43" s="109">
        <f t="shared" si="0"/>
        <v>204.84</v>
      </c>
      <c r="K43" s="109">
        <f t="shared" si="1"/>
        <v>0</v>
      </c>
    </row>
    <row r="44" spans="1:11">
      <c r="A44">
        <v>2</v>
      </c>
      <c r="B44" t="s">
        <v>122</v>
      </c>
      <c r="C44" t="s">
        <v>123</v>
      </c>
      <c r="D44" s="13">
        <v>56.9</v>
      </c>
      <c r="E44" s="14">
        <v>5.46</v>
      </c>
      <c r="H44" s="14">
        <v>28.45</v>
      </c>
      <c r="J44" s="109">
        <f t="shared" si="0"/>
        <v>56.9</v>
      </c>
      <c r="K44" s="109">
        <f t="shared" si="1"/>
        <v>0</v>
      </c>
    </row>
    <row r="45" spans="1:11">
      <c r="A45">
        <v>1</v>
      </c>
      <c r="B45" t="s">
        <v>124</v>
      </c>
      <c r="C45" t="s">
        <v>125</v>
      </c>
      <c r="D45" s="13">
        <v>34.14</v>
      </c>
      <c r="E45" s="14">
        <v>3.28</v>
      </c>
      <c r="H45" s="14">
        <v>34.14</v>
      </c>
      <c r="J45" s="109">
        <f t="shared" si="0"/>
        <v>34.14</v>
      </c>
      <c r="K45" s="109">
        <f t="shared" si="1"/>
        <v>0</v>
      </c>
    </row>
    <row r="46" spans="1:11">
      <c r="A46">
        <v>4</v>
      </c>
      <c r="B46" t="s">
        <v>126</v>
      </c>
      <c r="C46" t="s">
        <v>127</v>
      </c>
      <c r="D46" s="13">
        <v>111.42</v>
      </c>
      <c r="E46" s="14">
        <v>4.01</v>
      </c>
      <c r="F46">
        <v>9</v>
      </c>
      <c r="G46" t="s">
        <v>128</v>
      </c>
      <c r="H46" s="14">
        <v>12.38</v>
      </c>
      <c r="J46" s="109">
        <f t="shared" si="0"/>
        <v>49.52</v>
      </c>
      <c r="K46" s="109">
        <f t="shared" si="1"/>
        <v>-61.9</v>
      </c>
    </row>
    <row r="47" spans="1:11">
      <c r="A47">
        <v>10</v>
      </c>
      <c r="B47" t="s">
        <v>129</v>
      </c>
      <c r="C47" t="s">
        <v>130</v>
      </c>
      <c r="D47" s="13">
        <v>402.21</v>
      </c>
      <c r="E47" s="14">
        <v>14.48</v>
      </c>
      <c r="H47" s="14"/>
      <c r="J47" s="109">
        <f t="shared" si="0"/>
        <v>0</v>
      </c>
      <c r="K47" s="109">
        <f t="shared" si="1"/>
        <v>-402.21</v>
      </c>
    </row>
    <row r="48" spans="1:11">
      <c r="A48">
        <v>12</v>
      </c>
      <c r="B48" t="s">
        <v>131</v>
      </c>
      <c r="C48" t="s">
        <v>132</v>
      </c>
      <c r="D48" s="13">
        <v>375.24</v>
      </c>
      <c r="E48" s="14">
        <v>13.56</v>
      </c>
      <c r="H48" s="14">
        <v>31.27</v>
      </c>
      <c r="J48" s="109">
        <f t="shared" si="0"/>
        <v>375.24</v>
      </c>
      <c r="K48" s="109">
        <f t="shared" si="1"/>
        <v>0</v>
      </c>
    </row>
    <row r="49" spans="1:11">
      <c r="A49">
        <v>1</v>
      </c>
      <c r="B49" t="s">
        <v>133</v>
      </c>
      <c r="C49" t="s">
        <v>134</v>
      </c>
      <c r="D49" s="13">
        <v>4.6500000000000004</v>
      </c>
      <c r="E49" s="14">
        <v>0.45</v>
      </c>
      <c r="H49" s="14">
        <v>20.13</v>
      </c>
      <c r="J49" s="109">
        <f t="shared" si="0"/>
        <v>20.13</v>
      </c>
      <c r="K49" s="109">
        <f t="shared" si="1"/>
        <v>15.479999999999999</v>
      </c>
    </row>
    <row r="50" spans="1:11">
      <c r="A50">
        <v>34</v>
      </c>
      <c r="B50" t="s">
        <v>135</v>
      </c>
      <c r="C50" t="s">
        <v>136</v>
      </c>
      <c r="D50" s="13">
        <v>1810.84</v>
      </c>
      <c r="E50" s="14">
        <v>87.68</v>
      </c>
      <c r="H50" s="14">
        <v>53.26</v>
      </c>
      <c r="J50" s="109">
        <f t="shared" si="0"/>
        <v>1810.84</v>
      </c>
      <c r="K50" s="109">
        <f t="shared" si="1"/>
        <v>0</v>
      </c>
    </row>
    <row r="51" spans="1:11">
      <c r="A51">
        <v>73</v>
      </c>
      <c r="B51" t="s">
        <v>137</v>
      </c>
      <c r="C51" t="s">
        <v>138</v>
      </c>
      <c r="D51" s="13">
        <v>14589.79</v>
      </c>
      <c r="E51" s="14">
        <v>685.69</v>
      </c>
      <c r="H51" s="14">
        <v>205.49</v>
      </c>
      <c r="J51" s="109">
        <f t="shared" si="0"/>
        <v>15000.77</v>
      </c>
      <c r="K51" s="109">
        <f t="shared" si="1"/>
        <v>410.97999999999956</v>
      </c>
    </row>
    <row r="52" spans="1:11">
      <c r="A52">
        <v>72</v>
      </c>
      <c r="B52" t="s">
        <v>139</v>
      </c>
      <c r="C52" t="s">
        <v>140</v>
      </c>
      <c r="D52" s="13">
        <v>4351.08</v>
      </c>
      <c r="E52" s="14">
        <v>198.07</v>
      </c>
      <c r="F52" s="15">
        <v>1891.75</v>
      </c>
      <c r="G52" t="s">
        <v>141</v>
      </c>
      <c r="H52" s="14">
        <v>2.2999999999999998</v>
      </c>
      <c r="J52" s="109">
        <f t="shared" si="0"/>
        <v>165.6</v>
      </c>
      <c r="K52" s="109">
        <f t="shared" si="1"/>
        <v>-4185.4799999999996</v>
      </c>
    </row>
    <row r="53" spans="1:11">
      <c r="A53">
        <v>21</v>
      </c>
      <c r="B53" t="s">
        <v>142</v>
      </c>
      <c r="C53" t="s">
        <v>143</v>
      </c>
      <c r="D53" s="13">
        <v>828.94</v>
      </c>
      <c r="E53" s="14">
        <v>63.01</v>
      </c>
      <c r="F53">
        <v>217</v>
      </c>
      <c r="G53" t="s">
        <v>144</v>
      </c>
      <c r="H53" s="14">
        <v>3.82</v>
      </c>
      <c r="J53" s="109">
        <f t="shared" si="0"/>
        <v>80.22</v>
      </c>
      <c r="K53" s="109">
        <f t="shared" si="1"/>
        <v>-748.72</v>
      </c>
    </row>
    <row r="54" spans="1:11">
      <c r="A54">
        <v>80</v>
      </c>
      <c r="B54" t="s">
        <v>145</v>
      </c>
      <c r="C54" t="s">
        <v>146</v>
      </c>
      <c r="D54" s="13">
        <v>5932.57</v>
      </c>
      <c r="E54" s="14">
        <v>450.94</v>
      </c>
      <c r="H54" s="14">
        <v>91.3</v>
      </c>
      <c r="J54" s="109">
        <f t="shared" si="0"/>
        <v>7304</v>
      </c>
      <c r="K54" s="109">
        <f t="shared" si="1"/>
        <v>1371.4300000000003</v>
      </c>
    </row>
    <row r="55" spans="1:11">
      <c r="A55">
        <v>62</v>
      </c>
      <c r="B55" t="s">
        <v>147</v>
      </c>
      <c r="C55" t="s">
        <v>148</v>
      </c>
      <c r="D55" s="13">
        <v>10082.59</v>
      </c>
      <c r="E55" s="14">
        <v>498.16</v>
      </c>
      <c r="H55" s="14"/>
      <c r="J55" s="109">
        <f t="shared" si="0"/>
        <v>0</v>
      </c>
      <c r="K55" s="109">
        <f t="shared" si="1"/>
        <v>-10082.59</v>
      </c>
    </row>
    <row r="56" spans="1:11">
      <c r="A56">
        <v>1</v>
      </c>
      <c r="B56" t="s">
        <v>149</v>
      </c>
      <c r="C56" t="s">
        <v>150</v>
      </c>
      <c r="D56" s="13">
        <v>1218</v>
      </c>
      <c r="E56" s="14">
        <v>0</v>
      </c>
      <c r="H56" s="14"/>
      <c r="J56" s="109">
        <f t="shared" si="0"/>
        <v>0</v>
      </c>
      <c r="K56" s="109">
        <f t="shared" si="1"/>
        <v>-1218</v>
      </c>
    </row>
    <row r="57" spans="1:11">
      <c r="A57">
        <v>1</v>
      </c>
      <c r="B57" t="s">
        <v>151</v>
      </c>
      <c r="C57" t="s">
        <v>152</v>
      </c>
      <c r="D57" s="13">
        <v>47.06</v>
      </c>
      <c r="E57" s="14">
        <v>2.82</v>
      </c>
      <c r="F57">
        <v>1.5</v>
      </c>
      <c r="G57" t="s">
        <v>60</v>
      </c>
      <c r="H57" s="14">
        <v>31.37</v>
      </c>
      <c r="J57" s="109">
        <f t="shared" si="0"/>
        <v>31.37</v>
      </c>
      <c r="K57" s="109">
        <f t="shared" si="1"/>
        <v>-15.690000000000001</v>
      </c>
    </row>
    <row r="58" spans="1:11">
      <c r="A58">
        <v>1</v>
      </c>
      <c r="B58" t="s">
        <v>153</v>
      </c>
      <c r="C58" t="s">
        <v>154</v>
      </c>
      <c r="D58" s="13">
        <v>30.95</v>
      </c>
      <c r="E58" s="14">
        <v>1.1100000000000001</v>
      </c>
      <c r="F58">
        <v>1</v>
      </c>
      <c r="G58" t="s">
        <v>155</v>
      </c>
      <c r="H58" s="14">
        <v>30.95</v>
      </c>
      <c r="J58" s="109">
        <f t="shared" si="0"/>
        <v>30.95</v>
      </c>
      <c r="K58" s="109">
        <f t="shared" si="1"/>
        <v>0</v>
      </c>
    </row>
    <row r="59" spans="1:11">
      <c r="A59">
        <v>4</v>
      </c>
      <c r="B59" t="s">
        <v>156</v>
      </c>
      <c r="C59" t="s">
        <v>157</v>
      </c>
      <c r="D59" s="13">
        <v>100</v>
      </c>
      <c r="E59" s="14">
        <v>8.1</v>
      </c>
      <c r="H59" s="14">
        <v>25</v>
      </c>
      <c r="J59" s="109">
        <f t="shared" si="0"/>
        <v>100</v>
      </c>
      <c r="K59" s="109">
        <f t="shared" si="1"/>
        <v>0</v>
      </c>
    </row>
    <row r="60" spans="1:11">
      <c r="A60">
        <v>33</v>
      </c>
      <c r="B60" t="s">
        <v>158</v>
      </c>
      <c r="C60" t="s">
        <v>159</v>
      </c>
      <c r="D60" s="13">
        <v>1095.48</v>
      </c>
      <c r="E60" s="14">
        <v>62.61</v>
      </c>
      <c r="F60">
        <v>51</v>
      </c>
      <c r="G60" t="s">
        <v>60</v>
      </c>
      <c r="H60" s="14">
        <v>21.48</v>
      </c>
      <c r="J60" s="109">
        <f t="shared" si="0"/>
        <v>708.84</v>
      </c>
      <c r="K60" s="109">
        <f t="shared" si="1"/>
        <v>-386.64</v>
      </c>
    </row>
    <row r="61" spans="1:11">
      <c r="A61">
        <v>18</v>
      </c>
      <c r="B61" t="s">
        <v>160</v>
      </c>
      <c r="C61" t="s">
        <v>161</v>
      </c>
      <c r="D61" s="13">
        <v>14.4</v>
      </c>
      <c r="E61" s="14">
        <v>0</v>
      </c>
      <c r="H61" s="14"/>
      <c r="J61" s="109">
        <f t="shared" si="0"/>
        <v>0</v>
      </c>
      <c r="K61" s="109">
        <f t="shared" si="1"/>
        <v>-14.4</v>
      </c>
    </row>
    <row r="62" spans="1:11">
      <c r="A62">
        <v>1106</v>
      </c>
      <c r="B62" t="s">
        <v>162</v>
      </c>
      <c r="C62" t="s">
        <v>163</v>
      </c>
      <c r="D62" s="13">
        <v>44422.83</v>
      </c>
      <c r="E62" s="14">
        <v>2573.27</v>
      </c>
      <c r="F62" s="15">
        <v>1309.25</v>
      </c>
      <c r="G62" t="s">
        <v>164</v>
      </c>
      <c r="H62" s="14">
        <v>33.93</v>
      </c>
      <c r="J62" s="109">
        <f t="shared" si="0"/>
        <v>37526.58</v>
      </c>
      <c r="K62" s="109">
        <f t="shared" si="1"/>
        <v>-6896.25</v>
      </c>
    </row>
    <row r="63" spans="1:11">
      <c r="A63">
        <v>15</v>
      </c>
      <c r="B63" t="s">
        <v>165</v>
      </c>
      <c r="C63" t="s">
        <v>166</v>
      </c>
      <c r="D63" s="13">
        <v>678.42</v>
      </c>
      <c r="E63" s="14">
        <v>35.83</v>
      </c>
      <c r="F63">
        <v>15</v>
      </c>
      <c r="G63" t="s">
        <v>105</v>
      </c>
      <c r="H63" s="14">
        <v>47.49</v>
      </c>
      <c r="J63" s="109">
        <f t="shared" si="0"/>
        <v>712.35</v>
      </c>
      <c r="K63" s="109">
        <f t="shared" si="1"/>
        <v>33.930000000000064</v>
      </c>
    </row>
    <row r="64" spans="1:11">
      <c r="A64">
        <v>4097</v>
      </c>
      <c r="B64" t="s">
        <v>167</v>
      </c>
      <c r="C64" t="s">
        <v>168</v>
      </c>
      <c r="D64" s="13">
        <v>98300.08</v>
      </c>
      <c r="E64" s="14">
        <v>4456.8599999999997</v>
      </c>
      <c r="H64" s="14">
        <v>24.39</v>
      </c>
      <c r="J64" s="109">
        <f t="shared" si="0"/>
        <v>99925.83</v>
      </c>
      <c r="K64" s="109">
        <f t="shared" si="1"/>
        <v>1625.75</v>
      </c>
    </row>
    <row r="65" spans="1:11">
      <c r="A65">
        <v>2670</v>
      </c>
      <c r="B65" t="s">
        <v>169</v>
      </c>
      <c r="C65" t="s">
        <v>170</v>
      </c>
      <c r="D65" s="13">
        <v>75993.58</v>
      </c>
      <c r="E65" s="14">
        <v>3710.52</v>
      </c>
      <c r="H65" s="14">
        <v>28.85</v>
      </c>
      <c r="J65" s="109">
        <f t="shared" si="0"/>
        <v>77029.5</v>
      </c>
      <c r="K65" s="109">
        <f t="shared" si="1"/>
        <v>1035.9199999999983</v>
      </c>
    </row>
    <row r="66" spans="1:11">
      <c r="A66">
        <v>167</v>
      </c>
      <c r="B66" t="s">
        <v>171</v>
      </c>
      <c r="C66" t="s">
        <v>172</v>
      </c>
      <c r="D66" s="13">
        <v>5225.42</v>
      </c>
      <c r="E66" s="14">
        <v>225.33</v>
      </c>
      <c r="H66" s="14">
        <v>33.58</v>
      </c>
      <c r="J66" s="109">
        <f t="shared" si="0"/>
        <v>5607.86</v>
      </c>
      <c r="K66" s="109">
        <f t="shared" si="1"/>
        <v>382.4399999999996</v>
      </c>
    </row>
    <row r="67" spans="1:11">
      <c r="A67">
        <v>79</v>
      </c>
      <c r="B67" t="s">
        <v>173</v>
      </c>
      <c r="C67" t="s">
        <v>174</v>
      </c>
      <c r="D67" s="13">
        <v>2958.01</v>
      </c>
      <c r="E67" s="14">
        <v>129.05000000000001</v>
      </c>
      <c r="H67" s="14">
        <v>38.18</v>
      </c>
      <c r="J67" s="109">
        <f t="shared" si="0"/>
        <v>3016.22</v>
      </c>
      <c r="K67" s="109">
        <f t="shared" si="1"/>
        <v>58.209999999999582</v>
      </c>
    </row>
    <row r="68" spans="1:11">
      <c r="A68">
        <v>12</v>
      </c>
      <c r="B68" t="s">
        <v>175</v>
      </c>
      <c r="C68" t="s">
        <v>176</v>
      </c>
      <c r="D68" s="13">
        <v>513.48</v>
      </c>
      <c r="E68" s="14">
        <v>18.48</v>
      </c>
      <c r="H68" s="14">
        <v>42.79</v>
      </c>
      <c r="J68" s="109">
        <f t="shared" si="0"/>
        <v>513.48</v>
      </c>
      <c r="K68" s="109">
        <f t="shared" si="1"/>
        <v>0</v>
      </c>
    </row>
    <row r="69" spans="1:11">
      <c r="A69">
        <v>16</v>
      </c>
      <c r="B69" t="s">
        <v>177</v>
      </c>
      <c r="C69" t="s">
        <v>178</v>
      </c>
      <c r="D69" s="13">
        <v>683.61</v>
      </c>
      <c r="E69" s="14">
        <v>24.66</v>
      </c>
      <c r="H69" s="14">
        <v>47.39</v>
      </c>
      <c r="J69" s="109">
        <f t="shared" si="0"/>
        <v>758.24</v>
      </c>
      <c r="K69" s="109">
        <f t="shared" si="1"/>
        <v>74.63</v>
      </c>
    </row>
    <row r="70" spans="1:11">
      <c r="A70">
        <v>1105</v>
      </c>
      <c r="B70" t="s">
        <v>179</v>
      </c>
      <c r="C70" t="s">
        <v>180</v>
      </c>
      <c r="D70" s="13">
        <v>18596.64</v>
      </c>
      <c r="E70" s="14">
        <v>831.35</v>
      </c>
      <c r="H70" s="14">
        <v>16.95</v>
      </c>
      <c r="J70" s="109">
        <f t="shared" ref="J70:J109" si="2">A70*H70</f>
        <v>18729.75</v>
      </c>
      <c r="K70" s="109">
        <f t="shared" ref="K70:K109" si="3">J70-D70</f>
        <v>133.11000000000058</v>
      </c>
    </row>
    <row r="71" spans="1:11">
      <c r="A71">
        <v>47</v>
      </c>
      <c r="B71" t="s">
        <v>181</v>
      </c>
      <c r="C71" t="s">
        <v>182</v>
      </c>
      <c r="D71" s="13">
        <v>1138.3399999999999</v>
      </c>
      <c r="E71" s="14">
        <v>40.89</v>
      </c>
      <c r="H71" s="14">
        <v>24.22</v>
      </c>
      <c r="J71" s="109">
        <f t="shared" si="2"/>
        <v>1138.3399999999999</v>
      </c>
      <c r="K71" s="109">
        <f t="shared" si="3"/>
        <v>0</v>
      </c>
    </row>
    <row r="72" spans="1:11">
      <c r="A72">
        <v>247</v>
      </c>
      <c r="B72" t="s">
        <v>183</v>
      </c>
      <c r="C72" t="s">
        <v>184</v>
      </c>
      <c r="D72" s="13">
        <v>2277.75</v>
      </c>
      <c r="E72" s="14">
        <v>91.14</v>
      </c>
      <c r="H72" s="14">
        <v>9.36</v>
      </c>
      <c r="J72" s="109">
        <f t="shared" si="2"/>
        <v>2311.92</v>
      </c>
      <c r="K72" s="109">
        <f t="shared" si="3"/>
        <v>34.170000000000073</v>
      </c>
    </row>
    <row r="73" spans="1:11">
      <c r="A73">
        <v>9</v>
      </c>
      <c r="B73" t="s">
        <v>185</v>
      </c>
      <c r="C73" t="s">
        <v>186</v>
      </c>
      <c r="D73" s="13">
        <v>77.25</v>
      </c>
      <c r="E73" s="14">
        <v>3.73</v>
      </c>
      <c r="H73" s="14">
        <v>15.45</v>
      </c>
      <c r="J73" s="109">
        <f t="shared" si="2"/>
        <v>139.04999999999998</v>
      </c>
      <c r="K73" s="109">
        <f t="shared" si="3"/>
        <v>61.799999999999983</v>
      </c>
    </row>
    <row r="74" spans="1:11">
      <c r="A74">
        <v>4</v>
      </c>
      <c r="B74" t="s">
        <v>187</v>
      </c>
      <c r="C74" t="s">
        <v>188</v>
      </c>
      <c r="D74" s="13">
        <v>14.32</v>
      </c>
      <c r="E74" s="14">
        <v>0.95</v>
      </c>
      <c r="H74" s="14">
        <v>7.16</v>
      </c>
      <c r="J74" s="109">
        <f t="shared" si="2"/>
        <v>28.64</v>
      </c>
      <c r="K74" s="109">
        <f t="shared" si="3"/>
        <v>14.32</v>
      </c>
    </row>
    <row r="75" spans="1:11">
      <c r="A75">
        <v>2</v>
      </c>
      <c r="B75" t="s">
        <v>189</v>
      </c>
      <c r="C75" t="s">
        <v>190</v>
      </c>
      <c r="D75" s="13">
        <v>27.78</v>
      </c>
      <c r="E75" s="14">
        <v>1.83</v>
      </c>
      <c r="H75" s="14">
        <v>13.89</v>
      </c>
      <c r="J75" s="109">
        <f t="shared" si="2"/>
        <v>27.78</v>
      </c>
      <c r="K75" s="109">
        <f t="shared" si="3"/>
        <v>0</v>
      </c>
    </row>
    <row r="76" spans="1:11">
      <c r="A76">
        <v>5</v>
      </c>
      <c r="B76" t="s">
        <v>191</v>
      </c>
      <c r="C76" t="s">
        <v>192</v>
      </c>
      <c r="D76" s="13">
        <v>6.3</v>
      </c>
      <c r="E76" s="14">
        <v>0.59</v>
      </c>
      <c r="H76" s="14">
        <v>2.56</v>
      </c>
      <c r="J76" s="109">
        <f t="shared" si="2"/>
        <v>12.8</v>
      </c>
      <c r="K76" s="109">
        <f t="shared" si="3"/>
        <v>6.5000000000000009</v>
      </c>
    </row>
    <row r="77" spans="1:11">
      <c r="A77">
        <v>69</v>
      </c>
      <c r="B77" t="s">
        <v>193</v>
      </c>
      <c r="C77" t="s">
        <v>194</v>
      </c>
      <c r="D77" s="13">
        <v>1077.78</v>
      </c>
      <c r="E77" s="14">
        <v>49.92</v>
      </c>
      <c r="H77" s="14">
        <v>15.62</v>
      </c>
      <c r="J77" s="109">
        <f t="shared" si="2"/>
        <v>1077.78</v>
      </c>
      <c r="K77" s="109">
        <f t="shared" si="3"/>
        <v>0</v>
      </c>
    </row>
    <row r="78" spans="1:11">
      <c r="A78">
        <v>16</v>
      </c>
      <c r="B78" t="s">
        <v>195</v>
      </c>
      <c r="C78" t="s">
        <v>196</v>
      </c>
      <c r="D78" s="13">
        <v>114.56</v>
      </c>
      <c r="E78" s="14">
        <v>4.59</v>
      </c>
      <c r="H78" s="14">
        <v>7.16</v>
      </c>
      <c r="J78" s="109">
        <f t="shared" si="2"/>
        <v>114.56</v>
      </c>
      <c r="K78" s="109">
        <f t="shared" si="3"/>
        <v>0</v>
      </c>
    </row>
    <row r="79" spans="1:11">
      <c r="A79">
        <v>42</v>
      </c>
      <c r="B79" t="s">
        <v>197</v>
      </c>
      <c r="C79" t="s">
        <v>198</v>
      </c>
      <c r="D79" s="13">
        <v>401.1</v>
      </c>
      <c r="E79" s="14">
        <v>14.28</v>
      </c>
      <c r="H79" s="14">
        <v>9.5500000000000007</v>
      </c>
      <c r="J79" s="109">
        <f t="shared" si="2"/>
        <v>401.1</v>
      </c>
      <c r="K79" s="109">
        <f t="shared" si="3"/>
        <v>0</v>
      </c>
    </row>
    <row r="80" spans="1:11">
      <c r="A80">
        <v>5</v>
      </c>
      <c r="B80" t="s">
        <v>199</v>
      </c>
      <c r="C80" t="s">
        <v>200</v>
      </c>
      <c r="D80" s="13">
        <v>95.5</v>
      </c>
      <c r="E80" s="14">
        <v>3.45</v>
      </c>
      <c r="H80" s="14">
        <v>19.100000000000001</v>
      </c>
      <c r="J80" s="109">
        <f t="shared" si="2"/>
        <v>95.5</v>
      </c>
      <c r="K80" s="109">
        <f t="shared" si="3"/>
        <v>0</v>
      </c>
    </row>
    <row r="81" spans="1:11">
      <c r="A81">
        <v>1</v>
      </c>
      <c r="B81" t="s">
        <v>201</v>
      </c>
      <c r="C81" t="s">
        <v>202</v>
      </c>
      <c r="D81" s="13">
        <v>28.65</v>
      </c>
      <c r="E81" s="14">
        <v>1.03</v>
      </c>
      <c r="H81" s="14">
        <v>28.65</v>
      </c>
      <c r="J81" s="109">
        <f t="shared" si="2"/>
        <v>28.65</v>
      </c>
      <c r="K81" s="109">
        <f t="shared" si="3"/>
        <v>0</v>
      </c>
    </row>
    <row r="82" spans="1:11">
      <c r="A82">
        <v>62</v>
      </c>
      <c r="B82" t="s">
        <v>203</v>
      </c>
      <c r="C82" t="s">
        <v>76</v>
      </c>
      <c r="D82" s="13">
        <v>8668.2800000000007</v>
      </c>
      <c r="E82" s="14">
        <v>312.11</v>
      </c>
      <c r="H82" s="14">
        <v>146.91999999999999</v>
      </c>
      <c r="J82" s="109">
        <f t="shared" si="2"/>
        <v>9109.0399999999991</v>
      </c>
      <c r="K82" s="109">
        <f t="shared" si="3"/>
        <v>440.7599999999984</v>
      </c>
    </row>
    <row r="83" spans="1:11">
      <c r="A83">
        <v>11</v>
      </c>
      <c r="B83" t="s">
        <v>204</v>
      </c>
      <c r="C83" t="s">
        <v>205</v>
      </c>
      <c r="D83" s="13">
        <v>770.23</v>
      </c>
      <c r="E83" s="14">
        <v>27.72</v>
      </c>
      <c r="H83" s="14">
        <v>73.63</v>
      </c>
      <c r="J83" s="109">
        <f t="shared" si="2"/>
        <v>809.93</v>
      </c>
      <c r="K83" s="109">
        <f t="shared" si="3"/>
        <v>39.699999999999932</v>
      </c>
    </row>
    <row r="84" spans="1:11">
      <c r="A84">
        <v>236</v>
      </c>
      <c r="B84" t="s">
        <v>206</v>
      </c>
      <c r="C84" t="s">
        <v>84</v>
      </c>
      <c r="D84" s="13">
        <v>7939.62</v>
      </c>
      <c r="E84" s="14">
        <v>375.24</v>
      </c>
      <c r="H84" s="14">
        <v>33.93</v>
      </c>
      <c r="J84" s="109">
        <f t="shared" si="2"/>
        <v>8007.48</v>
      </c>
      <c r="K84" s="109">
        <f t="shared" si="3"/>
        <v>67.859999999999673</v>
      </c>
    </row>
    <row r="85" spans="1:11">
      <c r="A85">
        <v>275</v>
      </c>
      <c r="B85" t="s">
        <v>207</v>
      </c>
      <c r="C85" t="s">
        <v>208</v>
      </c>
      <c r="D85" s="13">
        <v>1881.5</v>
      </c>
      <c r="E85" s="14">
        <v>91.26</v>
      </c>
      <c r="H85" s="14">
        <v>7.1</v>
      </c>
      <c r="J85" s="109">
        <f t="shared" si="2"/>
        <v>1952.5</v>
      </c>
      <c r="K85" s="109">
        <f t="shared" si="3"/>
        <v>71</v>
      </c>
    </row>
    <row r="86" spans="1:11">
      <c r="A86">
        <v>34</v>
      </c>
      <c r="B86" t="s">
        <v>209</v>
      </c>
      <c r="C86" t="s">
        <v>210</v>
      </c>
      <c r="D86" s="13">
        <v>482.8</v>
      </c>
      <c r="E86" s="14">
        <v>26.69</v>
      </c>
      <c r="H86" s="14">
        <v>14.2</v>
      </c>
      <c r="J86" s="109">
        <f t="shared" si="2"/>
        <v>482.79999999999995</v>
      </c>
      <c r="K86" s="109">
        <f t="shared" si="3"/>
        <v>0</v>
      </c>
    </row>
    <row r="87" spans="1:11">
      <c r="A87">
        <v>11</v>
      </c>
      <c r="B87" t="s">
        <v>211</v>
      </c>
      <c r="C87" t="s">
        <v>212</v>
      </c>
      <c r="D87" s="13">
        <v>234.3</v>
      </c>
      <c r="E87" s="14">
        <v>9.75</v>
      </c>
      <c r="H87" s="14">
        <v>21.3</v>
      </c>
      <c r="J87" s="109">
        <f t="shared" si="2"/>
        <v>234.3</v>
      </c>
      <c r="K87" s="109">
        <f t="shared" si="3"/>
        <v>0</v>
      </c>
    </row>
    <row r="88" spans="1:11">
      <c r="A88">
        <v>52</v>
      </c>
      <c r="B88" t="s">
        <v>213</v>
      </c>
      <c r="C88" t="s">
        <v>214</v>
      </c>
      <c r="D88" s="13">
        <v>363.48</v>
      </c>
      <c r="E88" s="14">
        <v>15.94</v>
      </c>
      <c r="H88" s="14">
        <v>6.99</v>
      </c>
      <c r="J88" s="109">
        <f t="shared" si="2"/>
        <v>363.48</v>
      </c>
      <c r="K88" s="109">
        <f t="shared" si="3"/>
        <v>0</v>
      </c>
    </row>
    <row r="89" spans="1:11">
      <c r="A89">
        <v>1245</v>
      </c>
      <c r="B89" t="s">
        <v>215</v>
      </c>
      <c r="C89" t="s">
        <v>92</v>
      </c>
      <c r="D89" s="13">
        <v>22384.05</v>
      </c>
      <c r="E89" s="14">
        <v>1702.22</v>
      </c>
      <c r="H89" s="14">
        <v>18.41</v>
      </c>
      <c r="J89" s="109">
        <f t="shared" si="2"/>
        <v>22920.45</v>
      </c>
      <c r="K89" s="109">
        <f t="shared" si="3"/>
        <v>536.40000000000146</v>
      </c>
    </row>
    <row r="90" spans="1:11">
      <c r="A90">
        <v>52</v>
      </c>
      <c r="B90" t="s">
        <v>216</v>
      </c>
      <c r="C90" t="s">
        <v>217</v>
      </c>
      <c r="D90" s="13">
        <v>1522</v>
      </c>
      <c r="E90" s="14">
        <v>86.11</v>
      </c>
      <c r="H90" s="14">
        <v>30.44</v>
      </c>
      <c r="J90" s="109">
        <f t="shared" si="2"/>
        <v>1582.88</v>
      </c>
      <c r="K90" s="109">
        <f t="shared" si="3"/>
        <v>60.880000000000109</v>
      </c>
    </row>
    <row r="91" spans="1:11">
      <c r="A91">
        <v>93</v>
      </c>
      <c r="B91" t="s">
        <v>218</v>
      </c>
      <c r="C91" t="s">
        <v>219</v>
      </c>
      <c r="D91" s="13">
        <v>3868.1</v>
      </c>
      <c r="E91" s="14">
        <v>207.4</v>
      </c>
      <c r="F91">
        <v>98.5</v>
      </c>
      <c r="G91" t="s">
        <v>220</v>
      </c>
      <c r="H91" s="14">
        <v>39.270000000000003</v>
      </c>
      <c r="J91" s="109">
        <f t="shared" si="2"/>
        <v>3652.11</v>
      </c>
      <c r="K91" s="109">
        <f t="shared" si="3"/>
        <v>-215.98999999999978</v>
      </c>
    </row>
    <row r="92" spans="1:11">
      <c r="A92">
        <v>25</v>
      </c>
      <c r="B92" t="s">
        <v>221</v>
      </c>
      <c r="C92" t="s">
        <v>222</v>
      </c>
      <c r="D92" s="13">
        <v>241.68</v>
      </c>
      <c r="E92" s="14">
        <v>18.36</v>
      </c>
      <c r="F92">
        <v>106</v>
      </c>
      <c r="G92" t="s">
        <v>220</v>
      </c>
      <c r="H92" s="14">
        <v>2.2799999999999998</v>
      </c>
      <c r="J92" s="109">
        <f t="shared" si="2"/>
        <v>56.999999999999993</v>
      </c>
      <c r="K92" s="109">
        <f t="shared" si="3"/>
        <v>-184.68</v>
      </c>
    </row>
    <row r="93" spans="1:11">
      <c r="A93">
        <v>60</v>
      </c>
      <c r="B93" t="s">
        <v>223</v>
      </c>
      <c r="C93" t="s">
        <v>224</v>
      </c>
      <c r="D93" s="13">
        <v>1922.39</v>
      </c>
      <c r="E93" s="14">
        <v>146.02000000000001</v>
      </c>
      <c r="H93" s="14">
        <v>38.06</v>
      </c>
      <c r="J93" s="109">
        <f t="shared" si="2"/>
        <v>2283.6000000000004</v>
      </c>
      <c r="K93" s="109">
        <f t="shared" si="3"/>
        <v>361.21000000000026</v>
      </c>
    </row>
    <row r="94" spans="1:11">
      <c r="A94">
        <v>1</v>
      </c>
      <c r="B94" t="s">
        <v>225</v>
      </c>
      <c r="C94" t="s">
        <v>226</v>
      </c>
      <c r="D94" s="13">
        <v>47.49</v>
      </c>
      <c r="E94" s="14">
        <v>1.71</v>
      </c>
      <c r="H94" s="14">
        <v>47.49</v>
      </c>
      <c r="J94" s="109">
        <f t="shared" si="2"/>
        <v>47.49</v>
      </c>
      <c r="K94" s="109">
        <f t="shared" si="3"/>
        <v>0</v>
      </c>
    </row>
    <row r="95" spans="1:11">
      <c r="A95">
        <v>4</v>
      </c>
      <c r="B95" t="s">
        <v>227</v>
      </c>
      <c r="C95" t="s">
        <v>228</v>
      </c>
      <c r="D95" s="13">
        <v>502.08</v>
      </c>
      <c r="E95" s="14">
        <v>18.07</v>
      </c>
      <c r="F95">
        <v>6</v>
      </c>
      <c r="G95" t="s">
        <v>105</v>
      </c>
      <c r="H95" s="14">
        <v>83.68</v>
      </c>
      <c r="J95" s="109">
        <f t="shared" si="2"/>
        <v>334.72</v>
      </c>
      <c r="K95" s="109">
        <f t="shared" si="3"/>
        <v>-167.35999999999996</v>
      </c>
    </row>
    <row r="96" spans="1:11">
      <c r="A96">
        <v>256</v>
      </c>
      <c r="B96" t="s">
        <v>229</v>
      </c>
      <c r="C96" t="s">
        <v>230</v>
      </c>
      <c r="D96" s="13">
        <v>7423.2</v>
      </c>
      <c r="E96" s="14">
        <v>415.37</v>
      </c>
      <c r="H96" s="14">
        <v>29.41</v>
      </c>
      <c r="J96" s="109">
        <f t="shared" si="2"/>
        <v>7528.96</v>
      </c>
      <c r="K96" s="109">
        <f t="shared" si="3"/>
        <v>105.76000000000022</v>
      </c>
    </row>
    <row r="97" spans="1:11">
      <c r="A97">
        <v>61</v>
      </c>
      <c r="B97" t="s">
        <v>231</v>
      </c>
      <c r="C97" t="s">
        <v>232</v>
      </c>
      <c r="D97" s="13">
        <v>1516.57</v>
      </c>
      <c r="E97" s="14">
        <v>72.92</v>
      </c>
      <c r="H97" s="14">
        <v>25.57</v>
      </c>
      <c r="J97" s="109">
        <f t="shared" si="2"/>
        <v>1559.77</v>
      </c>
      <c r="K97" s="109">
        <f t="shared" si="3"/>
        <v>43.200000000000045</v>
      </c>
    </row>
    <row r="98" spans="1:11">
      <c r="A98">
        <v>4</v>
      </c>
      <c r="B98" t="s">
        <v>233</v>
      </c>
      <c r="C98" t="s">
        <v>234</v>
      </c>
      <c r="D98" s="13">
        <v>67.319999999999993</v>
      </c>
      <c r="E98" s="14">
        <v>2.44</v>
      </c>
      <c r="H98" s="14">
        <v>16.829999999999998</v>
      </c>
      <c r="J98" s="109">
        <f t="shared" si="2"/>
        <v>67.319999999999993</v>
      </c>
      <c r="K98" s="109">
        <f t="shared" si="3"/>
        <v>0</v>
      </c>
    </row>
    <row r="99" spans="1:11">
      <c r="A99">
        <v>71</v>
      </c>
      <c r="B99" t="s">
        <v>235</v>
      </c>
      <c r="C99" t="s">
        <v>236</v>
      </c>
      <c r="D99" s="13">
        <v>2276.0100000000002</v>
      </c>
      <c r="E99" s="14">
        <v>107.86</v>
      </c>
      <c r="H99" s="14">
        <v>35.07</v>
      </c>
      <c r="J99" s="109">
        <f t="shared" si="2"/>
        <v>2489.9699999999998</v>
      </c>
      <c r="K99" s="109">
        <f t="shared" si="3"/>
        <v>213.95999999999958</v>
      </c>
    </row>
    <row r="100" spans="1:11">
      <c r="A100">
        <v>2</v>
      </c>
      <c r="B100" t="s">
        <v>237</v>
      </c>
      <c r="C100" t="s">
        <v>238</v>
      </c>
      <c r="D100" s="13">
        <v>55.86</v>
      </c>
      <c r="E100" s="14">
        <v>3.62</v>
      </c>
      <c r="H100" s="14">
        <v>29.07</v>
      </c>
      <c r="J100" s="109">
        <f t="shared" si="2"/>
        <v>58.14</v>
      </c>
      <c r="K100" s="109">
        <f t="shared" si="3"/>
        <v>2.2800000000000011</v>
      </c>
    </row>
    <row r="101" spans="1:11">
      <c r="A101">
        <v>8</v>
      </c>
      <c r="B101" t="s">
        <v>239</v>
      </c>
      <c r="C101" t="s">
        <v>240</v>
      </c>
      <c r="D101" s="13">
        <v>71.44</v>
      </c>
      <c r="E101" s="14">
        <v>2.56</v>
      </c>
      <c r="H101" s="14">
        <v>8.93</v>
      </c>
      <c r="J101" s="109">
        <f t="shared" si="2"/>
        <v>71.44</v>
      </c>
      <c r="K101" s="109">
        <f t="shared" si="3"/>
        <v>0</v>
      </c>
    </row>
    <row r="102" spans="1:11">
      <c r="A102">
        <v>12</v>
      </c>
      <c r="B102" t="s">
        <v>241</v>
      </c>
      <c r="C102" t="s">
        <v>242</v>
      </c>
      <c r="D102" s="13">
        <v>303</v>
      </c>
      <c r="E102" s="14">
        <v>10.92</v>
      </c>
      <c r="H102" s="14">
        <v>25.25</v>
      </c>
      <c r="J102" s="109">
        <f t="shared" si="2"/>
        <v>303</v>
      </c>
      <c r="K102" s="109">
        <f t="shared" si="3"/>
        <v>0</v>
      </c>
    </row>
    <row r="103" spans="1:11">
      <c r="A103">
        <v>51</v>
      </c>
      <c r="B103" t="s">
        <v>243</v>
      </c>
      <c r="C103" t="s">
        <v>244</v>
      </c>
      <c r="D103" s="13">
        <v>-610.46</v>
      </c>
      <c r="E103" s="14">
        <v>-25.49</v>
      </c>
      <c r="H103" s="14"/>
      <c r="J103" s="109">
        <f t="shared" si="2"/>
        <v>0</v>
      </c>
      <c r="K103" s="109">
        <f t="shared" si="3"/>
        <v>610.46</v>
      </c>
    </row>
    <row r="104" spans="1:11">
      <c r="B104" t="s">
        <v>245</v>
      </c>
      <c r="C104" t="s">
        <v>246</v>
      </c>
      <c r="D104" s="13">
        <v>451.08</v>
      </c>
      <c r="E104" s="14">
        <v>27.3</v>
      </c>
      <c r="H104" s="14">
        <v>16.11</v>
      </c>
      <c r="J104" s="109">
        <f t="shared" si="2"/>
        <v>0</v>
      </c>
      <c r="K104" s="109">
        <f t="shared" si="3"/>
        <v>-451.08</v>
      </c>
    </row>
    <row r="105" spans="1:11">
      <c r="A105">
        <v>1</v>
      </c>
      <c r="B105" t="s">
        <v>247</v>
      </c>
      <c r="C105" t="s">
        <v>248</v>
      </c>
      <c r="D105" s="13">
        <v>10.74</v>
      </c>
      <c r="E105" s="14">
        <v>1.03</v>
      </c>
      <c r="H105" s="14">
        <v>10.74</v>
      </c>
      <c r="J105" s="109">
        <f t="shared" si="2"/>
        <v>10.74</v>
      </c>
      <c r="K105" s="109">
        <f t="shared" si="3"/>
        <v>0</v>
      </c>
    </row>
    <row r="106" spans="1:11">
      <c r="A106">
        <v>64</v>
      </c>
      <c r="B106" t="s">
        <v>249</v>
      </c>
      <c r="C106" t="s">
        <v>250</v>
      </c>
      <c r="D106" s="13">
        <v>20926.72</v>
      </c>
      <c r="E106" s="14">
        <v>1255.68</v>
      </c>
      <c r="H106" s="14">
        <v>326.98</v>
      </c>
      <c r="J106" s="109">
        <f t="shared" si="2"/>
        <v>20926.72</v>
      </c>
      <c r="K106" s="109">
        <f t="shared" si="3"/>
        <v>0</v>
      </c>
    </row>
    <row r="107" spans="1:11">
      <c r="A107">
        <v>3</v>
      </c>
      <c r="B107" t="s">
        <v>251</v>
      </c>
      <c r="C107" t="s">
        <v>252</v>
      </c>
      <c r="D107" s="13">
        <v>1477.68</v>
      </c>
      <c r="E107" s="14">
        <v>88.65</v>
      </c>
      <c r="H107" s="14">
        <v>492.56</v>
      </c>
      <c r="J107" s="109">
        <f t="shared" si="2"/>
        <v>1477.68</v>
      </c>
      <c r="K107" s="109">
        <f t="shared" si="3"/>
        <v>0</v>
      </c>
    </row>
    <row r="108" spans="1:11">
      <c r="A108">
        <v>40</v>
      </c>
      <c r="B108" t="s">
        <v>253</v>
      </c>
      <c r="C108" t="s">
        <v>254</v>
      </c>
      <c r="D108" s="13">
        <v>13295.2</v>
      </c>
      <c r="E108" s="14">
        <v>0</v>
      </c>
      <c r="H108" s="14">
        <v>332.38</v>
      </c>
      <c r="J108" s="109">
        <f t="shared" si="2"/>
        <v>13295.2</v>
      </c>
      <c r="K108" s="109">
        <f t="shared" si="3"/>
        <v>0</v>
      </c>
    </row>
    <row r="109" spans="1:11">
      <c r="A109">
        <v>13</v>
      </c>
      <c r="B109" t="s">
        <v>255</v>
      </c>
      <c r="C109" t="s">
        <v>256</v>
      </c>
      <c r="D109" s="13">
        <v>5537.35</v>
      </c>
      <c r="E109" s="14">
        <v>0</v>
      </c>
      <c r="H109" s="14">
        <v>425.95</v>
      </c>
      <c r="J109" s="110">
        <f t="shared" si="2"/>
        <v>5537.3499999999995</v>
      </c>
      <c r="K109" s="109">
        <f t="shared" si="3"/>
        <v>0</v>
      </c>
    </row>
    <row r="110" spans="1:11">
      <c r="D110" s="13">
        <v>545026.71</v>
      </c>
      <c r="H110" s="14"/>
      <c r="J110" s="109">
        <f>SUM(J5:J109)</f>
        <v>528688.9099999998</v>
      </c>
    </row>
  </sheetData>
  <conditionalFormatting sqref="H4:H109">
    <cfRule type="cellIs" dxfId="2" priority="2" operator="lessThan">
      <formula>0</formula>
    </cfRule>
  </conditionalFormatting>
  <conditionalFormatting sqref="E4:E109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T123"/>
  <sheetViews>
    <sheetView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E91" sqref="E91"/>
    </sheetView>
  </sheetViews>
  <sheetFormatPr defaultRowHeight="14.4"/>
  <cols>
    <col min="2" max="2" width="9.109375" style="34"/>
    <col min="3" max="3" width="7.44140625" customWidth="1"/>
    <col min="4" max="4" width="5.6640625" customWidth="1"/>
    <col min="5" max="5" width="27.5546875" customWidth="1"/>
    <col min="6" max="6" width="13.44140625" customWidth="1"/>
    <col min="7" max="7" width="13.33203125" customWidth="1"/>
    <col min="8" max="9" width="13.33203125" style="34" customWidth="1"/>
    <col min="10" max="10" width="9.109375" style="34" customWidth="1"/>
    <col min="11" max="12" width="9.33203125" customWidth="1"/>
    <col min="13" max="13" width="12.44140625" customWidth="1"/>
    <col min="14" max="14" width="10" customWidth="1"/>
    <col min="15" max="16" width="11.88671875" customWidth="1"/>
    <col min="17" max="17" width="12" customWidth="1"/>
    <col min="19" max="19" width="11.33203125" customWidth="1"/>
    <col min="20" max="20" width="11.5546875" bestFit="1" customWidth="1"/>
    <col min="21" max="21" width="11.109375" bestFit="1" customWidth="1"/>
  </cols>
  <sheetData>
    <row r="1" spans="2:16">
      <c r="N1" s="3" t="s">
        <v>676</v>
      </c>
      <c r="O1" t="s">
        <v>23</v>
      </c>
      <c r="P1">
        <v>1.0785</v>
      </c>
    </row>
    <row r="2" spans="2:16">
      <c r="C2" s="3" t="s">
        <v>39</v>
      </c>
      <c r="D2" s="3" t="s">
        <v>40</v>
      </c>
      <c r="E2" s="3" t="s">
        <v>41</v>
      </c>
      <c r="F2" s="3" t="s">
        <v>42</v>
      </c>
      <c r="G2" s="3" t="s">
        <v>1097</v>
      </c>
      <c r="H2" s="3" t="s">
        <v>1098</v>
      </c>
      <c r="I2" s="3"/>
      <c r="J2" s="3" t="s">
        <v>1099</v>
      </c>
      <c r="K2" s="3" t="s">
        <v>39</v>
      </c>
      <c r="L2" s="3" t="s">
        <v>44</v>
      </c>
      <c r="M2" s="3" t="s">
        <v>45</v>
      </c>
      <c r="N2" s="3" t="s">
        <v>677</v>
      </c>
      <c r="O2" s="3" t="s">
        <v>679</v>
      </c>
      <c r="P2" s="3" t="s">
        <v>680</v>
      </c>
    </row>
    <row r="3" spans="2:16">
      <c r="C3" s="34">
        <v>1408</v>
      </c>
      <c r="D3" s="34"/>
      <c r="E3" s="34" t="s">
        <v>46</v>
      </c>
      <c r="F3" s="13">
        <v>1523</v>
      </c>
      <c r="G3" s="339" t="e">
        <f t="shared" ref="G3:G34" si="0">F3/M3</f>
        <v>#DIV/0!</v>
      </c>
      <c r="H3" s="339" t="e">
        <f t="shared" ref="H3:H5" si="1">G3/12</f>
        <v>#DIV/0!</v>
      </c>
      <c r="I3" s="14" t="e">
        <f t="shared" ref="I3:I34" si="2">H3*M3*12</f>
        <v>#DIV/0!</v>
      </c>
      <c r="J3" s="14"/>
      <c r="K3" s="34"/>
      <c r="L3" s="34"/>
      <c r="M3" s="14"/>
      <c r="O3" s="99">
        <f t="shared" ref="O3:O34" si="3">F3*1.0785</f>
        <v>1642.5554999999999</v>
      </c>
      <c r="P3" s="98">
        <f t="shared" ref="P3:P34" si="4">O3/F3</f>
        <v>1.0785</v>
      </c>
    </row>
    <row r="4" spans="2:16">
      <c r="C4" s="34">
        <v>20</v>
      </c>
      <c r="D4" s="34">
        <v>122</v>
      </c>
      <c r="E4" s="332" t="s">
        <v>47</v>
      </c>
      <c r="F4" s="13">
        <v>89.2</v>
      </c>
      <c r="G4" s="339">
        <f t="shared" si="0"/>
        <v>20</v>
      </c>
      <c r="H4" s="339">
        <f t="shared" si="1"/>
        <v>1.6666666666666667</v>
      </c>
      <c r="I4" s="14">
        <f t="shared" si="2"/>
        <v>89.2</v>
      </c>
      <c r="J4" s="14"/>
      <c r="K4" s="34"/>
      <c r="L4" s="34"/>
      <c r="M4" s="14">
        <v>4.46</v>
      </c>
      <c r="N4" s="97">
        <f>M4*1.0785</f>
        <v>4.8101099999999999</v>
      </c>
      <c r="O4" s="99">
        <f t="shared" si="3"/>
        <v>96.202200000000005</v>
      </c>
      <c r="P4" s="98">
        <f t="shared" si="4"/>
        <v>1.0785</v>
      </c>
    </row>
    <row r="5" spans="2:16">
      <c r="C5" s="34">
        <v>5</v>
      </c>
      <c r="D5" s="34" t="s">
        <v>48</v>
      </c>
      <c r="E5" s="332" t="s">
        <v>49</v>
      </c>
      <c r="F5" s="13">
        <v>-37.200000000000003</v>
      </c>
      <c r="G5" s="339">
        <f t="shared" si="0"/>
        <v>5</v>
      </c>
      <c r="H5" s="339">
        <f t="shared" si="1"/>
        <v>0.41666666666666669</v>
      </c>
      <c r="I5" s="14">
        <f t="shared" si="2"/>
        <v>-37.200000000000003</v>
      </c>
      <c r="J5" s="14"/>
      <c r="K5" s="34"/>
      <c r="L5" s="34"/>
      <c r="M5" s="13">
        <v>-7.44</v>
      </c>
      <c r="N5" s="97">
        <f t="shared" ref="N5:N68" si="5">M5*1.0785</f>
        <v>-8.0240400000000012</v>
      </c>
      <c r="O5" s="99">
        <f t="shared" si="3"/>
        <v>-40.120200000000004</v>
      </c>
      <c r="P5" s="98">
        <f t="shared" si="4"/>
        <v>1.0785</v>
      </c>
    </row>
    <row r="6" spans="2:16">
      <c r="C6" s="34">
        <v>1</v>
      </c>
      <c r="D6" s="34" t="s">
        <v>50</v>
      </c>
      <c r="E6" s="332" t="s">
        <v>51</v>
      </c>
      <c r="F6" s="13">
        <v>7.44</v>
      </c>
      <c r="G6" s="339">
        <f t="shared" si="0"/>
        <v>1</v>
      </c>
      <c r="H6" s="339">
        <f t="shared" ref="H6:H62" si="6">G6/12</f>
        <v>8.3333333333333329E-2</v>
      </c>
      <c r="I6" s="14">
        <f t="shared" si="2"/>
        <v>7.4399999999999995</v>
      </c>
      <c r="J6" s="14">
        <f t="shared" ref="J6:J62" si="7">I6-F6</f>
        <v>0</v>
      </c>
      <c r="K6" s="34"/>
      <c r="L6" s="34"/>
      <c r="M6" s="14">
        <v>7.44</v>
      </c>
      <c r="N6" s="97">
        <f t="shared" si="5"/>
        <v>8.0240400000000012</v>
      </c>
      <c r="O6" s="99">
        <f t="shared" si="3"/>
        <v>8.0240400000000012</v>
      </c>
      <c r="P6" s="98">
        <f t="shared" si="4"/>
        <v>1.0785</v>
      </c>
    </row>
    <row r="7" spans="2:16">
      <c r="C7" s="34">
        <v>4</v>
      </c>
      <c r="D7" s="34">
        <v>221</v>
      </c>
      <c r="E7" s="332" t="s">
        <v>52</v>
      </c>
      <c r="F7" s="13">
        <v>-17.84</v>
      </c>
      <c r="G7" s="339">
        <f t="shared" si="0"/>
        <v>4</v>
      </c>
      <c r="H7" s="339">
        <f t="shared" si="6"/>
        <v>0.33333333333333331</v>
      </c>
      <c r="I7" s="14">
        <f t="shared" si="2"/>
        <v>-17.84</v>
      </c>
      <c r="J7" s="14">
        <f t="shared" si="7"/>
        <v>0</v>
      </c>
      <c r="K7" s="34"/>
      <c r="L7" s="34"/>
      <c r="M7" s="13">
        <v>-4.46</v>
      </c>
      <c r="N7" s="97">
        <f t="shared" si="5"/>
        <v>-4.8101099999999999</v>
      </c>
      <c r="O7" s="99">
        <f t="shared" si="3"/>
        <v>-19.24044</v>
      </c>
      <c r="P7" s="98">
        <f t="shared" si="4"/>
        <v>1.0785</v>
      </c>
    </row>
    <row r="8" spans="2:16">
      <c r="C8" s="34">
        <v>4</v>
      </c>
      <c r="D8" s="34">
        <v>223</v>
      </c>
      <c r="E8" s="332" t="s">
        <v>53</v>
      </c>
      <c r="F8" s="13">
        <v>18.920000000000002</v>
      </c>
      <c r="G8" s="339">
        <f t="shared" si="0"/>
        <v>4</v>
      </c>
      <c r="H8" s="339">
        <f t="shared" si="6"/>
        <v>0.33333333333333331</v>
      </c>
      <c r="I8" s="14">
        <f t="shared" si="2"/>
        <v>18.920000000000002</v>
      </c>
      <c r="J8" s="14">
        <f t="shared" si="7"/>
        <v>0</v>
      </c>
      <c r="K8" s="34"/>
      <c r="L8" s="34"/>
      <c r="M8" s="14">
        <v>4.7300000000000004</v>
      </c>
      <c r="N8" s="97">
        <f t="shared" si="5"/>
        <v>5.1013050000000009</v>
      </c>
      <c r="O8" s="99">
        <f t="shared" si="3"/>
        <v>20.405220000000003</v>
      </c>
      <c r="P8" s="98">
        <f t="shared" si="4"/>
        <v>1.0785</v>
      </c>
    </row>
    <row r="9" spans="2:16">
      <c r="C9" s="34">
        <v>1</v>
      </c>
      <c r="D9" s="34">
        <v>322</v>
      </c>
      <c r="E9" s="332" t="s">
        <v>54</v>
      </c>
      <c r="F9" s="13">
        <v>-4.7300000000000004</v>
      </c>
      <c r="G9" s="339">
        <f t="shared" si="0"/>
        <v>1</v>
      </c>
      <c r="H9" s="339">
        <f t="shared" si="6"/>
        <v>8.3333333333333329E-2</v>
      </c>
      <c r="I9" s="14">
        <f t="shared" si="2"/>
        <v>-4.7300000000000004</v>
      </c>
      <c r="J9" s="14">
        <f t="shared" si="7"/>
        <v>0</v>
      </c>
      <c r="K9" s="34"/>
      <c r="L9" s="34"/>
      <c r="M9" s="14">
        <v>-4.7300000000000004</v>
      </c>
      <c r="N9" s="97">
        <f t="shared" si="5"/>
        <v>-5.1013050000000009</v>
      </c>
      <c r="O9" s="99">
        <f t="shared" si="3"/>
        <v>-5.1013050000000009</v>
      </c>
      <c r="P9" s="98">
        <f t="shared" si="4"/>
        <v>1.0785</v>
      </c>
    </row>
    <row r="10" spans="2:16">
      <c r="C10" s="34">
        <v>2</v>
      </c>
      <c r="D10" s="34">
        <v>324</v>
      </c>
      <c r="E10" s="332" t="s">
        <v>55</v>
      </c>
      <c r="F10" s="13">
        <v>9.1999999999999993</v>
      </c>
      <c r="G10" s="339">
        <f t="shared" si="0"/>
        <v>2</v>
      </c>
      <c r="H10" s="339">
        <f t="shared" si="6"/>
        <v>0.16666666666666666</v>
      </c>
      <c r="I10" s="14">
        <f t="shared" si="2"/>
        <v>9.1999999999999993</v>
      </c>
      <c r="J10" s="14">
        <f t="shared" si="7"/>
        <v>0</v>
      </c>
      <c r="K10" s="34"/>
      <c r="L10" s="34"/>
      <c r="M10" s="14">
        <v>4.5999999999999996</v>
      </c>
      <c r="N10" s="97">
        <f t="shared" si="5"/>
        <v>4.9611000000000001</v>
      </c>
      <c r="O10" s="99">
        <f t="shared" si="3"/>
        <v>9.9222000000000001</v>
      </c>
      <c r="P10" s="98">
        <f t="shared" si="4"/>
        <v>1.0785</v>
      </c>
    </row>
    <row r="11" spans="2:16">
      <c r="C11" s="34">
        <v>5</v>
      </c>
      <c r="D11" s="34" t="s">
        <v>56</v>
      </c>
      <c r="E11" s="341" t="s">
        <v>57</v>
      </c>
      <c r="F11" s="13">
        <v>159.4</v>
      </c>
      <c r="G11" s="339">
        <f t="shared" si="0"/>
        <v>5</v>
      </c>
      <c r="H11" s="339">
        <f t="shared" si="6"/>
        <v>0.41666666666666669</v>
      </c>
      <c r="I11" s="14">
        <f t="shared" si="2"/>
        <v>159.4</v>
      </c>
      <c r="J11" s="14">
        <f t="shared" si="7"/>
        <v>0</v>
      </c>
      <c r="K11" s="34"/>
      <c r="L11" s="34"/>
      <c r="M11" s="14">
        <v>31.88</v>
      </c>
      <c r="N11" s="97">
        <f t="shared" si="5"/>
        <v>34.382579999999997</v>
      </c>
      <c r="O11" s="99">
        <f t="shared" si="3"/>
        <v>171.91290000000001</v>
      </c>
      <c r="P11" s="98">
        <f t="shared" si="4"/>
        <v>1.0785</v>
      </c>
    </row>
    <row r="12" spans="2:16">
      <c r="C12" s="34">
        <v>4</v>
      </c>
      <c r="D12" s="34" t="s">
        <v>58</v>
      </c>
      <c r="E12" s="341" t="s">
        <v>59</v>
      </c>
      <c r="F12" s="13">
        <v>242.84</v>
      </c>
      <c r="G12" s="339">
        <f t="shared" si="0"/>
        <v>13</v>
      </c>
      <c r="H12" s="339">
        <f t="shared" si="6"/>
        <v>1.0833333333333333</v>
      </c>
      <c r="I12" s="14">
        <f t="shared" si="2"/>
        <v>242.83999999999997</v>
      </c>
      <c r="J12" s="14">
        <f t="shared" si="7"/>
        <v>0</v>
      </c>
      <c r="K12" s="34">
        <v>13</v>
      </c>
      <c r="L12" s="34" t="s">
        <v>60</v>
      </c>
      <c r="M12" s="14">
        <v>18.68</v>
      </c>
      <c r="N12" s="97">
        <f t="shared" si="5"/>
        <v>20.146380000000001</v>
      </c>
      <c r="O12" s="99">
        <f t="shared" si="3"/>
        <v>261.90294</v>
      </c>
      <c r="P12" s="98">
        <f t="shared" si="4"/>
        <v>1.0785</v>
      </c>
    </row>
    <row r="13" spans="2:16">
      <c r="C13" s="34">
        <v>1</v>
      </c>
      <c r="D13" s="34" t="s">
        <v>61</v>
      </c>
      <c r="E13" s="341" t="s">
        <v>62</v>
      </c>
      <c r="F13" s="13">
        <v>4.32</v>
      </c>
      <c r="G13" s="339">
        <f t="shared" si="0"/>
        <v>0.50057937427578214</v>
      </c>
      <c r="H13" s="339">
        <f t="shared" si="6"/>
        <v>4.1714947856315181E-2</v>
      </c>
      <c r="I13" s="14">
        <f t="shared" si="2"/>
        <v>4.32</v>
      </c>
      <c r="J13" s="14">
        <f t="shared" si="7"/>
        <v>0</v>
      </c>
      <c r="K13" s="34">
        <v>0.5</v>
      </c>
      <c r="L13" s="34" t="s">
        <v>60</v>
      </c>
      <c r="M13" s="14">
        <v>8.6300000000000008</v>
      </c>
      <c r="N13" s="97">
        <f t="shared" si="5"/>
        <v>9.3074550000000009</v>
      </c>
      <c r="O13" s="99">
        <f t="shared" si="3"/>
        <v>4.6591200000000006</v>
      </c>
      <c r="P13" s="98">
        <f t="shared" si="4"/>
        <v>1.0785</v>
      </c>
    </row>
    <row r="14" spans="2:16">
      <c r="B14" s="34" t="s">
        <v>1123</v>
      </c>
      <c r="C14" s="34">
        <v>96</v>
      </c>
      <c r="D14" s="34" t="s">
        <v>63</v>
      </c>
      <c r="E14" s="341" t="s">
        <v>64</v>
      </c>
      <c r="F14" s="13">
        <v>2365.44</v>
      </c>
      <c r="G14" s="339">
        <f t="shared" si="0"/>
        <v>96</v>
      </c>
      <c r="H14" s="339">
        <f t="shared" si="6"/>
        <v>8</v>
      </c>
      <c r="I14" s="14">
        <f t="shared" si="2"/>
        <v>2365.44</v>
      </c>
      <c r="J14" s="14">
        <f t="shared" si="7"/>
        <v>0</v>
      </c>
      <c r="K14" s="347">
        <f>H14*4.33+H15*8.66+H16*13+H17*2.17+H18*4.33+H19*17.33</f>
        <v>88.066111111111113</v>
      </c>
      <c r="L14" s="109">
        <f>M14/5.69</f>
        <v>4.3304042179261861</v>
      </c>
      <c r="M14" s="14">
        <v>24.64</v>
      </c>
      <c r="N14" s="97">
        <f t="shared" si="5"/>
        <v>26.57424</v>
      </c>
      <c r="O14" s="99">
        <f t="shared" si="3"/>
        <v>2551.1270400000003</v>
      </c>
      <c r="P14" s="98">
        <f t="shared" si="4"/>
        <v>1.0785</v>
      </c>
    </row>
    <row r="15" spans="2:16">
      <c r="B15" s="34" t="s">
        <v>1123</v>
      </c>
      <c r="C15" s="34">
        <v>33</v>
      </c>
      <c r="D15" s="34" t="s">
        <v>65</v>
      </c>
      <c r="E15" s="341" t="s">
        <v>66</v>
      </c>
      <c r="F15" s="13">
        <v>1626.24</v>
      </c>
      <c r="G15" s="339">
        <f t="shared" si="0"/>
        <v>33</v>
      </c>
      <c r="H15" s="339">
        <f t="shared" si="6"/>
        <v>2.75</v>
      </c>
      <c r="I15" s="14">
        <f t="shared" si="2"/>
        <v>1626.2400000000002</v>
      </c>
      <c r="J15" s="14">
        <f t="shared" si="7"/>
        <v>0</v>
      </c>
      <c r="K15" s="34"/>
      <c r="L15" s="109">
        <f t="shared" ref="L15:L18" si="8">M15/5.69</f>
        <v>8.6608084358523723</v>
      </c>
      <c r="M15" s="14">
        <v>49.28</v>
      </c>
      <c r="N15" s="97">
        <f t="shared" si="5"/>
        <v>53.148479999999999</v>
      </c>
      <c r="O15" s="99">
        <f t="shared" si="3"/>
        <v>1753.89984</v>
      </c>
      <c r="P15" s="98">
        <f t="shared" si="4"/>
        <v>1.0785</v>
      </c>
    </row>
    <row r="16" spans="2:16">
      <c r="B16" s="34" t="s">
        <v>1123</v>
      </c>
      <c r="C16" s="34">
        <v>4</v>
      </c>
      <c r="D16" s="34" t="s">
        <v>67</v>
      </c>
      <c r="E16" s="341" t="s">
        <v>68</v>
      </c>
      <c r="F16" s="13">
        <v>246.4</v>
      </c>
      <c r="G16" s="339">
        <f t="shared" si="0"/>
        <v>3.3333333333333335</v>
      </c>
      <c r="H16" s="339">
        <f t="shared" si="6"/>
        <v>0.27777777777777779</v>
      </c>
      <c r="I16" s="14">
        <f t="shared" si="2"/>
        <v>246.40000000000003</v>
      </c>
      <c r="J16" s="14">
        <f t="shared" si="7"/>
        <v>0</v>
      </c>
      <c r="K16" s="109"/>
      <c r="L16" s="109">
        <f t="shared" si="8"/>
        <v>12.991212653778557</v>
      </c>
      <c r="M16" s="373">
        <v>73.92</v>
      </c>
      <c r="N16" s="97">
        <f t="shared" si="5"/>
        <v>79.72272000000001</v>
      </c>
      <c r="O16" s="99">
        <f t="shared" si="3"/>
        <v>265.74240000000003</v>
      </c>
      <c r="P16" s="98">
        <f t="shared" si="4"/>
        <v>1.0785</v>
      </c>
    </row>
    <row r="17" spans="2:16">
      <c r="B17" s="34" t="s">
        <v>1123</v>
      </c>
      <c r="C17" s="34">
        <v>24</v>
      </c>
      <c r="D17" s="34" t="s">
        <v>69</v>
      </c>
      <c r="E17" s="341" t="s">
        <v>70</v>
      </c>
      <c r="F17" s="13">
        <v>295.92</v>
      </c>
      <c r="G17" s="339">
        <f t="shared" si="0"/>
        <v>24</v>
      </c>
      <c r="H17" s="339">
        <f t="shared" si="6"/>
        <v>2</v>
      </c>
      <c r="I17" s="14">
        <f t="shared" si="2"/>
        <v>295.92</v>
      </c>
      <c r="J17" s="14">
        <f t="shared" si="7"/>
        <v>0</v>
      </c>
      <c r="K17" s="34"/>
      <c r="L17" s="109">
        <f t="shared" si="8"/>
        <v>2.1669595782073814</v>
      </c>
      <c r="M17" s="14">
        <v>12.33</v>
      </c>
      <c r="N17" s="97">
        <f t="shared" si="5"/>
        <v>13.297905</v>
      </c>
      <c r="O17" s="99">
        <f t="shared" si="3"/>
        <v>319.14972</v>
      </c>
      <c r="P17" s="98">
        <f t="shared" si="4"/>
        <v>1.0785</v>
      </c>
    </row>
    <row r="18" spans="2:16">
      <c r="B18" s="34" t="s">
        <v>1123</v>
      </c>
      <c r="C18" s="34">
        <v>12</v>
      </c>
      <c r="D18" s="34" t="s">
        <v>71</v>
      </c>
      <c r="E18" s="341" t="s">
        <v>72</v>
      </c>
      <c r="F18" s="13">
        <v>295.92</v>
      </c>
      <c r="G18" s="339">
        <f t="shared" si="0"/>
        <v>12</v>
      </c>
      <c r="H18" s="339">
        <f t="shared" si="6"/>
        <v>1</v>
      </c>
      <c r="I18" s="14">
        <f t="shared" si="2"/>
        <v>295.92</v>
      </c>
      <c r="J18" s="14">
        <f t="shared" si="7"/>
        <v>0</v>
      </c>
      <c r="K18" s="34"/>
      <c r="L18" s="109">
        <f t="shared" si="8"/>
        <v>4.3339191564147628</v>
      </c>
      <c r="M18" s="14">
        <v>24.66</v>
      </c>
      <c r="N18" s="97">
        <f t="shared" si="5"/>
        <v>26.59581</v>
      </c>
      <c r="O18" s="99">
        <f t="shared" si="3"/>
        <v>319.14972</v>
      </c>
      <c r="P18" s="98">
        <f t="shared" si="4"/>
        <v>1.0785</v>
      </c>
    </row>
    <row r="19" spans="2:16">
      <c r="B19" s="34" t="s">
        <v>1123</v>
      </c>
      <c r="C19" s="34">
        <v>12</v>
      </c>
      <c r="D19" s="34" t="s">
        <v>73</v>
      </c>
      <c r="E19" s="341" t="s">
        <v>74</v>
      </c>
      <c r="F19" s="13">
        <v>1182.72</v>
      </c>
      <c r="G19" s="339">
        <f t="shared" si="0"/>
        <v>12</v>
      </c>
      <c r="H19" s="339">
        <f t="shared" si="6"/>
        <v>1</v>
      </c>
      <c r="I19" s="14">
        <f t="shared" si="2"/>
        <v>1182.72</v>
      </c>
      <c r="J19" s="14">
        <f t="shared" si="7"/>
        <v>0</v>
      </c>
      <c r="K19" s="34"/>
      <c r="L19" s="109">
        <f>M19/5.69</f>
        <v>17.321616871704745</v>
      </c>
      <c r="M19" s="14">
        <v>98.56</v>
      </c>
      <c r="N19" s="97">
        <f t="shared" si="5"/>
        <v>106.29696</v>
      </c>
      <c r="O19" s="99">
        <f t="shared" si="3"/>
        <v>1275.5635200000002</v>
      </c>
      <c r="P19" s="98">
        <f t="shared" si="4"/>
        <v>1.0785</v>
      </c>
    </row>
    <row r="20" spans="2:16">
      <c r="B20" s="34" t="s">
        <v>1123</v>
      </c>
      <c r="C20" s="34">
        <v>226</v>
      </c>
      <c r="D20" s="34" t="s">
        <v>75</v>
      </c>
      <c r="E20" s="341" t="s">
        <v>76</v>
      </c>
      <c r="F20" s="13">
        <v>33203.919999999998</v>
      </c>
      <c r="G20" s="339">
        <f t="shared" si="0"/>
        <v>226</v>
      </c>
      <c r="H20" s="339">
        <f t="shared" si="6"/>
        <v>18.833333333333332</v>
      </c>
      <c r="I20" s="14">
        <f t="shared" si="2"/>
        <v>33203.919999999998</v>
      </c>
      <c r="J20" s="14">
        <f t="shared" si="7"/>
        <v>0</v>
      </c>
      <c r="K20" s="347">
        <f>H20*4.33+H21*8.67+H22*17.33+H23*2.17+H24+H25*8.67+H26*17.33+H27*26</f>
        <v>258.88577121127184</v>
      </c>
      <c r="L20" s="34"/>
      <c r="M20" s="14">
        <v>146.91999999999999</v>
      </c>
      <c r="N20" s="97">
        <f t="shared" si="5"/>
        <v>158.45321999999999</v>
      </c>
      <c r="O20" s="99">
        <f t="shared" si="3"/>
        <v>35810.42772</v>
      </c>
      <c r="P20" s="98">
        <f t="shared" si="4"/>
        <v>1.0785</v>
      </c>
    </row>
    <row r="21" spans="2:16">
      <c r="B21" s="34" t="s">
        <v>1123</v>
      </c>
      <c r="C21" s="34">
        <v>66</v>
      </c>
      <c r="D21" s="34" t="s">
        <v>77</v>
      </c>
      <c r="E21" s="341" t="s">
        <v>78</v>
      </c>
      <c r="F21" s="13">
        <v>19065.669999999998</v>
      </c>
      <c r="G21" s="339">
        <f t="shared" si="0"/>
        <v>64.884528995371625</v>
      </c>
      <c r="H21" s="339">
        <f t="shared" si="6"/>
        <v>5.4070440829476354</v>
      </c>
      <c r="I21" s="14">
        <f t="shared" si="2"/>
        <v>19065.669999999998</v>
      </c>
      <c r="J21" s="14">
        <f t="shared" si="7"/>
        <v>0</v>
      </c>
      <c r="K21" s="34"/>
      <c r="L21" s="34"/>
      <c r="M21" s="14">
        <v>293.83999999999997</v>
      </c>
      <c r="N21" s="97">
        <f t="shared" si="5"/>
        <v>316.90643999999998</v>
      </c>
      <c r="O21" s="99">
        <f t="shared" si="3"/>
        <v>20562.325095</v>
      </c>
      <c r="P21" s="98">
        <f t="shared" si="4"/>
        <v>1.0785</v>
      </c>
    </row>
    <row r="22" spans="2:16">
      <c r="B22" s="34" t="s">
        <v>1123</v>
      </c>
      <c r="C22" s="34">
        <v>12</v>
      </c>
      <c r="D22" s="34" t="s">
        <v>79</v>
      </c>
      <c r="E22" s="341" t="s">
        <v>80</v>
      </c>
      <c r="F22" s="13">
        <v>7052.04</v>
      </c>
      <c r="G22" s="339">
        <f t="shared" si="0"/>
        <v>12</v>
      </c>
      <c r="H22" s="339">
        <f t="shared" si="6"/>
        <v>1</v>
      </c>
      <c r="I22" s="14">
        <f t="shared" si="2"/>
        <v>7052.0399999999991</v>
      </c>
      <c r="J22" s="14">
        <f t="shared" si="7"/>
        <v>0</v>
      </c>
      <c r="K22" s="34"/>
      <c r="L22" s="34"/>
      <c r="M22" s="14">
        <v>587.66999999999996</v>
      </c>
      <c r="N22" s="97">
        <f t="shared" si="5"/>
        <v>633.80209500000001</v>
      </c>
      <c r="O22" s="99">
        <f t="shared" si="3"/>
        <v>7605.6251400000001</v>
      </c>
      <c r="P22" s="98">
        <f t="shared" si="4"/>
        <v>1.0785</v>
      </c>
    </row>
    <row r="23" spans="2:16">
      <c r="B23" s="34" t="s">
        <v>1123</v>
      </c>
      <c r="C23" s="34">
        <v>159</v>
      </c>
      <c r="D23" s="34" t="s">
        <v>81</v>
      </c>
      <c r="E23" s="341" t="s">
        <v>82</v>
      </c>
      <c r="F23" s="13">
        <v>10999.03</v>
      </c>
      <c r="G23" s="339">
        <f t="shared" si="0"/>
        <v>149.38245280456337</v>
      </c>
      <c r="H23" s="339">
        <f t="shared" si="6"/>
        <v>12.448537733713614</v>
      </c>
      <c r="I23" s="14">
        <f t="shared" si="2"/>
        <v>10999.029999999999</v>
      </c>
      <c r="J23" s="14">
        <f t="shared" si="7"/>
        <v>0</v>
      </c>
      <c r="K23" s="34"/>
      <c r="L23" s="34"/>
      <c r="M23" s="14">
        <v>73.63</v>
      </c>
      <c r="N23" s="97">
        <f t="shared" si="5"/>
        <v>79.409954999999997</v>
      </c>
      <c r="O23" s="99">
        <f t="shared" si="3"/>
        <v>11862.453855000002</v>
      </c>
      <c r="P23" s="98">
        <f t="shared" si="4"/>
        <v>1.0785</v>
      </c>
    </row>
    <row r="24" spans="2:16">
      <c r="B24" s="34" t="s">
        <v>1123</v>
      </c>
      <c r="C24" s="34">
        <v>71</v>
      </c>
      <c r="D24" s="34" t="s">
        <v>83</v>
      </c>
      <c r="E24" s="341" t="s">
        <v>84</v>
      </c>
      <c r="F24" s="13">
        <v>2409.0300000000002</v>
      </c>
      <c r="G24" s="339">
        <f t="shared" si="0"/>
        <v>71</v>
      </c>
      <c r="H24" s="339">
        <f t="shared" si="6"/>
        <v>5.916666666666667</v>
      </c>
      <c r="I24" s="14">
        <f t="shared" si="2"/>
        <v>2409.0299999999997</v>
      </c>
      <c r="J24" s="14">
        <f t="shared" si="7"/>
        <v>0</v>
      </c>
      <c r="K24" s="34"/>
      <c r="L24" s="34"/>
      <c r="M24" s="14">
        <v>33.93</v>
      </c>
      <c r="N24" s="97">
        <f t="shared" si="5"/>
        <v>36.593505</v>
      </c>
      <c r="O24" s="99">
        <f t="shared" si="3"/>
        <v>2598.1388550000001</v>
      </c>
      <c r="P24" s="98">
        <f t="shared" si="4"/>
        <v>1.0785</v>
      </c>
    </row>
    <row r="25" spans="2:16">
      <c r="B25" s="34" t="s">
        <v>1123</v>
      </c>
      <c r="C25" s="34">
        <v>39</v>
      </c>
      <c r="D25" s="34" t="s">
        <v>85</v>
      </c>
      <c r="E25" s="341" t="s">
        <v>86</v>
      </c>
      <c r="F25" s="13">
        <v>10883.28</v>
      </c>
      <c r="G25" s="339">
        <f t="shared" si="0"/>
        <v>37.038115981486527</v>
      </c>
      <c r="H25" s="339">
        <f t="shared" si="6"/>
        <v>3.0865096651238773</v>
      </c>
      <c r="I25" s="14">
        <f t="shared" si="2"/>
        <v>10883.28</v>
      </c>
      <c r="J25" s="14">
        <f t="shared" si="7"/>
        <v>0</v>
      </c>
      <c r="K25" s="34"/>
      <c r="L25" s="34"/>
      <c r="M25" s="14">
        <v>293.83999999999997</v>
      </c>
      <c r="N25" s="97">
        <f t="shared" si="5"/>
        <v>316.90643999999998</v>
      </c>
      <c r="O25" s="99">
        <f t="shared" si="3"/>
        <v>11737.617480000001</v>
      </c>
      <c r="P25" s="98">
        <f t="shared" si="4"/>
        <v>1.0785</v>
      </c>
    </row>
    <row r="26" spans="2:16">
      <c r="B26" s="34" t="s">
        <v>1123</v>
      </c>
      <c r="C26" s="34">
        <v>22</v>
      </c>
      <c r="D26" s="34" t="s">
        <v>87</v>
      </c>
      <c r="E26" s="341" t="s">
        <v>88</v>
      </c>
      <c r="F26" s="13">
        <v>12928.74</v>
      </c>
      <c r="G26" s="339">
        <f t="shared" si="0"/>
        <v>22</v>
      </c>
      <c r="H26" s="339">
        <f t="shared" si="6"/>
        <v>1.8333333333333333</v>
      </c>
      <c r="I26" s="14">
        <f t="shared" si="2"/>
        <v>12928.74</v>
      </c>
      <c r="J26" s="14">
        <f t="shared" si="7"/>
        <v>0</v>
      </c>
      <c r="K26" s="34"/>
      <c r="L26" s="34"/>
      <c r="M26" s="14">
        <v>587.66999999999996</v>
      </c>
      <c r="N26" s="97">
        <f t="shared" si="5"/>
        <v>633.80209500000001</v>
      </c>
      <c r="O26" s="99">
        <f t="shared" si="3"/>
        <v>13943.64609</v>
      </c>
      <c r="P26" s="98">
        <f t="shared" si="4"/>
        <v>1.0785</v>
      </c>
    </row>
    <row r="27" spans="2:16">
      <c r="B27" s="34" t="s">
        <v>1123</v>
      </c>
      <c r="C27" s="34">
        <v>10</v>
      </c>
      <c r="D27" s="34" t="s">
        <v>89</v>
      </c>
      <c r="E27" s="341" t="s">
        <v>90</v>
      </c>
      <c r="F27" s="13">
        <v>8815.1</v>
      </c>
      <c r="G27" s="339">
        <f t="shared" si="0"/>
        <v>10</v>
      </c>
      <c r="H27" s="339">
        <f t="shared" si="6"/>
        <v>0.83333333333333337</v>
      </c>
      <c r="I27" s="14">
        <f t="shared" si="2"/>
        <v>8815.1</v>
      </c>
      <c r="J27" s="14">
        <f t="shared" si="7"/>
        <v>0</v>
      </c>
      <c r="K27" s="34"/>
      <c r="L27" s="34"/>
      <c r="M27" s="14">
        <v>881.51</v>
      </c>
      <c r="N27" s="97">
        <f t="shared" si="5"/>
        <v>950.70853499999998</v>
      </c>
      <c r="O27" s="99">
        <f t="shared" si="3"/>
        <v>9507.0853500000012</v>
      </c>
      <c r="P27" s="98">
        <f t="shared" si="4"/>
        <v>1.0785</v>
      </c>
    </row>
    <row r="28" spans="2:16">
      <c r="B28" s="34" t="s">
        <v>1123</v>
      </c>
      <c r="C28" s="34">
        <v>744</v>
      </c>
      <c r="D28" s="34" t="s">
        <v>91</v>
      </c>
      <c r="E28" s="341" t="s">
        <v>92</v>
      </c>
      <c r="F28" s="13">
        <v>13526.44</v>
      </c>
      <c r="G28" s="339">
        <f t="shared" si="0"/>
        <v>734.73329712112979</v>
      </c>
      <c r="H28" s="339">
        <f t="shared" si="6"/>
        <v>61.22777476009415</v>
      </c>
      <c r="I28" s="14">
        <f t="shared" si="2"/>
        <v>13526.44</v>
      </c>
      <c r="J28" s="14">
        <f t="shared" si="7"/>
        <v>0</v>
      </c>
      <c r="K28" s="347">
        <f>H28+H29*2+H30*3+H31*4</f>
        <v>93.894441426760821</v>
      </c>
      <c r="L28" s="34"/>
      <c r="M28" s="14">
        <v>18.41</v>
      </c>
      <c r="N28" s="97">
        <f t="shared" si="5"/>
        <v>19.855184999999999</v>
      </c>
      <c r="O28" s="99">
        <f t="shared" si="3"/>
        <v>14588.26554</v>
      </c>
      <c r="P28" s="98">
        <f t="shared" si="4"/>
        <v>1.0785</v>
      </c>
    </row>
    <row r="29" spans="2:16">
      <c r="B29" s="34" t="s">
        <v>1123</v>
      </c>
      <c r="C29" s="34">
        <v>82</v>
      </c>
      <c r="D29" s="34" t="s">
        <v>93</v>
      </c>
      <c r="E29" s="341" t="s">
        <v>94</v>
      </c>
      <c r="F29" s="13">
        <v>3019.24</v>
      </c>
      <c r="G29" s="339">
        <f t="shared" si="0"/>
        <v>82</v>
      </c>
      <c r="H29" s="339">
        <f t="shared" si="6"/>
        <v>6.833333333333333</v>
      </c>
      <c r="I29" s="14">
        <f t="shared" si="2"/>
        <v>3019.24</v>
      </c>
      <c r="J29" s="14">
        <f t="shared" si="7"/>
        <v>0</v>
      </c>
      <c r="K29" s="34"/>
      <c r="L29" s="109">
        <f>M28*2</f>
        <v>36.82</v>
      </c>
      <c r="M29" s="14">
        <v>36.82</v>
      </c>
      <c r="N29" s="97">
        <f t="shared" si="5"/>
        <v>39.710369999999998</v>
      </c>
      <c r="O29" s="99">
        <f t="shared" si="3"/>
        <v>3256.2503399999996</v>
      </c>
      <c r="P29" s="98">
        <f t="shared" si="4"/>
        <v>1.0785</v>
      </c>
    </row>
    <row r="30" spans="2:16">
      <c r="B30" s="34" t="s">
        <v>1123</v>
      </c>
      <c r="C30" s="34">
        <v>31</v>
      </c>
      <c r="D30" s="34" t="s">
        <v>95</v>
      </c>
      <c r="E30" s="341" t="s">
        <v>96</v>
      </c>
      <c r="F30" s="13">
        <v>1546.44</v>
      </c>
      <c r="G30" s="339">
        <f t="shared" si="0"/>
        <v>28.000000000000004</v>
      </c>
      <c r="H30" s="339">
        <f t="shared" si="6"/>
        <v>2.3333333333333335</v>
      </c>
      <c r="I30" s="14">
        <f t="shared" si="2"/>
        <v>1546.44</v>
      </c>
      <c r="J30" s="14">
        <f t="shared" si="7"/>
        <v>0</v>
      </c>
      <c r="K30" s="34"/>
      <c r="L30" s="34"/>
      <c r="M30" s="14">
        <v>55.23</v>
      </c>
      <c r="N30" s="97">
        <f t="shared" si="5"/>
        <v>59.565554999999996</v>
      </c>
      <c r="O30" s="99">
        <f t="shared" si="3"/>
        <v>1667.83554</v>
      </c>
      <c r="P30" s="98">
        <f t="shared" si="4"/>
        <v>1.0785</v>
      </c>
    </row>
    <row r="31" spans="2:16">
      <c r="B31" s="34" t="s">
        <v>1123</v>
      </c>
      <c r="C31" s="34">
        <v>36</v>
      </c>
      <c r="D31" s="34" t="s">
        <v>97</v>
      </c>
      <c r="E31" s="341" t="s">
        <v>98</v>
      </c>
      <c r="F31" s="13">
        <v>2651.04</v>
      </c>
      <c r="G31" s="339">
        <f t="shared" si="0"/>
        <v>36</v>
      </c>
      <c r="H31" s="339">
        <f t="shared" si="6"/>
        <v>3</v>
      </c>
      <c r="I31" s="14">
        <f t="shared" si="2"/>
        <v>2651.04</v>
      </c>
      <c r="J31" s="14">
        <f t="shared" si="7"/>
        <v>0</v>
      </c>
      <c r="K31" s="34"/>
      <c r="L31" s="34"/>
      <c r="M31" s="14">
        <v>73.64</v>
      </c>
      <c r="N31" s="97">
        <f t="shared" si="5"/>
        <v>79.420739999999995</v>
      </c>
      <c r="O31" s="99">
        <f t="shared" si="3"/>
        <v>2859.1466399999999</v>
      </c>
      <c r="P31" s="98">
        <f t="shared" si="4"/>
        <v>1.0785</v>
      </c>
    </row>
    <row r="32" spans="2:16">
      <c r="B32" s="34" t="s">
        <v>1123</v>
      </c>
      <c r="C32" s="34">
        <v>2</v>
      </c>
      <c r="D32" s="34" t="s">
        <v>99</v>
      </c>
      <c r="E32" s="341" t="s">
        <v>100</v>
      </c>
      <c r="F32" s="13">
        <v>50</v>
      </c>
      <c r="G32" s="339">
        <f t="shared" si="0"/>
        <v>2</v>
      </c>
      <c r="H32" s="339">
        <f t="shared" si="6"/>
        <v>0.16666666666666666</v>
      </c>
      <c r="I32" s="14">
        <f t="shared" si="2"/>
        <v>49.999999999999993</v>
      </c>
      <c r="J32" s="14">
        <f t="shared" si="7"/>
        <v>0</v>
      </c>
      <c r="K32" s="34"/>
      <c r="L32" s="34"/>
      <c r="M32" s="14">
        <v>25</v>
      </c>
      <c r="N32" s="97">
        <f t="shared" si="5"/>
        <v>26.962499999999999</v>
      </c>
      <c r="O32" s="99">
        <f t="shared" si="3"/>
        <v>53.924999999999997</v>
      </c>
      <c r="P32" s="98">
        <f t="shared" si="4"/>
        <v>1.0785</v>
      </c>
    </row>
    <row r="33" spans="2:16">
      <c r="B33" s="34" t="s">
        <v>1123</v>
      </c>
      <c r="C33" s="34">
        <v>12</v>
      </c>
      <c r="D33" s="34" t="s">
        <v>101</v>
      </c>
      <c r="E33" s="341" t="s">
        <v>102</v>
      </c>
      <c r="F33" s="13">
        <v>1477.08</v>
      </c>
      <c r="G33" s="339">
        <f t="shared" si="0"/>
        <v>11.999999999999998</v>
      </c>
      <c r="H33" s="339">
        <f t="shared" si="6"/>
        <v>0.99999999999999989</v>
      </c>
      <c r="I33" s="14">
        <f t="shared" si="2"/>
        <v>1477.08</v>
      </c>
      <c r="J33" s="14">
        <f t="shared" si="7"/>
        <v>0</v>
      </c>
      <c r="K33" s="347">
        <f>H33*21.67</f>
        <v>21.669999999999998</v>
      </c>
      <c r="L33" s="109">
        <f>M33/5.69</f>
        <v>21.632688927943761</v>
      </c>
      <c r="M33" s="14">
        <v>123.09</v>
      </c>
      <c r="N33" s="97">
        <f t="shared" si="5"/>
        <v>132.752565</v>
      </c>
      <c r="O33" s="99">
        <f t="shared" si="3"/>
        <v>1593.03078</v>
      </c>
      <c r="P33" s="98">
        <f t="shared" si="4"/>
        <v>1.0785</v>
      </c>
    </row>
    <row r="34" spans="2:16">
      <c r="B34" s="34" t="s">
        <v>1123</v>
      </c>
      <c r="C34" s="34">
        <v>340</v>
      </c>
      <c r="D34" s="34" t="s">
        <v>103</v>
      </c>
      <c r="E34" s="341" t="s">
        <v>104</v>
      </c>
      <c r="F34" s="13">
        <v>10984.79</v>
      </c>
      <c r="G34" s="339">
        <f t="shared" si="0"/>
        <v>323.74860005894493</v>
      </c>
      <c r="H34" s="339">
        <f t="shared" si="6"/>
        <v>26.979050004912079</v>
      </c>
      <c r="I34" s="14">
        <f t="shared" si="2"/>
        <v>10984.79</v>
      </c>
      <c r="J34" s="14">
        <f t="shared" si="7"/>
        <v>0</v>
      </c>
      <c r="K34" s="347">
        <f>H34+H35*2+H36*3</f>
        <v>27.562383338245411</v>
      </c>
      <c r="L34" s="34" t="s">
        <v>105</v>
      </c>
      <c r="M34" s="14">
        <v>33.93</v>
      </c>
      <c r="N34" s="97">
        <f t="shared" si="5"/>
        <v>36.593505</v>
      </c>
      <c r="O34" s="99">
        <f t="shared" si="3"/>
        <v>11847.096015000001</v>
      </c>
      <c r="P34" s="98">
        <f t="shared" si="4"/>
        <v>1.0785</v>
      </c>
    </row>
    <row r="35" spans="2:16">
      <c r="B35" s="34" t="s">
        <v>1123</v>
      </c>
      <c r="C35" s="34">
        <v>2</v>
      </c>
      <c r="D35" s="34" t="s">
        <v>106</v>
      </c>
      <c r="E35" s="341" t="s">
        <v>107</v>
      </c>
      <c r="F35" s="13">
        <v>135.72</v>
      </c>
      <c r="G35" s="339">
        <f t="shared" ref="G35:G66" si="9">F35/M35</f>
        <v>2</v>
      </c>
      <c r="H35" s="339">
        <f t="shared" si="6"/>
        <v>0.16666666666666666</v>
      </c>
      <c r="I35" s="14">
        <f t="shared" ref="I35:I66" si="10">H35*M35*12</f>
        <v>135.71999999999997</v>
      </c>
      <c r="J35" s="14">
        <f t="shared" si="7"/>
        <v>0</v>
      </c>
      <c r="K35" s="34"/>
      <c r="L35" s="34"/>
      <c r="M35" s="14">
        <v>67.86</v>
      </c>
      <c r="N35" s="97">
        <f t="shared" si="5"/>
        <v>73.187010000000001</v>
      </c>
      <c r="O35" s="99">
        <f t="shared" ref="O35:O66" si="11">F35*1.0785</f>
        <v>146.37402</v>
      </c>
      <c r="P35" s="98">
        <f t="shared" ref="P35:P53" si="12">O35/F35</f>
        <v>1.0785</v>
      </c>
    </row>
    <row r="36" spans="2:16">
      <c r="B36" s="34" t="s">
        <v>1123</v>
      </c>
      <c r="C36" s="34">
        <v>1</v>
      </c>
      <c r="D36" s="34" t="s">
        <v>108</v>
      </c>
      <c r="E36" s="341" t="s">
        <v>109</v>
      </c>
      <c r="F36" s="13">
        <v>101.79</v>
      </c>
      <c r="G36" s="339">
        <f t="shared" si="9"/>
        <v>1</v>
      </c>
      <c r="H36" s="339">
        <f t="shared" si="6"/>
        <v>8.3333333333333329E-2</v>
      </c>
      <c r="I36" s="14">
        <f t="shared" si="10"/>
        <v>101.78999999999999</v>
      </c>
      <c r="J36" s="14">
        <f t="shared" si="7"/>
        <v>0</v>
      </c>
      <c r="K36" s="34"/>
      <c r="L36" s="34"/>
      <c r="M36" s="14">
        <v>101.79</v>
      </c>
      <c r="N36" s="97">
        <f t="shared" si="5"/>
        <v>109.78051500000001</v>
      </c>
      <c r="O36" s="99">
        <f t="shared" si="11"/>
        <v>109.78051500000001</v>
      </c>
      <c r="P36" s="98">
        <f t="shared" si="12"/>
        <v>1.0785</v>
      </c>
    </row>
    <row r="37" spans="2:16">
      <c r="B37" s="34" t="s">
        <v>1123</v>
      </c>
      <c r="C37" s="34">
        <v>12</v>
      </c>
      <c r="D37" s="34" t="s">
        <v>110</v>
      </c>
      <c r="E37" s="341" t="s">
        <v>111</v>
      </c>
      <c r="F37" s="13">
        <v>55.92</v>
      </c>
      <c r="G37" s="339">
        <f t="shared" si="9"/>
        <v>12</v>
      </c>
      <c r="H37" s="339">
        <f t="shared" si="6"/>
        <v>1</v>
      </c>
      <c r="I37" s="14">
        <f t="shared" si="10"/>
        <v>55.92</v>
      </c>
      <c r="J37" s="14">
        <f t="shared" si="7"/>
        <v>0</v>
      </c>
      <c r="K37" s="347">
        <f>H37*2.17</f>
        <v>2.17</v>
      </c>
      <c r="L37" s="109">
        <f>M37/2.17</f>
        <v>2.1474654377880187</v>
      </c>
      <c r="M37" s="14">
        <v>4.66</v>
      </c>
      <c r="N37" s="97">
        <f t="shared" si="5"/>
        <v>5.0258099999999999</v>
      </c>
      <c r="O37" s="99">
        <f t="shared" si="11"/>
        <v>60.309720000000006</v>
      </c>
      <c r="P37" s="98">
        <f t="shared" si="12"/>
        <v>1.0785</v>
      </c>
    </row>
    <row r="38" spans="2:16">
      <c r="B38" s="34" t="s">
        <v>1123</v>
      </c>
      <c r="C38" s="34">
        <v>1</v>
      </c>
      <c r="D38" s="34" t="s">
        <v>112</v>
      </c>
      <c r="E38" s="341" t="s">
        <v>113</v>
      </c>
      <c r="F38" s="13">
        <v>15.8</v>
      </c>
      <c r="G38" s="339">
        <f t="shared" si="9"/>
        <v>0.4607757363662876</v>
      </c>
      <c r="H38" s="339">
        <f t="shared" si="6"/>
        <v>3.8397978030523965E-2</v>
      </c>
      <c r="I38" s="14">
        <f t="shared" si="10"/>
        <v>15.8</v>
      </c>
      <c r="J38" s="14">
        <f t="shared" si="7"/>
        <v>0</v>
      </c>
      <c r="K38" s="34"/>
      <c r="L38" s="109">
        <f>M38/2.17</f>
        <v>15.801843317972351</v>
      </c>
      <c r="M38" s="14">
        <v>34.29</v>
      </c>
      <c r="N38" s="97">
        <f t="shared" si="5"/>
        <v>36.981765000000003</v>
      </c>
      <c r="O38" s="99">
        <f t="shared" si="11"/>
        <v>17.040300000000002</v>
      </c>
      <c r="P38" s="98">
        <f t="shared" si="12"/>
        <v>1.0785</v>
      </c>
    </row>
    <row r="39" spans="2:16">
      <c r="B39" s="34" t="s">
        <v>1123</v>
      </c>
      <c r="C39" s="34">
        <v>31</v>
      </c>
      <c r="D39" s="34" t="s">
        <v>114</v>
      </c>
      <c r="E39" s="341" t="s">
        <v>115</v>
      </c>
      <c r="F39" s="13">
        <v>176.39</v>
      </c>
      <c r="G39" s="339">
        <f t="shared" si="9"/>
        <v>30.999999999999996</v>
      </c>
      <c r="H39" s="339">
        <f t="shared" si="6"/>
        <v>2.583333333333333</v>
      </c>
      <c r="I39" s="14">
        <f t="shared" si="10"/>
        <v>176.39</v>
      </c>
      <c r="J39" s="14">
        <f t="shared" si="7"/>
        <v>0</v>
      </c>
      <c r="K39" s="347">
        <f>H39+H40*2+H41*3+H42*4+H43*5+H44*6</f>
        <v>12.333333333333334</v>
      </c>
      <c r="L39" s="34"/>
      <c r="M39" s="14">
        <v>5.69</v>
      </c>
      <c r="N39" s="97">
        <f t="shared" si="5"/>
        <v>6.1366650000000007</v>
      </c>
      <c r="O39" s="99">
        <f t="shared" si="11"/>
        <v>190.236615</v>
      </c>
      <c r="P39" s="98">
        <f t="shared" si="12"/>
        <v>1.0785</v>
      </c>
    </row>
    <row r="40" spans="2:16">
      <c r="B40" s="34" t="s">
        <v>1123</v>
      </c>
      <c r="C40" s="34">
        <v>16</v>
      </c>
      <c r="D40" s="34" t="s">
        <v>116</v>
      </c>
      <c r="E40" s="341" t="s">
        <v>117</v>
      </c>
      <c r="F40" s="13">
        <v>182.08</v>
      </c>
      <c r="G40" s="339">
        <f t="shared" si="9"/>
        <v>16</v>
      </c>
      <c r="H40" s="339">
        <f t="shared" si="6"/>
        <v>1.3333333333333333</v>
      </c>
      <c r="I40" s="14">
        <f t="shared" si="10"/>
        <v>182.08</v>
      </c>
      <c r="J40" s="14">
        <f t="shared" si="7"/>
        <v>0</v>
      </c>
      <c r="K40" s="34"/>
      <c r="L40" s="34"/>
      <c r="M40" s="14">
        <v>11.38</v>
      </c>
      <c r="N40" s="97">
        <f t="shared" si="5"/>
        <v>12.273330000000001</v>
      </c>
      <c r="O40" s="99">
        <f t="shared" si="11"/>
        <v>196.37328000000002</v>
      </c>
      <c r="P40" s="98">
        <f t="shared" si="12"/>
        <v>1.0785</v>
      </c>
    </row>
    <row r="41" spans="2:16">
      <c r="B41" s="34" t="s">
        <v>1123</v>
      </c>
      <c r="C41" s="34">
        <v>11</v>
      </c>
      <c r="D41" s="34" t="s">
        <v>118</v>
      </c>
      <c r="E41" s="341" t="s">
        <v>119</v>
      </c>
      <c r="F41" s="13">
        <v>187.77</v>
      </c>
      <c r="G41" s="339">
        <f t="shared" si="9"/>
        <v>11</v>
      </c>
      <c r="H41" s="339">
        <f t="shared" si="6"/>
        <v>0.91666666666666663</v>
      </c>
      <c r="I41" s="14">
        <f t="shared" si="10"/>
        <v>187.76999999999998</v>
      </c>
      <c r="J41" s="14">
        <f t="shared" si="7"/>
        <v>0</v>
      </c>
      <c r="K41" s="34"/>
      <c r="L41" s="34"/>
      <c r="M41" s="14">
        <v>17.07</v>
      </c>
      <c r="N41" s="97">
        <f t="shared" si="5"/>
        <v>18.409995000000002</v>
      </c>
      <c r="O41" s="99">
        <f t="shared" si="11"/>
        <v>202.50994500000002</v>
      </c>
      <c r="P41" s="98">
        <f t="shared" si="12"/>
        <v>1.0785</v>
      </c>
    </row>
    <row r="42" spans="2:16">
      <c r="B42" s="34" t="s">
        <v>1123</v>
      </c>
      <c r="C42" s="34">
        <v>9</v>
      </c>
      <c r="D42" s="34" t="s">
        <v>120</v>
      </c>
      <c r="E42" s="341" t="s">
        <v>121</v>
      </c>
      <c r="F42" s="13">
        <v>204.84</v>
      </c>
      <c r="G42" s="339">
        <f t="shared" si="9"/>
        <v>9</v>
      </c>
      <c r="H42" s="339">
        <f t="shared" si="6"/>
        <v>0.75</v>
      </c>
      <c r="I42" s="14">
        <f t="shared" si="10"/>
        <v>204.84</v>
      </c>
      <c r="J42" s="14">
        <f t="shared" si="7"/>
        <v>0</v>
      </c>
      <c r="K42" s="34"/>
      <c r="L42" s="34"/>
      <c r="M42" s="14">
        <v>22.76</v>
      </c>
      <c r="N42" s="97">
        <f t="shared" si="5"/>
        <v>24.546660000000003</v>
      </c>
      <c r="O42" s="99">
        <f t="shared" si="11"/>
        <v>220.91994</v>
      </c>
      <c r="P42" s="98">
        <f t="shared" si="12"/>
        <v>1.0785</v>
      </c>
    </row>
    <row r="43" spans="2:16">
      <c r="B43" s="34" t="s">
        <v>1123</v>
      </c>
      <c r="C43" s="34">
        <v>2</v>
      </c>
      <c r="D43" s="34" t="s">
        <v>122</v>
      </c>
      <c r="E43" s="341" t="s">
        <v>123</v>
      </c>
      <c r="F43" s="13">
        <v>56.9</v>
      </c>
      <c r="G43" s="339">
        <f t="shared" si="9"/>
        <v>2</v>
      </c>
      <c r="H43" s="339">
        <f t="shared" si="6"/>
        <v>0.16666666666666666</v>
      </c>
      <c r="I43" s="14">
        <f t="shared" si="10"/>
        <v>56.899999999999991</v>
      </c>
      <c r="J43" s="14">
        <f t="shared" si="7"/>
        <v>0</v>
      </c>
      <c r="K43" s="34"/>
      <c r="L43" s="34"/>
      <c r="M43" s="14">
        <v>28.45</v>
      </c>
      <c r="N43" s="97">
        <f t="shared" si="5"/>
        <v>30.683325</v>
      </c>
      <c r="O43" s="99">
        <f t="shared" si="11"/>
        <v>61.36665</v>
      </c>
      <c r="P43" s="98">
        <f t="shared" si="12"/>
        <v>1.0785</v>
      </c>
    </row>
    <row r="44" spans="2:16">
      <c r="B44" s="34" t="s">
        <v>1123</v>
      </c>
      <c r="C44" s="34">
        <v>1</v>
      </c>
      <c r="D44" s="34" t="s">
        <v>124</v>
      </c>
      <c r="E44" s="341" t="s">
        <v>125</v>
      </c>
      <c r="F44" s="13">
        <v>34.14</v>
      </c>
      <c r="G44" s="339">
        <f t="shared" si="9"/>
        <v>1</v>
      </c>
      <c r="H44" s="339">
        <f t="shared" si="6"/>
        <v>8.3333333333333329E-2</v>
      </c>
      <c r="I44" s="14">
        <f t="shared" si="10"/>
        <v>34.14</v>
      </c>
      <c r="J44" s="14">
        <f t="shared" si="7"/>
        <v>0</v>
      </c>
      <c r="K44" s="34"/>
      <c r="L44" s="34"/>
      <c r="M44" s="14">
        <v>34.14</v>
      </c>
      <c r="N44" s="97">
        <f t="shared" si="5"/>
        <v>36.819990000000004</v>
      </c>
      <c r="O44" s="99">
        <f t="shared" si="11"/>
        <v>36.819990000000004</v>
      </c>
      <c r="P44" s="98">
        <f t="shared" si="12"/>
        <v>1.0785</v>
      </c>
    </row>
    <row r="45" spans="2:16">
      <c r="B45" s="34" t="s">
        <v>1123</v>
      </c>
      <c r="C45" s="34">
        <v>4</v>
      </c>
      <c r="D45" s="34" t="s">
        <v>126</v>
      </c>
      <c r="E45" s="341" t="s">
        <v>127</v>
      </c>
      <c r="F45" s="13">
        <v>111.42</v>
      </c>
      <c r="G45" s="339">
        <f t="shared" si="9"/>
        <v>9</v>
      </c>
      <c r="H45" s="339">
        <f t="shared" si="6"/>
        <v>0.75</v>
      </c>
      <c r="I45" s="14">
        <f t="shared" si="10"/>
        <v>111.42</v>
      </c>
      <c r="J45" s="14">
        <f t="shared" si="7"/>
        <v>0</v>
      </c>
      <c r="K45" s="34">
        <v>9</v>
      </c>
      <c r="L45" s="34" t="s">
        <v>128</v>
      </c>
      <c r="M45" s="14">
        <v>12.38</v>
      </c>
      <c r="N45" s="97">
        <f t="shared" si="5"/>
        <v>13.351830000000001</v>
      </c>
      <c r="O45" s="99">
        <f t="shared" si="11"/>
        <v>120.16647</v>
      </c>
      <c r="P45" s="98">
        <f t="shared" si="12"/>
        <v>1.0785</v>
      </c>
    </row>
    <row r="46" spans="2:16">
      <c r="B46" s="34" t="s">
        <v>1123</v>
      </c>
      <c r="C46" s="34">
        <v>10</v>
      </c>
      <c r="D46" s="34" t="s">
        <v>129</v>
      </c>
      <c r="E46" s="34" t="s">
        <v>130</v>
      </c>
      <c r="F46" s="13">
        <v>402.21</v>
      </c>
      <c r="G46" s="339" t="e">
        <f t="shared" si="9"/>
        <v>#DIV/0!</v>
      </c>
      <c r="H46" s="339" t="e">
        <f t="shared" si="6"/>
        <v>#DIV/0!</v>
      </c>
      <c r="I46" s="14" t="e">
        <f t="shared" si="10"/>
        <v>#DIV/0!</v>
      </c>
      <c r="J46" s="14" t="e">
        <f t="shared" si="7"/>
        <v>#DIV/0!</v>
      </c>
      <c r="K46" s="34"/>
      <c r="L46" s="34"/>
      <c r="M46" s="14"/>
      <c r="N46" s="97">
        <f t="shared" si="5"/>
        <v>0</v>
      </c>
      <c r="O46" s="99">
        <f t="shared" si="11"/>
        <v>433.78348499999998</v>
      </c>
      <c r="P46" s="98">
        <f t="shared" si="12"/>
        <v>1.0785</v>
      </c>
    </row>
    <row r="47" spans="2:16">
      <c r="B47" s="34" t="s">
        <v>1123</v>
      </c>
      <c r="C47" s="34">
        <v>12</v>
      </c>
      <c r="D47" s="34" t="s">
        <v>131</v>
      </c>
      <c r="E47" s="332" t="s">
        <v>132</v>
      </c>
      <c r="F47" s="13">
        <v>375.24</v>
      </c>
      <c r="G47" s="339">
        <f t="shared" si="9"/>
        <v>12</v>
      </c>
      <c r="H47" s="339">
        <f t="shared" si="6"/>
        <v>1</v>
      </c>
      <c r="I47" s="14">
        <f t="shared" si="10"/>
        <v>375.24</v>
      </c>
      <c r="J47" s="14">
        <f t="shared" si="7"/>
        <v>0</v>
      </c>
      <c r="K47" s="34"/>
      <c r="L47" s="34"/>
      <c r="M47" s="343">
        <v>31.27</v>
      </c>
      <c r="N47" s="97">
        <f t="shared" si="5"/>
        <v>33.724694999999997</v>
      </c>
      <c r="O47" s="99">
        <f t="shared" si="11"/>
        <v>404.69634000000002</v>
      </c>
      <c r="P47" s="98">
        <f t="shared" si="12"/>
        <v>1.0785</v>
      </c>
    </row>
    <row r="48" spans="2:16">
      <c r="B48" s="34" t="s">
        <v>1123</v>
      </c>
      <c r="C48" s="34">
        <v>1</v>
      </c>
      <c r="D48" s="34" t="s">
        <v>133</v>
      </c>
      <c r="E48" s="332" t="s">
        <v>134</v>
      </c>
      <c r="F48" s="13">
        <v>4.6500000000000004</v>
      </c>
      <c r="G48" s="339">
        <f t="shared" si="9"/>
        <v>0.23099850968703431</v>
      </c>
      <c r="H48" s="339">
        <f t="shared" si="6"/>
        <v>1.9249875807252858E-2</v>
      </c>
      <c r="I48" s="14">
        <f t="shared" si="10"/>
        <v>4.6500000000000004</v>
      </c>
      <c r="J48" s="14">
        <f t="shared" si="7"/>
        <v>0</v>
      </c>
      <c r="K48" s="34"/>
      <c r="L48" s="34"/>
      <c r="M48" s="343">
        <v>20.13</v>
      </c>
      <c r="N48" s="97">
        <f t="shared" si="5"/>
        <v>21.710204999999998</v>
      </c>
      <c r="O48" s="99">
        <f t="shared" si="11"/>
        <v>5.0150250000000005</v>
      </c>
      <c r="P48" s="98">
        <f t="shared" si="12"/>
        <v>1.0785</v>
      </c>
    </row>
    <row r="49" spans="2:16">
      <c r="B49" s="34" t="s">
        <v>1124</v>
      </c>
      <c r="C49" s="34">
        <v>34</v>
      </c>
      <c r="D49" s="34" t="s">
        <v>135</v>
      </c>
      <c r="E49" s="341" t="s">
        <v>136</v>
      </c>
      <c r="F49" s="13">
        <v>1810.84</v>
      </c>
      <c r="G49" s="339">
        <f t="shared" si="9"/>
        <v>34</v>
      </c>
      <c r="H49" s="339">
        <f t="shared" si="6"/>
        <v>2.8333333333333335</v>
      </c>
      <c r="I49" s="14">
        <f t="shared" si="10"/>
        <v>1810.8400000000001</v>
      </c>
      <c r="J49" s="14">
        <f t="shared" si="7"/>
        <v>0</v>
      </c>
      <c r="K49" s="34"/>
      <c r="L49" s="34"/>
      <c r="M49" s="14">
        <v>53.26</v>
      </c>
      <c r="N49" s="97">
        <f t="shared" si="5"/>
        <v>57.440909999999995</v>
      </c>
      <c r="O49" s="99">
        <f t="shared" si="11"/>
        <v>1952.9909399999999</v>
      </c>
      <c r="P49" s="98">
        <f t="shared" si="12"/>
        <v>1.0785</v>
      </c>
    </row>
    <row r="50" spans="2:16">
      <c r="B50" s="34" t="s">
        <v>1124</v>
      </c>
      <c r="C50" s="34">
        <v>73</v>
      </c>
      <c r="D50" s="34" t="s">
        <v>137</v>
      </c>
      <c r="E50" s="341" t="s">
        <v>138</v>
      </c>
      <c r="F50" s="13">
        <v>14589.79</v>
      </c>
      <c r="G50" s="339">
        <f t="shared" si="9"/>
        <v>71</v>
      </c>
      <c r="H50" s="339">
        <f t="shared" si="6"/>
        <v>5.916666666666667</v>
      </c>
      <c r="I50" s="14">
        <f t="shared" si="10"/>
        <v>14589.790000000003</v>
      </c>
      <c r="J50" s="14">
        <f t="shared" si="7"/>
        <v>0</v>
      </c>
      <c r="K50" s="34"/>
      <c r="L50" s="34"/>
      <c r="M50" s="14">
        <v>205.49</v>
      </c>
      <c r="N50" s="97">
        <f t="shared" si="5"/>
        <v>221.62096500000001</v>
      </c>
      <c r="O50" s="99">
        <f t="shared" si="11"/>
        <v>15735.088515000001</v>
      </c>
      <c r="P50" s="98">
        <f t="shared" si="12"/>
        <v>1.0785</v>
      </c>
    </row>
    <row r="51" spans="2:16">
      <c r="B51" s="34" t="s">
        <v>1124</v>
      </c>
      <c r="C51" s="34">
        <v>72</v>
      </c>
      <c r="D51" s="34" t="s">
        <v>139</v>
      </c>
      <c r="E51" s="341" t="s">
        <v>140</v>
      </c>
      <c r="F51" s="13">
        <v>4351.08</v>
      </c>
      <c r="G51" s="339">
        <f t="shared" si="9"/>
        <v>1891.7739130434784</v>
      </c>
      <c r="H51" s="339">
        <f t="shared" si="6"/>
        <v>157.64782608695654</v>
      </c>
      <c r="I51" s="14">
        <f t="shared" si="10"/>
        <v>4351.08</v>
      </c>
      <c r="J51" s="14">
        <f t="shared" si="7"/>
        <v>0</v>
      </c>
      <c r="K51" s="15">
        <v>1891.75</v>
      </c>
      <c r="L51" s="34" t="s">
        <v>141</v>
      </c>
      <c r="M51" s="14">
        <v>2.2999999999999998</v>
      </c>
      <c r="N51" s="97">
        <f t="shared" si="5"/>
        <v>2.48055</v>
      </c>
      <c r="O51" s="99">
        <f t="shared" si="11"/>
        <v>4692.6397800000004</v>
      </c>
      <c r="P51" s="98">
        <f t="shared" si="12"/>
        <v>1.0785</v>
      </c>
    </row>
    <row r="52" spans="2:16">
      <c r="B52" s="34" t="s">
        <v>1124</v>
      </c>
      <c r="C52" s="34">
        <v>21</v>
      </c>
      <c r="D52" s="34" t="s">
        <v>142</v>
      </c>
      <c r="E52" s="341" t="s">
        <v>143</v>
      </c>
      <c r="F52" s="13">
        <v>828.94</v>
      </c>
      <c r="G52" s="339">
        <f t="shared" si="9"/>
        <v>217.00000000000003</v>
      </c>
      <c r="H52" s="339">
        <f t="shared" si="6"/>
        <v>18.083333333333336</v>
      </c>
      <c r="I52" s="14">
        <f t="shared" si="10"/>
        <v>828.94</v>
      </c>
      <c r="J52" s="14">
        <f t="shared" si="7"/>
        <v>0</v>
      </c>
      <c r="K52" s="34">
        <v>217</v>
      </c>
      <c r="L52" s="34" t="s">
        <v>144</v>
      </c>
      <c r="M52" s="14">
        <v>3.82</v>
      </c>
      <c r="N52" s="97">
        <f t="shared" si="5"/>
        <v>4.1198699999999997</v>
      </c>
      <c r="O52" s="99">
        <f t="shared" si="11"/>
        <v>894.01179000000002</v>
      </c>
      <c r="P52" s="98">
        <f t="shared" si="12"/>
        <v>1.0785</v>
      </c>
    </row>
    <row r="53" spans="2:16">
      <c r="B53" s="34" t="s">
        <v>1124</v>
      </c>
      <c r="C53" s="34">
        <v>80</v>
      </c>
      <c r="D53" s="34" t="s">
        <v>145</v>
      </c>
      <c r="E53" s="341" t="s">
        <v>146</v>
      </c>
      <c r="F53" s="13">
        <v>5932.57</v>
      </c>
      <c r="G53" s="339">
        <f t="shared" si="9"/>
        <v>64.978860898138009</v>
      </c>
      <c r="H53" s="339">
        <f t="shared" si="6"/>
        <v>5.4149050748448344</v>
      </c>
      <c r="I53" s="14">
        <f t="shared" si="10"/>
        <v>5932.5700000000006</v>
      </c>
      <c r="J53" s="14">
        <f t="shared" si="7"/>
        <v>0</v>
      </c>
      <c r="K53" s="34"/>
      <c r="L53" s="34"/>
      <c r="M53" s="14">
        <v>91.3</v>
      </c>
      <c r="N53" s="97">
        <f t="shared" si="5"/>
        <v>98.46705</v>
      </c>
      <c r="O53" s="99">
        <f t="shared" si="11"/>
        <v>6398.2767450000001</v>
      </c>
      <c r="P53" s="98">
        <f t="shared" si="12"/>
        <v>1.0785</v>
      </c>
    </row>
    <row r="54" spans="2:16">
      <c r="B54" s="34" t="s">
        <v>1124</v>
      </c>
      <c r="C54" s="34">
        <v>62</v>
      </c>
      <c r="D54" s="34" t="s">
        <v>147</v>
      </c>
      <c r="E54" s="34" t="s">
        <v>148</v>
      </c>
      <c r="F54" s="13">
        <v>10082.59</v>
      </c>
      <c r="G54" s="339" t="e">
        <f t="shared" si="9"/>
        <v>#DIV/0!</v>
      </c>
      <c r="H54" s="339" t="e">
        <f t="shared" si="6"/>
        <v>#DIV/0!</v>
      </c>
      <c r="I54" s="14" t="e">
        <f t="shared" si="10"/>
        <v>#DIV/0!</v>
      </c>
      <c r="J54" s="14" t="e">
        <f t="shared" si="7"/>
        <v>#DIV/0!</v>
      </c>
      <c r="K54" s="34"/>
      <c r="L54" s="34"/>
      <c r="M54" s="14"/>
      <c r="N54" s="97">
        <f t="shared" si="5"/>
        <v>0</v>
      </c>
      <c r="O54" s="99">
        <f t="shared" si="11"/>
        <v>10874.073315</v>
      </c>
      <c r="P54" s="98" t="s">
        <v>681</v>
      </c>
    </row>
    <row r="55" spans="2:16">
      <c r="C55" s="34">
        <v>1</v>
      </c>
      <c r="D55" s="34" t="s">
        <v>149</v>
      </c>
      <c r="E55" s="34" t="s">
        <v>150</v>
      </c>
      <c r="F55" s="13">
        <v>1218</v>
      </c>
      <c r="G55" s="339" t="e">
        <f t="shared" si="9"/>
        <v>#DIV/0!</v>
      </c>
      <c r="H55" s="339" t="e">
        <f t="shared" si="6"/>
        <v>#DIV/0!</v>
      </c>
      <c r="I55" s="14" t="e">
        <f t="shared" si="10"/>
        <v>#DIV/0!</v>
      </c>
      <c r="J55" s="14" t="e">
        <f t="shared" si="7"/>
        <v>#DIV/0!</v>
      </c>
      <c r="K55" s="34"/>
      <c r="L55" s="34"/>
      <c r="M55" s="14"/>
      <c r="N55" s="97">
        <f t="shared" si="5"/>
        <v>0</v>
      </c>
      <c r="O55" s="99">
        <f t="shared" si="11"/>
        <v>1313.6130000000001</v>
      </c>
      <c r="P55" s="98">
        <f t="shared" ref="P55:P86" si="13">O55/F55</f>
        <v>1.0785</v>
      </c>
    </row>
    <row r="56" spans="2:16">
      <c r="C56" s="34">
        <v>1</v>
      </c>
      <c r="D56" s="34" t="s">
        <v>151</v>
      </c>
      <c r="E56" s="341" t="s">
        <v>152</v>
      </c>
      <c r="F56" s="13">
        <v>47.06</v>
      </c>
      <c r="G56" s="339">
        <f t="shared" si="9"/>
        <v>1.500159387950271</v>
      </c>
      <c r="H56" s="339">
        <f t="shared" si="6"/>
        <v>0.12501328232918926</v>
      </c>
      <c r="I56" s="14">
        <f t="shared" si="10"/>
        <v>47.060000000000009</v>
      </c>
      <c r="J56" s="14">
        <f t="shared" si="7"/>
        <v>0</v>
      </c>
      <c r="K56" s="34">
        <v>1.5</v>
      </c>
      <c r="L56" s="34" t="s">
        <v>60</v>
      </c>
      <c r="M56" s="14">
        <v>31.37</v>
      </c>
      <c r="N56" s="97">
        <f t="shared" si="5"/>
        <v>33.832545000000003</v>
      </c>
      <c r="O56" s="99">
        <f t="shared" si="11"/>
        <v>50.75421</v>
      </c>
      <c r="P56" s="98">
        <f t="shared" si="13"/>
        <v>1.0785</v>
      </c>
    </row>
    <row r="57" spans="2:16">
      <c r="C57" s="34">
        <v>1</v>
      </c>
      <c r="D57" s="34" t="s">
        <v>153</v>
      </c>
      <c r="E57" s="341" t="s">
        <v>154</v>
      </c>
      <c r="F57" s="13">
        <v>30.95</v>
      </c>
      <c r="G57" s="339">
        <f t="shared" si="9"/>
        <v>1</v>
      </c>
      <c r="H57" s="339">
        <f t="shared" si="6"/>
        <v>8.3333333333333329E-2</v>
      </c>
      <c r="I57" s="14">
        <f t="shared" si="10"/>
        <v>30.95</v>
      </c>
      <c r="J57" s="14">
        <f t="shared" si="7"/>
        <v>0</v>
      </c>
      <c r="K57" s="34">
        <v>1</v>
      </c>
      <c r="L57" s="34" t="s">
        <v>155</v>
      </c>
      <c r="M57" s="14">
        <v>30.95</v>
      </c>
      <c r="N57" s="97">
        <f t="shared" si="5"/>
        <v>33.379575000000003</v>
      </c>
      <c r="O57" s="99">
        <f t="shared" si="11"/>
        <v>33.379575000000003</v>
      </c>
      <c r="P57" s="98">
        <f t="shared" si="13"/>
        <v>1.0785</v>
      </c>
    </row>
    <row r="58" spans="2:16">
      <c r="C58" s="34">
        <v>4</v>
      </c>
      <c r="D58" s="34" t="s">
        <v>156</v>
      </c>
      <c r="E58" s="341" t="s">
        <v>157</v>
      </c>
      <c r="F58" s="13">
        <v>100</v>
      </c>
      <c r="G58" s="339">
        <f t="shared" si="9"/>
        <v>4</v>
      </c>
      <c r="H58" s="339">
        <f t="shared" si="6"/>
        <v>0.33333333333333331</v>
      </c>
      <c r="I58" s="14">
        <f t="shared" si="10"/>
        <v>99.999999999999986</v>
      </c>
      <c r="J58" s="14">
        <f t="shared" si="7"/>
        <v>0</v>
      </c>
      <c r="K58" s="34"/>
      <c r="L58" s="34"/>
      <c r="M58" s="14">
        <v>25</v>
      </c>
      <c r="N58" s="97">
        <f t="shared" si="5"/>
        <v>26.962499999999999</v>
      </c>
      <c r="O58" s="99">
        <f t="shared" si="11"/>
        <v>107.85</v>
      </c>
      <c r="P58" s="98">
        <f t="shared" si="13"/>
        <v>1.0785</v>
      </c>
    </row>
    <row r="59" spans="2:16">
      <c r="C59" s="34">
        <v>33</v>
      </c>
      <c r="D59" s="34" t="s">
        <v>158</v>
      </c>
      <c r="E59" s="341" t="s">
        <v>159</v>
      </c>
      <c r="F59" s="13">
        <v>1095.48</v>
      </c>
      <c r="G59" s="339">
        <f t="shared" si="9"/>
        <v>51</v>
      </c>
      <c r="H59" s="339">
        <f t="shared" si="6"/>
        <v>4.25</v>
      </c>
      <c r="I59" s="14">
        <f t="shared" si="10"/>
        <v>1095.48</v>
      </c>
      <c r="J59" s="14">
        <f t="shared" si="7"/>
        <v>0</v>
      </c>
      <c r="K59" s="34">
        <v>51</v>
      </c>
      <c r="L59" s="34" t="s">
        <v>60</v>
      </c>
      <c r="M59" s="14">
        <v>21.48</v>
      </c>
      <c r="N59" s="97">
        <f t="shared" si="5"/>
        <v>23.166180000000001</v>
      </c>
      <c r="O59" s="99">
        <f t="shared" si="11"/>
        <v>1181.4751800000001</v>
      </c>
      <c r="P59" s="98">
        <f t="shared" si="13"/>
        <v>1.0785</v>
      </c>
    </row>
    <row r="60" spans="2:16">
      <c r="C60" s="34">
        <v>18</v>
      </c>
      <c r="D60" s="34" t="s">
        <v>160</v>
      </c>
      <c r="E60" s="34" t="s">
        <v>161</v>
      </c>
      <c r="F60" s="13">
        <v>14.4</v>
      </c>
      <c r="G60" s="339" t="e">
        <f t="shared" si="9"/>
        <v>#DIV/0!</v>
      </c>
      <c r="H60" s="339" t="e">
        <f t="shared" si="6"/>
        <v>#DIV/0!</v>
      </c>
      <c r="I60" s="14" t="e">
        <f t="shared" si="10"/>
        <v>#DIV/0!</v>
      </c>
      <c r="J60" s="14" t="e">
        <f t="shared" si="7"/>
        <v>#DIV/0!</v>
      </c>
      <c r="K60" s="34"/>
      <c r="L60" s="34"/>
      <c r="M60" s="14"/>
      <c r="N60" s="97">
        <f t="shared" si="5"/>
        <v>0</v>
      </c>
      <c r="O60" s="99">
        <f t="shared" si="11"/>
        <v>15.5304</v>
      </c>
      <c r="P60" s="98">
        <f t="shared" si="13"/>
        <v>1.0785</v>
      </c>
    </row>
    <row r="61" spans="2:16">
      <c r="C61" s="34">
        <v>1106</v>
      </c>
      <c r="D61" s="34" t="s">
        <v>162</v>
      </c>
      <c r="E61" s="341" t="s">
        <v>163</v>
      </c>
      <c r="F61" s="13">
        <v>44422.83</v>
      </c>
      <c r="G61" s="339">
        <f t="shared" si="9"/>
        <v>1309.2493368700266</v>
      </c>
      <c r="H61" s="339">
        <f t="shared" si="6"/>
        <v>109.10411140583555</v>
      </c>
      <c r="I61" s="14">
        <f t="shared" si="10"/>
        <v>44422.83</v>
      </c>
      <c r="J61" s="14">
        <f t="shared" si="7"/>
        <v>0</v>
      </c>
      <c r="K61" s="15">
        <v>1309.25</v>
      </c>
      <c r="L61" s="34" t="s">
        <v>164</v>
      </c>
      <c r="M61" s="14">
        <v>33.93</v>
      </c>
      <c r="N61" s="97">
        <f t="shared" si="5"/>
        <v>36.593505</v>
      </c>
      <c r="O61" s="99">
        <f t="shared" si="11"/>
        <v>47910.022155000006</v>
      </c>
      <c r="P61" s="98">
        <f t="shared" si="13"/>
        <v>1.0785</v>
      </c>
    </row>
    <row r="62" spans="2:16">
      <c r="C62" s="34">
        <v>15</v>
      </c>
      <c r="D62" s="34" t="s">
        <v>165</v>
      </c>
      <c r="E62" s="341" t="s">
        <v>166</v>
      </c>
      <c r="F62" s="13">
        <v>678.42</v>
      </c>
      <c r="G62" s="339">
        <f t="shared" si="9"/>
        <v>14.285533796588753</v>
      </c>
      <c r="H62" s="339">
        <f t="shared" si="6"/>
        <v>1.1904611497157294</v>
      </c>
      <c r="I62" s="14">
        <f t="shared" si="10"/>
        <v>678.41999999999985</v>
      </c>
      <c r="J62" s="14">
        <f t="shared" si="7"/>
        <v>0</v>
      </c>
      <c r="K62" s="34">
        <v>15</v>
      </c>
      <c r="L62" s="34" t="s">
        <v>105</v>
      </c>
      <c r="M62" s="14">
        <v>47.49</v>
      </c>
      <c r="N62" s="97">
        <f t="shared" si="5"/>
        <v>51.217965</v>
      </c>
      <c r="O62" s="99">
        <f t="shared" si="11"/>
        <v>731.67597000000001</v>
      </c>
      <c r="P62" s="98">
        <f t="shared" si="13"/>
        <v>1.0785</v>
      </c>
    </row>
    <row r="63" spans="2:16">
      <c r="B63" s="34" t="s">
        <v>1094</v>
      </c>
      <c r="C63" s="34">
        <v>4097</v>
      </c>
      <c r="D63" s="34" t="s">
        <v>167</v>
      </c>
      <c r="E63" s="341" t="s">
        <v>168</v>
      </c>
      <c r="F63" s="13">
        <v>98300.08</v>
      </c>
      <c r="G63" s="339">
        <f t="shared" si="9"/>
        <v>4030.3435834358343</v>
      </c>
      <c r="H63" s="339">
        <f>G63/12</f>
        <v>335.8619652863195</v>
      </c>
      <c r="I63" s="14">
        <f t="shared" si="10"/>
        <v>98300.08</v>
      </c>
      <c r="J63" s="14">
        <f>I63-F63</f>
        <v>0</v>
      </c>
      <c r="K63" s="34"/>
      <c r="L63" s="34"/>
      <c r="M63" s="14">
        <v>24.39</v>
      </c>
      <c r="N63" s="97">
        <f t="shared" si="5"/>
        <v>26.304615000000002</v>
      </c>
      <c r="O63" s="99">
        <f t="shared" si="11"/>
        <v>106016.63628000001</v>
      </c>
      <c r="P63" s="98">
        <f t="shared" si="13"/>
        <v>1.0785</v>
      </c>
    </row>
    <row r="64" spans="2:16">
      <c r="B64" s="34" t="s">
        <v>1094</v>
      </c>
      <c r="C64" s="34">
        <v>2670</v>
      </c>
      <c r="D64" s="34" t="s">
        <v>169</v>
      </c>
      <c r="E64" s="341" t="s">
        <v>170</v>
      </c>
      <c r="F64" s="13">
        <v>75993.58</v>
      </c>
      <c r="G64" s="339">
        <f t="shared" si="9"/>
        <v>2634.0928942807627</v>
      </c>
      <c r="H64" s="339">
        <f t="shared" ref="H64:H104" si="14">G64/12</f>
        <v>219.50774119006357</v>
      </c>
      <c r="I64" s="14">
        <f t="shared" si="10"/>
        <v>75993.580000000016</v>
      </c>
      <c r="J64" s="14">
        <f t="shared" ref="J64:J76" si="15">I64-F64</f>
        <v>0</v>
      </c>
      <c r="K64" s="34"/>
      <c r="L64" s="34"/>
      <c r="M64" s="14">
        <v>28.85</v>
      </c>
      <c r="N64" s="97">
        <f t="shared" si="5"/>
        <v>31.114725000000004</v>
      </c>
      <c r="O64" s="99">
        <f t="shared" si="11"/>
        <v>81959.076029999997</v>
      </c>
      <c r="P64" s="98">
        <f t="shared" si="13"/>
        <v>1.0785</v>
      </c>
    </row>
    <row r="65" spans="2:16">
      <c r="B65" s="34" t="s">
        <v>1094</v>
      </c>
      <c r="C65" s="34">
        <v>167</v>
      </c>
      <c r="D65" s="34" t="s">
        <v>171</v>
      </c>
      <c r="E65" s="341" t="s">
        <v>172</v>
      </c>
      <c r="F65" s="13">
        <v>5225.42</v>
      </c>
      <c r="G65" s="339">
        <f t="shared" si="9"/>
        <v>155.61107802263254</v>
      </c>
      <c r="H65" s="339">
        <f t="shared" si="14"/>
        <v>12.967589835219378</v>
      </c>
      <c r="I65" s="14">
        <f t="shared" si="10"/>
        <v>5225.42</v>
      </c>
      <c r="J65" s="14">
        <f t="shared" si="15"/>
        <v>0</v>
      </c>
      <c r="K65" s="34"/>
      <c r="L65" s="34"/>
      <c r="M65" s="14">
        <v>33.58</v>
      </c>
      <c r="N65" s="97">
        <f t="shared" si="5"/>
        <v>36.216029999999996</v>
      </c>
      <c r="O65" s="99">
        <f t="shared" si="11"/>
        <v>5635.6154699999997</v>
      </c>
      <c r="P65" s="98">
        <f t="shared" si="13"/>
        <v>1.0785</v>
      </c>
    </row>
    <row r="66" spans="2:16">
      <c r="B66" s="34" t="s">
        <v>1094</v>
      </c>
      <c r="C66" s="34">
        <v>79</v>
      </c>
      <c r="D66" s="34" t="s">
        <v>173</v>
      </c>
      <c r="E66" s="341" t="s">
        <v>174</v>
      </c>
      <c r="F66" s="13">
        <v>2958.01</v>
      </c>
      <c r="G66" s="339">
        <f t="shared" si="9"/>
        <v>77.475379779989524</v>
      </c>
      <c r="H66" s="339">
        <f t="shared" si="14"/>
        <v>6.4562816483324603</v>
      </c>
      <c r="I66" s="14">
        <f t="shared" si="10"/>
        <v>2958.01</v>
      </c>
      <c r="J66" s="14">
        <f t="shared" si="15"/>
        <v>0</v>
      </c>
      <c r="K66" s="34"/>
      <c r="L66" s="34"/>
      <c r="M66" s="14">
        <v>38.18</v>
      </c>
      <c r="N66" s="97">
        <f t="shared" si="5"/>
        <v>41.177129999999998</v>
      </c>
      <c r="O66" s="99">
        <f t="shared" si="11"/>
        <v>3190.2137850000004</v>
      </c>
      <c r="P66" s="98">
        <f t="shared" si="13"/>
        <v>1.0785</v>
      </c>
    </row>
    <row r="67" spans="2:16">
      <c r="B67" s="34" t="s">
        <v>1094</v>
      </c>
      <c r="C67" s="34">
        <v>12</v>
      </c>
      <c r="D67" s="34" t="s">
        <v>175</v>
      </c>
      <c r="E67" s="341" t="s">
        <v>176</v>
      </c>
      <c r="F67" s="13">
        <v>513.48</v>
      </c>
      <c r="G67" s="339">
        <f t="shared" ref="G67:G98" si="16">F67/M67</f>
        <v>12</v>
      </c>
      <c r="H67" s="339">
        <f t="shared" si="14"/>
        <v>1</v>
      </c>
      <c r="I67" s="14">
        <f t="shared" ref="I67:I98" si="17">H67*M67*12</f>
        <v>513.48</v>
      </c>
      <c r="J67" s="14">
        <f t="shared" si="15"/>
        <v>0</v>
      </c>
      <c r="K67" s="34"/>
      <c r="L67" s="34"/>
      <c r="M67" s="14">
        <v>42.79</v>
      </c>
      <c r="N67" s="97">
        <f t="shared" si="5"/>
        <v>46.149014999999999</v>
      </c>
      <c r="O67" s="99">
        <f t="shared" ref="O67:O98" si="18">F67*1.0785</f>
        <v>553.78818000000001</v>
      </c>
      <c r="P67" s="98">
        <f t="shared" si="13"/>
        <v>1.0785</v>
      </c>
    </row>
    <row r="68" spans="2:16">
      <c r="B68" s="332" t="s">
        <v>1095</v>
      </c>
      <c r="C68" s="34">
        <v>16</v>
      </c>
      <c r="D68" s="34" t="s">
        <v>177</v>
      </c>
      <c r="E68" s="341" t="s">
        <v>178</v>
      </c>
      <c r="F68" s="13">
        <v>683.61</v>
      </c>
      <c r="G68" s="339">
        <f t="shared" si="16"/>
        <v>14.425195188858408</v>
      </c>
      <c r="H68" s="339">
        <f t="shared" si="14"/>
        <v>1.202099599071534</v>
      </c>
      <c r="I68" s="14">
        <f t="shared" si="17"/>
        <v>683.6099999999999</v>
      </c>
      <c r="J68" s="14">
        <f t="shared" si="15"/>
        <v>0</v>
      </c>
      <c r="K68" s="34"/>
      <c r="L68" s="34"/>
      <c r="M68" s="14">
        <v>47.39</v>
      </c>
      <c r="N68" s="97">
        <f t="shared" si="5"/>
        <v>51.110115</v>
      </c>
      <c r="O68" s="99">
        <f t="shared" si="18"/>
        <v>737.27338500000008</v>
      </c>
      <c r="P68" s="98">
        <f t="shared" si="13"/>
        <v>1.0785</v>
      </c>
    </row>
    <row r="69" spans="2:16">
      <c r="B69" s="34" t="s">
        <v>1094</v>
      </c>
      <c r="C69" s="34">
        <v>1105</v>
      </c>
      <c r="D69" s="34" t="s">
        <v>179</v>
      </c>
      <c r="E69" s="341" t="s">
        <v>180</v>
      </c>
      <c r="F69" s="13">
        <v>18596.64</v>
      </c>
      <c r="G69" s="339">
        <f t="shared" si="16"/>
        <v>1097.1469026548673</v>
      </c>
      <c r="H69" s="339">
        <f t="shared" si="14"/>
        <v>91.428908554572274</v>
      </c>
      <c r="I69" s="14">
        <f t="shared" si="17"/>
        <v>18596.64</v>
      </c>
      <c r="J69" s="14">
        <f t="shared" si="15"/>
        <v>0</v>
      </c>
      <c r="K69" s="34"/>
      <c r="L69" s="34"/>
      <c r="M69" s="14">
        <v>16.95</v>
      </c>
      <c r="N69" s="97">
        <f t="shared" ref="N69:N104" si="19">M69*1.0785</f>
        <v>18.280574999999999</v>
      </c>
      <c r="O69" s="99">
        <f t="shared" si="18"/>
        <v>20056.47624</v>
      </c>
      <c r="P69" s="98">
        <f t="shared" si="13"/>
        <v>1.0785</v>
      </c>
    </row>
    <row r="70" spans="2:16">
      <c r="B70" s="34" t="s">
        <v>1094</v>
      </c>
      <c r="C70" s="34">
        <v>47</v>
      </c>
      <c r="D70" s="34" t="s">
        <v>181</v>
      </c>
      <c r="E70" s="341" t="s">
        <v>182</v>
      </c>
      <c r="F70" s="13">
        <v>1138.3399999999999</v>
      </c>
      <c r="G70" s="339">
        <f t="shared" si="16"/>
        <v>47</v>
      </c>
      <c r="H70" s="339">
        <f t="shared" si="14"/>
        <v>3.9166666666666665</v>
      </c>
      <c r="I70" s="14">
        <f t="shared" si="17"/>
        <v>1138.3399999999999</v>
      </c>
      <c r="J70" s="14">
        <f t="shared" si="15"/>
        <v>0</v>
      </c>
      <c r="K70" s="34"/>
      <c r="L70" s="34"/>
      <c r="M70" s="14">
        <v>24.22</v>
      </c>
      <c r="N70" s="97">
        <f t="shared" si="19"/>
        <v>26.121269999999999</v>
      </c>
      <c r="O70" s="99">
        <f t="shared" si="18"/>
        <v>1227.6996899999999</v>
      </c>
      <c r="P70" s="98">
        <f t="shared" si="13"/>
        <v>1.0785</v>
      </c>
    </row>
    <row r="71" spans="2:16">
      <c r="B71" s="34" t="s">
        <v>1094</v>
      </c>
      <c r="C71" s="34">
        <v>247</v>
      </c>
      <c r="D71" s="34" t="s">
        <v>183</v>
      </c>
      <c r="E71" s="341" t="s">
        <v>184</v>
      </c>
      <c r="F71" s="13">
        <v>2277.75</v>
      </c>
      <c r="G71" s="339">
        <f t="shared" si="16"/>
        <v>243.34935897435898</v>
      </c>
      <c r="H71" s="339">
        <f t="shared" si="14"/>
        <v>20.279113247863247</v>
      </c>
      <c r="I71" s="14">
        <f t="shared" si="17"/>
        <v>2277.7499999999995</v>
      </c>
      <c r="J71" s="14">
        <f t="shared" si="15"/>
        <v>0</v>
      </c>
      <c r="K71" s="34"/>
      <c r="L71" s="34"/>
      <c r="M71" s="14">
        <v>9.36</v>
      </c>
      <c r="N71" s="97">
        <f t="shared" si="19"/>
        <v>10.094759999999999</v>
      </c>
      <c r="O71" s="99">
        <f t="shared" si="18"/>
        <v>2456.553375</v>
      </c>
      <c r="P71" s="98">
        <f t="shared" si="13"/>
        <v>1.0785</v>
      </c>
    </row>
    <row r="72" spans="2:16">
      <c r="B72" s="34" t="s">
        <v>1094</v>
      </c>
      <c r="C72" s="34">
        <v>9</v>
      </c>
      <c r="D72" s="34" t="s">
        <v>185</v>
      </c>
      <c r="E72" s="341" t="s">
        <v>186</v>
      </c>
      <c r="F72" s="13">
        <v>77.25</v>
      </c>
      <c r="G72" s="339">
        <f t="shared" si="16"/>
        <v>5</v>
      </c>
      <c r="H72" s="339">
        <f t="shared" si="14"/>
        <v>0.41666666666666669</v>
      </c>
      <c r="I72" s="14">
        <f t="shared" si="17"/>
        <v>77.25</v>
      </c>
      <c r="J72" s="14">
        <f t="shared" si="15"/>
        <v>0</v>
      </c>
      <c r="K72" s="34"/>
      <c r="L72" s="109"/>
      <c r="M72" s="14">
        <v>15.45</v>
      </c>
      <c r="N72" s="97">
        <f t="shared" si="19"/>
        <v>16.662824999999998</v>
      </c>
      <c r="O72" s="99">
        <f t="shared" si="18"/>
        <v>83.314125000000004</v>
      </c>
      <c r="P72" s="98">
        <f t="shared" si="13"/>
        <v>1.0785</v>
      </c>
    </row>
    <row r="73" spans="2:16">
      <c r="B73" s="34" t="s">
        <v>1094</v>
      </c>
      <c r="C73" s="34">
        <v>2</v>
      </c>
      <c r="D73" s="34" t="s">
        <v>187</v>
      </c>
      <c r="E73" s="341" t="s">
        <v>188</v>
      </c>
      <c r="F73" s="13">
        <v>14.32</v>
      </c>
      <c r="G73" s="339">
        <f t="shared" si="16"/>
        <v>2</v>
      </c>
      <c r="H73" s="339">
        <f t="shared" si="14"/>
        <v>0.16666666666666666</v>
      </c>
      <c r="I73" s="14">
        <f t="shared" si="17"/>
        <v>14.32</v>
      </c>
      <c r="J73" s="14">
        <f t="shared" si="15"/>
        <v>0</v>
      </c>
      <c r="K73" s="34"/>
      <c r="L73" s="34"/>
      <c r="M73" s="14">
        <v>7.16</v>
      </c>
      <c r="N73" s="97">
        <f t="shared" si="19"/>
        <v>7.7220599999999999</v>
      </c>
      <c r="O73" s="99">
        <f t="shared" si="18"/>
        <v>15.44412</v>
      </c>
      <c r="P73" s="98">
        <f t="shared" si="13"/>
        <v>1.0785</v>
      </c>
    </row>
    <row r="74" spans="2:16">
      <c r="B74" s="34" t="s">
        <v>1094</v>
      </c>
      <c r="C74" s="34">
        <v>2</v>
      </c>
      <c r="D74" s="34" t="s">
        <v>189</v>
      </c>
      <c r="E74" s="341" t="s">
        <v>190</v>
      </c>
      <c r="F74" s="13">
        <v>27.78</v>
      </c>
      <c r="G74" s="339">
        <f t="shared" si="16"/>
        <v>2</v>
      </c>
      <c r="H74" s="339">
        <f t="shared" si="14"/>
        <v>0.16666666666666666</v>
      </c>
      <c r="I74" s="14">
        <f t="shared" si="17"/>
        <v>27.78</v>
      </c>
      <c r="J74" s="14">
        <f t="shared" si="15"/>
        <v>0</v>
      </c>
      <c r="K74" s="34"/>
      <c r="L74" s="34"/>
      <c r="M74" s="14">
        <v>13.89</v>
      </c>
      <c r="N74" s="97">
        <f t="shared" si="19"/>
        <v>14.980365000000001</v>
      </c>
      <c r="O74" s="99">
        <f t="shared" si="18"/>
        <v>29.960730000000002</v>
      </c>
      <c r="P74" s="98">
        <f t="shared" si="13"/>
        <v>1.0785</v>
      </c>
    </row>
    <row r="75" spans="2:16">
      <c r="B75" s="34" t="s">
        <v>1094</v>
      </c>
      <c r="C75" s="34">
        <v>5</v>
      </c>
      <c r="D75" s="34" t="s">
        <v>191</v>
      </c>
      <c r="E75" s="341" t="s">
        <v>192</v>
      </c>
      <c r="F75" s="13">
        <v>6.3</v>
      </c>
      <c r="G75" s="339">
        <f t="shared" si="16"/>
        <v>2.4609375</v>
      </c>
      <c r="H75" s="339">
        <f t="shared" si="14"/>
        <v>0.205078125</v>
      </c>
      <c r="I75" s="14">
        <f t="shared" si="17"/>
        <v>6.3000000000000007</v>
      </c>
      <c r="J75" s="14">
        <f t="shared" si="15"/>
        <v>0</v>
      </c>
      <c r="K75" s="347">
        <f>H75*2.17</f>
        <v>0.44501953124999999</v>
      </c>
      <c r="L75" s="109">
        <f>M75/2.17</f>
        <v>1.1797235023041475</v>
      </c>
      <c r="M75" s="14">
        <v>2.56</v>
      </c>
      <c r="N75" s="97">
        <f t="shared" si="19"/>
        <v>2.7609600000000003</v>
      </c>
      <c r="O75" s="99">
        <f t="shared" si="18"/>
        <v>6.7945500000000001</v>
      </c>
      <c r="P75" s="98">
        <f t="shared" si="13"/>
        <v>1.0785</v>
      </c>
    </row>
    <row r="76" spans="2:16">
      <c r="B76" s="34" t="s">
        <v>1094</v>
      </c>
      <c r="C76" s="34">
        <v>69</v>
      </c>
      <c r="D76" s="34" t="s">
        <v>193</v>
      </c>
      <c r="E76" s="341" t="s">
        <v>194</v>
      </c>
      <c r="F76" s="13">
        <v>1077.78</v>
      </c>
      <c r="G76" s="339">
        <f t="shared" si="16"/>
        <v>69</v>
      </c>
      <c r="H76" s="339">
        <f t="shared" si="14"/>
        <v>5.75</v>
      </c>
      <c r="I76" s="14">
        <f t="shared" si="17"/>
        <v>1077.78</v>
      </c>
      <c r="J76" s="14">
        <f t="shared" si="15"/>
        <v>0</v>
      </c>
      <c r="K76" s="34"/>
      <c r="L76" s="34"/>
      <c r="M76" s="14">
        <v>15.62</v>
      </c>
      <c r="N76" s="97">
        <f t="shared" si="19"/>
        <v>16.846170000000001</v>
      </c>
      <c r="O76" s="99">
        <f t="shared" si="18"/>
        <v>1162.38573</v>
      </c>
      <c r="P76" s="98">
        <f t="shared" si="13"/>
        <v>1.0785</v>
      </c>
    </row>
    <row r="77" spans="2:16">
      <c r="B77" s="34" t="s">
        <v>1094</v>
      </c>
      <c r="C77" s="34">
        <v>16</v>
      </c>
      <c r="D77" s="34" t="s">
        <v>195</v>
      </c>
      <c r="E77" s="341" t="s">
        <v>196</v>
      </c>
      <c r="F77" s="13">
        <v>114.56</v>
      </c>
      <c r="G77" s="339">
        <f t="shared" si="16"/>
        <v>16</v>
      </c>
      <c r="H77" s="339">
        <f t="shared" si="14"/>
        <v>1.3333333333333333</v>
      </c>
      <c r="I77" s="14">
        <f t="shared" si="17"/>
        <v>114.56</v>
      </c>
      <c r="J77" s="14">
        <f t="shared" ref="J77:J104" si="20">I77-F77</f>
        <v>0</v>
      </c>
      <c r="K77" s="34"/>
      <c r="L77" s="34"/>
      <c r="M77" s="14">
        <v>7.16</v>
      </c>
      <c r="N77" s="97">
        <f t="shared" si="19"/>
        <v>7.7220599999999999</v>
      </c>
      <c r="O77" s="99">
        <f t="shared" si="18"/>
        <v>123.55296</v>
      </c>
      <c r="P77" s="98">
        <f t="shared" si="13"/>
        <v>1.0785</v>
      </c>
    </row>
    <row r="78" spans="2:16">
      <c r="B78" s="34" t="s">
        <v>1094</v>
      </c>
      <c r="C78" s="34">
        <v>42</v>
      </c>
      <c r="D78" s="34" t="s">
        <v>197</v>
      </c>
      <c r="E78" s="341" t="s">
        <v>198</v>
      </c>
      <c r="F78" s="13">
        <v>401.1</v>
      </c>
      <c r="G78" s="339">
        <f t="shared" si="16"/>
        <v>42</v>
      </c>
      <c r="H78" s="339">
        <f t="shared" si="14"/>
        <v>3.5</v>
      </c>
      <c r="I78" s="14">
        <f t="shared" si="17"/>
        <v>401.1</v>
      </c>
      <c r="J78" s="14">
        <f t="shared" si="20"/>
        <v>0</v>
      </c>
      <c r="K78" s="34"/>
      <c r="L78" s="34"/>
      <c r="M78" s="14">
        <v>9.5500000000000007</v>
      </c>
      <c r="N78" s="97">
        <f t="shared" si="19"/>
        <v>10.299675000000001</v>
      </c>
      <c r="O78" s="99">
        <f t="shared" si="18"/>
        <v>432.58635000000004</v>
      </c>
      <c r="P78" s="98">
        <f t="shared" si="13"/>
        <v>1.0785</v>
      </c>
    </row>
    <row r="79" spans="2:16">
      <c r="B79" s="34" t="s">
        <v>1094</v>
      </c>
      <c r="C79" s="34">
        <v>5</v>
      </c>
      <c r="D79" s="34" t="s">
        <v>199</v>
      </c>
      <c r="E79" s="341" t="s">
        <v>200</v>
      </c>
      <c r="F79" s="13">
        <v>95.5</v>
      </c>
      <c r="G79" s="339">
        <f t="shared" si="16"/>
        <v>5</v>
      </c>
      <c r="H79" s="339">
        <f t="shared" si="14"/>
        <v>0.41666666666666669</v>
      </c>
      <c r="I79" s="14">
        <f t="shared" si="17"/>
        <v>95.5</v>
      </c>
      <c r="J79" s="14">
        <f t="shared" si="20"/>
        <v>0</v>
      </c>
      <c r="K79" s="34"/>
      <c r="L79" s="109"/>
      <c r="M79" s="14">
        <v>19.100000000000001</v>
      </c>
      <c r="N79" s="97">
        <f t="shared" si="19"/>
        <v>20.599350000000001</v>
      </c>
      <c r="O79" s="99">
        <f t="shared" si="18"/>
        <v>102.99675000000001</v>
      </c>
      <c r="P79" s="98">
        <f t="shared" si="13"/>
        <v>1.0785</v>
      </c>
    </row>
    <row r="80" spans="2:16">
      <c r="B80" s="34" t="s">
        <v>1094</v>
      </c>
      <c r="C80" s="34">
        <v>1</v>
      </c>
      <c r="D80" s="34" t="s">
        <v>201</v>
      </c>
      <c r="E80" s="341" t="s">
        <v>202</v>
      </c>
      <c r="F80" s="13">
        <v>28.65</v>
      </c>
      <c r="G80" s="339">
        <f t="shared" si="16"/>
        <v>1</v>
      </c>
      <c r="H80" s="339">
        <f t="shared" si="14"/>
        <v>8.3333333333333329E-2</v>
      </c>
      <c r="I80" s="14">
        <f t="shared" si="17"/>
        <v>28.65</v>
      </c>
      <c r="J80" s="14">
        <f t="shared" si="20"/>
        <v>0</v>
      </c>
      <c r="K80" s="34" t="s">
        <v>1127</v>
      </c>
      <c r="L80" s="109"/>
      <c r="M80" s="14">
        <v>28.65</v>
      </c>
      <c r="N80" s="97">
        <f t="shared" si="19"/>
        <v>30.899024999999998</v>
      </c>
      <c r="O80" s="99">
        <f t="shared" si="18"/>
        <v>30.899024999999998</v>
      </c>
      <c r="P80" s="98">
        <f t="shared" si="13"/>
        <v>1.0785</v>
      </c>
    </row>
    <row r="81" spans="2:16">
      <c r="C81" s="34">
        <v>62</v>
      </c>
      <c r="D81" s="34" t="s">
        <v>203</v>
      </c>
      <c r="E81" s="341" t="s">
        <v>76</v>
      </c>
      <c r="F81" s="13">
        <v>8668.2800000000007</v>
      </c>
      <c r="G81" s="339">
        <f t="shared" si="16"/>
        <v>59.000000000000007</v>
      </c>
      <c r="H81" s="339">
        <f t="shared" si="14"/>
        <v>4.916666666666667</v>
      </c>
      <c r="I81" s="14">
        <f t="shared" si="17"/>
        <v>8668.2800000000007</v>
      </c>
      <c r="J81" s="14">
        <f t="shared" si="20"/>
        <v>0</v>
      </c>
      <c r="K81" s="347">
        <f>H81*4.33</f>
        <v>21.289166666666667</v>
      </c>
      <c r="L81" s="109">
        <f>M83*4.333</f>
        <v>147.01868999999999</v>
      </c>
      <c r="M81" s="14">
        <v>146.91999999999999</v>
      </c>
      <c r="N81" s="97">
        <f t="shared" si="19"/>
        <v>158.45321999999999</v>
      </c>
      <c r="O81" s="99">
        <f t="shared" si="18"/>
        <v>9348.7399800000003</v>
      </c>
      <c r="P81" s="98">
        <f t="shared" si="13"/>
        <v>1.0785</v>
      </c>
    </row>
    <row r="82" spans="2:16">
      <c r="C82" s="34">
        <v>11</v>
      </c>
      <c r="D82" s="34" t="s">
        <v>204</v>
      </c>
      <c r="E82" s="341" t="s">
        <v>205</v>
      </c>
      <c r="F82" s="13">
        <v>770.23</v>
      </c>
      <c r="G82" s="339">
        <f t="shared" si="16"/>
        <v>10.46081760152112</v>
      </c>
      <c r="H82" s="339">
        <f t="shared" si="14"/>
        <v>0.87173480012675997</v>
      </c>
      <c r="I82" s="14">
        <f t="shared" si="17"/>
        <v>770.23</v>
      </c>
      <c r="J82" s="14">
        <f t="shared" si="20"/>
        <v>0</v>
      </c>
      <c r="K82" s="347">
        <f>H82*2.17</f>
        <v>1.8916645162750692</v>
      </c>
      <c r="L82" s="109">
        <f>M83*2.17</f>
        <v>73.628100000000003</v>
      </c>
      <c r="M82" s="14">
        <v>73.63</v>
      </c>
      <c r="N82" s="97">
        <f t="shared" si="19"/>
        <v>79.409954999999997</v>
      </c>
      <c r="O82" s="99">
        <f t="shared" si="18"/>
        <v>830.69305500000007</v>
      </c>
      <c r="P82" s="98">
        <f t="shared" si="13"/>
        <v>1.0785</v>
      </c>
    </row>
    <row r="83" spans="2:16">
      <c r="C83" s="34">
        <v>236</v>
      </c>
      <c r="D83" s="34" t="s">
        <v>206</v>
      </c>
      <c r="E83" s="341" t="s">
        <v>84</v>
      </c>
      <c r="F83" s="13">
        <v>7939.62</v>
      </c>
      <c r="G83" s="339">
        <f t="shared" si="16"/>
        <v>234</v>
      </c>
      <c r="H83" s="339">
        <f t="shared" si="14"/>
        <v>19.5</v>
      </c>
      <c r="I83" s="14">
        <f t="shared" si="17"/>
        <v>7939.62</v>
      </c>
      <c r="J83" s="14">
        <f t="shared" si="20"/>
        <v>0</v>
      </c>
      <c r="K83" s="350">
        <f>H83</f>
        <v>19.5</v>
      </c>
      <c r="L83" s="34"/>
      <c r="M83" s="14">
        <v>33.93</v>
      </c>
      <c r="N83" s="97">
        <f t="shared" si="19"/>
        <v>36.593505</v>
      </c>
      <c r="O83" s="99">
        <f t="shared" si="18"/>
        <v>8562.8801700000004</v>
      </c>
      <c r="P83" s="98">
        <f t="shared" si="13"/>
        <v>1.0785</v>
      </c>
    </row>
    <row r="84" spans="2:16">
      <c r="C84" s="34">
        <v>275</v>
      </c>
      <c r="D84" s="34" t="s">
        <v>207</v>
      </c>
      <c r="E84" s="341" t="s">
        <v>208</v>
      </c>
      <c r="F84" s="13">
        <v>1881.5</v>
      </c>
      <c r="G84" s="339">
        <f t="shared" si="16"/>
        <v>265</v>
      </c>
      <c r="H84" s="339">
        <f t="shared" si="14"/>
        <v>22.083333333333332</v>
      </c>
      <c r="I84" s="14">
        <f t="shared" si="17"/>
        <v>1881.5</v>
      </c>
      <c r="J84" s="14">
        <f t="shared" si="20"/>
        <v>0</v>
      </c>
      <c r="K84" s="347">
        <f>K81+K82+K83</f>
        <v>42.680831182941731</v>
      </c>
      <c r="L84" s="34"/>
      <c r="M84" s="14">
        <v>7.1</v>
      </c>
      <c r="N84" s="97">
        <f t="shared" si="19"/>
        <v>7.6573500000000001</v>
      </c>
      <c r="O84" s="99">
        <f t="shared" si="18"/>
        <v>2029.19775</v>
      </c>
      <c r="P84" s="98">
        <f t="shared" si="13"/>
        <v>1.0785</v>
      </c>
    </row>
    <row r="85" spans="2:16">
      <c r="C85" s="34">
        <v>34</v>
      </c>
      <c r="D85" s="34" t="s">
        <v>209</v>
      </c>
      <c r="E85" s="341" t="s">
        <v>210</v>
      </c>
      <c r="F85" s="13">
        <v>482.8</v>
      </c>
      <c r="G85" s="339">
        <f t="shared" si="16"/>
        <v>34</v>
      </c>
      <c r="H85" s="339">
        <f t="shared" si="14"/>
        <v>2.8333333333333335</v>
      </c>
      <c r="I85" s="14">
        <f t="shared" si="17"/>
        <v>482.8</v>
      </c>
      <c r="J85" s="14">
        <f t="shared" si="20"/>
        <v>0</v>
      </c>
      <c r="K85" s="34"/>
      <c r="L85" s="34"/>
      <c r="M85" s="14">
        <v>14.2</v>
      </c>
      <c r="N85" s="97">
        <f t="shared" si="19"/>
        <v>15.3147</v>
      </c>
      <c r="O85" s="99">
        <f t="shared" si="18"/>
        <v>520.69979999999998</v>
      </c>
      <c r="P85" s="98">
        <f t="shared" si="13"/>
        <v>1.0785</v>
      </c>
    </row>
    <row r="86" spans="2:16">
      <c r="C86" s="34">
        <v>11</v>
      </c>
      <c r="D86" s="34" t="s">
        <v>211</v>
      </c>
      <c r="E86" s="341" t="s">
        <v>212</v>
      </c>
      <c r="F86" s="13">
        <v>234.3</v>
      </c>
      <c r="G86" s="339">
        <f t="shared" si="16"/>
        <v>11</v>
      </c>
      <c r="H86" s="339">
        <f t="shared" si="14"/>
        <v>0.91666666666666663</v>
      </c>
      <c r="I86" s="14">
        <f t="shared" si="17"/>
        <v>234.29999999999998</v>
      </c>
      <c r="J86" s="14">
        <f t="shared" si="20"/>
        <v>0</v>
      </c>
      <c r="K86" s="34"/>
      <c r="L86" s="34"/>
      <c r="M86" s="14">
        <v>21.3</v>
      </c>
      <c r="N86" s="97">
        <f t="shared" si="19"/>
        <v>22.972049999999999</v>
      </c>
      <c r="O86" s="99">
        <f t="shared" si="18"/>
        <v>252.69255000000001</v>
      </c>
      <c r="P86" s="98">
        <f t="shared" si="13"/>
        <v>1.0785</v>
      </c>
    </row>
    <row r="87" spans="2:16">
      <c r="C87" s="34">
        <v>52</v>
      </c>
      <c r="D87" s="34" t="s">
        <v>213</v>
      </c>
      <c r="E87" s="341" t="s">
        <v>214</v>
      </c>
      <c r="F87" s="13">
        <v>363.48</v>
      </c>
      <c r="G87" s="339">
        <f t="shared" si="16"/>
        <v>52</v>
      </c>
      <c r="H87" s="339">
        <f t="shared" si="14"/>
        <v>4.333333333333333</v>
      </c>
      <c r="I87" s="14">
        <f t="shared" si="17"/>
        <v>363.48</v>
      </c>
      <c r="J87" s="14">
        <f t="shared" si="20"/>
        <v>0</v>
      </c>
      <c r="K87" s="34"/>
      <c r="L87" s="34"/>
      <c r="M87" s="14">
        <v>6.99</v>
      </c>
      <c r="N87" s="97">
        <f t="shared" si="19"/>
        <v>7.5387150000000007</v>
      </c>
      <c r="O87" s="99">
        <f t="shared" si="18"/>
        <v>392.01318000000003</v>
      </c>
      <c r="P87" s="98">
        <f t="shared" ref="P87:P104" si="21">O87/F87</f>
        <v>1.0785</v>
      </c>
    </row>
    <row r="88" spans="2:16">
      <c r="C88" s="34">
        <v>1245</v>
      </c>
      <c r="D88" s="34" t="s">
        <v>215</v>
      </c>
      <c r="E88" s="341" t="s">
        <v>92</v>
      </c>
      <c r="F88" s="13">
        <v>22384.05</v>
      </c>
      <c r="G88" s="339">
        <f t="shared" si="16"/>
        <v>1215.8636610537751</v>
      </c>
      <c r="H88" s="339">
        <f t="shared" si="14"/>
        <v>101.32197175448125</v>
      </c>
      <c r="I88" s="14">
        <f t="shared" si="17"/>
        <v>22384.05</v>
      </c>
      <c r="J88" s="14">
        <f t="shared" si="20"/>
        <v>0</v>
      </c>
      <c r="K88" s="34"/>
      <c r="L88" s="34"/>
      <c r="M88" s="14">
        <v>18.41</v>
      </c>
      <c r="N88" s="97">
        <f t="shared" si="19"/>
        <v>19.855184999999999</v>
      </c>
      <c r="O88" s="99">
        <f t="shared" si="18"/>
        <v>24141.197925</v>
      </c>
      <c r="P88" s="98">
        <f t="shared" si="21"/>
        <v>1.0785</v>
      </c>
    </row>
    <row r="89" spans="2:16">
      <c r="C89" s="34">
        <v>52</v>
      </c>
      <c r="D89" s="34" t="s">
        <v>216</v>
      </c>
      <c r="E89" s="341" t="s">
        <v>217</v>
      </c>
      <c r="F89" s="13">
        <v>1522</v>
      </c>
      <c r="G89" s="339">
        <f t="shared" si="16"/>
        <v>50</v>
      </c>
      <c r="H89" s="339">
        <f t="shared" si="14"/>
        <v>4.166666666666667</v>
      </c>
      <c r="I89" s="14">
        <f t="shared" si="17"/>
        <v>1522</v>
      </c>
      <c r="J89" s="14">
        <f t="shared" si="20"/>
        <v>0</v>
      </c>
      <c r="K89" s="34"/>
      <c r="L89" s="34"/>
      <c r="M89" s="14">
        <v>30.44</v>
      </c>
      <c r="N89" s="97">
        <f t="shared" si="19"/>
        <v>32.829540000000001</v>
      </c>
      <c r="O89" s="99">
        <f t="shared" si="18"/>
        <v>1641.4770000000001</v>
      </c>
      <c r="P89" s="98">
        <f t="shared" si="21"/>
        <v>1.0785</v>
      </c>
    </row>
    <row r="90" spans="2:16">
      <c r="C90" s="34">
        <v>93</v>
      </c>
      <c r="D90" s="34" t="s">
        <v>218</v>
      </c>
      <c r="E90" s="341" t="s">
        <v>219</v>
      </c>
      <c r="F90" s="13">
        <v>3868.1</v>
      </c>
      <c r="G90" s="339">
        <f t="shared" si="16"/>
        <v>98.500127323656727</v>
      </c>
      <c r="H90" s="339">
        <f t="shared" si="14"/>
        <v>8.2083439436380612</v>
      </c>
      <c r="I90" s="14">
        <f t="shared" si="17"/>
        <v>3868.1000000000004</v>
      </c>
      <c r="J90" s="14">
        <f t="shared" si="20"/>
        <v>0</v>
      </c>
      <c r="K90" s="34">
        <v>98.5</v>
      </c>
      <c r="L90" s="34" t="s">
        <v>220</v>
      </c>
      <c r="M90" s="14">
        <v>39.270000000000003</v>
      </c>
      <c r="N90" s="97">
        <f t="shared" si="19"/>
        <v>42.352695000000004</v>
      </c>
      <c r="O90" s="99">
        <f t="shared" si="18"/>
        <v>4171.7458500000002</v>
      </c>
      <c r="P90" s="98">
        <f t="shared" si="21"/>
        <v>1.0785</v>
      </c>
    </row>
    <row r="91" spans="2:16">
      <c r="C91" s="34">
        <v>25</v>
      </c>
      <c r="D91" s="34" t="s">
        <v>221</v>
      </c>
      <c r="E91" s="341" t="s">
        <v>222</v>
      </c>
      <c r="F91" s="13">
        <v>241.68</v>
      </c>
      <c r="G91" s="339">
        <f t="shared" si="16"/>
        <v>106.00000000000001</v>
      </c>
      <c r="H91" s="339">
        <f t="shared" si="14"/>
        <v>8.8333333333333339</v>
      </c>
      <c r="I91" s="14">
        <f t="shared" si="17"/>
        <v>241.68</v>
      </c>
      <c r="J91" s="14">
        <f t="shared" si="20"/>
        <v>0</v>
      </c>
      <c r="K91" s="34">
        <v>106</v>
      </c>
      <c r="L91" s="34" t="s">
        <v>220</v>
      </c>
      <c r="M91" s="14">
        <v>2.2799999999999998</v>
      </c>
      <c r="N91" s="97">
        <f t="shared" si="19"/>
        <v>2.4589799999999999</v>
      </c>
      <c r="O91" s="99">
        <f t="shared" si="18"/>
        <v>260.65188000000001</v>
      </c>
      <c r="P91" s="98">
        <f t="shared" si="21"/>
        <v>1.0785</v>
      </c>
    </row>
    <row r="92" spans="2:16">
      <c r="C92" s="34">
        <v>60</v>
      </c>
      <c r="D92" s="34" t="s">
        <v>223</v>
      </c>
      <c r="E92" s="341" t="s">
        <v>224</v>
      </c>
      <c r="F92" s="13">
        <v>1922.39</v>
      </c>
      <c r="G92" s="339">
        <f t="shared" si="16"/>
        <v>50.509458749343139</v>
      </c>
      <c r="H92" s="339">
        <f t="shared" si="14"/>
        <v>4.2091215624452616</v>
      </c>
      <c r="I92" s="14">
        <f t="shared" si="17"/>
        <v>1922.3899999999999</v>
      </c>
      <c r="J92" s="14">
        <f t="shared" si="20"/>
        <v>0</v>
      </c>
      <c r="K92" s="34"/>
      <c r="L92" s="34"/>
      <c r="M92" s="14">
        <v>38.06</v>
      </c>
      <c r="N92" s="97">
        <f t="shared" si="19"/>
        <v>41.047710000000002</v>
      </c>
      <c r="O92" s="99">
        <f t="shared" si="18"/>
        <v>2073.297615</v>
      </c>
      <c r="P92" s="98">
        <f t="shared" si="21"/>
        <v>1.0785</v>
      </c>
    </row>
    <row r="93" spans="2:16">
      <c r="C93" s="34">
        <v>1</v>
      </c>
      <c r="D93" s="34" t="s">
        <v>225</v>
      </c>
      <c r="E93" s="341" t="s">
        <v>226</v>
      </c>
      <c r="F93" s="13">
        <v>47.49</v>
      </c>
      <c r="G93" s="339">
        <f t="shared" si="16"/>
        <v>1</v>
      </c>
      <c r="H93" s="339">
        <f t="shared" si="14"/>
        <v>8.3333333333333329E-2</v>
      </c>
      <c r="I93" s="14">
        <f t="shared" si="17"/>
        <v>47.49</v>
      </c>
      <c r="J93" s="14">
        <f t="shared" si="20"/>
        <v>0</v>
      </c>
      <c r="K93" s="34"/>
      <c r="L93" s="34"/>
      <c r="M93" s="14">
        <v>47.49</v>
      </c>
      <c r="N93" s="97">
        <f t="shared" si="19"/>
        <v>51.217965</v>
      </c>
      <c r="O93" s="99">
        <f t="shared" si="18"/>
        <v>51.217965</v>
      </c>
      <c r="P93" s="98">
        <f t="shared" si="21"/>
        <v>1.0785</v>
      </c>
    </row>
    <row r="94" spans="2:16">
      <c r="C94" s="34">
        <v>4</v>
      </c>
      <c r="D94" s="34" t="s">
        <v>227</v>
      </c>
      <c r="E94" s="341" t="s">
        <v>228</v>
      </c>
      <c r="F94" s="13">
        <v>502.08</v>
      </c>
      <c r="G94" s="339">
        <f t="shared" si="16"/>
        <v>5.9999999999999991</v>
      </c>
      <c r="H94" s="339">
        <f t="shared" si="14"/>
        <v>0.49999999999999994</v>
      </c>
      <c r="I94" s="14">
        <f t="shared" si="17"/>
        <v>502.07999999999993</v>
      </c>
      <c r="J94" s="14">
        <f t="shared" si="20"/>
        <v>0</v>
      </c>
      <c r="K94" s="34">
        <v>6</v>
      </c>
      <c r="L94" s="34" t="s">
        <v>105</v>
      </c>
      <c r="M94" s="14">
        <v>83.68</v>
      </c>
      <c r="N94" s="97">
        <f t="shared" si="19"/>
        <v>90.248880000000014</v>
      </c>
      <c r="O94" s="99">
        <f t="shared" si="18"/>
        <v>541.49328000000003</v>
      </c>
      <c r="P94" s="98">
        <f t="shared" si="21"/>
        <v>1.0785</v>
      </c>
    </row>
    <row r="95" spans="2:16">
      <c r="B95" s="34" t="s">
        <v>1094</v>
      </c>
      <c r="C95" s="34">
        <v>256</v>
      </c>
      <c r="D95" s="34" t="s">
        <v>229</v>
      </c>
      <c r="E95" s="341" t="s">
        <v>230</v>
      </c>
      <c r="F95" s="13">
        <v>7423.2</v>
      </c>
      <c r="G95" s="339">
        <f t="shared" si="16"/>
        <v>252.40394423665418</v>
      </c>
      <c r="H95" s="339">
        <f t="shared" si="14"/>
        <v>21.033662019721181</v>
      </c>
      <c r="I95" s="14">
        <f t="shared" si="17"/>
        <v>7423.1999999999989</v>
      </c>
      <c r="J95" s="14">
        <f t="shared" si="20"/>
        <v>0</v>
      </c>
      <c r="K95" s="34"/>
      <c r="L95" s="34"/>
      <c r="M95" s="14">
        <v>29.41</v>
      </c>
      <c r="N95" s="97">
        <f t="shared" si="19"/>
        <v>31.718685000000001</v>
      </c>
      <c r="O95" s="99">
        <f t="shared" si="18"/>
        <v>8005.9211999999998</v>
      </c>
      <c r="P95" s="98">
        <f t="shared" si="21"/>
        <v>1.0785</v>
      </c>
    </row>
    <row r="96" spans="2:16">
      <c r="B96" s="34" t="s">
        <v>1094</v>
      </c>
      <c r="C96" s="34">
        <v>61</v>
      </c>
      <c r="D96" s="34" t="s">
        <v>231</v>
      </c>
      <c r="E96" s="341" t="s">
        <v>232</v>
      </c>
      <c r="F96" s="13">
        <v>1516.57</v>
      </c>
      <c r="G96" s="339">
        <f t="shared" si="16"/>
        <v>59.310520140789983</v>
      </c>
      <c r="H96" s="339">
        <f t="shared" si="14"/>
        <v>4.9425433450658316</v>
      </c>
      <c r="I96" s="14">
        <f t="shared" si="17"/>
        <v>1516.5699999999997</v>
      </c>
      <c r="J96" s="14">
        <f t="shared" si="20"/>
        <v>0</v>
      </c>
      <c r="K96" s="34"/>
      <c r="L96" s="34"/>
      <c r="M96" s="14">
        <v>25.57</v>
      </c>
      <c r="N96" s="97">
        <f t="shared" si="19"/>
        <v>27.577245000000001</v>
      </c>
      <c r="O96" s="99">
        <f t="shared" si="18"/>
        <v>1635.6207449999999</v>
      </c>
      <c r="P96" s="98">
        <f t="shared" si="21"/>
        <v>1.0785</v>
      </c>
    </row>
    <row r="97" spans="1:17">
      <c r="B97" s="34" t="s">
        <v>1094</v>
      </c>
      <c r="C97" s="34">
        <v>4</v>
      </c>
      <c r="D97" s="34" t="s">
        <v>233</v>
      </c>
      <c r="E97" s="341" t="s">
        <v>234</v>
      </c>
      <c r="F97" s="13">
        <v>67.319999999999993</v>
      </c>
      <c r="G97" s="339">
        <f t="shared" si="16"/>
        <v>4</v>
      </c>
      <c r="H97" s="339">
        <f t="shared" si="14"/>
        <v>0.33333333333333331</v>
      </c>
      <c r="I97" s="14">
        <f t="shared" si="17"/>
        <v>67.319999999999993</v>
      </c>
      <c r="J97" s="14">
        <f t="shared" si="20"/>
        <v>0</v>
      </c>
      <c r="K97" s="34"/>
      <c r="L97" s="34"/>
      <c r="M97" s="14">
        <v>16.829999999999998</v>
      </c>
      <c r="N97" s="97">
        <f t="shared" si="19"/>
        <v>18.151154999999999</v>
      </c>
      <c r="O97" s="99">
        <f t="shared" si="18"/>
        <v>72.604619999999997</v>
      </c>
      <c r="P97" s="98">
        <f t="shared" si="21"/>
        <v>1.0785</v>
      </c>
    </row>
    <row r="98" spans="1:17">
      <c r="B98" s="34" t="s">
        <v>1094</v>
      </c>
      <c r="C98" s="34">
        <v>71</v>
      </c>
      <c r="D98" s="34" t="s">
        <v>235</v>
      </c>
      <c r="E98" s="341" t="s">
        <v>236</v>
      </c>
      <c r="F98" s="13">
        <v>2276.0100000000002</v>
      </c>
      <c r="G98" s="339">
        <f t="shared" si="16"/>
        <v>64.899059024807528</v>
      </c>
      <c r="H98" s="339">
        <f t="shared" si="14"/>
        <v>5.4082549187339604</v>
      </c>
      <c r="I98" s="14">
        <f t="shared" si="17"/>
        <v>2276.0099999999998</v>
      </c>
      <c r="J98" s="14">
        <f t="shared" si="20"/>
        <v>0</v>
      </c>
      <c r="K98" s="34"/>
      <c r="L98" s="34"/>
      <c r="M98" s="14">
        <v>35.07</v>
      </c>
      <c r="N98" s="97">
        <f t="shared" si="19"/>
        <v>37.822994999999999</v>
      </c>
      <c r="O98" s="99">
        <f t="shared" si="18"/>
        <v>2454.6767850000001</v>
      </c>
      <c r="P98" s="98">
        <f t="shared" si="21"/>
        <v>1.0785</v>
      </c>
    </row>
    <row r="99" spans="1:17">
      <c r="B99" s="34" t="s">
        <v>1094</v>
      </c>
      <c r="C99" s="34">
        <v>2</v>
      </c>
      <c r="D99" s="34" t="s">
        <v>237</v>
      </c>
      <c r="E99" s="341" t="s">
        <v>238</v>
      </c>
      <c r="F99" s="13">
        <v>55.86</v>
      </c>
      <c r="G99" s="339">
        <f t="shared" ref="G99:G104" si="22">F99/M99</f>
        <v>1.9215686274509804</v>
      </c>
      <c r="H99" s="339">
        <f t="shared" si="14"/>
        <v>0.16013071895424838</v>
      </c>
      <c r="I99" s="14">
        <f t="shared" ref="I99:I104" si="23">H99*M99*12</f>
        <v>55.86</v>
      </c>
      <c r="J99" s="14">
        <f t="shared" si="20"/>
        <v>0</v>
      </c>
      <c r="K99" s="34"/>
      <c r="L99" s="34"/>
      <c r="M99" s="14">
        <v>29.07</v>
      </c>
      <c r="N99" s="97">
        <f t="shared" si="19"/>
        <v>31.351995000000002</v>
      </c>
      <c r="O99" s="99">
        <f t="shared" ref="O99:O105" si="24">F99*1.0785</f>
        <v>60.245010000000001</v>
      </c>
      <c r="P99" s="98">
        <f t="shared" si="21"/>
        <v>1.0785</v>
      </c>
    </row>
    <row r="100" spans="1:17">
      <c r="B100" s="34" t="s">
        <v>1094</v>
      </c>
      <c r="C100" s="34">
        <v>8</v>
      </c>
      <c r="D100" s="34" t="s">
        <v>239</v>
      </c>
      <c r="E100" s="341" t="s">
        <v>240</v>
      </c>
      <c r="F100" s="13">
        <v>71.44</v>
      </c>
      <c r="G100" s="339">
        <f t="shared" si="22"/>
        <v>8</v>
      </c>
      <c r="H100" s="339">
        <f t="shared" si="14"/>
        <v>0.66666666666666663</v>
      </c>
      <c r="I100" s="14">
        <f t="shared" si="23"/>
        <v>71.44</v>
      </c>
      <c r="J100" s="14">
        <f t="shared" si="20"/>
        <v>0</v>
      </c>
      <c r="K100" s="34"/>
      <c r="L100" s="34"/>
      <c r="M100" s="14">
        <v>8.93</v>
      </c>
      <c r="N100" s="97">
        <f t="shared" si="19"/>
        <v>9.631005</v>
      </c>
      <c r="O100" s="99">
        <f t="shared" si="24"/>
        <v>77.04804</v>
      </c>
      <c r="P100" s="98">
        <f t="shared" si="21"/>
        <v>1.0785</v>
      </c>
    </row>
    <row r="101" spans="1:17">
      <c r="B101" s="34" t="s">
        <v>1094</v>
      </c>
      <c r="C101" s="34">
        <v>12</v>
      </c>
      <c r="D101" s="34" t="s">
        <v>241</v>
      </c>
      <c r="E101" s="341" t="s">
        <v>242</v>
      </c>
      <c r="F101" s="13">
        <v>303</v>
      </c>
      <c r="G101" s="339">
        <f t="shared" si="22"/>
        <v>12</v>
      </c>
      <c r="H101" s="339">
        <f t="shared" si="14"/>
        <v>1</v>
      </c>
      <c r="I101" s="14">
        <f t="shared" si="23"/>
        <v>303</v>
      </c>
      <c r="J101" s="14">
        <f t="shared" si="20"/>
        <v>0</v>
      </c>
      <c r="K101" s="34"/>
      <c r="L101" s="34"/>
      <c r="M101" s="343">
        <v>25.25</v>
      </c>
      <c r="N101" s="97">
        <f t="shared" si="19"/>
        <v>27.232125</v>
      </c>
      <c r="O101" s="99">
        <f t="shared" si="24"/>
        <v>326.78550000000001</v>
      </c>
      <c r="P101" s="98">
        <f t="shared" si="21"/>
        <v>1.0785</v>
      </c>
    </row>
    <row r="102" spans="1:17">
      <c r="C102" s="34">
        <v>51</v>
      </c>
      <c r="D102" s="34" t="s">
        <v>243</v>
      </c>
      <c r="E102" s="34" t="s">
        <v>244</v>
      </c>
      <c r="F102" s="13">
        <v>-610.46</v>
      </c>
      <c r="G102" s="339" t="e">
        <f t="shared" si="22"/>
        <v>#DIV/0!</v>
      </c>
      <c r="H102" s="339" t="e">
        <f t="shared" si="14"/>
        <v>#DIV/0!</v>
      </c>
      <c r="I102" s="14" t="e">
        <f t="shared" si="23"/>
        <v>#DIV/0!</v>
      </c>
      <c r="J102" s="14" t="e">
        <f t="shared" si="20"/>
        <v>#DIV/0!</v>
      </c>
      <c r="K102" s="34"/>
      <c r="L102" s="34"/>
      <c r="M102" s="14"/>
      <c r="N102" s="97">
        <f t="shared" si="19"/>
        <v>0</v>
      </c>
      <c r="O102" s="99">
        <f t="shared" si="24"/>
        <v>-658.38111000000004</v>
      </c>
      <c r="P102" s="98">
        <f t="shared" si="21"/>
        <v>1.0785</v>
      </c>
    </row>
    <row r="103" spans="1:17">
      <c r="D103" s="34" t="s">
        <v>245</v>
      </c>
      <c r="E103" s="34" t="s">
        <v>246</v>
      </c>
      <c r="F103" s="13">
        <v>451.08</v>
      </c>
      <c r="G103" s="339">
        <f t="shared" si="22"/>
        <v>28</v>
      </c>
      <c r="H103" s="339">
        <f t="shared" si="14"/>
        <v>2.3333333333333335</v>
      </c>
      <c r="I103" s="14">
        <f t="shared" si="23"/>
        <v>451.08000000000004</v>
      </c>
      <c r="J103" s="14">
        <f t="shared" si="20"/>
        <v>0</v>
      </c>
      <c r="K103" s="34"/>
      <c r="L103" s="34"/>
      <c r="M103" s="14">
        <v>16.11</v>
      </c>
      <c r="N103" s="97">
        <f t="shared" si="19"/>
        <v>17.374635000000001</v>
      </c>
      <c r="O103" s="99">
        <f t="shared" si="24"/>
        <v>486.48978</v>
      </c>
      <c r="P103" s="98">
        <f t="shared" si="21"/>
        <v>1.0785</v>
      </c>
    </row>
    <row r="104" spans="1:17">
      <c r="D104" s="34" t="s">
        <v>247</v>
      </c>
      <c r="E104" s="34" t="s">
        <v>248</v>
      </c>
      <c r="F104" s="13">
        <v>10.74</v>
      </c>
      <c r="G104" s="339">
        <f t="shared" si="22"/>
        <v>1</v>
      </c>
      <c r="H104" s="339">
        <f t="shared" si="14"/>
        <v>8.3333333333333329E-2</v>
      </c>
      <c r="I104" s="14">
        <f t="shared" si="23"/>
        <v>10.74</v>
      </c>
      <c r="J104" s="14">
        <f t="shared" si="20"/>
        <v>0</v>
      </c>
      <c r="K104" s="34"/>
      <c r="L104" s="34"/>
      <c r="M104" s="14">
        <v>10.74</v>
      </c>
      <c r="N104" s="97">
        <f t="shared" si="19"/>
        <v>11.58309</v>
      </c>
      <c r="O104" s="99">
        <f t="shared" si="24"/>
        <v>11.58309</v>
      </c>
      <c r="P104" s="98">
        <f t="shared" si="21"/>
        <v>1.0785</v>
      </c>
    </row>
    <row r="105" spans="1:17">
      <c r="D105" t="s">
        <v>687</v>
      </c>
      <c r="F105" s="13">
        <v>-1218</v>
      </c>
      <c r="O105" s="99">
        <f t="shared" si="24"/>
        <v>-1313.6130000000001</v>
      </c>
    </row>
    <row r="106" spans="1:17">
      <c r="A106" s="34"/>
      <c r="F106" s="58">
        <f>SUM(F3:F105)</f>
        <v>502571.76</v>
      </c>
      <c r="G106" s="338" t="s">
        <v>1093</v>
      </c>
      <c r="H106" s="338"/>
      <c r="I106" s="338"/>
      <c r="J106" s="338"/>
      <c r="K106" s="338"/>
      <c r="M106" s="34"/>
      <c r="O106" s="5">
        <f>SUM(O3:O105)</f>
        <v>542023.64315999974</v>
      </c>
      <c r="P106" s="13">
        <f>O106/F106</f>
        <v>1.0784999999999996</v>
      </c>
      <c r="Q106" s="13">
        <f>O106-F106</f>
        <v>39451.883159999736</v>
      </c>
    </row>
    <row r="107" spans="1:17">
      <c r="G107" s="3"/>
      <c r="H107" s="3"/>
      <c r="I107" s="3"/>
      <c r="J107" s="3"/>
      <c r="K107" s="3" t="s">
        <v>719</v>
      </c>
    </row>
    <row r="108" spans="1:17">
      <c r="G108" s="3" t="s">
        <v>12</v>
      </c>
      <c r="H108" s="3"/>
      <c r="I108" s="3"/>
      <c r="J108" s="3"/>
      <c r="K108" s="3" t="s">
        <v>720</v>
      </c>
      <c r="M108" s="3" t="s">
        <v>721</v>
      </c>
    </row>
    <row r="109" spans="1:17">
      <c r="G109" s="3" t="s">
        <v>688</v>
      </c>
      <c r="H109" s="3"/>
      <c r="I109" s="3"/>
      <c r="J109" s="3"/>
      <c r="K109" s="3" t="s">
        <v>675</v>
      </c>
      <c r="M109" s="3" t="s">
        <v>608</v>
      </c>
    </row>
    <row r="110" spans="1:17">
      <c r="A110" s="34">
        <v>1</v>
      </c>
      <c r="C110" s="51" t="s">
        <v>410</v>
      </c>
      <c r="G110" s="3" t="s">
        <v>608</v>
      </c>
      <c r="H110" s="3"/>
      <c r="I110" s="3"/>
      <c r="J110" s="3"/>
      <c r="K110" s="3" t="s">
        <v>608</v>
      </c>
      <c r="M110" s="3" t="s">
        <v>722</v>
      </c>
      <c r="O110" s="4"/>
    </row>
    <row r="111" spans="1:17">
      <c r="A111" s="34">
        <v>64</v>
      </c>
      <c r="C111" s="34" t="s">
        <v>249</v>
      </c>
      <c r="D111" s="34" t="s">
        <v>250</v>
      </c>
      <c r="F111" s="13">
        <v>20926.72</v>
      </c>
      <c r="G111" s="104">
        <v>326.98</v>
      </c>
      <c r="H111" s="104"/>
      <c r="I111" s="104"/>
      <c r="J111" s="104"/>
      <c r="K111" s="4">
        <f>N50+N51*25</f>
        <v>283.63471500000003</v>
      </c>
      <c r="L111" s="14"/>
      <c r="M111" s="13">
        <f>G111-K111</f>
        <v>43.34528499999999</v>
      </c>
      <c r="O111" s="4">
        <f>F111</f>
        <v>20926.72</v>
      </c>
    </row>
    <row r="112" spans="1:17">
      <c r="A112" s="34">
        <v>3</v>
      </c>
      <c r="C112" s="34" t="s">
        <v>251</v>
      </c>
      <c r="D112" s="34" t="s">
        <v>252</v>
      </c>
      <c r="F112" s="13">
        <v>1477.68</v>
      </c>
      <c r="G112" s="104">
        <v>492.56</v>
      </c>
      <c r="H112" s="104"/>
      <c r="I112" s="104"/>
      <c r="J112" s="104"/>
      <c r="K112" s="4">
        <f>N50+N51*25</f>
        <v>283.63471500000003</v>
      </c>
      <c r="L112" s="14"/>
      <c r="M112" s="13">
        <f>G112-K112</f>
        <v>208.92528499999997</v>
      </c>
      <c r="O112" s="4">
        <f>F112</f>
        <v>1477.68</v>
      </c>
    </row>
    <row r="113" spans="1:20">
      <c r="A113" s="34">
        <v>40</v>
      </c>
      <c r="C113" s="34" t="s">
        <v>253</v>
      </c>
      <c r="D113" s="34" t="s">
        <v>254</v>
      </c>
      <c r="F113" s="13">
        <v>13295.2</v>
      </c>
      <c r="G113" s="14">
        <v>332.38</v>
      </c>
      <c r="H113" s="14"/>
      <c r="I113" s="14"/>
      <c r="J113" s="14"/>
      <c r="K113" s="4">
        <f>N50+N51*30</f>
        <v>296.037465</v>
      </c>
      <c r="L113" s="14"/>
      <c r="M113" s="13">
        <f>G113-K113</f>
        <v>36.342534999999998</v>
      </c>
      <c r="N113" s="34"/>
      <c r="O113" s="4">
        <f>F113</f>
        <v>13295.2</v>
      </c>
    </row>
    <row r="114" spans="1:20">
      <c r="A114" s="34">
        <v>13</v>
      </c>
      <c r="C114" s="34" t="s">
        <v>255</v>
      </c>
      <c r="D114" s="34" t="s">
        <v>256</v>
      </c>
      <c r="F114" s="13">
        <v>5537.35</v>
      </c>
      <c r="G114" s="104">
        <v>425.95</v>
      </c>
      <c r="H114" s="104"/>
      <c r="I114" s="104"/>
      <c r="J114" s="104"/>
      <c r="K114" s="4">
        <f>N50+N51*35</f>
        <v>308.44021500000002</v>
      </c>
      <c r="L114" s="14"/>
      <c r="M114" s="13">
        <f>G114-K114</f>
        <v>117.50978499999997</v>
      </c>
      <c r="N114" s="34"/>
      <c r="O114" s="4">
        <f>F114</f>
        <v>5537.35</v>
      </c>
    </row>
    <row r="115" spans="1:20">
      <c r="A115" s="34"/>
      <c r="C115" s="34"/>
      <c r="D115" s="34"/>
      <c r="G115" s="34"/>
      <c r="K115" s="34"/>
      <c r="L115" s="14"/>
      <c r="M115" s="34"/>
      <c r="N115" s="34"/>
      <c r="O115" s="4"/>
    </row>
    <row r="116" spans="1:20">
      <c r="C116" s="34"/>
      <c r="D116" s="34"/>
      <c r="F116" s="58">
        <f>SUM(F111:F115)</f>
        <v>41236.950000000004</v>
      </c>
      <c r="G116" s="338" t="s">
        <v>1093</v>
      </c>
      <c r="H116" s="338"/>
      <c r="I116" s="338"/>
      <c r="J116" s="338"/>
      <c r="K116" s="338"/>
      <c r="L116" s="34"/>
      <c r="M116" s="34"/>
      <c r="N116" s="34"/>
      <c r="O116" s="5">
        <f>SUM(O111:O115)</f>
        <v>41236.950000000004</v>
      </c>
      <c r="P116" s="4"/>
      <c r="Q116" s="4"/>
    </row>
    <row r="117" spans="1:20">
      <c r="C117" s="34"/>
      <c r="D117" s="34"/>
      <c r="F117" s="34"/>
      <c r="G117" s="34"/>
      <c r="K117" s="34"/>
      <c r="L117" s="34"/>
      <c r="M117" s="34"/>
      <c r="N117" s="34"/>
      <c r="O117" s="4"/>
    </row>
    <row r="118" spans="1:20">
      <c r="C118" s="51" t="s">
        <v>413</v>
      </c>
      <c r="D118" s="34"/>
      <c r="F118" s="58">
        <v>545026.71</v>
      </c>
      <c r="K118" s="34"/>
      <c r="L118" s="34"/>
      <c r="M118" s="34"/>
      <c r="N118" s="34"/>
      <c r="O118" s="5">
        <f>O116+O106</f>
        <v>583260.5931599997</v>
      </c>
      <c r="Q118" s="13"/>
    </row>
    <row r="119" spans="1:20">
      <c r="C119" s="34"/>
      <c r="D119" s="34"/>
      <c r="E119" s="34"/>
      <c r="F119" s="34"/>
      <c r="G119" s="34"/>
      <c r="K119" s="34"/>
      <c r="L119" s="34"/>
      <c r="M119" s="34"/>
      <c r="N119" s="34"/>
      <c r="Q119" s="337"/>
      <c r="R119" s="51"/>
    </row>
    <row r="120" spans="1:20">
      <c r="C120" s="34"/>
      <c r="D120" s="34"/>
      <c r="E120" s="34"/>
      <c r="F120" s="34"/>
      <c r="G120" s="34"/>
      <c r="K120" s="34"/>
      <c r="L120" s="34"/>
      <c r="M120" s="34"/>
      <c r="N120" s="34"/>
      <c r="T120" s="4"/>
    </row>
    <row r="121" spans="1:20">
      <c r="C121" s="34"/>
      <c r="D121" s="34"/>
      <c r="K121" s="34"/>
      <c r="L121" s="34"/>
      <c r="M121" s="34"/>
      <c r="N121" s="34"/>
      <c r="T121" s="4"/>
    </row>
    <row r="122" spans="1:20">
      <c r="C122" s="34" t="s">
        <v>717</v>
      </c>
      <c r="D122" s="34"/>
      <c r="K122" s="34"/>
      <c r="L122" s="34"/>
      <c r="M122" s="34"/>
      <c r="N122" s="34"/>
      <c r="T122" s="4"/>
    </row>
    <row r="123" spans="1:20">
      <c r="C123" t="s">
        <v>718</v>
      </c>
      <c r="T123" s="4"/>
    </row>
  </sheetData>
  <conditionalFormatting sqref="L111:L114 M3:M104 G111:J114 G3:J104">
    <cfRule type="cellIs" dxfId="0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/>
  </sheetViews>
  <sheetFormatPr defaultRowHeight="14.4"/>
  <sheetData>
    <row r="2" spans="1:8" ht="25.8">
      <c r="A2" s="1" t="s">
        <v>661</v>
      </c>
      <c r="H2" s="1" t="s">
        <v>683</v>
      </c>
    </row>
    <row r="5" spans="1:8">
      <c r="A5" t="s">
        <v>662</v>
      </c>
      <c r="H5">
        <v>-1218</v>
      </c>
    </row>
    <row r="35" spans="13:13" ht="25.8">
      <c r="M3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selection activeCell="X36" sqref="X36"/>
    </sheetView>
  </sheetViews>
  <sheetFormatPr defaultRowHeight="14.4"/>
  <cols>
    <col min="1" max="1" width="0.88671875" customWidth="1"/>
    <col min="4" max="4" width="8.6640625" customWidth="1"/>
    <col min="5" max="5" width="8.88671875" hidden="1" customWidth="1"/>
    <col min="7" max="7" width="1.44140625" customWidth="1"/>
    <col min="9" max="9" width="1.109375" customWidth="1"/>
    <col min="11" max="11" width="1.109375" customWidth="1"/>
    <col min="15" max="15" width="5" customWidth="1"/>
    <col min="16" max="17" width="8.88671875" hidden="1" customWidth="1"/>
  </cols>
  <sheetData>
    <row r="2" spans="1:25" ht="25.8">
      <c r="A2" s="1" t="s">
        <v>625</v>
      </c>
      <c r="T2" s="1" t="s">
        <v>602</v>
      </c>
    </row>
    <row r="3" spans="1:25">
      <c r="A3" t="s">
        <v>626</v>
      </c>
    </row>
    <row r="4" spans="1:25" ht="15" thickBot="1">
      <c r="A4" s="25"/>
      <c r="B4" s="25"/>
      <c r="C4" s="25"/>
      <c r="D4" s="25"/>
      <c r="E4" s="25"/>
      <c r="F4" s="8" t="s">
        <v>257</v>
      </c>
      <c r="G4" s="25"/>
      <c r="H4" s="8" t="s">
        <v>258</v>
      </c>
      <c r="I4" s="25"/>
      <c r="J4" s="8" t="s">
        <v>259</v>
      </c>
      <c r="K4" s="25"/>
      <c r="L4" s="8" t="s">
        <v>260</v>
      </c>
      <c r="M4" s="25"/>
      <c r="N4" s="8" t="s">
        <v>261</v>
      </c>
      <c r="O4" s="25"/>
      <c r="P4" s="8" t="s">
        <v>262</v>
      </c>
      <c r="Q4" s="25"/>
      <c r="R4" s="8" t="s">
        <v>263</v>
      </c>
      <c r="S4" s="25"/>
      <c r="T4" s="8" t="s">
        <v>42</v>
      </c>
      <c r="U4" s="25"/>
      <c r="V4" s="8" t="s">
        <v>339</v>
      </c>
      <c r="W4" s="9"/>
      <c r="X4" s="9"/>
      <c r="Y4" s="9"/>
    </row>
    <row r="5" spans="1:25" ht="15" thickTop="1">
      <c r="A5" s="6"/>
      <c r="B5" s="6" t="s">
        <v>613</v>
      </c>
      <c r="C5" s="6"/>
      <c r="D5" s="6"/>
      <c r="E5" s="6"/>
      <c r="F5" s="6"/>
      <c r="G5" s="6"/>
      <c r="H5" s="1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7"/>
      <c r="U5" s="6"/>
      <c r="V5" s="17"/>
      <c r="W5" s="34"/>
      <c r="X5" s="34"/>
      <c r="Y5" s="34"/>
    </row>
    <row r="6" spans="1:25">
      <c r="A6" s="6"/>
      <c r="B6" s="6"/>
      <c r="C6" s="6" t="s">
        <v>614</v>
      </c>
      <c r="D6" s="6"/>
      <c r="E6" s="6"/>
      <c r="F6" s="6"/>
      <c r="G6" s="6"/>
      <c r="H6" s="1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7"/>
      <c r="U6" s="6"/>
      <c r="V6" s="17"/>
      <c r="W6" s="34"/>
      <c r="X6" s="34"/>
      <c r="Y6" s="34"/>
    </row>
    <row r="7" spans="1:25">
      <c r="A7" s="18"/>
      <c r="B7" s="18"/>
      <c r="C7" s="18"/>
      <c r="D7" s="18"/>
      <c r="E7" s="18"/>
      <c r="F7" s="18" t="s">
        <v>300</v>
      </c>
      <c r="G7" s="18"/>
      <c r="H7" s="19">
        <v>43630</v>
      </c>
      <c r="I7" s="18"/>
      <c r="J7" s="18" t="s">
        <v>615</v>
      </c>
      <c r="K7" s="18"/>
      <c r="L7" s="18" t="s">
        <v>616</v>
      </c>
      <c r="M7" s="18"/>
      <c r="N7" s="18"/>
      <c r="O7" s="18"/>
      <c r="P7" s="20"/>
      <c r="Q7" s="18"/>
      <c r="R7" s="18" t="s">
        <v>323</v>
      </c>
      <c r="S7" s="18"/>
      <c r="T7" s="21">
        <v>600</v>
      </c>
      <c r="U7" s="18"/>
      <c r="V7" s="21">
        <f t="shared" ref="V7:V12" si="0">ROUND(V6+T7,5)</f>
        <v>600</v>
      </c>
      <c r="W7" s="34"/>
      <c r="X7" s="34"/>
      <c r="Y7" s="34"/>
    </row>
    <row r="8" spans="1:25">
      <c r="A8" s="18"/>
      <c r="B8" s="18"/>
      <c r="C8" s="18"/>
      <c r="D8" s="18"/>
      <c r="E8" s="18"/>
      <c r="F8" s="18" t="s">
        <v>300</v>
      </c>
      <c r="G8" s="18"/>
      <c r="H8" s="19">
        <v>43678</v>
      </c>
      <c r="I8" s="18"/>
      <c r="J8" s="18" t="s">
        <v>617</v>
      </c>
      <c r="K8" s="18"/>
      <c r="L8" s="18" t="s">
        <v>616</v>
      </c>
      <c r="M8" s="18"/>
      <c r="N8" s="18" t="s">
        <v>618</v>
      </c>
      <c r="O8" s="18"/>
      <c r="P8" s="20"/>
      <c r="Q8" s="18"/>
      <c r="R8" s="18" t="s">
        <v>323</v>
      </c>
      <c r="S8" s="18"/>
      <c r="T8" s="21">
        <v>600</v>
      </c>
      <c r="U8" s="18"/>
      <c r="V8" s="21">
        <f t="shared" si="0"/>
        <v>1200</v>
      </c>
      <c r="W8" s="34"/>
      <c r="X8" s="34"/>
      <c r="Y8" s="34"/>
    </row>
    <row r="9" spans="1:25">
      <c r="A9" s="18"/>
      <c r="B9" s="18"/>
      <c r="C9" s="18"/>
      <c r="D9" s="18"/>
      <c r="E9" s="18"/>
      <c r="F9" s="18" t="s">
        <v>300</v>
      </c>
      <c r="G9" s="18"/>
      <c r="H9" s="19">
        <v>43709</v>
      </c>
      <c r="I9" s="18"/>
      <c r="J9" s="18" t="s">
        <v>619</v>
      </c>
      <c r="K9" s="18"/>
      <c r="L9" s="18" t="s">
        <v>616</v>
      </c>
      <c r="M9" s="18"/>
      <c r="N9" s="18" t="s">
        <v>618</v>
      </c>
      <c r="O9" s="18"/>
      <c r="P9" s="20"/>
      <c r="Q9" s="18"/>
      <c r="R9" s="18" t="s">
        <v>323</v>
      </c>
      <c r="S9" s="18"/>
      <c r="T9" s="21">
        <v>600</v>
      </c>
      <c r="U9" s="18"/>
      <c r="V9" s="21">
        <f t="shared" si="0"/>
        <v>1800</v>
      </c>
      <c r="W9" s="34"/>
      <c r="X9" s="34"/>
      <c r="Y9" s="34"/>
    </row>
    <row r="10" spans="1:25">
      <c r="A10" s="18"/>
      <c r="B10" s="18"/>
      <c r="C10" s="18"/>
      <c r="D10" s="18"/>
      <c r="E10" s="18"/>
      <c r="F10" s="18" t="s">
        <v>300</v>
      </c>
      <c r="G10" s="18"/>
      <c r="H10" s="19">
        <v>43739</v>
      </c>
      <c r="I10" s="18"/>
      <c r="J10" s="18" t="s">
        <v>620</v>
      </c>
      <c r="K10" s="18"/>
      <c r="L10" s="18" t="s">
        <v>616</v>
      </c>
      <c r="M10" s="18"/>
      <c r="N10" s="18" t="s">
        <v>618</v>
      </c>
      <c r="O10" s="18"/>
      <c r="P10" s="20"/>
      <c r="Q10" s="18"/>
      <c r="R10" s="18" t="s">
        <v>323</v>
      </c>
      <c r="S10" s="18"/>
      <c r="T10" s="21">
        <v>600</v>
      </c>
      <c r="U10" s="18"/>
      <c r="V10" s="21">
        <f t="shared" si="0"/>
        <v>2400</v>
      </c>
      <c r="W10" s="34"/>
      <c r="X10" s="34"/>
      <c r="Y10" s="34"/>
    </row>
    <row r="11" spans="1:25">
      <c r="A11" s="18"/>
      <c r="B11" s="18"/>
      <c r="C11" s="18"/>
      <c r="D11" s="18"/>
      <c r="E11" s="18"/>
      <c r="F11" s="18" t="s">
        <v>300</v>
      </c>
      <c r="G11" s="18"/>
      <c r="H11" s="19">
        <v>43770</v>
      </c>
      <c r="I11" s="18"/>
      <c r="J11" s="18" t="s">
        <v>621</v>
      </c>
      <c r="K11" s="18"/>
      <c r="L11" s="18" t="s">
        <v>616</v>
      </c>
      <c r="M11" s="18"/>
      <c r="N11" s="18" t="s">
        <v>618</v>
      </c>
      <c r="O11" s="18"/>
      <c r="P11" s="20"/>
      <c r="Q11" s="18"/>
      <c r="R11" s="18" t="s">
        <v>323</v>
      </c>
      <c r="S11" s="18"/>
      <c r="T11" s="21">
        <v>600</v>
      </c>
      <c r="U11" s="18"/>
      <c r="V11" s="21">
        <f t="shared" si="0"/>
        <v>3000</v>
      </c>
      <c r="W11" s="34"/>
      <c r="X11" s="34"/>
      <c r="Y11" s="34"/>
    </row>
    <row r="12" spans="1:25" ht="15" thickBot="1">
      <c r="A12" s="18"/>
      <c r="B12" s="18"/>
      <c r="C12" s="18"/>
      <c r="D12" s="18"/>
      <c r="E12" s="18"/>
      <c r="F12" s="18" t="s">
        <v>300</v>
      </c>
      <c r="G12" s="18"/>
      <c r="H12" s="19">
        <v>43800</v>
      </c>
      <c r="I12" s="18"/>
      <c r="J12" s="18" t="s">
        <v>622</v>
      </c>
      <c r="K12" s="18"/>
      <c r="L12" s="18" t="s">
        <v>616</v>
      </c>
      <c r="M12" s="18"/>
      <c r="N12" s="18" t="s">
        <v>618</v>
      </c>
      <c r="O12" s="18"/>
      <c r="P12" s="20"/>
      <c r="Q12" s="18"/>
      <c r="R12" s="18" t="s">
        <v>323</v>
      </c>
      <c r="S12" s="18"/>
      <c r="T12" s="22">
        <v>600</v>
      </c>
      <c r="U12" s="18"/>
      <c r="V12" s="22">
        <f t="shared" si="0"/>
        <v>3600</v>
      </c>
      <c r="W12" s="34"/>
      <c r="X12" s="34"/>
      <c r="Y12" s="34"/>
    </row>
    <row r="13" spans="1:25" ht="15" thickBot="1">
      <c r="A13" s="18"/>
      <c r="B13" s="18"/>
      <c r="C13" s="18" t="s">
        <v>623</v>
      </c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">
        <f>ROUND(SUM(T6:T12),5)</f>
        <v>3600</v>
      </c>
      <c r="U13" s="18"/>
      <c r="V13" s="23">
        <f>V12</f>
        <v>3600</v>
      </c>
      <c r="W13" s="34"/>
      <c r="X13" s="34"/>
      <c r="Y13" s="34"/>
    </row>
    <row r="14" spans="1:25" ht="15" thickBot="1">
      <c r="A14" s="18"/>
      <c r="B14" s="18" t="s">
        <v>624</v>
      </c>
      <c r="C14" s="18"/>
      <c r="D14" s="18"/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">
        <f>T13</f>
        <v>3600</v>
      </c>
      <c r="U14" s="18"/>
      <c r="V14" s="23">
        <f>V13</f>
        <v>3600</v>
      </c>
      <c r="W14" s="34"/>
      <c r="X14" s="34"/>
      <c r="Y14" s="34"/>
    </row>
    <row r="15" spans="1:25" ht="15" thickBot="1">
      <c r="A15" s="6" t="s">
        <v>23</v>
      </c>
      <c r="B15" s="6"/>
      <c r="C15" s="6"/>
      <c r="D15" s="6"/>
      <c r="E15" s="6"/>
      <c r="F15" s="6"/>
      <c r="G15" s="6"/>
      <c r="H15" s="1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4">
        <f>T14</f>
        <v>3600</v>
      </c>
      <c r="U15" s="6"/>
      <c r="V15" s="24">
        <f>V14</f>
        <v>3600</v>
      </c>
      <c r="W15" s="7"/>
      <c r="X15" s="7"/>
      <c r="Y15" s="7"/>
    </row>
    <row r="16" spans="1:25" ht="15" thickTop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34"/>
      <c r="X16" s="34"/>
      <c r="Y16" s="34"/>
    </row>
    <row r="18" spans="2:22">
      <c r="B18" t="s">
        <v>627</v>
      </c>
      <c r="L18" s="89">
        <v>600</v>
      </c>
      <c r="M18" t="s">
        <v>628</v>
      </c>
      <c r="U18" s="51" t="s">
        <v>630</v>
      </c>
      <c r="V18" s="91">
        <f>L18*6</f>
        <v>3600</v>
      </c>
    </row>
    <row r="19" spans="2:22">
      <c r="B19" t="s">
        <v>723</v>
      </c>
    </row>
    <row r="20" spans="2:22">
      <c r="S20" t="s">
        <v>629</v>
      </c>
      <c r="V20" s="90">
        <f>SUM(V15:V19)</f>
        <v>7200</v>
      </c>
    </row>
    <row r="21" spans="2:22">
      <c r="V21">
        <f>SUM(W19)</f>
        <v>0</v>
      </c>
    </row>
  </sheetData>
  <printOptions gridLines="1"/>
  <pageMargins left="0" right="0" top="0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153"/>
  <sheetViews>
    <sheetView topLeftCell="D1" workbookViewId="0">
      <pane ySplit="7" topLeftCell="A86" activePane="bottomLeft" state="frozen"/>
      <selection pane="bottomLeft" activeCell="J111" sqref="J111"/>
    </sheetView>
  </sheetViews>
  <sheetFormatPr defaultRowHeight="14.4"/>
  <cols>
    <col min="2" max="2" width="9.5546875" style="34" bestFit="1" customWidth="1"/>
    <col min="3" max="3" width="33.33203125" bestFit="1" customWidth="1"/>
    <col min="4" max="4" width="2.44140625" bestFit="1" customWidth="1"/>
    <col min="5" max="5" width="10.44140625" customWidth="1"/>
    <col min="6" max="6" width="9.5546875" customWidth="1"/>
    <col min="7" max="7" width="12.5546875" bestFit="1" customWidth="1"/>
    <col min="8" max="8" width="5" bestFit="1" customWidth="1"/>
    <col min="9" max="9" width="3" customWidth="1"/>
    <col min="10" max="10" width="9.5546875" customWidth="1"/>
    <col min="11" max="11" width="9.44140625" customWidth="1"/>
    <col min="12" max="12" width="10.5546875" customWidth="1"/>
    <col min="13" max="13" width="12.33203125" customWidth="1"/>
    <col min="14" max="14" width="14.33203125" style="34" customWidth="1"/>
    <col min="15" max="16" width="12.109375" customWidth="1"/>
    <col min="17" max="17" width="11.5546875" bestFit="1" customWidth="1"/>
    <col min="18" max="18" width="11.33203125" bestFit="1" customWidth="1"/>
  </cols>
  <sheetData>
    <row r="1" spans="1:19" ht="25.8">
      <c r="A1" s="35" t="s">
        <v>340</v>
      </c>
      <c r="B1" s="35"/>
      <c r="C1" s="34"/>
      <c r="D1" s="34"/>
      <c r="E1" s="34"/>
      <c r="F1" s="34"/>
      <c r="G1" s="60"/>
      <c r="H1" s="9"/>
      <c r="I1" s="9"/>
      <c r="J1" s="61"/>
      <c r="K1" s="34"/>
      <c r="L1" s="34"/>
      <c r="M1" s="34"/>
      <c r="O1" s="34"/>
      <c r="Q1" s="34"/>
      <c r="R1" s="100" t="s">
        <v>502</v>
      </c>
      <c r="S1" s="34"/>
    </row>
    <row r="2" spans="1:19" ht="17.399999999999999">
      <c r="A2" s="35" t="s">
        <v>416</v>
      </c>
      <c r="B2" s="35"/>
      <c r="C2" s="34"/>
      <c r="D2" s="34"/>
      <c r="E2" s="34"/>
      <c r="F2" s="75"/>
      <c r="G2" s="34"/>
      <c r="H2" s="9"/>
      <c r="I2" s="9"/>
      <c r="J2" s="34"/>
      <c r="K2" s="34"/>
      <c r="L2" s="34"/>
      <c r="M2" s="34"/>
      <c r="O2" s="34"/>
      <c r="P2" s="34"/>
      <c r="Q2" s="34"/>
      <c r="R2" s="34"/>
      <c r="S2" s="34"/>
    </row>
    <row r="3" spans="1:19">
      <c r="A3" s="34"/>
      <c r="C3" s="34"/>
      <c r="D3" s="34"/>
      <c r="E3" s="34"/>
      <c r="F3" s="75" t="s">
        <v>1154</v>
      </c>
      <c r="G3" s="34">
        <v>2019</v>
      </c>
      <c r="H3" s="34"/>
      <c r="I3" s="34"/>
      <c r="J3" s="34"/>
      <c r="K3" s="34"/>
      <c r="L3" s="34"/>
      <c r="M3" s="34"/>
      <c r="O3" s="34"/>
      <c r="P3" s="34"/>
      <c r="Q3" s="34"/>
      <c r="R3" s="34"/>
      <c r="S3" s="34"/>
    </row>
    <row r="4" spans="1:19">
      <c r="A4" s="34"/>
      <c r="C4" s="34"/>
      <c r="D4" s="34"/>
      <c r="E4" s="34"/>
      <c r="F4" s="75" t="s">
        <v>1163</v>
      </c>
      <c r="G4" s="34">
        <v>2020</v>
      </c>
      <c r="H4" s="34"/>
      <c r="I4" s="34"/>
      <c r="J4" s="34"/>
      <c r="K4" s="34"/>
      <c r="L4" s="34"/>
      <c r="M4" s="34"/>
      <c r="O4" s="34"/>
      <c r="P4" s="34"/>
      <c r="Q4" s="34"/>
      <c r="R4" s="34"/>
      <c r="S4" s="34"/>
    </row>
    <row r="5" spans="1:19">
      <c r="A5" s="51"/>
      <c r="B5" s="51"/>
      <c r="C5" s="51"/>
      <c r="D5" s="51"/>
      <c r="E5" s="3"/>
      <c r="F5" s="3"/>
      <c r="G5" s="3"/>
      <c r="H5" s="3"/>
      <c r="I5" s="3"/>
      <c r="J5" s="3" t="s">
        <v>417</v>
      </c>
      <c r="K5" s="3" t="s">
        <v>414</v>
      </c>
      <c r="L5" s="34"/>
      <c r="M5" s="3">
        <v>2019</v>
      </c>
      <c r="N5" s="3">
        <v>2019</v>
      </c>
      <c r="O5" s="3">
        <v>2019</v>
      </c>
      <c r="Q5" s="34"/>
      <c r="R5" s="34"/>
      <c r="S5" s="34"/>
    </row>
    <row r="6" spans="1:19">
      <c r="A6" s="3" t="s">
        <v>418</v>
      </c>
      <c r="B6" s="3" t="s">
        <v>418</v>
      </c>
      <c r="C6" s="51"/>
      <c r="D6" s="51" t="s">
        <v>419</v>
      </c>
      <c r="E6" s="3" t="s">
        <v>420</v>
      </c>
      <c r="F6" s="3"/>
      <c r="G6" s="3" t="s">
        <v>417</v>
      </c>
      <c r="H6" s="3"/>
      <c r="I6" s="3"/>
      <c r="J6" s="3" t="s">
        <v>421</v>
      </c>
      <c r="K6" s="3" t="s">
        <v>1161</v>
      </c>
      <c r="L6" s="3" t="s">
        <v>1160</v>
      </c>
      <c r="M6" s="3" t="s">
        <v>1155</v>
      </c>
      <c r="N6" s="3" t="s">
        <v>1157</v>
      </c>
      <c r="O6" s="3" t="s">
        <v>1159</v>
      </c>
      <c r="Q6" s="3"/>
      <c r="R6" s="34"/>
      <c r="S6" s="34"/>
    </row>
    <row r="7" spans="1:19">
      <c r="A7" s="3" t="s">
        <v>422</v>
      </c>
      <c r="B7" s="3" t="s">
        <v>414</v>
      </c>
      <c r="C7" s="51" t="s">
        <v>423</v>
      </c>
      <c r="D7" s="51" t="s">
        <v>424</v>
      </c>
      <c r="E7" s="3" t="s">
        <v>425</v>
      </c>
      <c r="F7" s="3" t="s">
        <v>426</v>
      </c>
      <c r="G7" s="3" t="s">
        <v>427</v>
      </c>
      <c r="H7" s="3" t="s">
        <v>428</v>
      </c>
      <c r="I7" s="3" t="s">
        <v>429</v>
      </c>
      <c r="J7" s="3" t="s">
        <v>414</v>
      </c>
      <c r="K7" s="3" t="s">
        <v>1162</v>
      </c>
      <c r="L7" s="3" t="s">
        <v>417</v>
      </c>
      <c r="M7" s="3" t="s">
        <v>1156</v>
      </c>
      <c r="N7" s="3" t="s">
        <v>417</v>
      </c>
      <c r="O7" s="3" t="s">
        <v>1158</v>
      </c>
      <c r="Q7" s="3"/>
      <c r="R7" s="34"/>
      <c r="S7" s="34"/>
    </row>
    <row r="8" spans="1:19" ht="15.6">
      <c r="A8" s="42" t="s">
        <v>430</v>
      </c>
      <c r="B8" s="42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  <c r="O8" s="34"/>
      <c r="Q8" s="34"/>
      <c r="R8" s="34"/>
      <c r="S8" s="34"/>
    </row>
    <row r="9" spans="1:19">
      <c r="A9" s="62">
        <v>38231</v>
      </c>
      <c r="B9" s="353">
        <v>2004</v>
      </c>
      <c r="C9" s="34" t="s">
        <v>431</v>
      </c>
      <c r="D9" s="9" t="s">
        <v>424</v>
      </c>
      <c r="E9" s="117">
        <v>4067</v>
      </c>
      <c r="F9" s="117">
        <v>1342</v>
      </c>
      <c r="G9" s="117">
        <f>E9-F9</f>
        <v>2725</v>
      </c>
      <c r="H9" s="64" t="s">
        <v>432</v>
      </c>
      <c r="I9" s="63">
        <v>5</v>
      </c>
      <c r="J9" s="117">
        <f>G9/I9</f>
        <v>545</v>
      </c>
      <c r="K9" s="354">
        <f>B9+I9</f>
        <v>2009</v>
      </c>
      <c r="L9" s="49">
        <f>IF($G$3&gt;=K9,0,J9)</f>
        <v>0</v>
      </c>
      <c r="M9" s="49">
        <f>IF(($G$3-B9)*J9&gt;G9,G9,($G$3-B9)*J9)</f>
        <v>2725</v>
      </c>
      <c r="N9" s="49">
        <f>IF(($G$4-B9)*J9&gt;G9,G9,($G$4-B9)*J9)</f>
        <v>2725</v>
      </c>
      <c r="O9" s="49">
        <v>0</v>
      </c>
      <c r="Q9" s="49"/>
      <c r="R9" s="49"/>
      <c r="S9" s="34"/>
    </row>
    <row r="10" spans="1:19" s="34" customFormat="1">
      <c r="A10" s="62"/>
      <c r="B10" s="353">
        <v>2019</v>
      </c>
      <c r="C10" s="352" t="s">
        <v>1151</v>
      </c>
      <c r="D10" s="9"/>
      <c r="E10" s="117">
        <f>F9</f>
        <v>1342</v>
      </c>
      <c r="F10" s="117"/>
      <c r="G10" s="117">
        <f t="shared" ref="G10:G26" si="0">E10-F10</f>
        <v>1342</v>
      </c>
      <c r="H10" s="64" t="s">
        <v>432</v>
      </c>
      <c r="I10" s="63">
        <v>3</v>
      </c>
      <c r="J10" s="117">
        <f t="shared" ref="J10:J26" si="1">G10/I10</f>
        <v>447.33333333333331</v>
      </c>
      <c r="K10" s="354">
        <f t="shared" ref="K10:K26" si="2">B10+I10</f>
        <v>2022</v>
      </c>
      <c r="L10" s="49">
        <f t="shared" ref="L10:L26" si="3">IF($G$3&gt;=K10,0,J10)</f>
        <v>447.33333333333331</v>
      </c>
      <c r="M10" s="49">
        <f t="shared" ref="M10:M26" si="4">IF(($G$3-B10)*J10&gt;G10,G10,($G$3-B10)*J10)</f>
        <v>0</v>
      </c>
      <c r="N10" s="49">
        <f t="shared" ref="N10:N26" si="5">IF(($G$4-B10)*J10&gt;G10,G10,($G$4-B10)*J10)</f>
        <v>447.33333333333331</v>
      </c>
      <c r="O10" s="49">
        <f>E10-N10</f>
        <v>894.66666666666674</v>
      </c>
      <c r="Q10" s="49"/>
      <c r="R10" s="49"/>
    </row>
    <row r="11" spans="1:19">
      <c r="A11" s="62">
        <v>38139</v>
      </c>
      <c r="B11" s="353">
        <v>2004</v>
      </c>
      <c r="C11" s="34" t="s">
        <v>433</v>
      </c>
      <c r="D11" s="9" t="s">
        <v>424</v>
      </c>
      <c r="E11" s="117">
        <v>11825</v>
      </c>
      <c r="F11" s="117">
        <v>3902</v>
      </c>
      <c r="G11" s="117">
        <f t="shared" si="0"/>
        <v>7923</v>
      </c>
      <c r="H11" s="64" t="s">
        <v>432</v>
      </c>
      <c r="I11" s="63">
        <v>5</v>
      </c>
      <c r="J11" s="117">
        <f t="shared" si="1"/>
        <v>1584.6</v>
      </c>
      <c r="K11" s="354">
        <f t="shared" si="2"/>
        <v>2009</v>
      </c>
      <c r="L11" s="49">
        <f t="shared" si="3"/>
        <v>0</v>
      </c>
      <c r="M11" s="49">
        <f t="shared" si="4"/>
        <v>7923</v>
      </c>
      <c r="N11" s="49">
        <f t="shared" si="5"/>
        <v>7923</v>
      </c>
      <c r="O11" s="49">
        <v>0</v>
      </c>
      <c r="Q11" s="49"/>
      <c r="R11" s="49"/>
      <c r="S11" s="34"/>
    </row>
    <row r="12" spans="1:19" s="34" customFormat="1">
      <c r="A12" s="62"/>
      <c r="B12" s="353">
        <v>2019</v>
      </c>
      <c r="C12" s="352" t="s">
        <v>1152</v>
      </c>
      <c r="D12" s="9"/>
      <c r="E12" s="117">
        <f>F11</f>
        <v>3902</v>
      </c>
      <c r="F12" s="117"/>
      <c r="G12" s="117">
        <f t="shared" si="0"/>
        <v>3902</v>
      </c>
      <c r="H12" s="64" t="s">
        <v>432</v>
      </c>
      <c r="I12" s="63">
        <v>3</v>
      </c>
      <c r="J12" s="117">
        <f t="shared" si="1"/>
        <v>1300.6666666666667</v>
      </c>
      <c r="K12" s="354">
        <f t="shared" si="2"/>
        <v>2022</v>
      </c>
      <c r="L12" s="49">
        <f t="shared" si="3"/>
        <v>1300.6666666666667</v>
      </c>
      <c r="M12" s="49">
        <f t="shared" si="4"/>
        <v>0</v>
      </c>
      <c r="N12" s="49">
        <f t="shared" si="5"/>
        <v>1300.6666666666667</v>
      </c>
      <c r="O12" s="49">
        <f>E12-N12</f>
        <v>2601.333333333333</v>
      </c>
      <c r="Q12" s="49"/>
      <c r="R12" s="49"/>
    </row>
    <row r="13" spans="1:19">
      <c r="A13" s="65">
        <v>38991</v>
      </c>
      <c r="B13" s="353">
        <v>2006</v>
      </c>
      <c r="C13" s="34" t="s">
        <v>434</v>
      </c>
      <c r="D13" s="9" t="s">
        <v>424</v>
      </c>
      <c r="E13" s="117">
        <v>5296</v>
      </c>
      <c r="F13" s="49"/>
      <c r="G13" s="117">
        <f t="shared" si="0"/>
        <v>5296</v>
      </c>
      <c r="H13" s="64" t="s">
        <v>432</v>
      </c>
      <c r="I13" s="63">
        <v>3</v>
      </c>
      <c r="J13" s="117">
        <f t="shared" si="1"/>
        <v>1765.3333333333333</v>
      </c>
      <c r="K13" s="354">
        <f t="shared" si="2"/>
        <v>2009</v>
      </c>
      <c r="L13" s="49">
        <f t="shared" si="3"/>
        <v>0</v>
      </c>
      <c r="M13" s="49">
        <f t="shared" si="4"/>
        <v>5296</v>
      </c>
      <c r="N13" s="49">
        <f t="shared" si="5"/>
        <v>5296</v>
      </c>
      <c r="O13" s="49">
        <f>E13-N13</f>
        <v>0</v>
      </c>
      <c r="Q13" s="49"/>
      <c r="R13" s="49"/>
      <c r="S13" s="34"/>
    </row>
    <row r="14" spans="1:19">
      <c r="A14" s="62">
        <v>42004</v>
      </c>
      <c r="B14" s="353">
        <v>2014</v>
      </c>
      <c r="C14" s="34" t="s">
        <v>436</v>
      </c>
      <c r="D14" s="9" t="s">
        <v>424</v>
      </c>
      <c r="E14" s="117">
        <v>28594</v>
      </c>
      <c r="F14" s="49">
        <f>E14*0.333</f>
        <v>9521.8019999999997</v>
      </c>
      <c r="G14" s="117">
        <f t="shared" si="0"/>
        <v>19072.198</v>
      </c>
      <c r="H14" s="64" t="s">
        <v>432</v>
      </c>
      <c r="I14" s="63">
        <v>5</v>
      </c>
      <c r="J14" s="117">
        <f t="shared" si="1"/>
        <v>3814.4396000000002</v>
      </c>
      <c r="K14" s="354">
        <f t="shared" si="2"/>
        <v>2019</v>
      </c>
      <c r="L14" s="49">
        <f t="shared" si="3"/>
        <v>0</v>
      </c>
      <c r="M14" s="49">
        <f t="shared" si="4"/>
        <v>19072.198</v>
      </c>
      <c r="N14" s="49">
        <f t="shared" si="5"/>
        <v>19072.198</v>
      </c>
      <c r="O14" s="49">
        <v>0</v>
      </c>
      <c r="Q14" s="49"/>
      <c r="R14" s="49"/>
      <c r="S14" s="34"/>
    </row>
    <row r="15" spans="1:19" s="34" customFormat="1">
      <c r="A15" s="62"/>
      <c r="B15" s="353">
        <v>2019</v>
      </c>
      <c r="C15" s="352" t="s">
        <v>1153</v>
      </c>
      <c r="D15" s="9"/>
      <c r="E15" s="117">
        <f>F14</f>
        <v>9521.8019999999997</v>
      </c>
      <c r="F15" s="49"/>
      <c r="G15" s="117">
        <f t="shared" si="0"/>
        <v>9521.8019999999997</v>
      </c>
      <c r="H15" s="64" t="s">
        <v>432</v>
      </c>
      <c r="I15" s="63">
        <v>3</v>
      </c>
      <c r="J15" s="117">
        <f t="shared" si="1"/>
        <v>3173.9339999999997</v>
      </c>
      <c r="K15" s="354">
        <f t="shared" si="2"/>
        <v>2022</v>
      </c>
      <c r="L15" s="49">
        <f t="shared" si="3"/>
        <v>3173.9339999999997</v>
      </c>
      <c r="M15" s="49">
        <f t="shared" si="4"/>
        <v>0</v>
      </c>
      <c r="N15" s="49">
        <f t="shared" si="5"/>
        <v>3173.9339999999997</v>
      </c>
      <c r="O15" s="49">
        <f t="shared" ref="O15:O26" si="6">E15-N15</f>
        <v>6347.8680000000004</v>
      </c>
      <c r="Q15" s="49"/>
      <c r="R15" s="49"/>
    </row>
    <row r="16" spans="1:19">
      <c r="A16" s="62">
        <v>42040</v>
      </c>
      <c r="B16" s="353">
        <v>2015</v>
      </c>
      <c r="C16" s="34" t="s">
        <v>437</v>
      </c>
      <c r="D16" s="9" t="s">
        <v>419</v>
      </c>
      <c r="E16" s="117">
        <v>1964</v>
      </c>
      <c r="F16" s="49"/>
      <c r="G16" s="117">
        <f t="shared" si="0"/>
        <v>1964</v>
      </c>
      <c r="H16" s="64" t="s">
        <v>432</v>
      </c>
      <c r="I16" s="63">
        <v>3</v>
      </c>
      <c r="J16" s="117">
        <f t="shared" si="1"/>
        <v>654.66666666666663</v>
      </c>
      <c r="K16" s="354">
        <f t="shared" si="2"/>
        <v>2018</v>
      </c>
      <c r="L16" s="49">
        <f t="shared" si="3"/>
        <v>0</v>
      </c>
      <c r="M16" s="49">
        <f t="shared" si="4"/>
        <v>1964</v>
      </c>
      <c r="N16" s="49">
        <f t="shared" si="5"/>
        <v>1964</v>
      </c>
      <c r="O16" s="49">
        <f t="shared" si="6"/>
        <v>0</v>
      </c>
      <c r="Q16" s="49"/>
      <c r="R16" s="49"/>
      <c r="S16" s="34"/>
    </row>
    <row r="17" spans="1:19">
      <c r="A17" s="62">
        <v>42081</v>
      </c>
      <c r="B17" s="353">
        <v>2015</v>
      </c>
      <c r="C17" s="34" t="s">
        <v>438</v>
      </c>
      <c r="D17" s="9" t="s">
        <v>419</v>
      </c>
      <c r="E17" s="117">
        <v>3728</v>
      </c>
      <c r="F17" s="49"/>
      <c r="G17" s="117">
        <f t="shared" si="0"/>
        <v>3728</v>
      </c>
      <c r="H17" s="64" t="s">
        <v>432</v>
      </c>
      <c r="I17" s="63">
        <v>3</v>
      </c>
      <c r="J17" s="117">
        <f t="shared" si="1"/>
        <v>1242.6666666666667</v>
      </c>
      <c r="K17" s="354">
        <f t="shared" si="2"/>
        <v>2018</v>
      </c>
      <c r="L17" s="49">
        <f t="shared" si="3"/>
        <v>0</v>
      </c>
      <c r="M17" s="49">
        <f t="shared" si="4"/>
        <v>3728</v>
      </c>
      <c r="N17" s="49">
        <f t="shared" si="5"/>
        <v>3728</v>
      </c>
      <c r="O17" s="49">
        <f t="shared" si="6"/>
        <v>0</v>
      </c>
      <c r="Q17" s="49"/>
      <c r="R17" s="49"/>
      <c r="S17" s="34"/>
    </row>
    <row r="18" spans="1:19">
      <c r="A18" s="62">
        <v>42293</v>
      </c>
      <c r="B18" s="353">
        <v>2015</v>
      </c>
      <c r="C18" s="34" t="s">
        <v>439</v>
      </c>
      <c r="D18" s="9" t="s">
        <v>424</v>
      </c>
      <c r="E18" s="117">
        <v>2490</v>
      </c>
      <c r="F18" s="49"/>
      <c r="G18" s="117">
        <f t="shared" si="0"/>
        <v>2490</v>
      </c>
      <c r="H18" s="64" t="s">
        <v>432</v>
      </c>
      <c r="I18" s="63">
        <v>3</v>
      </c>
      <c r="J18" s="117">
        <f t="shared" si="1"/>
        <v>830</v>
      </c>
      <c r="K18" s="354">
        <f t="shared" si="2"/>
        <v>2018</v>
      </c>
      <c r="L18" s="49">
        <f t="shared" si="3"/>
        <v>0</v>
      </c>
      <c r="M18" s="49">
        <f t="shared" si="4"/>
        <v>2490</v>
      </c>
      <c r="N18" s="49">
        <f t="shared" si="5"/>
        <v>2490</v>
      </c>
      <c r="O18" s="49">
        <f t="shared" si="6"/>
        <v>0</v>
      </c>
      <c r="Q18" s="49"/>
      <c r="R18" s="49"/>
      <c r="S18" s="34"/>
    </row>
    <row r="19" spans="1:19">
      <c r="A19" s="62">
        <v>42329</v>
      </c>
      <c r="B19" s="353">
        <v>2015</v>
      </c>
      <c r="C19" s="34" t="s">
        <v>440</v>
      </c>
      <c r="D19" s="9" t="s">
        <v>419</v>
      </c>
      <c r="E19" s="117">
        <v>14633</v>
      </c>
      <c r="F19" s="49"/>
      <c r="G19" s="117">
        <f t="shared" si="0"/>
        <v>14633</v>
      </c>
      <c r="H19" s="64" t="s">
        <v>432</v>
      </c>
      <c r="I19" s="63">
        <v>3</v>
      </c>
      <c r="J19" s="117">
        <f t="shared" si="1"/>
        <v>4877.666666666667</v>
      </c>
      <c r="K19" s="354">
        <f t="shared" si="2"/>
        <v>2018</v>
      </c>
      <c r="L19" s="49">
        <f t="shared" si="3"/>
        <v>0</v>
      </c>
      <c r="M19" s="49">
        <f t="shared" si="4"/>
        <v>14633</v>
      </c>
      <c r="N19" s="49">
        <f t="shared" si="5"/>
        <v>14633</v>
      </c>
      <c r="O19" s="49">
        <f t="shared" si="6"/>
        <v>0</v>
      </c>
      <c r="Q19" s="49"/>
      <c r="R19" s="49"/>
      <c r="S19" s="34"/>
    </row>
    <row r="20" spans="1:19">
      <c r="A20" s="62">
        <v>42422</v>
      </c>
      <c r="B20" s="353">
        <v>2016</v>
      </c>
      <c r="C20" s="34" t="s">
        <v>441</v>
      </c>
      <c r="D20" s="9" t="s">
        <v>419</v>
      </c>
      <c r="E20" s="117">
        <v>7535</v>
      </c>
      <c r="F20" s="49"/>
      <c r="G20" s="117">
        <f t="shared" si="0"/>
        <v>7535</v>
      </c>
      <c r="H20" s="64" t="s">
        <v>432</v>
      </c>
      <c r="I20" s="63">
        <v>3</v>
      </c>
      <c r="J20" s="117">
        <f t="shared" si="1"/>
        <v>2511.6666666666665</v>
      </c>
      <c r="K20" s="354">
        <f t="shared" si="2"/>
        <v>2019</v>
      </c>
      <c r="L20" s="49">
        <f t="shared" si="3"/>
        <v>0</v>
      </c>
      <c r="M20" s="49">
        <f t="shared" si="4"/>
        <v>7535</v>
      </c>
      <c r="N20" s="49">
        <f>IF(($G$4-B20)*J20&gt;G20,G20,($G$4-B20)*J20)</f>
        <v>7535</v>
      </c>
      <c r="O20" s="49">
        <f t="shared" si="6"/>
        <v>0</v>
      </c>
      <c r="Q20" s="49"/>
      <c r="R20" s="49"/>
      <c r="S20" s="34"/>
    </row>
    <row r="21" spans="1:19">
      <c r="A21" s="62">
        <v>42509</v>
      </c>
      <c r="B21" s="353">
        <v>2016</v>
      </c>
      <c r="C21" s="34" t="s">
        <v>441</v>
      </c>
      <c r="D21" s="9" t="s">
        <v>419</v>
      </c>
      <c r="E21" s="117">
        <v>4619</v>
      </c>
      <c r="F21" s="49"/>
      <c r="G21" s="117">
        <f t="shared" si="0"/>
        <v>4619</v>
      </c>
      <c r="H21" s="64" t="s">
        <v>432</v>
      </c>
      <c r="I21" s="63">
        <v>3</v>
      </c>
      <c r="J21" s="117">
        <f t="shared" si="1"/>
        <v>1539.6666666666667</v>
      </c>
      <c r="K21" s="354">
        <f t="shared" si="2"/>
        <v>2019</v>
      </c>
      <c r="L21" s="49">
        <f t="shared" si="3"/>
        <v>0</v>
      </c>
      <c r="M21" s="49">
        <f t="shared" si="4"/>
        <v>4619</v>
      </c>
      <c r="N21" s="49">
        <f t="shared" si="5"/>
        <v>4619</v>
      </c>
      <c r="O21" s="49">
        <f t="shared" si="6"/>
        <v>0</v>
      </c>
      <c r="Q21" s="49"/>
      <c r="R21" s="49"/>
      <c r="S21" s="34"/>
    </row>
    <row r="22" spans="1:19">
      <c r="A22" s="65">
        <v>42721</v>
      </c>
      <c r="B22" s="353">
        <v>2016</v>
      </c>
      <c r="C22" s="57" t="s">
        <v>441</v>
      </c>
      <c r="D22" s="9" t="s">
        <v>419</v>
      </c>
      <c r="E22" s="117">
        <v>3128</v>
      </c>
      <c r="F22" s="49"/>
      <c r="G22" s="117">
        <f t="shared" si="0"/>
        <v>3128</v>
      </c>
      <c r="H22" s="64" t="s">
        <v>432</v>
      </c>
      <c r="I22" s="63">
        <v>3</v>
      </c>
      <c r="J22" s="117">
        <f t="shared" si="1"/>
        <v>1042.6666666666667</v>
      </c>
      <c r="K22" s="354">
        <f t="shared" si="2"/>
        <v>2019</v>
      </c>
      <c r="L22" s="49">
        <f t="shared" si="3"/>
        <v>0</v>
      </c>
      <c r="M22" s="49">
        <f t="shared" si="4"/>
        <v>3128</v>
      </c>
      <c r="N22" s="49">
        <f t="shared" si="5"/>
        <v>3128</v>
      </c>
      <c r="O22" s="49">
        <f t="shared" si="6"/>
        <v>0</v>
      </c>
      <c r="Q22" s="49"/>
      <c r="R22" s="49"/>
      <c r="S22" s="34"/>
    </row>
    <row r="23" spans="1:19">
      <c r="A23" s="66">
        <v>42816</v>
      </c>
      <c r="B23" s="353">
        <v>2017</v>
      </c>
      <c r="C23" s="57" t="s">
        <v>442</v>
      </c>
      <c r="D23" s="67" t="s">
        <v>419</v>
      </c>
      <c r="E23" s="111">
        <v>3961</v>
      </c>
      <c r="F23" s="111"/>
      <c r="G23" s="117">
        <f t="shared" si="0"/>
        <v>3961</v>
      </c>
      <c r="H23" s="64" t="s">
        <v>432</v>
      </c>
      <c r="I23" s="68">
        <v>3</v>
      </c>
      <c r="J23" s="117">
        <f t="shared" si="1"/>
        <v>1320.3333333333333</v>
      </c>
      <c r="K23" s="354">
        <f t="shared" si="2"/>
        <v>2020</v>
      </c>
      <c r="L23" s="49">
        <v>0</v>
      </c>
      <c r="M23" s="49">
        <f t="shared" si="4"/>
        <v>2640.6666666666665</v>
      </c>
      <c r="N23" s="49">
        <f t="shared" si="5"/>
        <v>3961</v>
      </c>
      <c r="O23" s="49">
        <v>0</v>
      </c>
      <c r="Q23" s="49"/>
      <c r="R23" s="49"/>
      <c r="S23" s="34"/>
    </row>
    <row r="24" spans="1:19">
      <c r="A24" s="65">
        <v>7122</v>
      </c>
      <c r="B24" s="353">
        <v>2019</v>
      </c>
      <c r="C24" s="57" t="s">
        <v>443</v>
      </c>
      <c r="D24" s="67" t="s">
        <v>424</v>
      </c>
      <c r="E24" s="117">
        <v>83928</v>
      </c>
      <c r="F24" s="355">
        <v>0</v>
      </c>
      <c r="G24" s="117">
        <f t="shared" si="0"/>
        <v>83928</v>
      </c>
      <c r="H24" s="64" t="s">
        <v>432</v>
      </c>
      <c r="I24" s="63">
        <v>5</v>
      </c>
      <c r="J24" s="117">
        <f>G24/I24</f>
        <v>16785.599999999999</v>
      </c>
      <c r="K24" s="354">
        <f t="shared" si="2"/>
        <v>2024</v>
      </c>
      <c r="L24" s="49">
        <f t="shared" si="3"/>
        <v>16785.599999999999</v>
      </c>
      <c r="M24" s="49">
        <f t="shared" si="4"/>
        <v>0</v>
      </c>
      <c r="N24" s="49">
        <f t="shared" si="5"/>
        <v>16785.599999999999</v>
      </c>
      <c r="O24" s="49">
        <f t="shared" si="6"/>
        <v>67142.399999999994</v>
      </c>
      <c r="Q24" s="49"/>
      <c r="R24" s="49"/>
      <c r="S24" s="34"/>
    </row>
    <row r="25" spans="1:19">
      <c r="A25" s="65">
        <v>43647</v>
      </c>
      <c r="B25" s="353">
        <v>2019</v>
      </c>
      <c r="C25" s="57" t="s">
        <v>444</v>
      </c>
      <c r="D25" s="67" t="s">
        <v>424</v>
      </c>
      <c r="E25" s="117">
        <v>78548</v>
      </c>
      <c r="F25" s="355">
        <v>0</v>
      </c>
      <c r="G25" s="117">
        <f t="shared" si="0"/>
        <v>78548</v>
      </c>
      <c r="H25" s="64" t="s">
        <v>432</v>
      </c>
      <c r="I25" s="63">
        <v>5</v>
      </c>
      <c r="J25" s="117">
        <f t="shared" si="1"/>
        <v>15709.6</v>
      </c>
      <c r="K25" s="354">
        <f t="shared" si="2"/>
        <v>2024</v>
      </c>
      <c r="L25" s="49">
        <f t="shared" si="3"/>
        <v>15709.6</v>
      </c>
      <c r="M25" s="49">
        <f>IF(($G$3-B25)*J25&gt;G25,G25,($G$3-B25)*J25)</f>
        <v>0</v>
      </c>
      <c r="N25" s="49">
        <f t="shared" si="5"/>
        <v>15709.6</v>
      </c>
      <c r="O25" s="49">
        <f t="shared" si="6"/>
        <v>62838.400000000001</v>
      </c>
      <c r="Q25" s="49"/>
      <c r="R25" s="49"/>
      <c r="S25" s="34"/>
    </row>
    <row r="26" spans="1:19">
      <c r="A26" s="62">
        <v>43709</v>
      </c>
      <c r="B26" s="353">
        <v>2019</v>
      </c>
      <c r="C26" s="57" t="s">
        <v>445</v>
      </c>
      <c r="D26" s="67" t="s">
        <v>424</v>
      </c>
      <c r="E26" s="358">
        <v>43742</v>
      </c>
      <c r="F26" s="359">
        <v>0</v>
      </c>
      <c r="G26" s="358">
        <f t="shared" si="0"/>
        <v>43742</v>
      </c>
      <c r="H26" s="360" t="s">
        <v>432</v>
      </c>
      <c r="I26" s="361">
        <v>5</v>
      </c>
      <c r="J26" s="358">
        <f t="shared" si="1"/>
        <v>8748.4</v>
      </c>
      <c r="K26" s="362">
        <f t="shared" si="2"/>
        <v>2024</v>
      </c>
      <c r="L26" s="119">
        <f t="shared" si="3"/>
        <v>8748.4</v>
      </c>
      <c r="M26" s="119">
        <f t="shared" si="4"/>
        <v>0</v>
      </c>
      <c r="N26" s="119">
        <f t="shared" si="5"/>
        <v>8748.4</v>
      </c>
      <c r="O26" s="119">
        <f t="shared" si="6"/>
        <v>34993.599999999999</v>
      </c>
      <c r="Q26" s="49"/>
      <c r="R26" s="49"/>
      <c r="S26" s="34"/>
    </row>
    <row r="27" spans="1:19">
      <c r="A27" s="34"/>
      <c r="C27" s="51" t="s">
        <v>446</v>
      </c>
      <c r="D27" s="34"/>
      <c r="E27" s="113">
        <f>SUM(E9:E26)</f>
        <v>312823.80200000003</v>
      </c>
      <c r="F27" s="113">
        <f>SUM(F9:F26)</f>
        <v>14765.802</v>
      </c>
      <c r="G27" s="113">
        <f>SUM(G9:G26)</f>
        <v>298058</v>
      </c>
      <c r="H27" s="53"/>
      <c r="I27" s="69"/>
      <c r="J27" s="113"/>
      <c r="K27" s="113"/>
      <c r="L27" s="113">
        <f>SUM(L9:L26)</f>
        <v>46165.534</v>
      </c>
      <c r="M27" s="113">
        <f>SUM(M9:M26)</f>
        <v>75753.864666666675</v>
      </c>
      <c r="N27" s="113">
        <f>SUM(N9:N26)</f>
        <v>123239.73200000002</v>
      </c>
      <c r="O27" s="113">
        <f>SUM(O9:O26)</f>
        <v>174818.26800000001</v>
      </c>
      <c r="Q27" s="113"/>
      <c r="R27" s="113"/>
      <c r="S27" s="34"/>
    </row>
    <row r="28" spans="1:19">
      <c r="A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O28" s="34"/>
      <c r="P28" s="34"/>
      <c r="Q28" s="34"/>
      <c r="R28" s="47"/>
      <c r="S28" s="34"/>
    </row>
    <row r="29" spans="1:19">
      <c r="A29" s="34"/>
      <c r="C29" s="34"/>
      <c r="D29" s="34"/>
      <c r="E29" s="47"/>
      <c r="F29" s="47"/>
      <c r="G29" s="47"/>
      <c r="H29" s="47"/>
      <c r="I29" s="64"/>
      <c r="J29" s="47"/>
      <c r="K29" s="70"/>
      <c r="L29" s="70"/>
      <c r="M29" s="47"/>
      <c r="N29" s="47"/>
      <c r="O29" s="70"/>
      <c r="P29" s="70"/>
      <c r="Q29" s="47"/>
      <c r="R29" s="47"/>
    </row>
    <row r="30" spans="1:19" ht="17.399999999999999">
      <c r="A30" s="35"/>
      <c r="B30" s="35"/>
      <c r="C30" s="34"/>
      <c r="D30" s="34"/>
      <c r="E30" s="47"/>
      <c r="F30" s="71"/>
      <c r="G30" s="71"/>
      <c r="H30" s="45"/>
      <c r="I30" s="45"/>
      <c r="J30" s="47"/>
      <c r="K30" s="70"/>
      <c r="L30" s="70"/>
      <c r="M30" s="53"/>
      <c r="N30" s="53"/>
      <c r="O30" s="70"/>
      <c r="P30" s="70"/>
      <c r="Q30" s="70"/>
      <c r="R30" s="47"/>
    </row>
    <row r="31" spans="1:19" ht="15.6">
      <c r="A31" s="42" t="s">
        <v>447</v>
      </c>
      <c r="B31" s="42"/>
      <c r="C31" s="34"/>
      <c r="D31" s="34"/>
      <c r="E31" s="47"/>
      <c r="F31" s="47"/>
      <c r="G31" s="47"/>
      <c r="H31" s="47"/>
      <c r="I31" s="64"/>
      <c r="J31" s="47"/>
      <c r="K31" s="70"/>
      <c r="L31" s="70"/>
      <c r="M31" s="70"/>
      <c r="N31" s="70"/>
      <c r="O31" s="70"/>
      <c r="P31" s="70"/>
      <c r="Q31" s="70"/>
      <c r="R31" s="47"/>
    </row>
    <row r="32" spans="1:19">
      <c r="A32" s="72"/>
      <c r="B32" s="72"/>
      <c r="C32" s="51" t="s">
        <v>448</v>
      </c>
      <c r="D32" s="9"/>
      <c r="E32" s="63"/>
      <c r="F32" s="63"/>
      <c r="G32" s="63"/>
      <c r="H32" s="64"/>
      <c r="I32" s="64"/>
      <c r="J32" s="63"/>
      <c r="K32" s="47"/>
      <c r="L32" s="47"/>
      <c r="M32" s="47"/>
      <c r="N32" s="47"/>
      <c r="O32" s="47"/>
      <c r="P32" s="47"/>
      <c r="Q32" s="47"/>
      <c r="R32" s="47"/>
    </row>
    <row r="33" spans="1:18">
      <c r="A33" s="73">
        <v>33420</v>
      </c>
      <c r="B33" s="357">
        <v>1991</v>
      </c>
      <c r="C33" s="34" t="s">
        <v>449</v>
      </c>
      <c r="D33" s="9" t="s">
        <v>419</v>
      </c>
      <c r="E33" s="117">
        <v>4089</v>
      </c>
      <c r="F33" s="117"/>
      <c r="G33" s="117">
        <f>E33-F33</f>
        <v>4089</v>
      </c>
      <c r="H33" s="64" t="s">
        <v>435</v>
      </c>
      <c r="I33" s="64">
        <v>10</v>
      </c>
      <c r="J33" s="117">
        <f t="shared" ref="J33" si="7">G33/I33</f>
        <v>408.9</v>
      </c>
      <c r="K33" s="354">
        <f t="shared" ref="K33" si="8">B33+I33</f>
        <v>2001</v>
      </c>
      <c r="L33" s="49">
        <f t="shared" ref="L33" si="9">IF($G$3&gt;=K33,0,J33)</f>
        <v>0</v>
      </c>
      <c r="M33" s="49">
        <f>IF(($G$3-B33)*J33&gt;G33,G33,($G$3-B33)*J33)</f>
        <v>4089</v>
      </c>
      <c r="N33" s="49">
        <f>IF(($G$4-B33)*J33&gt;G33,G33,($G$4-B33)*J33)</f>
        <v>4089</v>
      </c>
      <c r="O33" s="49">
        <f t="shared" ref="O33" si="10">E33-N33</f>
        <v>0</v>
      </c>
      <c r="P33" s="47"/>
      <c r="Q33" s="47"/>
      <c r="R33" s="47"/>
    </row>
    <row r="34" spans="1:18">
      <c r="A34" s="73">
        <v>34639</v>
      </c>
      <c r="B34" s="357">
        <v>1994</v>
      </c>
      <c r="C34" s="34" t="s">
        <v>449</v>
      </c>
      <c r="D34" s="9" t="s">
        <v>419</v>
      </c>
      <c r="E34" s="117">
        <v>3698</v>
      </c>
      <c r="F34" s="117"/>
      <c r="G34" s="117">
        <f t="shared" ref="G34:G50" si="11">E34-F34</f>
        <v>3698</v>
      </c>
      <c r="H34" s="64" t="s">
        <v>435</v>
      </c>
      <c r="I34" s="64">
        <v>10</v>
      </c>
      <c r="J34" s="117">
        <f t="shared" ref="J34:J50" si="12">G34/I34</f>
        <v>369.8</v>
      </c>
      <c r="K34" s="354">
        <f t="shared" ref="K34:K50" si="13">B34+I34</f>
        <v>2004</v>
      </c>
      <c r="L34" s="49">
        <f t="shared" ref="L34:L45" si="14">IF($G$3&gt;=K34,0,J34)</f>
        <v>0</v>
      </c>
      <c r="M34" s="49">
        <f t="shared" ref="M34:M44" si="15">IF(($G$3-B34)*J34&gt;G34,G34,($G$3-B34)*J34)</f>
        <v>3698</v>
      </c>
      <c r="N34" s="49">
        <f>IF(($G$4-B34)*J34&gt;G34,G34,($G$4-B34)*J34)</f>
        <v>3698</v>
      </c>
      <c r="O34" s="49">
        <f t="shared" ref="O34:O45" si="16">E34-N34</f>
        <v>0</v>
      </c>
      <c r="P34" s="47"/>
      <c r="Q34" s="47"/>
      <c r="R34" s="47"/>
    </row>
    <row r="35" spans="1:18">
      <c r="A35" s="73">
        <v>34790</v>
      </c>
      <c r="B35" s="357">
        <v>1995</v>
      </c>
      <c r="C35" s="34" t="s">
        <v>449</v>
      </c>
      <c r="D35" s="9" t="s">
        <v>419</v>
      </c>
      <c r="E35" s="117">
        <v>4224</v>
      </c>
      <c r="F35" s="117"/>
      <c r="G35" s="117">
        <f t="shared" si="11"/>
        <v>4224</v>
      </c>
      <c r="H35" s="64" t="s">
        <v>435</v>
      </c>
      <c r="I35" s="64">
        <v>10</v>
      </c>
      <c r="J35" s="117">
        <f t="shared" si="12"/>
        <v>422.4</v>
      </c>
      <c r="K35" s="354">
        <f t="shared" si="13"/>
        <v>2005</v>
      </c>
      <c r="L35" s="49">
        <f t="shared" si="14"/>
        <v>0</v>
      </c>
      <c r="M35" s="49">
        <f t="shared" si="15"/>
        <v>4224</v>
      </c>
      <c r="N35" s="49">
        <f t="shared" ref="N35:N44" si="17">IF(($G$4-B35)*J35&gt;G35,G35,($G$4-B35)*J35)</f>
        <v>4224</v>
      </c>
      <c r="O35" s="49">
        <f t="shared" si="16"/>
        <v>0</v>
      </c>
      <c r="P35" s="47"/>
      <c r="Q35" s="47"/>
      <c r="R35" s="47"/>
    </row>
    <row r="36" spans="1:18">
      <c r="A36" s="73">
        <v>34912</v>
      </c>
      <c r="B36" s="357">
        <v>1995</v>
      </c>
      <c r="C36" s="34" t="s">
        <v>449</v>
      </c>
      <c r="D36" s="9" t="s">
        <v>419</v>
      </c>
      <c r="E36" s="117">
        <v>4148</v>
      </c>
      <c r="F36" s="117"/>
      <c r="G36" s="117">
        <f t="shared" si="11"/>
        <v>4148</v>
      </c>
      <c r="H36" s="64" t="s">
        <v>435</v>
      </c>
      <c r="I36" s="64">
        <v>10</v>
      </c>
      <c r="J36" s="117">
        <f t="shared" si="12"/>
        <v>414.8</v>
      </c>
      <c r="K36" s="354">
        <f t="shared" si="13"/>
        <v>2005</v>
      </c>
      <c r="L36" s="49">
        <f t="shared" si="14"/>
        <v>0</v>
      </c>
      <c r="M36" s="49">
        <f t="shared" si="15"/>
        <v>4148</v>
      </c>
      <c r="N36" s="49">
        <f t="shared" si="17"/>
        <v>4148</v>
      </c>
      <c r="O36" s="49">
        <f t="shared" si="16"/>
        <v>0</v>
      </c>
      <c r="P36" s="47"/>
      <c r="Q36" s="47"/>
      <c r="R36" s="47"/>
    </row>
    <row r="37" spans="1:18">
      <c r="A37" s="73">
        <v>34912</v>
      </c>
      <c r="B37" s="357">
        <v>1995</v>
      </c>
      <c r="C37" s="34" t="s">
        <v>449</v>
      </c>
      <c r="D37" s="9" t="s">
        <v>419</v>
      </c>
      <c r="E37" s="117">
        <v>4148</v>
      </c>
      <c r="F37" s="117"/>
      <c r="G37" s="117">
        <f t="shared" si="11"/>
        <v>4148</v>
      </c>
      <c r="H37" s="64" t="s">
        <v>435</v>
      </c>
      <c r="I37" s="64">
        <v>10</v>
      </c>
      <c r="J37" s="117">
        <f t="shared" si="12"/>
        <v>414.8</v>
      </c>
      <c r="K37" s="354">
        <f t="shared" si="13"/>
        <v>2005</v>
      </c>
      <c r="L37" s="49">
        <f t="shared" si="14"/>
        <v>0</v>
      </c>
      <c r="M37" s="49">
        <f t="shared" si="15"/>
        <v>4148</v>
      </c>
      <c r="N37" s="49">
        <f t="shared" si="17"/>
        <v>4148</v>
      </c>
      <c r="O37" s="49">
        <f t="shared" si="16"/>
        <v>0</v>
      </c>
      <c r="P37" s="47"/>
      <c r="Q37" s="47"/>
      <c r="R37" s="47"/>
    </row>
    <row r="38" spans="1:18">
      <c r="A38" s="73">
        <v>35582</v>
      </c>
      <c r="B38" s="357">
        <v>1997</v>
      </c>
      <c r="C38" s="34" t="s">
        <v>449</v>
      </c>
      <c r="D38" s="9" t="s">
        <v>419</v>
      </c>
      <c r="E38" s="117">
        <v>4420</v>
      </c>
      <c r="F38" s="117"/>
      <c r="G38" s="117">
        <f t="shared" si="11"/>
        <v>4420</v>
      </c>
      <c r="H38" s="64" t="s">
        <v>435</v>
      </c>
      <c r="I38" s="64">
        <v>10</v>
      </c>
      <c r="J38" s="117">
        <f t="shared" si="12"/>
        <v>442</v>
      </c>
      <c r="K38" s="354">
        <f t="shared" si="13"/>
        <v>2007</v>
      </c>
      <c r="L38" s="49">
        <f t="shared" si="14"/>
        <v>0</v>
      </c>
      <c r="M38" s="49">
        <f t="shared" si="15"/>
        <v>4420</v>
      </c>
      <c r="N38" s="49">
        <f t="shared" si="17"/>
        <v>4420</v>
      </c>
      <c r="O38" s="49">
        <f t="shared" si="16"/>
        <v>0</v>
      </c>
      <c r="P38" s="47"/>
      <c r="Q38" s="47"/>
      <c r="R38" s="47"/>
    </row>
    <row r="39" spans="1:18">
      <c r="A39" s="73">
        <v>37377</v>
      </c>
      <c r="B39" s="357">
        <v>2002</v>
      </c>
      <c r="C39" s="34" t="s">
        <v>450</v>
      </c>
      <c r="D39" s="9" t="s">
        <v>419</v>
      </c>
      <c r="E39" s="117">
        <v>10349</v>
      </c>
      <c r="F39" s="49"/>
      <c r="G39" s="117">
        <f t="shared" si="11"/>
        <v>10349</v>
      </c>
      <c r="H39" s="64" t="s">
        <v>435</v>
      </c>
      <c r="I39" s="64">
        <v>10</v>
      </c>
      <c r="J39" s="117">
        <f t="shared" si="12"/>
        <v>1034.9000000000001</v>
      </c>
      <c r="K39" s="354">
        <f t="shared" si="13"/>
        <v>2012</v>
      </c>
      <c r="L39" s="49">
        <f t="shared" si="14"/>
        <v>0</v>
      </c>
      <c r="M39" s="49">
        <f t="shared" si="15"/>
        <v>10349</v>
      </c>
      <c r="N39" s="49">
        <f t="shared" si="17"/>
        <v>10349</v>
      </c>
      <c r="O39" s="49">
        <f t="shared" si="16"/>
        <v>0</v>
      </c>
      <c r="P39" s="47"/>
      <c r="Q39" s="47"/>
      <c r="R39" s="47"/>
    </row>
    <row r="40" spans="1:18">
      <c r="A40" s="65">
        <v>38078</v>
      </c>
      <c r="B40" s="357">
        <v>2004</v>
      </c>
      <c r="C40" s="34" t="s">
        <v>451</v>
      </c>
      <c r="D40" s="34"/>
      <c r="E40" s="117">
        <v>100</v>
      </c>
      <c r="F40" s="49"/>
      <c r="G40" s="117">
        <f t="shared" si="11"/>
        <v>100</v>
      </c>
      <c r="H40" s="47"/>
      <c r="I40" s="64"/>
      <c r="J40" s="117"/>
      <c r="K40" s="354"/>
      <c r="L40" s="49">
        <f t="shared" si="14"/>
        <v>0</v>
      </c>
      <c r="M40" s="49">
        <f t="shared" si="15"/>
        <v>0</v>
      </c>
      <c r="N40" s="49">
        <f t="shared" si="17"/>
        <v>0</v>
      </c>
      <c r="O40" s="49"/>
      <c r="P40" s="47"/>
      <c r="Q40" s="47"/>
      <c r="R40" s="47"/>
    </row>
    <row r="41" spans="1:18">
      <c r="A41" s="65">
        <v>38473</v>
      </c>
      <c r="B41" s="357">
        <v>2005</v>
      </c>
      <c r="C41" s="34" t="s">
        <v>450</v>
      </c>
      <c r="D41" s="9" t="s">
        <v>419</v>
      </c>
      <c r="E41" s="117">
        <v>12509</v>
      </c>
      <c r="F41" s="49"/>
      <c r="G41" s="117">
        <f t="shared" si="11"/>
        <v>12509</v>
      </c>
      <c r="H41" s="47" t="s">
        <v>435</v>
      </c>
      <c r="I41" s="64">
        <v>10</v>
      </c>
      <c r="J41" s="117">
        <f t="shared" si="12"/>
        <v>1250.9000000000001</v>
      </c>
      <c r="K41" s="354">
        <f t="shared" si="13"/>
        <v>2015</v>
      </c>
      <c r="L41" s="49">
        <f t="shared" si="14"/>
        <v>0</v>
      </c>
      <c r="M41" s="49">
        <f t="shared" si="15"/>
        <v>12509</v>
      </c>
      <c r="N41" s="49">
        <f t="shared" si="17"/>
        <v>12509</v>
      </c>
      <c r="O41" s="49">
        <f t="shared" si="16"/>
        <v>0</v>
      </c>
      <c r="P41" s="47"/>
      <c r="Q41" s="47"/>
      <c r="R41" s="47"/>
    </row>
    <row r="42" spans="1:18">
      <c r="A42" s="65">
        <v>38534</v>
      </c>
      <c r="B42" s="357">
        <v>2005</v>
      </c>
      <c r="C42" s="34" t="s">
        <v>452</v>
      </c>
      <c r="D42" s="9" t="s">
        <v>424</v>
      </c>
      <c r="E42" s="117">
        <v>150</v>
      </c>
      <c r="F42" s="49"/>
      <c r="G42" s="117">
        <f t="shared" si="11"/>
        <v>150</v>
      </c>
      <c r="H42" s="47" t="s">
        <v>435</v>
      </c>
      <c r="I42" s="64">
        <v>3</v>
      </c>
      <c r="J42" s="117">
        <f t="shared" si="12"/>
        <v>50</v>
      </c>
      <c r="K42" s="354">
        <f t="shared" si="13"/>
        <v>2008</v>
      </c>
      <c r="L42" s="49">
        <f t="shared" si="14"/>
        <v>0</v>
      </c>
      <c r="M42" s="49">
        <f t="shared" si="15"/>
        <v>150</v>
      </c>
      <c r="N42" s="49">
        <f t="shared" si="17"/>
        <v>150</v>
      </c>
      <c r="O42" s="49">
        <f t="shared" si="16"/>
        <v>0</v>
      </c>
      <c r="P42" s="47"/>
      <c r="Q42" s="47"/>
      <c r="R42" s="47"/>
    </row>
    <row r="43" spans="1:18">
      <c r="A43" s="65">
        <v>38820</v>
      </c>
      <c r="B43" s="357">
        <v>2006</v>
      </c>
      <c r="C43" s="34" t="s">
        <v>450</v>
      </c>
      <c r="D43" s="9" t="s">
        <v>419</v>
      </c>
      <c r="E43" s="117">
        <v>12771</v>
      </c>
      <c r="F43" s="49"/>
      <c r="G43" s="117">
        <f t="shared" si="11"/>
        <v>12771</v>
      </c>
      <c r="H43" s="47" t="s">
        <v>435</v>
      </c>
      <c r="I43" s="64">
        <v>10</v>
      </c>
      <c r="J43" s="117">
        <f t="shared" si="12"/>
        <v>1277.0999999999999</v>
      </c>
      <c r="K43" s="354">
        <f t="shared" si="13"/>
        <v>2016</v>
      </c>
      <c r="L43" s="49">
        <f t="shared" si="14"/>
        <v>0</v>
      </c>
      <c r="M43" s="49">
        <f t="shared" si="15"/>
        <v>12771</v>
      </c>
      <c r="N43" s="49">
        <f t="shared" si="17"/>
        <v>12771</v>
      </c>
      <c r="O43" s="49">
        <f t="shared" si="16"/>
        <v>0</v>
      </c>
      <c r="P43" s="47"/>
      <c r="Q43" s="47"/>
      <c r="R43" s="47"/>
    </row>
    <row r="44" spans="1:18">
      <c r="A44" s="73">
        <v>40366</v>
      </c>
      <c r="B44" s="357">
        <v>2010</v>
      </c>
      <c r="C44" s="34" t="s">
        <v>453</v>
      </c>
      <c r="D44" s="9" t="s">
        <v>419</v>
      </c>
      <c r="E44" s="117">
        <v>6409</v>
      </c>
      <c r="F44" s="49"/>
      <c r="G44" s="117">
        <f t="shared" si="11"/>
        <v>6409</v>
      </c>
      <c r="H44" s="47" t="s">
        <v>435</v>
      </c>
      <c r="I44" s="64">
        <v>10</v>
      </c>
      <c r="J44" s="117">
        <f t="shared" si="12"/>
        <v>640.9</v>
      </c>
      <c r="K44" s="354">
        <f t="shared" si="13"/>
        <v>2020</v>
      </c>
      <c r="L44" s="49">
        <v>0</v>
      </c>
      <c r="M44" s="49">
        <f t="shared" si="15"/>
        <v>5768.0999999999995</v>
      </c>
      <c r="N44" s="49">
        <f t="shared" si="17"/>
        <v>6409</v>
      </c>
      <c r="O44" s="49">
        <f t="shared" si="16"/>
        <v>0</v>
      </c>
      <c r="P44" s="47"/>
      <c r="Q44" s="47"/>
      <c r="R44" s="47"/>
    </row>
    <row r="45" spans="1:18">
      <c r="A45" s="65">
        <v>42004</v>
      </c>
      <c r="B45" s="357">
        <v>2014</v>
      </c>
      <c r="C45" s="34" t="s">
        <v>453</v>
      </c>
      <c r="D45" s="9" t="s">
        <v>419</v>
      </c>
      <c r="E45" s="117">
        <v>19391</v>
      </c>
      <c r="F45" s="49"/>
      <c r="G45" s="117">
        <f t="shared" si="11"/>
        <v>19391</v>
      </c>
      <c r="H45" s="47" t="s">
        <v>435</v>
      </c>
      <c r="I45" s="64">
        <v>10</v>
      </c>
      <c r="J45" s="117">
        <f t="shared" si="12"/>
        <v>1939.1</v>
      </c>
      <c r="K45" s="354">
        <f t="shared" si="13"/>
        <v>2024</v>
      </c>
      <c r="L45" s="49">
        <f t="shared" si="14"/>
        <v>1939.1</v>
      </c>
      <c r="M45" s="49">
        <f>IF(($G$3-B45)*J45&gt;G45,G45,($G$3-B45)*J45)</f>
        <v>9695.5</v>
      </c>
      <c r="N45" s="49">
        <f>IF(($G$4-B45)*J45&gt;G45,G45,($G$4-B45)*J45)</f>
        <v>11634.599999999999</v>
      </c>
      <c r="O45" s="49">
        <f t="shared" si="16"/>
        <v>7756.4000000000015</v>
      </c>
      <c r="P45" s="47"/>
      <c r="Q45" s="47"/>
      <c r="R45" s="47"/>
    </row>
    <row r="46" spans="1:18">
      <c r="A46" s="65">
        <v>42515</v>
      </c>
      <c r="B46" s="357">
        <v>2016</v>
      </c>
      <c r="C46" s="34" t="s">
        <v>454</v>
      </c>
      <c r="D46" s="9" t="s">
        <v>419</v>
      </c>
      <c r="E46" s="117">
        <v>8593</v>
      </c>
      <c r="F46" s="49"/>
      <c r="G46" s="117">
        <f t="shared" si="11"/>
        <v>8593</v>
      </c>
      <c r="H46" s="47" t="s">
        <v>435</v>
      </c>
      <c r="I46" s="64">
        <v>10</v>
      </c>
      <c r="J46" s="117">
        <f t="shared" si="12"/>
        <v>859.3</v>
      </c>
      <c r="K46" s="354">
        <f t="shared" si="13"/>
        <v>2026</v>
      </c>
      <c r="L46" s="49">
        <f t="shared" ref="L46:L50" si="18">IF($G$3&gt;=K46,0,J46)</f>
        <v>859.3</v>
      </c>
      <c r="M46" s="49">
        <f t="shared" ref="M46:M50" si="19">IF(($G$3-B46)*J46&gt;G46,G46,($G$3-B46)*J46)</f>
        <v>2577.8999999999996</v>
      </c>
      <c r="N46" s="49">
        <f t="shared" ref="N46:N50" si="20">IF(($G$4-B46)*J46&gt;G46,G46,($G$4-B46)*J46)</f>
        <v>3437.2</v>
      </c>
      <c r="O46" s="49">
        <f t="shared" ref="O46:O50" si="21">E46-N46</f>
        <v>5155.8</v>
      </c>
      <c r="P46" s="47"/>
      <c r="Q46" s="47"/>
      <c r="R46" s="47"/>
    </row>
    <row r="47" spans="1:18">
      <c r="A47" s="65">
        <v>43348</v>
      </c>
      <c r="B47" s="357">
        <v>2018</v>
      </c>
      <c r="C47" s="34" t="s">
        <v>455</v>
      </c>
      <c r="D47" s="9" t="s">
        <v>419</v>
      </c>
      <c r="E47" s="117">
        <v>11325</v>
      </c>
      <c r="F47" s="49"/>
      <c r="G47" s="117">
        <f t="shared" si="11"/>
        <v>11325</v>
      </c>
      <c r="H47" s="47" t="s">
        <v>435</v>
      </c>
      <c r="I47" s="64">
        <v>10</v>
      </c>
      <c r="J47" s="117">
        <f t="shared" si="12"/>
        <v>1132.5</v>
      </c>
      <c r="K47" s="354">
        <f t="shared" si="13"/>
        <v>2028</v>
      </c>
      <c r="L47" s="49">
        <f t="shared" si="18"/>
        <v>1132.5</v>
      </c>
      <c r="M47" s="49">
        <f t="shared" si="19"/>
        <v>1132.5</v>
      </c>
      <c r="N47" s="49">
        <f t="shared" si="20"/>
        <v>2265</v>
      </c>
      <c r="O47" s="49">
        <f t="shared" si="21"/>
        <v>9060</v>
      </c>
      <c r="P47" s="47"/>
      <c r="Q47" s="47"/>
      <c r="R47" s="47"/>
    </row>
    <row r="48" spans="1:18">
      <c r="A48" s="62">
        <v>43678</v>
      </c>
      <c r="B48" s="357">
        <v>2019</v>
      </c>
      <c r="C48" s="34" t="s">
        <v>456</v>
      </c>
      <c r="D48" s="9" t="s">
        <v>419</v>
      </c>
      <c r="E48" s="117">
        <v>20750.66</v>
      </c>
      <c r="F48" s="49"/>
      <c r="G48" s="117">
        <f t="shared" si="11"/>
        <v>20750.66</v>
      </c>
      <c r="H48" s="101" t="s">
        <v>435</v>
      </c>
      <c r="I48" s="102">
        <v>10</v>
      </c>
      <c r="J48" s="117">
        <f t="shared" si="12"/>
        <v>2075.0659999999998</v>
      </c>
      <c r="K48" s="354">
        <f t="shared" si="13"/>
        <v>2029</v>
      </c>
      <c r="L48" s="49">
        <f t="shared" si="18"/>
        <v>2075.0659999999998</v>
      </c>
      <c r="M48" s="49">
        <f t="shared" si="19"/>
        <v>0</v>
      </c>
      <c r="N48" s="49">
        <f t="shared" si="20"/>
        <v>2075.0659999999998</v>
      </c>
      <c r="O48" s="49">
        <f t="shared" si="21"/>
        <v>18675.594000000001</v>
      </c>
      <c r="P48" s="47"/>
      <c r="Q48" s="47"/>
      <c r="R48" s="47"/>
    </row>
    <row r="49" spans="1:18">
      <c r="A49" s="62">
        <v>43678</v>
      </c>
      <c r="B49" s="357">
        <v>2019</v>
      </c>
      <c r="C49" s="34" t="s">
        <v>457</v>
      </c>
      <c r="D49" s="9" t="s">
        <v>458</v>
      </c>
      <c r="E49" s="49">
        <v>3389</v>
      </c>
      <c r="F49" s="49"/>
      <c r="G49" s="117">
        <f t="shared" si="11"/>
        <v>3389</v>
      </c>
      <c r="H49" s="47" t="s">
        <v>459</v>
      </c>
      <c r="I49" s="47">
        <v>3</v>
      </c>
      <c r="J49" s="117">
        <f t="shared" si="12"/>
        <v>1129.6666666666667</v>
      </c>
      <c r="K49" s="354">
        <f t="shared" si="13"/>
        <v>2022</v>
      </c>
      <c r="L49" s="49">
        <f t="shared" si="18"/>
        <v>1129.6666666666667</v>
      </c>
      <c r="M49" s="49">
        <f t="shared" si="19"/>
        <v>0</v>
      </c>
      <c r="N49" s="49">
        <f t="shared" si="20"/>
        <v>1129.6666666666667</v>
      </c>
      <c r="O49" s="49">
        <f t="shared" si="21"/>
        <v>2259.333333333333</v>
      </c>
      <c r="P49" s="47"/>
      <c r="Q49" s="47"/>
      <c r="R49" s="47"/>
    </row>
    <row r="50" spans="1:18">
      <c r="A50" s="65">
        <v>43727</v>
      </c>
      <c r="B50" s="357">
        <v>2019</v>
      </c>
      <c r="C50" s="34" t="s">
        <v>460</v>
      </c>
      <c r="D50" s="34"/>
      <c r="E50" s="358">
        <v>1143.79</v>
      </c>
      <c r="F50" s="119"/>
      <c r="G50" s="358">
        <f t="shared" si="11"/>
        <v>1143.79</v>
      </c>
      <c r="H50" s="363" t="s">
        <v>459</v>
      </c>
      <c r="I50" s="363">
        <v>10</v>
      </c>
      <c r="J50" s="358">
        <f t="shared" si="12"/>
        <v>114.37899999999999</v>
      </c>
      <c r="K50" s="362">
        <f t="shared" si="13"/>
        <v>2029</v>
      </c>
      <c r="L50" s="119">
        <f t="shared" si="18"/>
        <v>114.37899999999999</v>
      </c>
      <c r="M50" s="119">
        <f t="shared" si="19"/>
        <v>0</v>
      </c>
      <c r="N50" s="119">
        <f t="shared" si="20"/>
        <v>114.37899999999999</v>
      </c>
      <c r="O50" s="119">
        <f t="shared" si="21"/>
        <v>1029.4110000000001</v>
      </c>
      <c r="P50" s="47"/>
      <c r="Q50" s="47"/>
      <c r="R50" s="47"/>
    </row>
    <row r="51" spans="1:18">
      <c r="A51" s="34"/>
      <c r="C51" s="51" t="s">
        <v>461</v>
      </c>
      <c r="D51" s="51"/>
      <c r="E51" s="113">
        <f>SUM(E33:E50)</f>
        <v>131607.45000000001</v>
      </c>
      <c r="F51" s="113"/>
      <c r="G51" s="113">
        <f>SUM(G33:G50)</f>
        <v>131607.45000000001</v>
      </c>
      <c r="H51" s="53"/>
      <c r="I51" s="74"/>
      <c r="J51" s="356"/>
      <c r="K51" s="113"/>
      <c r="L51" s="113">
        <f>SUM(L33:L49)</f>
        <v>7135.6326666666664</v>
      </c>
      <c r="M51" s="113"/>
      <c r="N51" s="113"/>
      <c r="O51" s="113">
        <f>SUM(O33:O50)</f>
        <v>43936.538333333338</v>
      </c>
      <c r="P51" s="53"/>
      <c r="Q51" s="53"/>
      <c r="R51" s="53"/>
    </row>
    <row r="52" spans="1:18">
      <c r="A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O52" s="34"/>
      <c r="P52" s="34"/>
      <c r="Q52" s="34"/>
      <c r="R52" s="47"/>
    </row>
    <row r="53" spans="1:18">
      <c r="A53" s="65"/>
      <c r="B53" s="65"/>
      <c r="C53" s="34"/>
      <c r="D53" s="34"/>
      <c r="E53" s="47"/>
      <c r="F53" s="47"/>
      <c r="G53" s="47"/>
      <c r="H53" s="47"/>
      <c r="I53" s="47"/>
      <c r="J53" s="47"/>
      <c r="K53" s="70"/>
      <c r="L53" s="70"/>
      <c r="M53" s="47"/>
      <c r="N53" s="47"/>
      <c r="O53" s="70"/>
      <c r="P53" s="70"/>
      <c r="Q53" s="47"/>
      <c r="R53" s="47"/>
    </row>
    <row r="54" spans="1:18">
      <c r="A54" s="65"/>
      <c r="B54" s="65"/>
      <c r="C54" s="34"/>
      <c r="D54" s="34"/>
      <c r="E54" s="47"/>
      <c r="F54" s="47"/>
      <c r="G54" s="47"/>
      <c r="H54" s="47"/>
      <c r="I54" s="47"/>
      <c r="J54" s="47"/>
      <c r="K54" s="70"/>
      <c r="L54" s="70"/>
      <c r="M54" s="53"/>
      <c r="N54" s="53"/>
      <c r="O54" s="70"/>
      <c r="P54" s="70"/>
      <c r="Q54" s="70"/>
      <c r="R54" s="47"/>
    </row>
    <row r="55" spans="1:18">
      <c r="A55" s="65"/>
      <c r="B55" s="65"/>
      <c r="C55" s="51" t="s">
        <v>462</v>
      </c>
      <c r="D55" s="34"/>
      <c r="E55" s="47"/>
      <c r="F55" s="47"/>
      <c r="G55" s="47"/>
      <c r="H55" s="47"/>
      <c r="I55" s="47"/>
      <c r="J55" s="47"/>
      <c r="K55" s="70"/>
      <c r="L55" s="70"/>
      <c r="M55" s="70"/>
      <c r="N55" s="70"/>
      <c r="O55" s="70"/>
      <c r="P55" s="70"/>
      <c r="Q55" s="70"/>
      <c r="R55" s="47"/>
    </row>
    <row r="56" spans="1:18">
      <c r="A56" s="73">
        <v>34973</v>
      </c>
      <c r="B56" s="357">
        <v>1995</v>
      </c>
      <c r="C56" s="34" t="s">
        <v>463</v>
      </c>
      <c r="D56" s="9" t="s">
        <v>419</v>
      </c>
      <c r="E56" s="117">
        <v>6916</v>
      </c>
      <c r="F56" s="117"/>
      <c r="G56" s="117">
        <f>E56-F56</f>
        <v>6916</v>
      </c>
      <c r="H56" s="64" t="s">
        <v>435</v>
      </c>
      <c r="I56" s="64">
        <v>10</v>
      </c>
      <c r="J56" s="117">
        <f t="shared" ref="J56" si="22">G56/I56</f>
        <v>691.6</v>
      </c>
      <c r="K56" s="354">
        <f t="shared" ref="K56" si="23">B56+I56</f>
        <v>2005</v>
      </c>
      <c r="L56" s="49">
        <f t="shared" ref="L56" si="24">IF($G$3&gt;=K56,0,J56)</f>
        <v>0</v>
      </c>
      <c r="M56" s="49">
        <f>IF(($G$3-B56)*J56&gt;G56,G56,($G$3-B56)*J56)</f>
        <v>6916</v>
      </c>
      <c r="N56" s="49">
        <f>IF(($G$4-B56)*J56&gt;G56,G56,($G$4-B56)*J56)</f>
        <v>6916</v>
      </c>
      <c r="O56" s="49">
        <f t="shared" ref="O56" si="25">E56-N56</f>
        <v>0</v>
      </c>
      <c r="P56" s="47"/>
      <c r="Q56" s="47"/>
      <c r="R56" s="47"/>
    </row>
    <row r="57" spans="1:18">
      <c r="A57" s="73">
        <v>34973</v>
      </c>
      <c r="B57" s="357">
        <v>1995</v>
      </c>
      <c r="C57" s="34" t="s">
        <v>463</v>
      </c>
      <c r="D57" s="9" t="s">
        <v>419</v>
      </c>
      <c r="E57" s="117">
        <v>6916</v>
      </c>
      <c r="F57" s="117"/>
      <c r="G57" s="117">
        <f t="shared" ref="G57:G63" si="26">E57-F57</f>
        <v>6916</v>
      </c>
      <c r="H57" s="64" t="s">
        <v>435</v>
      </c>
      <c r="I57" s="64">
        <v>10</v>
      </c>
      <c r="J57" s="117">
        <f t="shared" ref="J57:J63" si="27">G57/I57</f>
        <v>691.6</v>
      </c>
      <c r="K57" s="354">
        <f t="shared" ref="K57:K63" si="28">B57+I57</f>
        <v>2005</v>
      </c>
      <c r="L57" s="49">
        <f t="shared" ref="L57:L63" si="29">IF($G$3&gt;=K57,0,J57)</f>
        <v>0</v>
      </c>
      <c r="M57" s="49">
        <f t="shared" ref="M57:M63" si="30">IF(($G$3-B57)*J57&gt;G57,G57,($G$3-B57)*J57)</f>
        <v>6916</v>
      </c>
      <c r="N57" s="49">
        <f t="shared" ref="N57:N63" si="31">IF(($G$4-B57)*J57&gt;G57,G57,($G$4-B57)*J57)</f>
        <v>6916</v>
      </c>
      <c r="O57" s="49">
        <f t="shared" ref="O57:O63" si="32">E57-N57</f>
        <v>0</v>
      </c>
      <c r="P57" s="47"/>
      <c r="Q57" s="47"/>
      <c r="R57" s="47"/>
    </row>
    <row r="58" spans="1:18">
      <c r="A58" s="65">
        <v>38473</v>
      </c>
      <c r="B58" s="357">
        <v>2005</v>
      </c>
      <c r="C58" s="34" t="s">
        <v>464</v>
      </c>
      <c r="D58" s="9" t="s">
        <v>419</v>
      </c>
      <c r="E58" s="117">
        <v>16709</v>
      </c>
      <c r="F58" s="49"/>
      <c r="G58" s="117">
        <f t="shared" si="26"/>
        <v>16709</v>
      </c>
      <c r="H58" s="47" t="s">
        <v>435</v>
      </c>
      <c r="I58" s="64">
        <v>10</v>
      </c>
      <c r="J58" s="117">
        <f t="shared" si="27"/>
        <v>1670.9</v>
      </c>
      <c r="K58" s="354">
        <f t="shared" si="28"/>
        <v>2015</v>
      </c>
      <c r="L58" s="49">
        <f t="shared" si="29"/>
        <v>0</v>
      </c>
      <c r="M58" s="49">
        <f t="shared" si="30"/>
        <v>16709</v>
      </c>
      <c r="N58" s="49">
        <f t="shared" si="31"/>
        <v>16709</v>
      </c>
      <c r="O58" s="49">
        <f t="shared" si="32"/>
        <v>0</v>
      </c>
      <c r="P58" s="47"/>
      <c r="Q58" s="47"/>
      <c r="R58" s="47"/>
    </row>
    <row r="59" spans="1:18">
      <c r="A59" s="65">
        <v>39203</v>
      </c>
      <c r="B59" s="357">
        <v>2007</v>
      </c>
      <c r="C59" s="36" t="s">
        <v>465</v>
      </c>
      <c r="D59" s="37" t="s">
        <v>424</v>
      </c>
      <c r="E59" s="117">
        <v>1135</v>
      </c>
      <c r="F59" s="49"/>
      <c r="G59" s="117">
        <f t="shared" si="26"/>
        <v>1135</v>
      </c>
      <c r="H59" s="43" t="s">
        <v>435</v>
      </c>
      <c r="I59" s="64">
        <v>5</v>
      </c>
      <c r="J59" s="117">
        <f t="shared" si="27"/>
        <v>227</v>
      </c>
      <c r="K59" s="354">
        <f t="shared" si="28"/>
        <v>2012</v>
      </c>
      <c r="L59" s="49">
        <f t="shared" si="29"/>
        <v>0</v>
      </c>
      <c r="M59" s="49">
        <f t="shared" si="30"/>
        <v>1135</v>
      </c>
      <c r="N59" s="49">
        <f t="shared" si="31"/>
        <v>1135</v>
      </c>
      <c r="O59" s="49">
        <f t="shared" si="32"/>
        <v>0</v>
      </c>
      <c r="P59" s="47"/>
      <c r="Q59" s="47"/>
      <c r="R59" s="47"/>
    </row>
    <row r="60" spans="1:18">
      <c r="A60" s="73">
        <v>40817</v>
      </c>
      <c r="B60" s="357">
        <v>2011</v>
      </c>
      <c r="C60" s="34" t="s">
        <v>466</v>
      </c>
      <c r="D60" s="9" t="s">
        <v>424</v>
      </c>
      <c r="E60" s="117">
        <v>624</v>
      </c>
      <c r="F60" s="49"/>
      <c r="G60" s="117">
        <f t="shared" si="26"/>
        <v>624</v>
      </c>
      <c r="H60" s="47" t="s">
        <v>435</v>
      </c>
      <c r="I60" s="64">
        <v>5</v>
      </c>
      <c r="J60" s="117">
        <f t="shared" si="27"/>
        <v>124.8</v>
      </c>
      <c r="K60" s="354">
        <f t="shared" si="28"/>
        <v>2016</v>
      </c>
      <c r="L60" s="49">
        <f t="shared" si="29"/>
        <v>0</v>
      </c>
      <c r="M60" s="49">
        <f t="shared" si="30"/>
        <v>624</v>
      </c>
      <c r="N60" s="49">
        <f t="shared" si="31"/>
        <v>624</v>
      </c>
      <c r="O60" s="49">
        <f t="shared" si="32"/>
        <v>0</v>
      </c>
      <c r="P60" s="47"/>
      <c r="Q60" s="47"/>
      <c r="R60" s="47"/>
    </row>
    <row r="61" spans="1:18">
      <c r="A61" s="73">
        <v>42004</v>
      </c>
      <c r="B61" s="357">
        <v>2014</v>
      </c>
      <c r="C61" s="51" t="s">
        <v>467</v>
      </c>
      <c r="D61" s="9" t="s">
        <v>419</v>
      </c>
      <c r="E61" s="117">
        <v>12238</v>
      </c>
      <c r="F61" s="49"/>
      <c r="G61" s="117">
        <f t="shared" si="26"/>
        <v>12238</v>
      </c>
      <c r="H61" s="47" t="s">
        <v>435</v>
      </c>
      <c r="I61" s="64">
        <v>10</v>
      </c>
      <c r="J61" s="117">
        <f t="shared" si="27"/>
        <v>1223.8</v>
      </c>
      <c r="K61" s="354">
        <f t="shared" si="28"/>
        <v>2024</v>
      </c>
      <c r="L61" s="49">
        <f t="shared" si="29"/>
        <v>1223.8</v>
      </c>
      <c r="M61" s="49">
        <f t="shared" si="30"/>
        <v>6119</v>
      </c>
      <c r="N61" s="49">
        <f t="shared" si="31"/>
        <v>7342.7999999999993</v>
      </c>
      <c r="O61" s="49">
        <f t="shared" si="32"/>
        <v>4895.2000000000007</v>
      </c>
      <c r="P61" s="47"/>
      <c r="Q61" s="47"/>
      <c r="R61" s="47"/>
    </row>
    <row r="62" spans="1:18">
      <c r="A62" s="73">
        <v>43423</v>
      </c>
      <c r="B62" s="357">
        <v>2018</v>
      </c>
      <c r="C62" s="34" t="s">
        <v>468</v>
      </c>
      <c r="D62" s="9" t="s">
        <v>424</v>
      </c>
      <c r="E62" s="117">
        <v>944</v>
      </c>
      <c r="F62" s="49"/>
      <c r="G62" s="117">
        <f t="shared" si="26"/>
        <v>944</v>
      </c>
      <c r="H62" s="47" t="s">
        <v>435</v>
      </c>
      <c r="I62" s="365">
        <v>5</v>
      </c>
      <c r="J62" s="117">
        <f t="shared" si="27"/>
        <v>188.8</v>
      </c>
      <c r="K62" s="354">
        <f t="shared" si="28"/>
        <v>2023</v>
      </c>
      <c r="L62" s="49">
        <f t="shared" si="29"/>
        <v>188.8</v>
      </c>
      <c r="M62" s="49">
        <f t="shared" si="30"/>
        <v>188.8</v>
      </c>
      <c r="N62" s="49">
        <f t="shared" si="31"/>
        <v>377.6</v>
      </c>
      <c r="O62" s="49">
        <f t="shared" si="32"/>
        <v>566.4</v>
      </c>
      <c r="P62" s="47"/>
      <c r="Q62" s="47"/>
      <c r="R62" s="47"/>
    </row>
    <row r="63" spans="1:18">
      <c r="A63" s="62">
        <v>43678</v>
      </c>
      <c r="B63" s="357">
        <v>2019</v>
      </c>
      <c r="C63" s="34" t="s">
        <v>469</v>
      </c>
      <c r="D63" s="9" t="s">
        <v>419</v>
      </c>
      <c r="E63" s="358">
        <v>26704</v>
      </c>
      <c r="F63" s="119"/>
      <c r="G63" s="358">
        <f t="shared" si="26"/>
        <v>26704</v>
      </c>
      <c r="H63" s="363" t="s">
        <v>435</v>
      </c>
      <c r="I63" s="360">
        <v>10</v>
      </c>
      <c r="J63" s="358">
        <f t="shared" si="27"/>
        <v>2670.4</v>
      </c>
      <c r="K63" s="362">
        <f t="shared" si="28"/>
        <v>2029</v>
      </c>
      <c r="L63" s="119">
        <f t="shared" si="29"/>
        <v>2670.4</v>
      </c>
      <c r="M63" s="119">
        <f t="shared" si="30"/>
        <v>0</v>
      </c>
      <c r="N63" s="119">
        <f t="shared" si="31"/>
        <v>2670.4</v>
      </c>
      <c r="O63" s="119">
        <f t="shared" si="32"/>
        <v>24033.599999999999</v>
      </c>
      <c r="P63" s="47"/>
      <c r="Q63" s="47"/>
      <c r="R63" s="47"/>
    </row>
    <row r="64" spans="1:18">
      <c r="A64" s="34"/>
      <c r="C64" s="51" t="s">
        <v>470</v>
      </c>
      <c r="D64" s="40"/>
      <c r="E64" s="113">
        <f>SUM(E56:E63)</f>
        <v>72186</v>
      </c>
      <c r="F64" s="113"/>
      <c r="G64" s="113">
        <f>SUM(G56:G63)</f>
        <v>72186</v>
      </c>
      <c r="H64" s="113"/>
      <c r="I64" s="113"/>
      <c r="J64" s="113"/>
      <c r="K64" s="113"/>
      <c r="L64" s="113">
        <f>SUM(L56:L63)</f>
        <v>4083</v>
      </c>
      <c r="M64" s="113"/>
      <c r="N64" s="113"/>
      <c r="O64" s="113">
        <f>SUM(O56:O63)</f>
        <v>29495.199999999997</v>
      </c>
      <c r="P64" s="47"/>
      <c r="Q64" s="47"/>
      <c r="R64" s="47"/>
    </row>
    <row r="65" spans="1:18">
      <c r="A65" s="34"/>
      <c r="H65" s="53"/>
      <c r="I65" s="74"/>
      <c r="J65" s="69"/>
      <c r="K65" s="53"/>
      <c r="L65" s="53"/>
      <c r="M65" s="53"/>
      <c r="N65" s="53"/>
      <c r="O65" s="53"/>
      <c r="P65" s="53"/>
      <c r="Q65" s="53"/>
      <c r="R65" s="53"/>
    </row>
    <row r="66" spans="1:18" ht="15.6">
      <c r="A66" s="34"/>
      <c r="C66" s="42"/>
      <c r="D66" s="34"/>
      <c r="E66" s="71"/>
      <c r="F66" s="71"/>
      <c r="G66" s="71"/>
      <c r="H66" s="45"/>
      <c r="I66" s="45"/>
      <c r="J66" s="71"/>
      <c r="K66" s="53"/>
      <c r="L66" s="53"/>
      <c r="M66" s="53"/>
      <c r="N66" s="53"/>
      <c r="O66" s="53"/>
      <c r="P66" s="53"/>
      <c r="Q66" s="53"/>
      <c r="R66" s="53"/>
    </row>
    <row r="67" spans="1:18">
      <c r="A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O67" s="34"/>
      <c r="P67" s="34"/>
      <c r="Q67" s="34"/>
      <c r="R67" s="47"/>
    </row>
    <row r="68" spans="1:18">
      <c r="A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O68" s="34"/>
      <c r="P68" s="34"/>
      <c r="Q68" s="34"/>
      <c r="R68" s="47"/>
    </row>
    <row r="69" spans="1:18" ht="15.6">
      <c r="A69" s="42" t="s">
        <v>472</v>
      </c>
      <c r="B69" s="42"/>
      <c r="C69" s="34"/>
      <c r="D69" s="9"/>
      <c r="E69" s="63"/>
      <c r="F69" s="63"/>
      <c r="G69" s="63"/>
      <c r="H69" s="64"/>
      <c r="I69" s="64"/>
      <c r="J69" s="70"/>
      <c r="K69" s="70"/>
      <c r="L69" s="70"/>
      <c r="M69" s="53"/>
      <c r="N69" s="53"/>
      <c r="O69" s="70"/>
      <c r="P69" s="70"/>
      <c r="Q69" s="70"/>
      <c r="R69" s="47"/>
    </row>
    <row r="70" spans="1:18">
      <c r="A70" s="34"/>
      <c r="C70" s="34"/>
      <c r="D70" s="9"/>
      <c r="E70" s="63"/>
      <c r="F70" s="63"/>
      <c r="G70" s="63"/>
      <c r="H70" s="64"/>
      <c r="I70" s="64"/>
      <c r="J70" s="47"/>
      <c r="K70" s="70"/>
      <c r="L70" s="70"/>
      <c r="M70" s="70"/>
      <c r="N70" s="70"/>
      <c r="O70" s="70"/>
      <c r="P70" s="70"/>
      <c r="Q70" s="70"/>
      <c r="R70" s="47"/>
    </row>
    <row r="71" spans="1:18">
      <c r="A71" s="34"/>
      <c r="C71" s="34"/>
      <c r="D71" s="34"/>
      <c r="E71" s="47"/>
      <c r="F71" s="47"/>
      <c r="G71" s="47"/>
      <c r="H71" s="47"/>
      <c r="I71" s="64"/>
      <c r="J71" s="47"/>
      <c r="K71" s="47"/>
      <c r="L71" s="47"/>
      <c r="M71" s="47"/>
      <c r="N71" s="47"/>
      <c r="O71" s="47"/>
      <c r="P71" s="47"/>
      <c r="Q71" s="47"/>
      <c r="R71" s="47"/>
    </row>
    <row r="72" spans="1:18">
      <c r="A72" s="73">
        <v>33756</v>
      </c>
      <c r="B72" s="357">
        <v>1992</v>
      </c>
      <c r="C72" s="34" t="s">
        <v>473</v>
      </c>
      <c r="D72" s="75" t="s">
        <v>419</v>
      </c>
      <c r="E72" s="117">
        <v>641</v>
      </c>
      <c r="F72" s="117"/>
      <c r="G72" s="117">
        <f>E72-F72</f>
        <v>641</v>
      </c>
      <c r="H72" s="64" t="s">
        <v>435</v>
      </c>
      <c r="I72" s="64">
        <v>5</v>
      </c>
      <c r="J72" s="117">
        <f t="shared" ref="J72" si="33">G72/I72</f>
        <v>128.19999999999999</v>
      </c>
      <c r="K72" s="354">
        <f t="shared" ref="K72" si="34">B72+I72</f>
        <v>1997</v>
      </c>
      <c r="L72" s="49">
        <f t="shared" ref="L72" si="35">IF($G$3&gt;=K72,0,J72)</f>
        <v>0</v>
      </c>
      <c r="M72" s="49">
        <f>IF(($G$3-B72)*J72&gt;G72,G72,($G$3-B72)*J72)</f>
        <v>641</v>
      </c>
      <c r="N72" s="49">
        <f>IF(($G$4-B72)*J72&gt;G72,G72,($G$4-B72)*J72)</f>
        <v>641</v>
      </c>
      <c r="O72" s="49">
        <f t="shared" ref="O72" si="36">E72-N72</f>
        <v>0</v>
      </c>
      <c r="P72" s="47"/>
      <c r="Q72" s="47"/>
      <c r="R72" s="47"/>
    </row>
    <row r="73" spans="1:18">
      <c r="A73" s="73">
        <v>35431</v>
      </c>
      <c r="B73" s="357">
        <v>1997</v>
      </c>
      <c r="C73" s="34" t="s">
        <v>474</v>
      </c>
      <c r="D73" s="75" t="s">
        <v>419</v>
      </c>
      <c r="E73" s="49">
        <v>571</v>
      </c>
      <c r="F73" s="49"/>
      <c r="G73" s="117">
        <f t="shared" ref="G73:G87" si="37">E73-F73</f>
        <v>571</v>
      </c>
      <c r="H73" s="47" t="s">
        <v>435</v>
      </c>
      <c r="I73" s="64">
        <v>5</v>
      </c>
      <c r="J73" s="117">
        <f t="shared" ref="J73:J87" si="38">G73/I73</f>
        <v>114.2</v>
      </c>
      <c r="K73" s="354">
        <f t="shared" ref="K73:K87" si="39">B73+I73</f>
        <v>2002</v>
      </c>
      <c r="L73" s="49">
        <f t="shared" ref="L73:L87" si="40">IF($G$3&gt;=K73,0,J73)</f>
        <v>0</v>
      </c>
      <c r="M73" s="49">
        <f t="shared" ref="M73:M87" si="41">IF(($G$3-B73)*J73&gt;G73,G73,($G$3-B73)*J73)</f>
        <v>571</v>
      </c>
      <c r="N73" s="49">
        <f t="shared" ref="N73:N87" si="42">IF(($G$4-B73)*J73&gt;G73,G73,($G$4-B73)*J73)</f>
        <v>571</v>
      </c>
      <c r="O73" s="49">
        <f t="shared" ref="O73:O87" si="43">E73-N73</f>
        <v>0</v>
      </c>
      <c r="P73" s="47"/>
      <c r="Q73" s="47"/>
      <c r="R73" s="47"/>
    </row>
    <row r="74" spans="1:18">
      <c r="A74" s="65"/>
      <c r="B74" s="26"/>
      <c r="C74" s="34"/>
      <c r="D74" s="34"/>
      <c r="E74" s="49"/>
      <c r="F74" s="49"/>
      <c r="G74" s="117">
        <f t="shared" si="37"/>
        <v>0</v>
      </c>
      <c r="H74" s="47"/>
      <c r="I74" s="64"/>
      <c r="J74" s="117"/>
      <c r="K74" s="354"/>
      <c r="L74" s="49">
        <f t="shared" si="40"/>
        <v>0</v>
      </c>
      <c r="M74" s="49">
        <f t="shared" si="41"/>
        <v>0</v>
      </c>
      <c r="N74" s="49">
        <f>IF(($G$4-B74)*J74&gt;G74,G74,($G$4-B74)*J74)</f>
        <v>0</v>
      </c>
      <c r="O74" s="49">
        <f t="shared" si="43"/>
        <v>0</v>
      </c>
      <c r="P74" s="47"/>
      <c r="Q74" s="47"/>
      <c r="R74" s="47"/>
    </row>
    <row r="75" spans="1:18">
      <c r="A75" s="65">
        <v>41487</v>
      </c>
      <c r="B75" s="26">
        <v>2013</v>
      </c>
      <c r="C75" s="34" t="s">
        <v>475</v>
      </c>
      <c r="D75" s="75" t="s">
        <v>419</v>
      </c>
      <c r="E75" s="117">
        <v>1398</v>
      </c>
      <c r="F75" s="49"/>
      <c r="G75" s="117">
        <f t="shared" si="37"/>
        <v>1398</v>
      </c>
      <c r="H75" s="47" t="s">
        <v>435</v>
      </c>
      <c r="I75" s="64">
        <v>3</v>
      </c>
      <c r="J75" s="117">
        <f t="shared" si="38"/>
        <v>466</v>
      </c>
      <c r="K75" s="354">
        <f t="shared" si="39"/>
        <v>2016</v>
      </c>
      <c r="L75" s="49">
        <f t="shared" si="40"/>
        <v>0</v>
      </c>
      <c r="M75" s="49">
        <f t="shared" si="41"/>
        <v>1398</v>
      </c>
      <c r="N75" s="49">
        <f t="shared" si="42"/>
        <v>1398</v>
      </c>
      <c r="O75" s="49">
        <f t="shared" si="43"/>
        <v>0</v>
      </c>
      <c r="P75" s="47"/>
      <c r="Q75" s="47"/>
      <c r="R75" s="47"/>
    </row>
    <row r="76" spans="1:18">
      <c r="A76" s="65">
        <v>41518</v>
      </c>
      <c r="B76" s="26">
        <v>2013</v>
      </c>
      <c r="C76" s="34" t="s">
        <v>476</v>
      </c>
      <c r="D76" s="75" t="s">
        <v>424</v>
      </c>
      <c r="E76" s="117">
        <v>618</v>
      </c>
      <c r="F76" s="49"/>
      <c r="G76" s="117">
        <f t="shared" si="37"/>
        <v>618</v>
      </c>
      <c r="H76" s="47" t="s">
        <v>435</v>
      </c>
      <c r="I76" s="64">
        <v>3</v>
      </c>
      <c r="J76" s="117">
        <f t="shared" si="38"/>
        <v>206</v>
      </c>
      <c r="K76" s="354">
        <f t="shared" si="39"/>
        <v>2016</v>
      </c>
      <c r="L76" s="49">
        <f t="shared" si="40"/>
        <v>0</v>
      </c>
      <c r="M76" s="49">
        <f t="shared" si="41"/>
        <v>618</v>
      </c>
      <c r="N76" s="49">
        <f t="shared" si="42"/>
        <v>618</v>
      </c>
      <c r="O76" s="49">
        <f t="shared" si="43"/>
        <v>0</v>
      </c>
      <c r="P76" s="47"/>
      <c r="Q76" s="47"/>
      <c r="R76" s="47"/>
    </row>
    <row r="77" spans="1:18">
      <c r="A77" s="65">
        <v>41900</v>
      </c>
      <c r="B77" s="26">
        <v>2014</v>
      </c>
      <c r="C77" s="34" t="s">
        <v>477</v>
      </c>
      <c r="D77" s="75" t="s">
        <v>419</v>
      </c>
      <c r="E77" s="117">
        <v>222</v>
      </c>
      <c r="F77" s="49"/>
      <c r="G77" s="117">
        <f t="shared" si="37"/>
        <v>222</v>
      </c>
      <c r="H77" s="47" t="s">
        <v>435</v>
      </c>
      <c r="I77" s="64">
        <v>3</v>
      </c>
      <c r="J77" s="117">
        <f t="shared" si="38"/>
        <v>74</v>
      </c>
      <c r="K77" s="354">
        <f t="shared" si="39"/>
        <v>2017</v>
      </c>
      <c r="L77" s="49">
        <f t="shared" si="40"/>
        <v>0</v>
      </c>
      <c r="M77" s="49">
        <f t="shared" si="41"/>
        <v>222</v>
      </c>
      <c r="N77" s="49">
        <f t="shared" si="42"/>
        <v>222</v>
      </c>
      <c r="O77" s="49">
        <f t="shared" si="43"/>
        <v>0</v>
      </c>
      <c r="P77" s="47"/>
      <c r="Q77" s="47"/>
      <c r="R77" s="47"/>
    </row>
    <row r="78" spans="1:18">
      <c r="A78" s="65">
        <v>37803</v>
      </c>
      <c r="B78" s="26">
        <v>2003</v>
      </c>
      <c r="C78" s="34" t="s">
        <v>478</v>
      </c>
      <c r="D78" s="34"/>
      <c r="E78" s="49"/>
      <c r="F78" s="49"/>
      <c r="G78" s="117">
        <f t="shared" si="37"/>
        <v>0</v>
      </c>
      <c r="H78" s="47"/>
      <c r="I78" s="64"/>
      <c r="J78" s="117"/>
      <c r="K78" s="354"/>
      <c r="L78" s="49">
        <f t="shared" si="40"/>
        <v>0</v>
      </c>
      <c r="M78" s="49">
        <f t="shared" si="41"/>
        <v>0</v>
      </c>
      <c r="N78" s="49">
        <f t="shared" si="42"/>
        <v>0</v>
      </c>
      <c r="O78" s="49">
        <f t="shared" si="43"/>
        <v>0</v>
      </c>
      <c r="P78" s="47"/>
      <c r="Q78" s="47"/>
      <c r="R78" s="47"/>
    </row>
    <row r="79" spans="1:18">
      <c r="A79" s="65">
        <v>42311</v>
      </c>
      <c r="B79" s="26">
        <v>2015</v>
      </c>
      <c r="C79" s="34" t="s">
        <v>479</v>
      </c>
      <c r="D79" s="75" t="s">
        <v>419</v>
      </c>
      <c r="E79" s="117">
        <v>323</v>
      </c>
      <c r="F79" s="49"/>
      <c r="G79" s="117">
        <f t="shared" si="37"/>
        <v>323</v>
      </c>
      <c r="H79" s="47" t="s">
        <v>435</v>
      </c>
      <c r="I79" s="64">
        <v>3</v>
      </c>
      <c r="J79" s="117">
        <f t="shared" si="38"/>
        <v>107.66666666666667</v>
      </c>
      <c r="K79" s="354">
        <f t="shared" si="39"/>
        <v>2018</v>
      </c>
      <c r="L79" s="49">
        <f t="shared" si="40"/>
        <v>0</v>
      </c>
      <c r="M79" s="49">
        <f t="shared" si="41"/>
        <v>323</v>
      </c>
      <c r="N79" s="49">
        <f t="shared" si="42"/>
        <v>323</v>
      </c>
      <c r="O79" s="49">
        <f t="shared" si="43"/>
        <v>0</v>
      </c>
      <c r="P79" s="47"/>
      <c r="Q79" s="47"/>
      <c r="R79" s="47"/>
    </row>
    <row r="80" spans="1:18">
      <c r="A80" s="65">
        <v>42456</v>
      </c>
      <c r="B80" s="26">
        <v>2016</v>
      </c>
      <c r="C80" s="34" t="s">
        <v>480</v>
      </c>
      <c r="D80" s="75" t="s">
        <v>419</v>
      </c>
      <c r="E80" s="117">
        <v>255</v>
      </c>
      <c r="F80" s="49"/>
      <c r="G80" s="117">
        <f t="shared" si="37"/>
        <v>255</v>
      </c>
      <c r="H80" s="47" t="s">
        <v>435</v>
      </c>
      <c r="I80" s="64">
        <v>3</v>
      </c>
      <c r="J80" s="117">
        <f t="shared" si="38"/>
        <v>85</v>
      </c>
      <c r="K80" s="354">
        <f t="shared" si="39"/>
        <v>2019</v>
      </c>
      <c r="L80" s="49">
        <f t="shared" si="40"/>
        <v>0</v>
      </c>
      <c r="M80" s="49">
        <f t="shared" si="41"/>
        <v>255</v>
      </c>
      <c r="N80" s="49">
        <f t="shared" si="42"/>
        <v>255</v>
      </c>
      <c r="O80" s="49">
        <f t="shared" si="43"/>
        <v>0</v>
      </c>
      <c r="P80" s="47"/>
      <c r="Q80" s="47"/>
      <c r="R80" s="47"/>
    </row>
    <row r="81" spans="1:18">
      <c r="A81" s="65">
        <v>42464</v>
      </c>
      <c r="B81" s="26">
        <v>2016</v>
      </c>
      <c r="C81" s="34" t="s">
        <v>481</v>
      </c>
      <c r="D81" s="75" t="s">
        <v>424</v>
      </c>
      <c r="E81" s="49">
        <v>1897</v>
      </c>
      <c r="F81" s="49"/>
      <c r="G81" s="117">
        <f t="shared" si="37"/>
        <v>1897</v>
      </c>
      <c r="H81" s="47" t="s">
        <v>435</v>
      </c>
      <c r="I81" s="64">
        <v>3</v>
      </c>
      <c r="J81" s="117">
        <f t="shared" si="38"/>
        <v>632.33333333333337</v>
      </c>
      <c r="K81" s="354">
        <f t="shared" si="39"/>
        <v>2019</v>
      </c>
      <c r="L81" s="49">
        <f t="shared" si="40"/>
        <v>0</v>
      </c>
      <c r="M81" s="49">
        <f t="shared" si="41"/>
        <v>1897</v>
      </c>
      <c r="N81" s="49">
        <f t="shared" si="42"/>
        <v>1897</v>
      </c>
      <c r="O81" s="49">
        <f t="shared" si="43"/>
        <v>0</v>
      </c>
      <c r="P81" s="47"/>
      <c r="Q81" s="47"/>
      <c r="R81" s="47"/>
    </row>
    <row r="82" spans="1:18">
      <c r="A82" s="65">
        <v>42705</v>
      </c>
      <c r="B82" s="26">
        <v>2016</v>
      </c>
      <c r="C82" s="34" t="s">
        <v>482</v>
      </c>
      <c r="D82" s="75" t="s">
        <v>419</v>
      </c>
      <c r="E82" s="49">
        <v>1281</v>
      </c>
      <c r="F82" s="49"/>
      <c r="G82" s="117">
        <f t="shared" si="37"/>
        <v>1281</v>
      </c>
      <c r="H82" s="47" t="s">
        <v>435</v>
      </c>
      <c r="I82" s="64">
        <v>5</v>
      </c>
      <c r="J82" s="117">
        <f t="shared" si="38"/>
        <v>256.2</v>
      </c>
      <c r="K82" s="354">
        <f t="shared" si="39"/>
        <v>2021</v>
      </c>
      <c r="L82" s="49">
        <f t="shared" si="40"/>
        <v>256.2</v>
      </c>
      <c r="M82" s="49">
        <f t="shared" si="41"/>
        <v>768.59999999999991</v>
      </c>
      <c r="N82" s="49">
        <f t="shared" si="42"/>
        <v>1024.8</v>
      </c>
      <c r="O82" s="49">
        <f t="shared" si="43"/>
        <v>256.20000000000005</v>
      </c>
      <c r="P82" s="47"/>
      <c r="Q82" s="47"/>
      <c r="R82" s="47"/>
    </row>
    <row r="83" spans="1:18">
      <c r="A83" s="65">
        <v>42726</v>
      </c>
      <c r="B83" s="26">
        <v>2016</v>
      </c>
      <c r="C83" s="34" t="s">
        <v>483</v>
      </c>
      <c r="D83" s="75" t="s">
        <v>419</v>
      </c>
      <c r="E83" s="49">
        <v>908</v>
      </c>
      <c r="F83" s="49"/>
      <c r="G83" s="117">
        <f t="shared" si="37"/>
        <v>908</v>
      </c>
      <c r="H83" s="47" t="s">
        <v>435</v>
      </c>
      <c r="I83" s="64">
        <v>5</v>
      </c>
      <c r="J83" s="117">
        <f t="shared" si="38"/>
        <v>181.6</v>
      </c>
      <c r="K83" s="354">
        <f t="shared" si="39"/>
        <v>2021</v>
      </c>
      <c r="L83" s="49">
        <f t="shared" si="40"/>
        <v>181.6</v>
      </c>
      <c r="M83" s="49">
        <f t="shared" si="41"/>
        <v>544.79999999999995</v>
      </c>
      <c r="N83" s="49">
        <f t="shared" si="42"/>
        <v>726.4</v>
      </c>
      <c r="O83" s="49">
        <f t="shared" si="43"/>
        <v>181.60000000000002</v>
      </c>
      <c r="P83" s="47"/>
      <c r="Q83" s="47"/>
      <c r="R83" s="47"/>
    </row>
    <row r="84" spans="1:18">
      <c r="A84" s="76">
        <v>42854</v>
      </c>
      <c r="B84" s="26">
        <v>2017</v>
      </c>
      <c r="C84" s="34" t="s">
        <v>484</v>
      </c>
      <c r="D84" s="75" t="s">
        <v>419</v>
      </c>
      <c r="E84" s="49">
        <v>378</v>
      </c>
      <c r="F84" s="49"/>
      <c r="G84" s="117">
        <f t="shared" si="37"/>
        <v>378</v>
      </c>
      <c r="H84" s="47" t="s">
        <v>435</v>
      </c>
      <c r="I84" s="64">
        <v>5</v>
      </c>
      <c r="J84" s="117">
        <f t="shared" si="38"/>
        <v>75.599999999999994</v>
      </c>
      <c r="K84" s="354">
        <f t="shared" si="39"/>
        <v>2022</v>
      </c>
      <c r="L84" s="49">
        <f t="shared" si="40"/>
        <v>75.599999999999994</v>
      </c>
      <c r="M84" s="49">
        <f t="shared" si="41"/>
        <v>151.19999999999999</v>
      </c>
      <c r="N84" s="49">
        <f t="shared" si="42"/>
        <v>226.79999999999998</v>
      </c>
      <c r="O84" s="49">
        <f t="shared" si="43"/>
        <v>151.20000000000002</v>
      </c>
      <c r="P84" s="47"/>
      <c r="Q84" s="47"/>
      <c r="R84" s="47"/>
    </row>
    <row r="85" spans="1:18">
      <c r="A85" s="76">
        <v>42855</v>
      </c>
      <c r="B85" s="26">
        <v>2017</v>
      </c>
      <c r="C85" s="34" t="s">
        <v>485</v>
      </c>
      <c r="D85" s="75" t="s">
        <v>419</v>
      </c>
      <c r="E85" s="49">
        <v>962</v>
      </c>
      <c r="F85" s="49"/>
      <c r="G85" s="117">
        <f t="shared" si="37"/>
        <v>962</v>
      </c>
      <c r="H85" s="47" t="s">
        <v>435</v>
      </c>
      <c r="I85" s="64">
        <v>5</v>
      </c>
      <c r="J85" s="117">
        <f t="shared" si="38"/>
        <v>192.4</v>
      </c>
      <c r="K85" s="354">
        <f t="shared" si="39"/>
        <v>2022</v>
      </c>
      <c r="L85" s="49">
        <f t="shared" si="40"/>
        <v>192.4</v>
      </c>
      <c r="M85" s="49">
        <f t="shared" si="41"/>
        <v>384.8</v>
      </c>
      <c r="N85" s="49">
        <f t="shared" si="42"/>
        <v>577.20000000000005</v>
      </c>
      <c r="O85" s="49">
        <f t="shared" si="43"/>
        <v>384.79999999999995</v>
      </c>
      <c r="P85" s="47"/>
      <c r="Q85" s="47"/>
      <c r="R85" s="47"/>
    </row>
    <row r="86" spans="1:18">
      <c r="A86" s="65">
        <v>42948</v>
      </c>
      <c r="B86" s="26">
        <v>2017</v>
      </c>
      <c r="C86" s="34" t="s">
        <v>486</v>
      </c>
      <c r="D86" s="75" t="s">
        <v>419</v>
      </c>
      <c r="E86" s="49">
        <v>431</v>
      </c>
      <c r="F86" s="49"/>
      <c r="G86" s="117">
        <f t="shared" si="37"/>
        <v>431</v>
      </c>
      <c r="H86" s="47" t="s">
        <v>435</v>
      </c>
      <c r="I86" s="64">
        <v>5</v>
      </c>
      <c r="J86" s="117">
        <f t="shared" si="38"/>
        <v>86.2</v>
      </c>
      <c r="K86" s="354">
        <f t="shared" si="39"/>
        <v>2022</v>
      </c>
      <c r="L86" s="49">
        <f t="shared" si="40"/>
        <v>86.2</v>
      </c>
      <c r="M86" s="49">
        <f t="shared" si="41"/>
        <v>172.4</v>
      </c>
      <c r="N86" s="49">
        <f t="shared" si="42"/>
        <v>258.60000000000002</v>
      </c>
      <c r="O86" s="49">
        <f t="shared" si="43"/>
        <v>172.39999999999998</v>
      </c>
      <c r="P86" s="47"/>
      <c r="Q86" s="47"/>
      <c r="R86" s="47"/>
    </row>
    <row r="87" spans="1:18">
      <c r="A87" s="65">
        <v>42949</v>
      </c>
      <c r="B87" s="26">
        <v>2017</v>
      </c>
      <c r="C87" s="34" t="s">
        <v>487</v>
      </c>
      <c r="D87" s="364" t="s">
        <v>424</v>
      </c>
      <c r="E87" s="119">
        <v>973</v>
      </c>
      <c r="F87" s="119"/>
      <c r="G87" s="358">
        <f t="shared" si="37"/>
        <v>973</v>
      </c>
      <c r="H87" s="363" t="s">
        <v>435</v>
      </c>
      <c r="I87" s="360">
        <v>3</v>
      </c>
      <c r="J87" s="358">
        <f t="shared" si="38"/>
        <v>324.33333333333331</v>
      </c>
      <c r="K87" s="362">
        <f t="shared" si="39"/>
        <v>2020</v>
      </c>
      <c r="L87" s="119">
        <f t="shared" si="40"/>
        <v>324.33333333333331</v>
      </c>
      <c r="M87" s="119">
        <f t="shared" si="41"/>
        <v>648.66666666666663</v>
      </c>
      <c r="N87" s="119">
        <f t="shared" si="42"/>
        <v>973</v>
      </c>
      <c r="O87" s="119">
        <f t="shared" si="43"/>
        <v>0</v>
      </c>
      <c r="P87" s="47"/>
      <c r="Q87" s="47"/>
      <c r="R87" s="47"/>
    </row>
    <row r="88" spans="1:18">
      <c r="A88" s="76"/>
      <c r="B88" s="76"/>
      <c r="C88" s="46" t="s">
        <v>471</v>
      </c>
      <c r="D88" s="34"/>
      <c r="E88" s="47"/>
      <c r="F88" s="47"/>
      <c r="G88" s="47"/>
      <c r="H88" s="47"/>
      <c r="I88" s="64"/>
      <c r="J88" s="117"/>
      <c r="K88" s="354"/>
      <c r="L88" s="49">
        <f>SUM(L72:L87)</f>
        <v>1116.3333333333333</v>
      </c>
      <c r="M88" s="49"/>
      <c r="N88" s="49"/>
      <c r="O88" s="49">
        <f>SUM(O72:O87)</f>
        <v>1146.2</v>
      </c>
      <c r="P88" s="47"/>
      <c r="Q88" s="47"/>
      <c r="R88" s="47"/>
    </row>
    <row r="89" spans="1:18">
      <c r="A89" s="34"/>
      <c r="D89" s="46"/>
      <c r="E89" s="48"/>
      <c r="F89" s="48"/>
      <c r="G89" s="48"/>
      <c r="H89" s="48"/>
      <c r="I89" s="45"/>
      <c r="J89" s="48"/>
      <c r="K89" s="48"/>
      <c r="L89" s="48"/>
      <c r="M89" s="48"/>
      <c r="N89" s="48"/>
      <c r="O89" s="48"/>
      <c r="P89" s="48"/>
      <c r="Q89" s="48"/>
      <c r="R89" s="53"/>
    </row>
    <row r="90" spans="1:18">
      <c r="A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7"/>
      <c r="N90" s="47"/>
      <c r="O90" s="34"/>
      <c r="P90" s="34"/>
      <c r="Q90" s="34"/>
      <c r="R90" s="47"/>
    </row>
    <row r="91" spans="1:18">
      <c r="A91" s="34"/>
      <c r="C91" s="34"/>
      <c r="D91" s="34"/>
      <c r="E91" s="47"/>
      <c r="F91" s="47"/>
      <c r="G91" s="47"/>
      <c r="H91" s="47"/>
      <c r="I91" s="64"/>
      <c r="J91" s="47"/>
      <c r="K91" s="47"/>
      <c r="L91" s="47"/>
      <c r="M91" s="47"/>
      <c r="N91" s="47"/>
      <c r="O91" s="47"/>
      <c r="P91" s="47"/>
      <c r="Q91" s="47"/>
      <c r="R91" s="47"/>
    </row>
    <row r="92" spans="1:18">
      <c r="A92" s="51" t="s">
        <v>488</v>
      </c>
      <c r="B92" s="51"/>
      <c r="C92" s="34"/>
      <c r="D92" s="34"/>
      <c r="E92" s="47"/>
      <c r="F92" s="47"/>
      <c r="G92" s="47"/>
      <c r="H92" s="47"/>
      <c r="I92" s="64"/>
      <c r="J92" s="47"/>
      <c r="K92" s="47"/>
      <c r="L92" s="47"/>
      <c r="M92" s="47"/>
      <c r="N92" s="47"/>
      <c r="O92" s="47"/>
      <c r="P92" s="47"/>
      <c r="Q92" s="47"/>
      <c r="R92" s="47"/>
    </row>
    <row r="93" spans="1:18">
      <c r="A93" s="34"/>
      <c r="C93" s="34"/>
      <c r="D93" s="34"/>
      <c r="E93" s="47"/>
      <c r="F93" s="47"/>
      <c r="G93" s="47"/>
      <c r="H93" s="47"/>
      <c r="I93" s="64"/>
      <c r="J93" s="47"/>
      <c r="K93" s="47"/>
      <c r="L93" s="47"/>
      <c r="M93" s="47"/>
      <c r="N93" s="47"/>
      <c r="O93" s="47"/>
      <c r="P93" s="47"/>
      <c r="Q93" s="47"/>
      <c r="R93" s="47"/>
    </row>
    <row r="94" spans="1:18" ht="16.2">
      <c r="A94" s="77">
        <v>43800</v>
      </c>
      <c r="B94" s="27">
        <v>2019</v>
      </c>
      <c r="C94" s="51" t="s">
        <v>489</v>
      </c>
      <c r="D94" s="51"/>
      <c r="E94" s="389">
        <v>4109</v>
      </c>
      <c r="F94" s="101"/>
      <c r="G94" s="389">
        <f>E94-F94</f>
        <v>4109</v>
      </c>
      <c r="H94" s="53" t="s">
        <v>435</v>
      </c>
      <c r="I94" s="53">
        <v>3</v>
      </c>
      <c r="J94" s="117">
        <f>G94/I94</f>
        <v>1369.6666666666667</v>
      </c>
      <c r="K94" s="49">
        <f t="shared" ref="K94" si="44">B94+I94</f>
        <v>2022</v>
      </c>
      <c r="L94" s="120">
        <f t="shared" ref="L94" si="45">IF($G$3&gt;=K94,0,J94)</f>
        <v>1369.6666666666667</v>
      </c>
      <c r="M94" s="49">
        <f t="shared" ref="M94" si="46">IF(($G$3-B94)*J94&gt;G94,G94,($G$3-B94)*J94)</f>
        <v>0</v>
      </c>
      <c r="N94" s="49">
        <f t="shared" ref="N94" si="47">IF(($G$4-B94)*J94&gt;G94,G94,($G$4-B94)*J94)</f>
        <v>1369.6666666666667</v>
      </c>
      <c r="O94" s="120">
        <f t="shared" ref="O94" si="48">E94-N94</f>
        <v>2739.333333333333</v>
      </c>
      <c r="P94" s="53"/>
      <c r="Q94" s="53"/>
      <c r="R94" s="53"/>
    </row>
    <row r="95" spans="1:18" s="34" customFormat="1">
      <c r="A95" s="77"/>
      <c r="B95" s="27"/>
      <c r="C95" s="51"/>
      <c r="D95" s="51"/>
      <c r="E95" s="389"/>
      <c r="F95" s="389"/>
      <c r="G95" s="389"/>
      <c r="H95" s="53"/>
      <c r="I95" s="53"/>
      <c r="J95" s="117"/>
      <c r="K95" s="49"/>
      <c r="L95" s="49"/>
      <c r="M95" s="49"/>
      <c r="N95" s="49"/>
      <c r="O95" s="49"/>
      <c r="P95" s="53"/>
      <c r="Q95" s="53"/>
      <c r="R95" s="53"/>
    </row>
    <row r="96" spans="1:18" s="34" customFormat="1">
      <c r="A96" s="77"/>
      <c r="B96" s="27"/>
      <c r="C96" s="51"/>
      <c r="D96" s="51"/>
      <c r="E96" s="389"/>
      <c r="F96" s="389"/>
      <c r="G96" s="389"/>
      <c r="H96" s="53"/>
      <c r="I96" s="53"/>
      <c r="J96" s="117"/>
      <c r="K96" s="49"/>
      <c r="L96" s="49"/>
      <c r="M96" s="49"/>
      <c r="N96" s="49"/>
      <c r="O96" s="49"/>
      <c r="P96" s="53"/>
      <c r="Q96" s="53"/>
      <c r="R96" s="53"/>
    </row>
    <row r="97" spans="1:18" s="34" customFormat="1">
      <c r="A97" s="77" t="s">
        <v>1232</v>
      </c>
      <c r="B97" s="27"/>
      <c r="C97" s="51"/>
      <c r="D97" s="51"/>
      <c r="E97" s="389"/>
      <c r="F97" s="389"/>
      <c r="G97" s="389"/>
      <c r="H97" s="53"/>
      <c r="I97" s="53"/>
      <c r="J97" s="117"/>
      <c r="K97" s="49"/>
      <c r="L97" s="49"/>
      <c r="M97" s="49"/>
      <c r="N97" s="49"/>
      <c r="O97" s="49"/>
      <c r="P97" s="53"/>
      <c r="Q97" s="53"/>
      <c r="R97" s="53"/>
    </row>
    <row r="98" spans="1:18" s="34" customFormat="1">
      <c r="A98" s="81">
        <v>39508</v>
      </c>
      <c r="B98" s="388">
        <v>2008</v>
      </c>
      <c r="C98" s="57" t="s">
        <v>1233</v>
      </c>
      <c r="D98" s="51"/>
      <c r="E98" s="389">
        <v>46561</v>
      </c>
      <c r="F98" s="389">
        <v>15365.130000000001</v>
      </c>
      <c r="G98" s="389">
        <f>E98-F98</f>
        <v>31195.87</v>
      </c>
      <c r="H98" s="53" t="s">
        <v>435</v>
      </c>
      <c r="I98" s="53">
        <v>7</v>
      </c>
      <c r="J98" s="117">
        <f t="shared" ref="J98" si="49">G98/I98</f>
        <v>4456.5528571428567</v>
      </c>
      <c r="K98" s="354">
        <f t="shared" ref="K98" si="50">B98+I98</f>
        <v>2015</v>
      </c>
      <c r="L98" s="49">
        <f t="shared" ref="L98" si="51">IF($G$3&gt;=K98,0,J98)</f>
        <v>0</v>
      </c>
      <c r="M98" s="49">
        <f>IF(($G$3-B98)*J98&gt;G98,G98,($G$3-B98)*J98)</f>
        <v>31195.87</v>
      </c>
      <c r="N98" s="49">
        <f>IF(($G$4-B98)*J98&gt;G98,G98,($G$4-B98)*J98)</f>
        <v>31195.87</v>
      </c>
      <c r="O98" s="49">
        <v>0</v>
      </c>
      <c r="P98" s="53"/>
      <c r="Q98" s="53"/>
      <c r="R98" s="53"/>
    </row>
    <row r="99" spans="1:18" s="34" customFormat="1">
      <c r="A99" s="81"/>
      <c r="B99" s="388">
        <v>2019</v>
      </c>
      <c r="C99" s="390" t="s">
        <v>1236</v>
      </c>
      <c r="D99" s="51"/>
      <c r="E99" s="389">
        <f>F98</f>
        <v>15365.130000000001</v>
      </c>
      <c r="F99" s="389"/>
      <c r="G99" s="389">
        <f t="shared" ref="G99:G103" si="52">E99-F99</f>
        <v>15365.130000000001</v>
      </c>
      <c r="H99" s="53" t="s">
        <v>435</v>
      </c>
      <c r="I99" s="53">
        <v>3</v>
      </c>
      <c r="J99" s="117">
        <f t="shared" ref="J99:J103" si="53">G99/I99</f>
        <v>5121.71</v>
      </c>
      <c r="K99" s="354">
        <f t="shared" ref="K99:K103" si="54">B99+I99</f>
        <v>2022</v>
      </c>
      <c r="L99" s="49">
        <f t="shared" ref="L99:L103" si="55">IF($G$3&gt;=K99,0,J99)</f>
        <v>5121.71</v>
      </c>
      <c r="M99" s="49">
        <f t="shared" ref="M99:M103" si="56">IF(($G$3-B99)*J99&gt;G99,G99,($G$3-B99)*J99)</f>
        <v>0</v>
      </c>
      <c r="N99" s="49">
        <f t="shared" ref="N99:N103" si="57">IF(($G$4-B99)*J99&gt;G99,G99,($G$4-B99)*J99)</f>
        <v>5121.71</v>
      </c>
      <c r="O99" s="49">
        <f t="shared" ref="O99:O103" si="58">E99-N99</f>
        <v>10243.420000000002</v>
      </c>
      <c r="P99" s="53"/>
      <c r="Q99" s="53"/>
      <c r="R99" s="53"/>
    </row>
    <row r="100" spans="1:18" s="34" customFormat="1">
      <c r="A100" s="81">
        <v>39362</v>
      </c>
      <c r="B100" s="388">
        <v>2007</v>
      </c>
      <c r="C100" s="34" t="s">
        <v>1234</v>
      </c>
      <c r="D100" s="51"/>
      <c r="E100" s="123">
        <v>26950</v>
      </c>
      <c r="F100" s="389">
        <v>8893.5</v>
      </c>
      <c r="G100" s="389">
        <f t="shared" si="52"/>
        <v>18056.5</v>
      </c>
      <c r="H100" s="53" t="s">
        <v>435</v>
      </c>
      <c r="I100" s="53">
        <v>5</v>
      </c>
      <c r="J100" s="117">
        <f t="shared" si="53"/>
        <v>3611.3</v>
      </c>
      <c r="K100" s="354">
        <f t="shared" si="54"/>
        <v>2012</v>
      </c>
      <c r="L100" s="49">
        <f t="shared" si="55"/>
        <v>0</v>
      </c>
      <c r="M100" s="49">
        <f t="shared" si="56"/>
        <v>18056.5</v>
      </c>
      <c r="N100" s="49">
        <f t="shared" si="57"/>
        <v>18056.5</v>
      </c>
      <c r="O100" s="49">
        <v>0</v>
      </c>
      <c r="P100" s="53"/>
      <c r="Q100" s="53"/>
      <c r="R100" s="53"/>
    </row>
    <row r="101" spans="1:18" s="34" customFormat="1">
      <c r="A101" s="81"/>
      <c r="B101" s="388">
        <v>2019</v>
      </c>
      <c r="C101" s="352" t="s">
        <v>1237</v>
      </c>
      <c r="D101" s="51"/>
      <c r="E101" s="123">
        <f>F100</f>
        <v>8893.5</v>
      </c>
      <c r="F101" s="389"/>
      <c r="G101" s="389">
        <f t="shared" si="52"/>
        <v>8893.5</v>
      </c>
      <c r="H101" s="53" t="s">
        <v>435</v>
      </c>
      <c r="I101" s="53">
        <v>3</v>
      </c>
      <c r="J101" s="117">
        <f t="shared" si="53"/>
        <v>2964.5</v>
      </c>
      <c r="K101" s="354">
        <f t="shared" si="54"/>
        <v>2022</v>
      </c>
      <c r="L101" s="49">
        <f t="shared" si="55"/>
        <v>2964.5</v>
      </c>
      <c r="M101" s="49">
        <f t="shared" si="56"/>
        <v>0</v>
      </c>
      <c r="N101" s="49">
        <f t="shared" si="57"/>
        <v>2964.5</v>
      </c>
      <c r="O101" s="49">
        <f t="shared" si="58"/>
        <v>5929</v>
      </c>
      <c r="P101" s="53"/>
      <c r="Q101" s="53"/>
      <c r="R101" s="53"/>
    </row>
    <row r="102" spans="1:18" s="34" customFormat="1">
      <c r="A102" s="81">
        <v>39363</v>
      </c>
      <c r="B102" s="388">
        <v>2007</v>
      </c>
      <c r="C102" s="34" t="s">
        <v>1235</v>
      </c>
      <c r="D102" s="51"/>
      <c r="E102" s="123">
        <v>37625</v>
      </c>
      <c r="F102" s="389">
        <v>12416.25</v>
      </c>
      <c r="G102" s="389">
        <f t="shared" si="52"/>
        <v>25208.75</v>
      </c>
      <c r="H102" s="53" t="s">
        <v>435</v>
      </c>
      <c r="I102" s="53">
        <v>5</v>
      </c>
      <c r="J102" s="117">
        <f t="shared" si="53"/>
        <v>5041.75</v>
      </c>
      <c r="K102" s="354">
        <f t="shared" si="54"/>
        <v>2012</v>
      </c>
      <c r="L102" s="49">
        <f t="shared" si="55"/>
        <v>0</v>
      </c>
      <c r="M102" s="49">
        <f t="shared" si="56"/>
        <v>25208.75</v>
      </c>
      <c r="N102" s="49">
        <f t="shared" si="57"/>
        <v>25208.75</v>
      </c>
      <c r="O102" s="49">
        <v>0</v>
      </c>
      <c r="P102" s="53"/>
      <c r="Q102" s="53"/>
      <c r="R102" s="53"/>
    </row>
    <row r="103" spans="1:18" s="34" customFormat="1">
      <c r="A103" s="81"/>
      <c r="B103" s="388">
        <v>2019</v>
      </c>
      <c r="C103" s="352" t="s">
        <v>1238</v>
      </c>
      <c r="D103" s="51"/>
      <c r="E103" s="391">
        <f>F102</f>
        <v>12416.25</v>
      </c>
      <c r="F103" s="392"/>
      <c r="G103" s="392">
        <f t="shared" si="52"/>
        <v>12416.25</v>
      </c>
      <c r="H103" s="393" t="s">
        <v>435</v>
      </c>
      <c r="I103" s="393">
        <v>3</v>
      </c>
      <c r="J103" s="358">
        <f t="shared" si="53"/>
        <v>4138.75</v>
      </c>
      <c r="K103" s="362">
        <f t="shared" si="54"/>
        <v>2022</v>
      </c>
      <c r="L103" s="119">
        <f t="shared" si="55"/>
        <v>4138.75</v>
      </c>
      <c r="M103" s="119">
        <f t="shared" si="56"/>
        <v>0</v>
      </c>
      <c r="N103" s="119">
        <f t="shared" si="57"/>
        <v>4138.75</v>
      </c>
      <c r="O103" s="119">
        <f t="shared" si="58"/>
        <v>8277.5</v>
      </c>
      <c r="P103" s="53"/>
      <c r="Q103" s="53"/>
      <c r="R103" s="53"/>
    </row>
    <row r="104" spans="1:18" s="34" customFormat="1">
      <c r="A104" s="81"/>
      <c r="B104" s="388"/>
      <c r="C104" s="336"/>
      <c r="D104" s="51"/>
      <c r="E104" s="123"/>
      <c r="F104" s="389"/>
      <c r="G104" s="389"/>
      <c r="H104" s="53"/>
      <c r="I104" s="53"/>
      <c r="J104" s="117"/>
      <c r="K104" s="354"/>
      <c r="L104" s="49">
        <f>SUM(L98:L103)</f>
        <v>12224.96</v>
      </c>
      <c r="M104" s="49"/>
      <c r="N104" s="49"/>
      <c r="O104" s="49">
        <f>SUM(O98:O103)</f>
        <v>24449.920000000002</v>
      </c>
      <c r="P104" s="53"/>
      <c r="Q104" s="53"/>
      <c r="R104" s="53"/>
    </row>
    <row r="105" spans="1:18" s="34" customFormat="1">
      <c r="A105" s="81"/>
      <c r="B105" s="388"/>
      <c r="C105" s="336"/>
      <c r="D105" s="51"/>
      <c r="E105" s="123"/>
      <c r="F105" s="389"/>
      <c r="G105" s="389"/>
      <c r="H105" s="53"/>
      <c r="I105" s="53"/>
      <c r="J105" s="117"/>
      <c r="K105" s="354"/>
      <c r="L105" s="49"/>
      <c r="M105" s="49"/>
      <c r="N105" s="49"/>
      <c r="O105" s="49"/>
      <c r="P105" s="53"/>
      <c r="Q105" s="53"/>
      <c r="R105" s="53"/>
    </row>
    <row r="106" spans="1:18">
      <c r="A106" s="368"/>
      <c r="B106" s="368"/>
      <c r="C106" s="368"/>
      <c r="D106" s="368"/>
      <c r="E106" s="363"/>
      <c r="F106" s="363"/>
      <c r="G106" s="363"/>
      <c r="H106" s="363"/>
      <c r="I106" s="360"/>
      <c r="J106" s="363"/>
      <c r="K106" s="363"/>
      <c r="L106" s="363"/>
      <c r="M106" s="369"/>
      <c r="N106" s="369"/>
      <c r="O106" s="363"/>
      <c r="P106" s="47"/>
      <c r="Q106" s="47"/>
      <c r="R106" s="47"/>
    </row>
    <row r="107" spans="1:18" ht="17.399999999999999">
      <c r="A107" s="34"/>
      <c r="C107" s="78" t="s">
        <v>471</v>
      </c>
      <c r="D107" s="78"/>
      <c r="E107" s="44"/>
      <c r="F107" s="44"/>
      <c r="G107" s="44"/>
      <c r="H107" s="44"/>
      <c r="I107" s="44"/>
      <c r="J107" s="44"/>
      <c r="K107" s="71" t="s">
        <v>1164</v>
      </c>
      <c r="L107" s="367">
        <f>L27+L51+L64+L88+L94+L104</f>
        <v>72095.126666666663</v>
      </c>
      <c r="M107" s="44"/>
      <c r="N107" s="44"/>
      <c r="O107" s="367">
        <f>O27+O51+O64+O88+O94+O104</f>
        <v>276585.45966666669</v>
      </c>
      <c r="P107" s="366" t="s">
        <v>1165</v>
      </c>
      <c r="Q107" s="44"/>
      <c r="R107" s="44"/>
    </row>
    <row r="108" spans="1:18">
      <c r="A108" s="34"/>
      <c r="C108" s="34"/>
      <c r="D108" s="34"/>
      <c r="E108" s="47"/>
      <c r="F108" s="47"/>
      <c r="G108" s="47"/>
      <c r="H108" s="47"/>
      <c r="I108" s="64"/>
      <c r="J108" s="47"/>
      <c r="K108" s="47"/>
      <c r="L108" s="47"/>
      <c r="M108" s="47"/>
      <c r="N108" s="47"/>
      <c r="O108" s="47"/>
      <c r="P108" s="47"/>
      <c r="Q108" s="34"/>
      <c r="R108" s="53"/>
    </row>
    <row r="109" spans="1:18">
      <c r="A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O109" s="34"/>
      <c r="P109" s="34"/>
      <c r="Q109" s="34"/>
      <c r="R109" s="47"/>
    </row>
    <row r="110" spans="1:18">
      <c r="A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O110" s="34"/>
      <c r="P110" s="34"/>
      <c r="Q110" s="34"/>
      <c r="R110" s="47"/>
    </row>
    <row r="111" spans="1:18">
      <c r="A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O111" s="34"/>
      <c r="P111" s="34"/>
      <c r="Q111" s="34"/>
      <c r="R111" s="47"/>
    </row>
    <row r="112" spans="1:18">
      <c r="A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O112" s="34"/>
      <c r="P112" s="34"/>
      <c r="Q112" s="34"/>
      <c r="R112" s="47"/>
    </row>
    <row r="113" spans="1:18">
      <c r="A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O113" s="34"/>
      <c r="P113" s="34"/>
      <c r="Q113" s="34"/>
      <c r="R113" s="47"/>
    </row>
    <row r="114" spans="1:18">
      <c r="A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O114" s="34"/>
      <c r="P114" s="34"/>
      <c r="Q114" s="34"/>
      <c r="R114" s="47"/>
    </row>
    <row r="115" spans="1:18">
      <c r="A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O115" s="34"/>
      <c r="P115" s="34"/>
      <c r="Q115" s="34"/>
      <c r="R115" s="47"/>
    </row>
    <row r="116" spans="1:18">
      <c r="A116" s="51"/>
      <c r="B116" s="51"/>
      <c r="C116" s="51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O116" s="34"/>
      <c r="P116" s="34"/>
      <c r="Q116" s="34"/>
      <c r="R116" s="47"/>
    </row>
    <row r="117" spans="1:18">
      <c r="A117" s="3"/>
      <c r="B117" s="3"/>
      <c r="C117" s="51"/>
      <c r="D117" s="51"/>
      <c r="E117" s="70"/>
      <c r="F117" s="70"/>
      <c r="G117" s="70"/>
      <c r="H117" s="70"/>
      <c r="I117" s="70"/>
      <c r="J117" s="70"/>
      <c r="K117" s="34"/>
      <c r="L117" s="34"/>
      <c r="M117" s="34"/>
      <c r="O117" s="34"/>
      <c r="P117" s="34"/>
      <c r="Q117" s="34"/>
      <c r="R117" s="47"/>
    </row>
    <row r="118" spans="1:18">
      <c r="A118" s="3"/>
      <c r="B118" s="3"/>
      <c r="C118" s="51"/>
      <c r="D118" s="51"/>
      <c r="E118" s="70"/>
      <c r="F118" s="70"/>
      <c r="G118" s="70"/>
      <c r="H118" s="70"/>
      <c r="I118" s="70"/>
      <c r="J118" s="70"/>
      <c r="K118" s="34"/>
      <c r="L118" s="34"/>
      <c r="M118" s="34"/>
      <c r="O118" s="34"/>
      <c r="P118" s="34"/>
      <c r="Q118" s="34"/>
      <c r="R118" s="47"/>
    </row>
    <row r="119" spans="1:18">
      <c r="A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34"/>
      <c r="P119" s="34"/>
      <c r="Q119" s="34"/>
      <c r="R119" s="47"/>
    </row>
    <row r="120" spans="1:18">
      <c r="A120" s="62"/>
      <c r="B120" s="62"/>
      <c r="C120" s="34"/>
      <c r="D120" s="9"/>
      <c r="E120" s="75"/>
      <c r="F120" s="34"/>
      <c r="G120" s="75"/>
      <c r="H120" s="56"/>
      <c r="I120" s="75"/>
      <c r="J120" s="63"/>
      <c r="K120" s="34"/>
      <c r="L120" s="34"/>
      <c r="M120" s="34"/>
      <c r="O120" s="34"/>
      <c r="P120" s="34"/>
      <c r="Q120" s="34"/>
      <c r="R120" s="47"/>
    </row>
    <row r="121" spans="1:18">
      <c r="A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O121" s="34"/>
      <c r="P121" s="34"/>
      <c r="Q121" s="34"/>
      <c r="R121" s="47"/>
    </row>
    <row r="122" spans="1:18">
      <c r="A122" s="51"/>
      <c r="B122" s="51"/>
      <c r="C122" s="34"/>
      <c r="D122" s="34"/>
      <c r="E122" s="47"/>
      <c r="F122" s="47"/>
      <c r="G122" s="47"/>
      <c r="H122" s="47"/>
      <c r="I122" s="64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>
      <c r="A123" s="79"/>
      <c r="B123" s="79"/>
      <c r="C123" s="51"/>
      <c r="D123" s="51"/>
      <c r="E123" s="53"/>
      <c r="F123" s="53"/>
      <c r="G123" s="48"/>
      <c r="H123" s="53"/>
      <c r="I123" s="74"/>
      <c r="J123" s="69"/>
      <c r="K123" s="53"/>
      <c r="L123" s="53"/>
      <c r="M123" s="53"/>
      <c r="N123" s="53"/>
      <c r="O123" s="53"/>
      <c r="P123" s="53"/>
      <c r="Q123" s="53"/>
      <c r="R123" s="47"/>
    </row>
    <row r="124" spans="1:18">
      <c r="A124" s="34"/>
      <c r="C124" s="34"/>
      <c r="D124" s="34"/>
      <c r="E124" s="47"/>
      <c r="F124" s="47"/>
      <c r="G124" s="47"/>
      <c r="H124" s="47"/>
      <c r="I124" s="64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>
      <c r="A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O125" s="34"/>
      <c r="P125" s="34"/>
      <c r="Q125" s="34"/>
      <c r="R125" s="47"/>
    </row>
    <row r="126" spans="1:18">
      <c r="A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O126" s="34"/>
      <c r="P126" s="34"/>
      <c r="Q126" s="34"/>
      <c r="R126" s="47"/>
    </row>
    <row r="127" spans="1:18">
      <c r="A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O127" s="34"/>
      <c r="P127" s="34"/>
      <c r="Q127" s="34"/>
      <c r="R127" s="34"/>
    </row>
    <row r="128" spans="1:18">
      <c r="A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O128" s="34"/>
      <c r="P128" s="34"/>
      <c r="Q128" s="34"/>
      <c r="R128" s="34"/>
    </row>
    <row r="129" spans="1:18">
      <c r="A129" s="34"/>
      <c r="C129" s="34"/>
      <c r="D129" s="34"/>
      <c r="E129" s="34"/>
      <c r="F129" s="34"/>
      <c r="G129" s="34"/>
      <c r="H129" s="34"/>
      <c r="I129" s="34"/>
      <c r="J129" s="70"/>
      <c r="K129" s="70"/>
      <c r="L129" s="70"/>
      <c r="M129" s="47"/>
      <c r="N129" s="47"/>
      <c r="O129" s="70"/>
      <c r="P129" s="70"/>
      <c r="Q129" s="47"/>
      <c r="R129" s="34"/>
    </row>
    <row r="130" spans="1:18">
      <c r="A130" s="34"/>
      <c r="C130" s="34"/>
      <c r="D130" s="34"/>
      <c r="E130" s="34"/>
      <c r="F130" s="34"/>
      <c r="G130" s="34"/>
      <c r="H130" s="34"/>
      <c r="I130" s="34"/>
      <c r="J130" s="70"/>
      <c r="K130" s="70"/>
      <c r="L130" s="70"/>
      <c r="M130" s="53"/>
      <c r="N130" s="53"/>
      <c r="O130" s="70"/>
      <c r="P130" s="70"/>
      <c r="Q130" s="70"/>
      <c r="R130" s="34"/>
    </row>
    <row r="131" spans="1:18">
      <c r="A131" s="34"/>
      <c r="C131" s="34"/>
      <c r="D131" s="34"/>
      <c r="E131" s="34"/>
      <c r="F131" s="34"/>
      <c r="G131" s="34"/>
      <c r="H131" s="34"/>
      <c r="I131" s="34"/>
      <c r="J131" s="47"/>
      <c r="K131" s="70"/>
      <c r="L131" s="70"/>
      <c r="M131" s="70"/>
      <c r="N131" s="70"/>
      <c r="O131" s="70"/>
      <c r="P131" s="70"/>
      <c r="Q131" s="70"/>
      <c r="R131" s="34"/>
    </row>
    <row r="132" spans="1:18">
      <c r="A132" s="51"/>
      <c r="B132" s="5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O132" s="34"/>
      <c r="P132" s="34"/>
      <c r="Q132" s="34"/>
      <c r="R132" s="34"/>
    </row>
    <row r="133" spans="1:18">
      <c r="A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O133" s="34"/>
      <c r="P133" s="34"/>
      <c r="Q133" s="34"/>
      <c r="R133" s="34"/>
    </row>
    <row r="134" spans="1:18">
      <c r="A134" s="65"/>
      <c r="B134" s="65"/>
      <c r="C134" s="34"/>
      <c r="D134" s="9"/>
      <c r="E134" s="63"/>
      <c r="F134" s="47"/>
      <c r="G134" s="47"/>
      <c r="H134" s="64"/>
      <c r="I134" s="63"/>
      <c r="J134" s="63"/>
      <c r="K134" s="47"/>
      <c r="L134" s="47"/>
      <c r="M134" s="47"/>
      <c r="N134" s="47"/>
      <c r="O134" s="47"/>
      <c r="P134" s="47"/>
      <c r="Q134" s="47"/>
      <c r="R134" s="34"/>
    </row>
    <row r="135" spans="1:18">
      <c r="A135" s="65"/>
      <c r="B135" s="65"/>
      <c r="C135" s="34"/>
      <c r="D135" s="9"/>
      <c r="E135" s="63"/>
      <c r="F135" s="47"/>
      <c r="G135" s="47"/>
      <c r="H135" s="64"/>
      <c r="I135" s="63"/>
      <c r="J135" s="63"/>
      <c r="K135" s="47"/>
      <c r="L135" s="47"/>
      <c r="M135" s="47"/>
      <c r="N135" s="47"/>
      <c r="O135" s="47"/>
      <c r="P135" s="47"/>
      <c r="Q135" s="47"/>
      <c r="R135" s="34"/>
    </row>
    <row r="136" spans="1:18">
      <c r="A136" s="65"/>
      <c r="B136" s="65"/>
      <c r="C136" s="34"/>
      <c r="D136" s="9"/>
      <c r="E136" s="63"/>
      <c r="F136" s="47"/>
      <c r="G136" s="47"/>
      <c r="H136" s="64"/>
      <c r="I136" s="63"/>
      <c r="J136" s="63"/>
      <c r="K136" s="47"/>
      <c r="L136" s="47"/>
      <c r="M136" s="47"/>
      <c r="N136" s="47"/>
      <c r="O136" s="47"/>
      <c r="P136" s="47"/>
      <c r="Q136" s="47"/>
      <c r="R136" s="34"/>
    </row>
    <row r="137" spans="1:18">
      <c r="A137" s="62"/>
      <c r="B137" s="62"/>
      <c r="C137" s="34"/>
      <c r="D137" s="9"/>
      <c r="E137" s="63"/>
      <c r="F137" s="47"/>
      <c r="G137" s="47"/>
      <c r="H137" s="64"/>
      <c r="I137" s="63"/>
      <c r="J137" s="64"/>
      <c r="K137" s="47"/>
      <c r="L137" s="47"/>
      <c r="M137" s="47"/>
      <c r="N137" s="47"/>
      <c r="O137" s="47"/>
      <c r="P137" s="47"/>
      <c r="Q137" s="47"/>
      <c r="R137" s="34"/>
    </row>
    <row r="138" spans="1:18">
      <c r="A138" s="65"/>
      <c r="B138" s="65"/>
      <c r="C138" s="34"/>
      <c r="D138" s="9"/>
      <c r="E138" s="43"/>
      <c r="F138" s="43"/>
      <c r="G138" s="80"/>
      <c r="H138" s="43"/>
      <c r="I138" s="68"/>
      <c r="J138" s="63"/>
      <c r="K138" s="47"/>
      <c r="L138" s="47"/>
      <c r="M138" s="47"/>
      <c r="N138" s="47"/>
      <c r="O138" s="47"/>
      <c r="P138" s="47"/>
      <c r="Q138" s="47"/>
      <c r="R138" s="34"/>
    </row>
    <row r="139" spans="1:18">
      <c r="A139" s="62"/>
      <c r="B139" s="62"/>
      <c r="C139" s="34"/>
      <c r="D139" s="9"/>
      <c r="E139" s="63"/>
      <c r="F139" s="47"/>
      <c r="G139" s="47"/>
      <c r="H139" s="64"/>
      <c r="I139" s="63"/>
      <c r="J139" s="63"/>
      <c r="K139" s="47"/>
      <c r="L139" s="47"/>
      <c r="M139" s="47"/>
      <c r="N139" s="47"/>
      <c r="O139" s="47"/>
      <c r="P139" s="47"/>
      <c r="Q139" s="47"/>
      <c r="R139" s="34"/>
    </row>
    <row r="140" spans="1:18">
      <c r="A140" s="81"/>
      <c r="B140" s="81"/>
      <c r="C140" s="57"/>
      <c r="D140" s="51"/>
      <c r="E140" s="63"/>
      <c r="F140" s="47"/>
      <c r="G140" s="47"/>
      <c r="H140" s="64"/>
      <c r="I140" s="63"/>
      <c r="J140" s="47"/>
      <c r="K140" s="47"/>
      <c r="L140" s="47"/>
      <c r="M140" s="47"/>
      <c r="N140" s="47"/>
      <c r="O140" s="47"/>
      <c r="P140" s="47"/>
      <c r="Q140" s="47"/>
      <c r="R140" s="34"/>
    </row>
    <row r="141" spans="1:18">
      <c r="A141" s="62"/>
      <c r="B141" s="62"/>
      <c r="C141" s="57"/>
      <c r="D141" s="9"/>
      <c r="E141" s="63"/>
      <c r="F141" s="34"/>
      <c r="G141" s="47"/>
      <c r="H141" s="34"/>
      <c r="I141" s="34"/>
      <c r="J141" s="34"/>
      <c r="K141" s="34"/>
      <c r="L141" s="34"/>
      <c r="M141" s="34"/>
      <c r="O141" s="34"/>
      <c r="P141" s="34"/>
      <c r="Q141" s="34"/>
      <c r="R141" s="34"/>
    </row>
    <row r="142" spans="1:18">
      <c r="A142" s="34"/>
      <c r="C142" s="34"/>
      <c r="D142" s="34"/>
      <c r="E142" s="47"/>
      <c r="F142" s="47"/>
      <c r="G142" s="47"/>
      <c r="H142" s="34"/>
      <c r="I142" s="34"/>
      <c r="J142" s="34"/>
      <c r="K142" s="47"/>
      <c r="L142" s="47"/>
      <c r="M142" s="47"/>
      <c r="N142" s="47"/>
      <c r="O142" s="47"/>
      <c r="P142" s="47"/>
      <c r="Q142" s="47"/>
      <c r="R142" s="34"/>
    </row>
    <row r="143" spans="1:18">
      <c r="A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O143" s="34"/>
      <c r="P143" s="34"/>
      <c r="Q143" s="34"/>
      <c r="R143" s="34"/>
    </row>
    <row r="144" spans="1:18">
      <c r="A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O144" s="34"/>
      <c r="P144" s="34"/>
      <c r="Q144" s="34"/>
      <c r="R144" s="34"/>
    </row>
    <row r="145" spans="1:18">
      <c r="A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O145" s="34"/>
      <c r="P145" s="34"/>
      <c r="Q145" s="34"/>
      <c r="R145" s="34"/>
    </row>
    <row r="146" spans="1:18">
      <c r="A146" s="34"/>
      <c r="C146" s="51"/>
      <c r="D146" s="34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34"/>
    </row>
    <row r="147" spans="1:18">
      <c r="A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O147" s="34"/>
      <c r="P147" s="34"/>
      <c r="Q147" s="34"/>
      <c r="R147" s="34"/>
    </row>
    <row r="148" spans="1:18">
      <c r="A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O148" s="34"/>
      <c r="P148" s="34"/>
      <c r="Q148" s="34"/>
      <c r="R148" s="34"/>
    </row>
    <row r="149" spans="1:18">
      <c r="A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O149" s="34"/>
      <c r="P149" s="34"/>
      <c r="Q149" s="34"/>
      <c r="R149" s="34"/>
    </row>
    <row r="150" spans="1:18">
      <c r="A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O150" s="34"/>
      <c r="P150" s="34"/>
      <c r="Q150" s="34"/>
      <c r="R150" s="34"/>
    </row>
    <row r="151" spans="1:18">
      <c r="A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O151" s="34"/>
      <c r="P151" s="34"/>
      <c r="Q151" s="34"/>
      <c r="R151" s="34"/>
    </row>
    <row r="152" spans="1:18">
      <c r="A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O152" s="34"/>
      <c r="P152" s="34"/>
      <c r="Q152" s="34"/>
      <c r="R152" s="34"/>
    </row>
    <row r="153" spans="1:18">
      <c r="A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O153" s="34"/>
      <c r="P153" s="34"/>
      <c r="Q153" s="34"/>
      <c r="R153" s="34"/>
    </row>
  </sheetData>
  <phoneticPr fontId="68" type="noConversion"/>
  <printOptions gridLines="1"/>
  <pageMargins left="0" right="0" top="0" bottom="0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31BF9F093D8CA4B8E01D61DFEE7A4D0" ma:contentTypeVersion="44" ma:contentTypeDescription="" ma:contentTypeScope="" ma:versionID="f01c86b74ad5be591b9b26acda2921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2020-06-11T07:00:00+00:00</OpenedDate>
    <SignificantOrder xmlns="dc463f71-b30c-4ab2-9473-d307f9d35888">false</SignificantOrder>
    <Date1 xmlns="dc463f71-b30c-4ab2-9473-d307f9d35888">2020-06-11T07:00:00+00:00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Stanley's Sanitary Service, L.L.C.</CaseCompanyNames>
    <Nickname xmlns="http://schemas.microsoft.com/sharepoint/v3" xsi:nil="true"/>
    <DocketNumber xmlns="dc463f71-b30c-4ab2-9473-d307f9d35888">200537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2BEFCF-889E-4AC5-B6EF-35691E653D1B}"/>
</file>

<file path=customXml/itemProps2.xml><?xml version="1.0" encoding="utf-8"?>
<ds:datastoreItem xmlns:ds="http://schemas.openxmlformats.org/officeDocument/2006/customXml" ds:itemID="{FF749E2E-F0F4-42A7-BBE0-AB7C82EA22FB}"/>
</file>

<file path=customXml/itemProps3.xml><?xml version="1.0" encoding="utf-8"?>
<ds:datastoreItem xmlns:ds="http://schemas.openxmlformats.org/officeDocument/2006/customXml" ds:itemID="{C5497D87-D75F-4B6A-B338-A1DE628A1677}"/>
</file>

<file path=customXml/itemProps4.xml><?xml version="1.0" encoding="utf-8"?>
<ds:datastoreItem xmlns:ds="http://schemas.openxmlformats.org/officeDocument/2006/customXml" ds:itemID="{4B321007-C02B-471A-A2E3-176F18CF3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RESULTS OF OPERATIONS</vt:lpstr>
      <vt:lpstr>LG Nonpublic 2018 V5.2a</vt:lpstr>
      <vt:lpstr>PA ADJ INDEX</vt:lpstr>
      <vt:lpstr>Price Out</vt:lpstr>
      <vt:lpstr>REVENUE</vt:lpstr>
      <vt:lpstr>PROFORMA REV</vt:lpstr>
      <vt:lpstr>PA 1</vt:lpstr>
      <vt:lpstr>PA 2 OFFICE RENT</vt:lpstr>
      <vt:lpstr>PA 3 DEPREC</vt:lpstr>
      <vt:lpstr>PA 4 DISPOSAL FEE</vt:lpstr>
      <vt:lpstr>PA 5 PAYROLL</vt:lpstr>
      <vt:lpstr>PA 6 LICENSING</vt:lpstr>
      <vt:lpstr>MANAGER MEDICAL PA 7</vt:lpstr>
      <vt:lpstr>PA 8 INTEREST</vt:lpstr>
      <vt:lpstr>PA 10 INSURANCE</vt:lpstr>
      <vt:lpstr>PA 11 TIRES</vt:lpstr>
      <vt:lpstr>PA 12 BENEFITS</vt:lpstr>
      <vt:lpstr>PA 13 TARIFF PREP</vt:lpstr>
      <vt:lpstr>BALANCE SHEET</vt:lpstr>
      <vt:lpstr>P&amp;L BY MONTH</vt:lpstr>
      <vt:lpstr>'LG Nonpublic 2018 V5.2a'!Debt_Rate</vt:lpstr>
      <vt:lpstr>'LG Nonpublic 2018 V5.2a'!debtP</vt:lpstr>
      <vt:lpstr>'LG Nonpublic 2018 V5.2a'!Equity_percent</vt:lpstr>
      <vt:lpstr>'LG Nonpublic 2018 V5.2a'!equityP</vt:lpstr>
      <vt:lpstr>'LG Nonpublic 2018 V5.2a'!expenses</vt:lpstr>
      <vt:lpstr>'LG Nonpublic 2018 V5.2a'!Investment</vt:lpstr>
      <vt:lpstr>'LG Nonpublic 2018 V5.2a'!Pfd_weighted</vt:lpstr>
      <vt:lpstr>'LG Nonpublic 2018 V5.2a'!Print_Area</vt:lpstr>
      <vt:lpstr>'PA 4 DISPOSAL FEE'!Print_Titles</vt:lpstr>
      <vt:lpstr>'PA 6 LICENSING'!Print_Titles</vt:lpstr>
      <vt:lpstr>'LG Nonpublic 2018 V5.2a'!regDebt_weighted</vt:lpstr>
      <vt:lpstr>'LG Nonpublic 2018 V5.2a'!Revenue</vt:lpstr>
      <vt:lpstr>slope</vt:lpstr>
      <vt:lpstr>'LG Nonpublic 2018 V5.2a'!taxrate</vt:lpstr>
      <vt:lpstr>y_inter1</vt:lpstr>
      <vt:lpstr>y_inter2</vt:lpstr>
      <vt:lpstr>y_inter3</vt:lpstr>
      <vt:lpstr>y_inter4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</dc:creator>
  <cp:lastModifiedBy>Crystal</cp:lastModifiedBy>
  <cp:lastPrinted>2020-06-03T20:47:21Z</cp:lastPrinted>
  <dcterms:created xsi:type="dcterms:W3CDTF">2020-05-19T20:52:40Z</dcterms:created>
  <dcterms:modified xsi:type="dcterms:W3CDTF">2020-06-10T23:22:43Z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0x0101006E56B4D1795A2E4DB2F0B01679ED314A00331BF9F093D8CA4B8E01D61DFEE7A4D0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