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E-RE-1" sheetId="1" r:id="rId1"/>
    <sheet name="G-RE-1" sheetId="2" r:id="rId2"/>
    <sheet name="E-RE-2" sheetId="3" r:id="rId3"/>
    <sheet name="G-RE-2" sheetId="4" r:id="rId4"/>
    <sheet name="Reg Fees" sheetId="5" r:id="rId5"/>
    <sheet name="Liability" sheetId="6" r:id="rId6"/>
    <sheet name="Revenue-E" sheetId="7" r:id="rId7"/>
    <sheet name="Revenue-G" sheetId="8" r:id="rId8"/>
    <sheet name="Acerno_Cache_XXXXX" sheetId="9" state="veryHidden" r:id="rId9"/>
    <sheet name="Input" sheetId="10" r:id="rId10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'Macro1'!$C$1</definedName>
    <definedName name="Macro14">'Macro1'!$C$8</definedName>
    <definedName name="Macro15">'Macro1'!$C$15</definedName>
    <definedName name="Macro16">'Macro1'!$C$22</definedName>
    <definedName name="Macro17">'Macro1'!$C$29</definedName>
    <definedName name="Macro18">'Macro1'!$C$36</definedName>
    <definedName name="Macro19">'Macro1'!$D$1</definedName>
    <definedName name="Macro2">'Macro1'!$A$8</definedName>
    <definedName name="Macro20">'Macro1'!$D$8</definedName>
    <definedName name="Macro21">'Macro1'!$D$15</definedName>
    <definedName name="Macro22">'Macro1'!$D$22</definedName>
    <definedName name="Macro23">'Macro1'!$D$29</definedName>
    <definedName name="Macro24">'Macro1'!$D$36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'Macro1'!$B$37</definedName>
    <definedName name="Macro8">'Macro1'!$B$44</definedName>
    <definedName name="Macro9">'Macro1'!$B$51</definedName>
    <definedName name="_xlnm.Print_Area" localSheetId="0">'E-RE-1'!$A$1:$E$33</definedName>
    <definedName name="_xlnm.Print_Area" localSheetId="2">'E-RE-2'!$A$1:$H$42</definedName>
    <definedName name="_xlnm.Print_Area" localSheetId="1">'G-RE-1'!$A$1:$E$30</definedName>
    <definedName name="_xlnm.Print_Area" localSheetId="3">'G-RE-2'!$A$1:$H$39</definedName>
    <definedName name="_xlnm.Print_Titles" localSheetId="0">'E-RE-1'!$1:$5</definedName>
    <definedName name="_xlnm.Print_Titles" localSheetId="2">'E-RE-2'!$1:$5</definedName>
    <definedName name="_xlnm.Print_Titles" localSheetId="3">'G-RE-2'!$1:$6</definedName>
    <definedName name="Recover">'Macro1'!$A$56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<sst xmlns="http://schemas.openxmlformats.org/spreadsheetml/2006/main" count="277" uniqueCount="163">
  <si>
    <t>Company:001</t>
  </si>
  <si>
    <t>Ava Jet:&lt;All&gt;</t>
  </si>
  <si>
    <t>Expenditure Type:928 Regulatory Fees</t>
  </si>
  <si>
    <t>Ferc Acct:928000</t>
  </si>
  <si>
    <t>Sum</t>
  </si>
  <si>
    <t>ED</t>
  </si>
  <si>
    <t>02805036</t>
  </si>
  <si>
    <t>WA</t>
  </si>
  <si>
    <t>03805013</t>
  </si>
  <si>
    <t>ID</t>
  </si>
  <si>
    <t>09800545</t>
  </si>
  <si>
    <t>AN</t>
  </si>
  <si>
    <t>GD</t>
  </si>
  <si>
    <t>02805035</t>
  </si>
  <si>
    <t>03805014</t>
  </si>
  <si>
    <t>06805000</t>
  </si>
  <si>
    <t>OR</t>
  </si>
  <si>
    <t>Macro1</t>
  </si>
  <si>
    <t>Macro2</t>
  </si>
  <si>
    <t>Macro3</t>
  </si>
  <si>
    <t>Macro4</t>
  </si>
  <si>
    <t>Macro5</t>
  </si>
  <si>
    <t>Macro6</t>
  </si>
  <si>
    <t>Recover</t>
  </si>
  <si>
    <t>Statind:DL</t>
  </si>
  <si>
    <t>Journal Name:&lt;All&gt;</t>
  </si>
  <si>
    <t>242300</t>
  </si>
  <si>
    <t>C</t>
  </si>
  <si>
    <t>D</t>
  </si>
  <si>
    <t>242310</t>
  </si>
  <si>
    <t>242400</t>
  </si>
  <si>
    <t>CD</t>
  </si>
  <si>
    <t>Macro10</t>
  </si>
  <si>
    <t>Macro11</t>
  </si>
  <si>
    <t>Macro12</t>
  </si>
  <si>
    <t>Macro7</t>
  </si>
  <si>
    <t>Macro8</t>
  </si>
  <si>
    <t>Macro9</t>
  </si>
  <si>
    <t>Service:ED</t>
  </si>
  <si>
    <t>453000</t>
  </si>
  <si>
    <t>454000</t>
  </si>
  <si>
    <t>440000</t>
  </si>
  <si>
    <t>442200</t>
  </si>
  <si>
    <t>442300</t>
  </si>
  <si>
    <t>444000</t>
  </si>
  <si>
    <t>448000</t>
  </si>
  <si>
    <t>451000</t>
  </si>
  <si>
    <t>499000</t>
  </si>
  <si>
    <t>499200</t>
  </si>
  <si>
    <t>499300</t>
  </si>
  <si>
    <t>MT</t>
  </si>
  <si>
    <t>Macro13</t>
  </si>
  <si>
    <t>Macro14</t>
  </si>
  <si>
    <t>Macro15</t>
  </si>
  <si>
    <t>Macro16</t>
  </si>
  <si>
    <t>Macro17</t>
  </si>
  <si>
    <t>Macro18</t>
  </si>
  <si>
    <t>Service:GD</t>
  </si>
  <si>
    <t>480000</t>
  </si>
  <si>
    <t>481200</t>
  </si>
  <si>
    <t>481250</t>
  </si>
  <si>
    <t>481300</t>
  </si>
  <si>
    <t>484000</t>
  </si>
  <si>
    <t>488000</t>
  </si>
  <si>
    <t>489300</t>
  </si>
  <si>
    <t>499900</t>
  </si>
  <si>
    <t>481400</t>
  </si>
  <si>
    <t>493000</t>
  </si>
  <si>
    <t>499250</t>
  </si>
  <si>
    <t>489310</t>
  </si>
  <si>
    <t>Macro19</t>
  </si>
  <si>
    <t>Macro20</t>
  </si>
  <si>
    <t>Macro21</t>
  </si>
  <si>
    <t>Macro22</t>
  </si>
  <si>
    <t>Macro23</t>
  </si>
  <si>
    <t>Macro24</t>
  </si>
  <si>
    <t>Auto_Open</t>
  </si>
  <si>
    <t>Avista Utilities</t>
  </si>
  <si>
    <t>Calculation of Regulatory Expense Adjustment - Electric</t>
  </si>
  <si>
    <t>System</t>
  </si>
  <si>
    <t>Washington</t>
  </si>
  <si>
    <t>Idaho</t>
  </si>
  <si>
    <t>Revised Expense:</t>
  </si>
  <si>
    <t>WUTC  (1)</t>
  </si>
  <si>
    <t>IPUC  (1)</t>
  </si>
  <si>
    <t>FERC  (2) (3)</t>
  </si>
  <si>
    <t>Total Revised Expense</t>
  </si>
  <si>
    <t>Allocation basis #1  (3)</t>
  </si>
  <si>
    <t>Less Accrual: (4)</t>
  </si>
  <si>
    <t>WUTC</t>
  </si>
  <si>
    <t>IPUC</t>
  </si>
  <si>
    <t>FERC (3)</t>
  </si>
  <si>
    <t>Total Accrual</t>
  </si>
  <si>
    <t>Adjustment</t>
  </si>
  <si>
    <t>NOTES:</t>
  </si>
  <si>
    <t>(1)  Source of revised WUTC fees are shown on workpaper reference page E-RE-2</t>
  </si>
  <si>
    <t xml:space="preserve">(2)  Actual FERC payments are shown on workpaper reference page E-RE-4 </t>
  </si>
  <si>
    <t>(3)  FERC fees are apportioned to jurisdictions using allocation basis #1 from the</t>
  </si>
  <si>
    <t xml:space="preserve">        Supplemental Operating Report, E-ALL-12A</t>
  </si>
  <si>
    <t>(4)  Regulatory Fee Accruals are shown on workpaper reference page E-RE-3</t>
  </si>
  <si>
    <t>Calculation of Regulatory Expense Adjustment - Gas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</si>
  <si>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</si>
  <si>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</si>
  <si>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</si>
  <si>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</si>
  <si>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</si>
  <si>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</si>
  <si>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>(1)  Source of revised WUTC fees are shown workpaper reference page G-RE-2</t>
  </si>
  <si>
    <t>(2)  Regulatory Fee Accruals are shown on workpaper reference page G-RE-3</t>
  </si>
  <si>
    <t>WUTC  Filing Fees Adjustment</t>
  </si>
  <si>
    <t>WUTC FEES</t>
  </si>
  <si>
    <t>Total</t>
  </si>
  <si>
    <t xml:space="preserve">Electric Revenues:   (1) </t>
  </si>
  <si>
    <t>Sales to Ultimate Consumers:</t>
  </si>
  <si>
    <t>(499) Unbilled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</si>
  <si>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</si>
  <si>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</si>
  <si>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</si>
  <si>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</si>
  <si>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</si>
  <si>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</si>
  <si>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</si>
  <si>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</si>
  <si>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</si>
  <si>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</si>
  <si>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</si>
  <si>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</si>
  <si>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</si>
  <si>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</si>
  <si>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Electric excludes:  Acct 456 , Other Elec Revenues and Acct 447, Sales for</t>
  </si>
  <si>
    <t>Resale on the basis that those services are resold and taxed at the retail</t>
  </si>
  <si>
    <t xml:space="preserve">level.  </t>
  </si>
  <si>
    <t>Electric includes:  Acct 448, Interdepartmental Revenues, since Avista is</t>
  </si>
  <si>
    <t>end user.</t>
  </si>
  <si>
    <t>Notes:</t>
  </si>
  <si>
    <t>Figures from Results report E-OPS-12A</t>
  </si>
  <si>
    <t>WUTC Filing Fees Adjustment</t>
  </si>
  <si>
    <t>WUTC  FEES</t>
  </si>
  <si>
    <t>Gas Revenues:  (1)</t>
  </si>
  <si>
    <t>(480) Residential</t>
  </si>
  <si>
    <t>(481) Commercial / Industrial</t>
  </si>
  <si>
    <t>(484) Interdepartmental</t>
  </si>
  <si>
    <t xml:space="preserve">    Total Sales to Ultimate Consumers</t>
  </si>
  <si>
    <t>Other Operating Revenues:</t>
  </si>
  <si>
    <t>(488) Misc Service Revenues</t>
  </si>
  <si>
    <t>(489) Revenue From Gas Transport</t>
  </si>
  <si>
    <t>(493) Rent From Gas Property</t>
  </si>
  <si>
    <t>Total Gas Subject to Fees</t>
  </si>
  <si>
    <t>Gas excludes:  Acct 495 , Other Gas Revenues and Acct 483, Sales for</t>
  </si>
  <si>
    <t>Gas includes:  Acct 489, Gas Transportation and Acct 484,</t>
  </si>
  <si>
    <t>Interdepartmental Revenues.</t>
  </si>
  <si>
    <t>Figures from Results report G-OPS-12A</t>
  </si>
  <si>
    <t>Report Name</t>
  </si>
  <si>
    <t>Start Month</t>
  </si>
  <si>
    <t>P/T Ratio (Note 1)</t>
  </si>
  <si>
    <t>(453) Sales of Water/Water Power - AN</t>
  </si>
  <si>
    <t>(454) Rent from Electric Property - AN</t>
  </si>
  <si>
    <t>(454) Rent from Electric Property - Direct</t>
  </si>
  <si>
    <t>P/T Ratio</t>
  </si>
  <si>
    <t xml:space="preserve">Rate from 2017 Commission Fees letters/orders:  </t>
  </si>
  <si>
    <t>WA, Order No. A 140166 dated 02/23/2017; ID letter dated April 6, 2017.</t>
  </si>
  <si>
    <t>Washington Earnings Test Monthly Adjustments:</t>
  </si>
  <si>
    <t>Twelve Months Ended December 31,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</si>
</sst>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;\(#,##0.00\)"/>
    <numFmt numFmtId="167" formatCode="#,##0\ ;\(#,##0\)"/>
    <numFmt numFmtId="168" formatCode="0.000%"/>
    <numFmt numFmtId="169" formatCode="0;\(0\)"/>
    <numFmt numFmtId="170" formatCode="0.000000"/>
    <numFmt numFmtId="171" formatCode="\(0\)"/>
    <numFmt numFmtId="172" formatCode="0.00000"/>
    <numFmt numFmtId="173" formatCode="0.0%"/>
    <numFmt numFmtId="174" formatCode="#,###,###,###,###.00"/>
    <numFmt numFmtId="175" formatCode="#,###,###,###,##0"/>
    <numFmt numFmtId="176" formatCode="&quot;$&quot;#,##0;[Red]&quot;$&quot;#,##0"/>
    <numFmt numFmtId="177" formatCode="[$-409]dddd\,\ mmmm\ d\,\ yyyy"/>
    <numFmt numFmtId="178" formatCode="[$-409]h:mm:ss\ AM/PM"/>
    <numFmt numFmtId="179" formatCode="#,##0.0"/>
    <numFmt numFmtId="180" formatCode="#,##0.000"/>
  </numFmts>
  <fonts count="55">
    <font>
      <sz val="10"/>
      <name val="Arial"/>
      <family val="2"/>
    </font>
    <font>
      <sz val="10"/>
      <name val="Tahoma"/>
      <family val="2"/>
    </font>
    <font>
      <sz val="10"/>
      <name val="Tms Rmn"/>
      <family val="0"/>
    </font>
    <font>
      <sz val="10"/>
      <name val="Geneva"/>
      <family val="0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0"/>
      <color indexed="14"/>
      <name val="Calibri"/>
      <family val="2"/>
    </font>
    <font>
      <i/>
      <sz val="10"/>
      <name val="Calibri"/>
      <family val="2"/>
    </font>
    <font>
      <sz val="10"/>
      <color indexed="56"/>
      <name val="Calibri"/>
      <family val="2"/>
    </font>
    <font>
      <sz val="10"/>
      <color indexed="30"/>
      <name val="Arial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CC"/>
      <name val="Arial"/>
      <family val="2"/>
    </font>
    <font>
      <b/>
      <sz val="11"/>
      <color rgb="FF336699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6" fontId="23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Alignment="1">
      <alignment horizontal="centerContinuous"/>
      <protection/>
    </xf>
    <xf numFmtId="166" fontId="24" fillId="0" borderId="0" xfId="56" applyNumberFormat="1" applyFont="1">
      <alignment/>
      <protection/>
    </xf>
    <xf numFmtId="166" fontId="25" fillId="0" borderId="0" xfId="56" applyNumberFormat="1" applyFont="1" applyAlignment="1">
      <alignment horizontal="centerContinuous"/>
      <protection/>
    </xf>
    <xf numFmtId="166" fontId="24" fillId="0" borderId="0" xfId="56" applyNumberFormat="1" applyFont="1" applyBorder="1" applyAlignment="1">
      <alignment horizontal="center"/>
      <protection/>
    </xf>
    <xf numFmtId="166" fontId="23" fillId="0" borderId="10" xfId="56" applyNumberFormat="1" applyFont="1" applyBorder="1" applyAlignment="1">
      <alignment horizontal="center"/>
      <protection/>
    </xf>
    <xf numFmtId="167" fontId="24" fillId="0" borderId="0" xfId="56" applyNumberFormat="1" applyFont="1" applyFill="1" applyBorder="1">
      <alignment/>
      <protection/>
    </xf>
    <xf numFmtId="166" fontId="24" fillId="0" borderId="0" xfId="56" applyNumberFormat="1" applyFont="1" applyBorder="1">
      <alignment/>
      <protection/>
    </xf>
    <xf numFmtId="3" fontId="24" fillId="0" borderId="0" xfId="56" applyNumberFormat="1" applyFont="1">
      <alignment/>
      <protection/>
    </xf>
    <xf numFmtId="167" fontId="24" fillId="0" borderId="11" xfId="56" applyNumberFormat="1" applyFont="1" applyBorder="1">
      <alignment/>
      <protection/>
    </xf>
    <xf numFmtId="167" fontId="24" fillId="0" borderId="0" xfId="56" applyNumberFormat="1" applyFont="1">
      <alignment/>
      <protection/>
    </xf>
    <xf numFmtId="168" fontId="24" fillId="0" borderId="0" xfId="56" applyNumberFormat="1" applyFont="1">
      <alignment/>
      <protection/>
    </xf>
    <xf numFmtId="167" fontId="24" fillId="0" borderId="0" xfId="56" applyNumberFormat="1" applyFont="1" applyFill="1">
      <alignment/>
      <protection/>
    </xf>
    <xf numFmtId="167" fontId="24" fillId="0" borderId="12" xfId="56" applyNumberFormat="1" applyFont="1" applyBorder="1">
      <alignment/>
      <protection/>
    </xf>
    <xf numFmtId="166" fontId="24" fillId="0" borderId="0" xfId="56" applyNumberFormat="1" applyFont="1" applyFill="1" applyBorder="1">
      <alignment/>
      <protection/>
    </xf>
    <xf numFmtId="167" fontId="24" fillId="0" borderId="0" xfId="56" applyNumberFormat="1" applyFont="1" applyBorder="1">
      <alignment/>
      <protection/>
    </xf>
    <xf numFmtId="167" fontId="24" fillId="0" borderId="13" xfId="56" applyNumberFormat="1" applyFont="1" applyBorder="1">
      <alignment/>
      <protection/>
    </xf>
    <xf numFmtId="168" fontId="24" fillId="0" borderId="0" xfId="60" applyNumberFormat="1" applyFont="1" applyFill="1" applyAlignment="1">
      <alignment/>
    </xf>
    <xf numFmtId="166" fontId="24" fillId="0" borderId="0" xfId="56" applyNumberFormat="1" applyFont="1" applyFill="1">
      <alignment/>
      <protection/>
    </xf>
    <xf numFmtId="166" fontId="26" fillId="0" borderId="0" xfId="56" applyNumberFormat="1" applyFont="1">
      <alignment/>
      <protection/>
    </xf>
    <xf numFmtId="167" fontId="24" fillId="0" borderId="14" xfId="56" applyNumberFormat="1" applyFont="1" applyBorder="1">
      <alignment/>
      <protection/>
    </xf>
    <xf numFmtId="166" fontId="24" fillId="0" borderId="0" xfId="56" applyNumberFormat="1" applyFont="1" applyBorder="1" applyAlignment="1">
      <alignment horizontal="right"/>
      <protection/>
    </xf>
    <xf numFmtId="0" fontId="27" fillId="0" borderId="0" xfId="56" applyFont="1" applyAlignment="1">
      <alignment horizontal="centerContinuous"/>
      <protection/>
    </xf>
    <xf numFmtId="0" fontId="23" fillId="0" borderId="0" xfId="56" applyFont="1" applyAlignment="1">
      <alignment horizontal="centerContinuous"/>
      <protection/>
    </xf>
    <xf numFmtId="0" fontId="23" fillId="0" borderId="0" xfId="56" applyFont="1">
      <alignment/>
      <protection/>
    </xf>
    <xf numFmtId="0" fontId="28" fillId="0" borderId="0" xfId="56" applyFont="1" applyAlignment="1">
      <alignment horizontal="centerContinuous"/>
      <protection/>
    </xf>
    <xf numFmtId="0" fontId="24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0" xfId="56" applyFont="1" applyBorder="1" applyAlignment="1">
      <alignment horizontal="center"/>
      <protection/>
    </xf>
    <xf numFmtId="169" fontId="24" fillId="0" borderId="0" xfId="56" applyNumberFormat="1" applyFont="1" applyAlignment="1">
      <alignment horizontal="left"/>
      <protection/>
    </xf>
    <xf numFmtId="0" fontId="24" fillId="0" borderId="0" xfId="56" applyFont="1" applyFill="1">
      <alignment/>
      <protection/>
    </xf>
    <xf numFmtId="3" fontId="24" fillId="0" borderId="10" xfId="56" applyNumberFormat="1" applyFont="1" applyBorder="1">
      <alignment/>
      <protection/>
    </xf>
    <xf numFmtId="3" fontId="24" fillId="0" borderId="0" xfId="56" applyNumberFormat="1" applyFont="1" applyFill="1">
      <alignment/>
      <protection/>
    </xf>
    <xf numFmtId="3" fontId="24" fillId="0" borderId="0" xfId="56" applyNumberFormat="1" applyFont="1" applyBorder="1">
      <alignment/>
      <protection/>
    </xf>
    <xf numFmtId="3" fontId="24" fillId="0" borderId="0" xfId="44" applyNumberFormat="1" applyFont="1" applyAlignment="1">
      <alignment/>
    </xf>
    <xf numFmtId="3" fontId="24" fillId="0" borderId="15" xfId="56" applyNumberFormat="1" applyFont="1" applyBorder="1">
      <alignment/>
      <protection/>
    </xf>
    <xf numFmtId="3" fontId="24" fillId="0" borderId="0" xfId="44" applyNumberFormat="1" applyFont="1" applyBorder="1" applyAlignment="1">
      <alignment/>
    </xf>
    <xf numFmtId="168" fontId="24" fillId="0" borderId="10" xfId="56" applyNumberFormat="1" applyFont="1" applyBorder="1">
      <alignment/>
      <protection/>
    </xf>
    <xf numFmtId="0" fontId="29" fillId="0" borderId="0" xfId="56" applyFont="1" applyAlignment="1">
      <alignment horizontal="right"/>
      <protection/>
    </xf>
    <xf numFmtId="167" fontId="29" fillId="0" borderId="0" xfId="56" applyNumberFormat="1" applyFont="1" applyFill="1">
      <alignment/>
      <protection/>
    </xf>
    <xf numFmtId="3" fontId="23" fillId="0" borderId="0" xfId="56" applyNumberFormat="1" applyFont="1">
      <alignment/>
      <protection/>
    </xf>
    <xf numFmtId="3" fontId="23" fillId="0" borderId="0" xfId="56" applyNumberFormat="1" applyFont="1" applyFill="1">
      <alignment/>
      <protection/>
    </xf>
    <xf numFmtId="3" fontId="24" fillId="0" borderId="14" xfId="56" applyNumberFormat="1" applyFont="1" applyBorder="1">
      <alignment/>
      <protection/>
    </xf>
    <xf numFmtId="0" fontId="24" fillId="0" borderId="0" xfId="56" applyFont="1" applyAlignment="1">
      <alignment horizontal="right"/>
      <protection/>
    </xf>
    <xf numFmtId="171" fontId="24" fillId="0" borderId="0" xfId="56" applyNumberFormat="1" applyFont="1">
      <alignment/>
      <protection/>
    </xf>
    <xf numFmtId="0" fontId="26" fillId="0" borderId="0" xfId="56" applyFont="1" applyFill="1">
      <alignment/>
      <protection/>
    </xf>
    <xf numFmtId="0" fontId="30" fillId="0" borderId="0" xfId="56" applyFont="1">
      <alignment/>
      <protection/>
    </xf>
    <xf numFmtId="167" fontId="24" fillId="0" borderId="10" xfId="56" applyNumberFormat="1" applyFont="1" applyBorder="1">
      <alignment/>
      <protection/>
    </xf>
    <xf numFmtId="167" fontId="24" fillId="0" borderId="15" xfId="56" applyNumberFormat="1" applyFont="1" applyBorder="1">
      <alignment/>
      <protection/>
    </xf>
    <xf numFmtId="170" fontId="31" fillId="0" borderId="0" xfId="56" applyNumberFormat="1" applyFont="1" applyFill="1" applyBorder="1">
      <alignment/>
      <protection/>
    </xf>
    <xf numFmtId="172" fontId="24" fillId="0" borderId="0" xfId="56" applyNumberFormat="1" applyFont="1" applyFill="1">
      <alignment/>
      <protection/>
    </xf>
    <xf numFmtId="3" fontId="23" fillId="0" borderId="16" xfId="56" applyNumberFormat="1" applyFont="1" applyBorder="1">
      <alignment/>
      <protection/>
    </xf>
    <xf numFmtId="167" fontId="23" fillId="0" borderId="16" xfId="56" applyNumberFormat="1" applyFont="1" applyBorder="1">
      <alignment/>
      <protection/>
    </xf>
    <xf numFmtId="167" fontId="29" fillId="0" borderId="0" xfId="56" applyNumberFormat="1" applyFont="1">
      <alignment/>
      <protection/>
    </xf>
    <xf numFmtId="14" fontId="24" fillId="0" borderId="0" xfId="56" applyNumberFormat="1" applyFont="1">
      <alignment/>
      <protection/>
    </xf>
    <xf numFmtId="168" fontId="24" fillId="0" borderId="0" xfId="56" applyNumberFormat="1" applyFont="1" applyFill="1">
      <alignment/>
      <protection/>
    </xf>
    <xf numFmtId="0" fontId="52" fillId="0" borderId="0" xfId="0" applyFont="1" applyAlignment="1">
      <alignment/>
    </xf>
    <xf numFmtId="3" fontId="24" fillId="0" borderId="0" xfId="56" applyNumberFormat="1" applyFont="1" applyFill="1" applyBorder="1">
      <alignment/>
      <protection/>
    </xf>
    <xf numFmtId="3" fontId="24" fillId="0" borderId="10" xfId="56" applyNumberFormat="1" applyFont="1" applyFill="1" applyBorder="1">
      <alignment/>
      <protection/>
    </xf>
    <xf numFmtId="10" fontId="24" fillId="0" borderId="0" xfId="59" applyNumberFormat="1" applyFont="1" applyAlignment="1">
      <alignment/>
    </xf>
    <xf numFmtId="0" fontId="53" fillId="0" borderId="0" xfId="56" applyFont="1" applyAlignment="1">
      <alignment horizontal="left" indent="1"/>
      <protection/>
    </xf>
    <xf numFmtId="165" fontId="0" fillId="0" borderId="0" xfId="0" applyNumberFormat="1" applyAlignment="1">
      <alignment/>
    </xf>
    <xf numFmtId="0" fontId="24" fillId="0" borderId="0" xfId="56" applyNumberFormat="1" applyFont="1">
      <alignment/>
      <protection/>
    </xf>
    <xf numFmtId="0" fontId="23" fillId="0" borderId="0" xfId="56" applyNumberFormat="1" applyFont="1" applyAlignment="1">
      <alignment horizontal="center"/>
      <protection/>
    </xf>
    <xf numFmtId="165" fontId="24" fillId="0" borderId="16" xfId="42" applyNumberFormat="1" applyFont="1" applyBorder="1" applyAlignment="1">
      <alignment/>
    </xf>
    <xf numFmtId="166" fontId="23" fillId="0" borderId="0" xfId="56" applyNumberFormat="1" applyFont="1">
      <alignment/>
      <protection/>
    </xf>
    <xf numFmtId="0" fontId="5" fillId="33" borderId="17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33" borderId="27" xfId="0" applyFont="1" applyFill="1" applyBorder="1" applyAlignment="1">
      <alignment horizontal="left" vertical="top"/>
    </xf>
    <xf numFmtId="175" fontId="4" fillId="33" borderId="24" xfId="42" applyNumberFormat="1" applyFont="1" applyFill="1" applyBorder="1" applyAlignment="1">
      <alignment horizontal="right" vertical="top"/>
    </xf>
    <xf numFmtId="170" fontId="54" fillId="0" borderId="0" xfId="56" applyNumberFormat="1" applyFont="1" applyFill="1" applyBorder="1">
      <alignment/>
      <protection/>
    </xf>
    <xf numFmtId="166" fontId="54" fillId="0" borderId="0" xfId="56" applyNumberFormat="1" applyFont="1" applyFill="1">
      <alignment/>
      <protection/>
    </xf>
    <xf numFmtId="170" fontId="54" fillId="0" borderId="10" xfId="56" applyNumberFormat="1" applyFont="1" applyFill="1" applyBorder="1">
      <alignment/>
      <protection/>
    </xf>
    <xf numFmtId="165" fontId="4" fillId="34" borderId="24" xfId="42" applyNumberFormat="1" applyFont="1" applyFill="1" applyBorder="1" applyAlignment="1">
      <alignment horizontal="right" vertical="top"/>
    </xf>
    <xf numFmtId="165" fontId="4" fillId="33" borderId="24" xfId="42" applyNumberFormat="1" applyFont="1" applyFill="1" applyBorder="1" applyAlignment="1">
      <alignment horizontal="right" vertical="top"/>
    </xf>
    <xf numFmtId="0" fontId="0" fillId="0" borderId="0" xfId="0" applyAlignment="1">
      <alignment shrinkToFit="1"/>
    </xf>
    <xf numFmtId="3" fontId="4" fillId="0" borderId="24" xfId="42" applyNumberFormat="1" applyFont="1" applyFill="1" applyBorder="1" applyAlignment="1">
      <alignment horizontal="right" vertical="top"/>
    </xf>
    <xf numFmtId="3" fontId="4" fillId="33" borderId="24" xfId="42" applyNumberFormat="1" applyFont="1" applyFill="1" applyBorder="1" applyAlignment="1">
      <alignment horizontal="right" vertical="top"/>
    </xf>
    <xf numFmtId="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27" fillId="0" borderId="0" xfId="56" applyFont="1" applyAlignment="1">
      <alignment horizontal="left"/>
      <protection/>
    </xf>
    <xf numFmtId="0" fontId="26" fillId="0" borderId="0" xfId="56" applyFont="1" applyFill="1" applyAlignment="1">
      <alignment horizontal="left" wrapText="1"/>
      <protection/>
    </xf>
    <xf numFmtId="0" fontId="53" fillId="0" borderId="0" xfId="56" applyFont="1" applyAlignment="1">
      <alignment horizontal="left" indent="1"/>
      <protection/>
    </xf>
    <xf numFmtId="0" fontId="26" fillId="0" borderId="0" xfId="56" applyFont="1" applyFill="1" applyAlignment="1">
      <alignment horizontal="left" vertical="top" wrapText="1"/>
      <protection/>
    </xf>
    <xf numFmtId="167" fontId="23" fillId="0" borderId="13" xfId="56" applyNumberFormat="1" applyFont="1" applyBorder="1">
      <alignment/>
      <protection/>
    </xf>
    <xf numFmtId="167" fontId="23" fillId="0" borderId="13" xfId="56" applyNumberFormat="1" applyFont="1" applyFill="1" applyBorder="1">
      <alignment/>
      <protection/>
    </xf>
    <xf numFmtId="167" fontId="23" fillId="0" borderId="0" xfId="56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B16" sqref="B16:D17"/>
      <selection activeCell="A1" sqref="A1"/>
    </sheetView>
  </sheetViews>
  <sheetFormatPr defaultColWidth="9.8515625" defaultRowHeight="12.75"/>
  <cols>
    <col min="1" max="1" width="26.57421875" style="4" customWidth="1"/>
    <col min="2" max="2" width="15.140625" style="4" customWidth="1"/>
    <col min="3" max="3" width="15.421875" style="4" bestFit="1" customWidth="1"/>
    <col min="4" max="4" width="14.8515625" style="4" bestFit="1" customWidth="1"/>
    <col min="5" max="5" width="2.57421875" style="4" customWidth="1"/>
    <col min="6" max="17" width="9.421875" style="4" bestFit="1" customWidth="1"/>
    <col min="18" max="18" width="9.00390625" style="4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78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spans="1:6" ht="12.75">
      <c r="A4" s="5"/>
      <c r="B4" s="3"/>
      <c r="C4" s="3"/>
      <c r="D4" s="3"/>
      <c r="F4" s="67" t="s">
        <v>161</v>
      </c>
    </row>
    <row r="6" spans="1:22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  <c r="S6" s="64"/>
      <c r="T6" s="64"/>
      <c r="U6" s="64"/>
      <c r="V6" s="64"/>
    </row>
    <row r="7" ht="12.75">
      <c r="A7" s="4" t="s">
        <v>82</v>
      </c>
    </row>
    <row r="8" spans="1:4" ht="12.75">
      <c r="A8" s="4" t="s">
        <v>83</v>
      </c>
      <c r="B8" s="8">
        <f>C8</f>
        <v>1098203</v>
      </c>
      <c r="C8" s="8">
        <f>'E-RE-2'!F29</f>
        <v>1098203</v>
      </c>
      <c r="D8" s="8"/>
    </row>
    <row r="9" spans="1:4" ht="12.75">
      <c r="A9" s="4" t="s">
        <v>84</v>
      </c>
      <c r="B9" s="8">
        <f>D9</f>
        <v>574361</v>
      </c>
      <c r="C9" s="8"/>
      <c r="D9" s="8">
        <f>'E-RE-2'!G29</f>
        <v>574361</v>
      </c>
    </row>
    <row r="10" spans="1:5" ht="12.75">
      <c r="A10" s="9" t="s">
        <v>85</v>
      </c>
      <c r="B10" s="8">
        <f>Liability!Q18</f>
        <v>2484299.5</v>
      </c>
      <c r="C10" s="8">
        <f>B10*$C$13</f>
        <v>1630694.1918</v>
      </c>
      <c r="D10" s="8">
        <f>B10*$D$13</f>
        <v>853605.3082000001</v>
      </c>
      <c r="E10" s="10"/>
    </row>
    <row r="11" spans="1:5" ht="12.75">
      <c r="A11" s="9" t="s">
        <v>86</v>
      </c>
      <c r="B11" s="11">
        <f>SUM(B8:B10)</f>
        <v>4156863.5</v>
      </c>
      <c r="C11" s="11">
        <f>SUM(C8:C10)</f>
        <v>2728897.1918</v>
      </c>
      <c r="D11" s="11">
        <f>SUM(D8:D10)</f>
        <v>1427966.3082</v>
      </c>
      <c r="E11" s="10"/>
    </row>
    <row r="12" spans="1:4" ht="12.75">
      <c r="A12" s="9"/>
      <c r="B12" s="12"/>
      <c r="C12" s="12"/>
      <c r="D12" s="12"/>
    </row>
    <row r="13" spans="1:4" ht="12.75">
      <c r="A13" s="9" t="s">
        <v>87</v>
      </c>
      <c r="B13" s="13">
        <f>SUM(C13:D13)</f>
        <v>1</v>
      </c>
      <c r="C13" s="57">
        <f>Input!D21</f>
        <v>0.6564</v>
      </c>
      <c r="D13" s="57">
        <f>Input!E21</f>
        <v>0.3436</v>
      </c>
    </row>
    <row r="14" spans="1:4" ht="12.75">
      <c r="A14" s="9"/>
      <c r="B14" s="13"/>
      <c r="C14" s="13"/>
      <c r="D14" s="13"/>
    </row>
    <row r="15" ht="12.75">
      <c r="A15" s="9" t="s">
        <v>88</v>
      </c>
    </row>
    <row r="16" spans="1:4" ht="12.75">
      <c r="A16" s="9" t="s">
        <v>89</v>
      </c>
      <c r="B16" s="12">
        <f>C16</f>
        <v>1370624.6400000001</v>
      </c>
      <c r="C16" s="14">
        <f>'Reg Fees'!P5</f>
        <v>1370624.6400000001</v>
      </c>
      <c r="D16" s="12"/>
    </row>
    <row r="17" spans="1:4" ht="12.75">
      <c r="A17" s="9" t="s">
        <v>90</v>
      </c>
      <c r="B17" s="12">
        <f>D17</f>
        <v>1004073.3799999998</v>
      </c>
      <c r="C17" s="12"/>
      <c r="D17" s="14">
        <f>'Reg Fees'!P6</f>
        <v>1004073.3799999998</v>
      </c>
    </row>
    <row r="18" spans="1:4" ht="12.75">
      <c r="A18" s="9" t="s">
        <v>91</v>
      </c>
      <c r="B18" s="99">
        <f>'Reg Fees'!P7</f>
        <v>2635695.1799999997</v>
      </c>
      <c r="C18" s="8">
        <f>B18*C13</f>
        <v>1730070.3161519999</v>
      </c>
      <c r="D18" s="8">
        <f>B18*D13</f>
        <v>905624.863848</v>
      </c>
    </row>
    <row r="19" spans="1:4" ht="12.75">
      <c r="A19" s="9" t="s">
        <v>92</v>
      </c>
      <c r="B19" s="15">
        <f>SUM(B16:B18)</f>
        <v>5010393.199999999</v>
      </c>
      <c r="C19" s="15">
        <f>SUM(C16:C18)</f>
        <v>3100694.956152</v>
      </c>
      <c r="D19" s="15">
        <f>SUM(D17:D18)</f>
        <v>1909698.2438479997</v>
      </c>
    </row>
    <row r="20" spans="2:4" ht="12.75">
      <c r="B20" s="16"/>
      <c r="C20" s="16"/>
      <c r="D20" s="16"/>
    </row>
    <row r="21" spans="1:4" ht="12.75">
      <c r="A21" s="9"/>
      <c r="B21" s="17"/>
      <c r="C21" s="17"/>
      <c r="D21" s="17"/>
    </row>
    <row r="22" spans="1:18" ht="13.5" thickBot="1">
      <c r="A22" s="9" t="s">
        <v>93</v>
      </c>
      <c r="B22" s="18">
        <f>B11-B19</f>
        <v>-853529.6999999993</v>
      </c>
      <c r="C22" s="97">
        <f>C11-C19</f>
        <v>-371797.76435199985</v>
      </c>
      <c r="D22" s="18">
        <f>D11-D19</f>
        <v>-481731.93564799963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>SUM(F22:Q22)</f>
        <v>0</v>
      </c>
    </row>
    <row r="23" spans="2:4" ht="13.5" thickTop="1">
      <c r="B23" s="12"/>
      <c r="C23" s="12"/>
      <c r="D23" s="12"/>
    </row>
    <row r="24" ht="12.75">
      <c r="H24" s="19"/>
    </row>
    <row r="25" spans="1:8" ht="12.75">
      <c r="A25" s="4" t="s">
        <v>94</v>
      </c>
      <c r="H25" s="19"/>
    </row>
    <row r="26" ht="12.75">
      <c r="A26" s="4" t="s">
        <v>95</v>
      </c>
    </row>
    <row r="27" spans="1:4" ht="12.75">
      <c r="A27" s="20" t="s">
        <v>96</v>
      </c>
      <c r="B27" s="21"/>
      <c r="C27" s="21"/>
      <c r="D27" s="21"/>
    </row>
    <row r="28" ht="12.75">
      <c r="A28" s="4" t="s">
        <v>97</v>
      </c>
    </row>
    <row r="29" ht="12.75">
      <c r="A29" s="4" t="s">
        <v>98</v>
      </c>
    </row>
    <row r="30" spans="1:4" ht="12.75">
      <c r="A30" s="4" t="s">
        <v>99</v>
      </c>
      <c r="C30" s="13"/>
      <c r="D30" s="13"/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scale="91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21"/>
  <sheetViews>
    <sheetView zoomScalePageLayoutView="0" workbookViewId="0" topLeftCell="A1">
      <selection activeCell="H9" sqref="H9"/>
      <selection activeCell="A1" sqref="A1"/>
    </sheetView>
  </sheetViews>
  <sheetFormatPr defaultColWidth="9.140625" defaultRowHeight="12.75"/>
  <cols>
    <col min="2" max="2" width="15.57421875" style="0" bestFit="1" customWidth="1"/>
    <col min="3" max="3" width="12.421875" style="0" customWidth="1"/>
  </cols>
  <sheetData>
    <row r="3" spans="2:3" ht="15.75">
      <c r="B3" t="s">
        <v>152</v>
      </c>
      <c r="C3" s="93" t="s">
        <v>162</v>
      </c>
    </row>
    <row r="5" spans="2:3" ht="12.75">
      <c r="B5" t="s">
        <v>153</v>
      </c>
      <c r="C5" s="58">
        <v>201901</v>
      </c>
    </row>
    <row r="6" ht="12.75">
      <c r="C6">
        <f>C5+1</f>
        <v>201902</v>
      </c>
    </row>
    <row r="7" ht="12.75">
      <c r="C7">
        <f aca="true" t="shared" si="0" ref="C7:C16">C6+1</f>
        <v>201903</v>
      </c>
    </row>
    <row r="8" ht="12.75">
      <c r="C8">
        <f t="shared" si="0"/>
        <v>201904</v>
      </c>
    </row>
    <row r="9" ht="12.75">
      <c r="C9">
        <f t="shared" si="0"/>
        <v>201905</v>
      </c>
    </row>
    <row r="10" ht="12.75">
      <c r="C10">
        <f t="shared" si="0"/>
        <v>201906</v>
      </c>
    </row>
    <row r="11" ht="12.75">
      <c r="C11">
        <f t="shared" si="0"/>
        <v>201907</v>
      </c>
    </row>
    <row r="12" ht="12.75">
      <c r="C12">
        <f t="shared" si="0"/>
        <v>201908</v>
      </c>
    </row>
    <row r="13" ht="12.75">
      <c r="C13">
        <f t="shared" si="0"/>
        <v>201909</v>
      </c>
    </row>
    <row r="14" ht="12.75">
      <c r="C14">
        <f t="shared" si="0"/>
        <v>201910</v>
      </c>
    </row>
    <row r="15" ht="12.75">
      <c r="C15">
        <f t="shared" si="0"/>
        <v>201911</v>
      </c>
    </row>
    <row r="16" ht="12.75">
      <c r="C16">
        <f t="shared" si="0"/>
        <v>201912</v>
      </c>
    </row>
    <row r="20" spans="3:5" ht="12.75">
      <c r="C20" s="7" t="s">
        <v>79</v>
      </c>
      <c r="D20" s="7" t="s">
        <v>80</v>
      </c>
      <c r="E20" s="7" t="s">
        <v>81</v>
      </c>
    </row>
    <row r="21" spans="2:5" ht="12.75">
      <c r="B21" t="s">
        <v>154</v>
      </c>
      <c r="C21" s="13">
        <f>SUM(D21:E21)</f>
        <v>1</v>
      </c>
      <c r="D21" s="57">
        <v>0.6564</v>
      </c>
      <c r="E21" s="57">
        <f>1-D21</f>
        <v>0.3436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B15" sqref="B15:B16"/>
      <selection activeCell="A1" sqref="A1"/>
    </sheetView>
  </sheetViews>
  <sheetFormatPr defaultColWidth="9.8515625" defaultRowHeight="12.75"/>
  <cols>
    <col min="1" max="1" width="33.421875" style="4" customWidth="1"/>
    <col min="2" max="3" width="13.421875" style="4" customWidth="1"/>
    <col min="4" max="4" width="11.8515625" style="4" customWidth="1"/>
    <col min="5" max="5" width="2.140625" style="4" customWidth="1"/>
    <col min="6" max="6" width="11.8515625" style="4" customWidth="1"/>
    <col min="7" max="17" width="9.421875" style="4" bestFit="1" customWidth="1"/>
    <col min="18" max="18" width="8.57421875" style="4" bestFit="1" customWidth="1"/>
    <col min="19" max="16384" width="9.8515625" style="4" customWidth="1"/>
  </cols>
  <sheetData>
    <row r="1" spans="1:4" ht="12.75">
      <c r="A1" s="2" t="s">
        <v>77</v>
      </c>
      <c r="B1" s="3"/>
      <c r="C1" s="3"/>
      <c r="D1" s="3"/>
    </row>
    <row r="2" spans="1:4" ht="12.75">
      <c r="A2" s="2" t="s">
        <v>100</v>
      </c>
      <c r="B2" s="3"/>
      <c r="C2" s="3"/>
      <c r="D2" s="3"/>
    </row>
    <row r="3" spans="1:4" ht="12.75">
      <c r="A3" s="2" t="str">
        <f>Input!C3</f>
        <v>Twelve Months Ended December 31, 2019</v>
      </c>
      <c r="B3" s="3"/>
      <c r="C3" s="3"/>
      <c r="D3" s="3"/>
    </row>
    <row r="4" ht="12.75">
      <c r="F4" s="67" t="s">
        <v>161</v>
      </c>
    </row>
    <row r="6" spans="1:18" ht="12.75">
      <c r="A6" s="6"/>
      <c r="B6" s="7" t="s">
        <v>79</v>
      </c>
      <c r="C6" s="7" t="s">
        <v>80</v>
      </c>
      <c r="D6" s="7" t="s">
        <v>81</v>
      </c>
      <c r="F6" s="65">
        <f>Input!C5</f>
        <v>201901</v>
      </c>
      <c r="G6" s="65">
        <f>F6+1</f>
        <v>201902</v>
      </c>
      <c r="H6" s="65">
        <f aca="true" t="shared" si="0" ref="H6:Q6">G6+1</f>
        <v>201903</v>
      </c>
      <c r="I6" s="65">
        <f t="shared" si="0"/>
        <v>201904</v>
      </c>
      <c r="J6" s="65">
        <f t="shared" si="0"/>
        <v>201905</v>
      </c>
      <c r="K6" s="65">
        <f t="shared" si="0"/>
        <v>201906</v>
      </c>
      <c r="L6" s="65">
        <f t="shared" si="0"/>
        <v>201907</v>
      </c>
      <c r="M6" s="65">
        <f t="shared" si="0"/>
        <v>201908</v>
      </c>
      <c r="N6" s="65">
        <f t="shared" si="0"/>
        <v>201909</v>
      </c>
      <c r="O6" s="65">
        <f t="shared" si="0"/>
        <v>201910</v>
      </c>
      <c r="P6" s="65">
        <f t="shared" si="0"/>
        <v>201911</v>
      </c>
      <c r="Q6" s="65">
        <f t="shared" si="0"/>
        <v>201912</v>
      </c>
      <c r="R6" s="65" t="s">
        <v>111</v>
      </c>
    </row>
    <row r="7" ht="12.75">
      <c r="A7" s="9"/>
    </row>
    <row r="8" ht="12.75">
      <c r="A8" s="9" t="s">
        <v>101</v>
      </c>
    </row>
    <row r="9" spans="1:4" ht="12.75">
      <c r="A9" s="9" t="s">
        <v>102</v>
      </c>
      <c r="B9" s="12">
        <f>C9</f>
        <v>295440</v>
      </c>
      <c r="C9" s="8">
        <f>'G-RE-2'!F28</f>
        <v>295440</v>
      </c>
      <c r="D9" s="8"/>
    </row>
    <row r="10" spans="1:4" ht="12.75">
      <c r="A10" s="9" t="s">
        <v>103</v>
      </c>
      <c r="B10" s="12">
        <f>D10</f>
        <v>137539.14180587998</v>
      </c>
      <c r="C10" s="8"/>
      <c r="D10" s="8">
        <f>'G-RE-2'!G28</f>
        <v>137539.14180587998</v>
      </c>
    </row>
    <row r="11" spans="1:4" ht="12.75">
      <c r="A11" s="9" t="s">
        <v>104</v>
      </c>
      <c r="B11" s="22">
        <f>SUM(B9:B10)</f>
        <v>432979.14180588</v>
      </c>
      <c r="C11" s="22">
        <f>SUM(C9:C10)</f>
        <v>295440</v>
      </c>
      <c r="D11" s="22">
        <f>SUM(D9:D10)</f>
        <v>137539.14180587998</v>
      </c>
    </row>
    <row r="12" spans="1:4" ht="12.75">
      <c r="A12" s="9"/>
      <c r="B12" s="12"/>
      <c r="C12" s="12"/>
      <c r="D12" s="12"/>
    </row>
    <row r="13" spans="1:4" ht="12.75">
      <c r="A13" s="23"/>
      <c r="B13" s="12"/>
      <c r="C13" s="12"/>
      <c r="D13" s="12"/>
    </row>
    <row r="14" spans="1:4" ht="12.75">
      <c r="A14" s="9" t="s">
        <v>105</v>
      </c>
      <c r="B14" s="12"/>
      <c r="C14" s="12"/>
      <c r="D14" s="12"/>
    </row>
    <row r="15" spans="1:4" ht="12.75">
      <c r="A15" s="9" t="s">
        <v>89</v>
      </c>
      <c r="B15" s="12">
        <f>C15</f>
        <v>353407.7299999999</v>
      </c>
      <c r="C15" s="12">
        <f>'Reg Fees'!P8</f>
        <v>353407.7299999999</v>
      </c>
      <c r="D15" s="12"/>
    </row>
    <row r="16" spans="1:4" ht="12.75">
      <c r="A16" s="9" t="s">
        <v>90</v>
      </c>
      <c r="B16" s="12">
        <f>D16</f>
        <v>200493.61</v>
      </c>
      <c r="C16" s="12"/>
      <c r="D16" s="12">
        <f>'Reg Fees'!P9</f>
        <v>200493.61</v>
      </c>
    </row>
    <row r="17" spans="1:4" ht="12.75">
      <c r="A17" s="9" t="s">
        <v>106</v>
      </c>
      <c r="B17" s="22">
        <f>SUM(B15:B16)</f>
        <v>553901.3399999999</v>
      </c>
      <c r="C17" s="22">
        <f>SUM(C15:C16)</f>
        <v>353407.7299999999</v>
      </c>
      <c r="D17" s="22">
        <f>SUM(D15:D16)</f>
        <v>200493.61</v>
      </c>
    </row>
    <row r="18" spans="1:4" ht="12.75">
      <c r="A18" s="9"/>
      <c r="B18" s="17"/>
      <c r="C18" s="17"/>
      <c r="D18" s="17"/>
    </row>
    <row r="19" spans="1:4" ht="12.75">
      <c r="A19" s="9"/>
      <c r="B19" s="12"/>
      <c r="C19" s="12"/>
      <c r="D19" s="12"/>
    </row>
    <row r="20" spans="1:18" ht="13.5" thickBot="1">
      <c r="A20" s="9" t="s">
        <v>93</v>
      </c>
      <c r="B20" s="18">
        <f>B11-B17</f>
        <v>-120922.19819411985</v>
      </c>
      <c r="C20" s="98">
        <f>C11-C17</f>
        <v>-57967.72999999992</v>
      </c>
      <c r="D20" s="18">
        <f>D11-D17</f>
        <v>-62954.46819412001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>SUM(F20:Q20)</f>
        <v>0</v>
      </c>
    </row>
    <row r="21" ht="13.5" thickTop="1"/>
    <row r="23" ht="12.75">
      <c r="A23" s="4" t="s">
        <v>94</v>
      </c>
    </row>
    <row r="24" ht="12.75">
      <c r="A24" s="4" t="s">
        <v>107</v>
      </c>
    </row>
    <row r="25" ht="12.75">
      <c r="A25" s="4" t="s">
        <v>108</v>
      </c>
    </row>
    <row r="26" ht="12.75">
      <c r="A26" s="4" t="s">
        <v>95</v>
      </c>
    </row>
  </sheetData>
  <sheetProtection/>
  <printOptions horizontalCentered="1"/>
  <pageMargins left="0.25" right="0" top="1.25" bottom="1" header="0.5" footer="0.5"/>
  <pageSetup fitToHeight="1" fitToWidth="1" horizontalDpi="300" verticalDpi="300" orientation="landscape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7">
      <selection activeCell="F19" sqref="F19"/>
      <selection activeCell="E39" sqref="E39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7" width="13.421875" style="28" customWidth="1"/>
    <col min="8" max="8" width="3.140625" style="28" customWidth="1"/>
    <col min="9" max="10" width="9.8515625" style="28" customWidth="1"/>
    <col min="11" max="11" width="44.851562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109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ht="39" customHeight="1">
      <c r="F4" s="29" t="s">
        <v>110</v>
      </c>
    </row>
    <row r="5" spans="5:7" ht="12.75">
      <c r="E5" s="30" t="s">
        <v>111</v>
      </c>
      <c r="F5" s="30" t="s">
        <v>80</v>
      </c>
      <c r="G5" s="30" t="s">
        <v>81</v>
      </c>
    </row>
    <row r="6" spans="1:4" ht="12.75">
      <c r="A6" s="26" t="s">
        <v>112</v>
      </c>
      <c r="D6" s="31"/>
    </row>
    <row r="7" spans="1:4" ht="12.75">
      <c r="A7" s="26"/>
      <c r="D7" s="31"/>
    </row>
    <row r="8" ht="12.75">
      <c r="A8" s="28" t="s">
        <v>113</v>
      </c>
    </row>
    <row r="9" spans="2:7" ht="12.75">
      <c r="B9" s="28" t="s">
        <v>115</v>
      </c>
      <c r="E9" s="10">
        <f>F9+G9</f>
        <v>369633359.97</v>
      </c>
      <c r="F9" s="34">
        <f>'Revenue-E'!O24</f>
        <v>250057928.7</v>
      </c>
      <c r="G9" s="34">
        <f>('Revenue-E'!O8+'Revenue-E'!O20)</f>
        <v>119575431.27000003</v>
      </c>
    </row>
    <row r="10" spans="2:7" ht="12.75">
      <c r="B10" s="28" t="s">
        <v>116</v>
      </c>
      <c r="E10" s="10">
        <f>F10+G10</f>
        <v>431223874.94000006</v>
      </c>
      <c r="F10" s="34">
        <f>('Revenue-E'!O25+'Revenue-E'!O26)</f>
        <v>291849552.84000003</v>
      </c>
      <c r="G10" s="34">
        <f>('Revenue-E'!O9+'Revenue-E'!O10+'Revenue-E'!O21)</f>
        <v>139374322.1</v>
      </c>
    </row>
    <row r="11" spans="2:7" ht="12.75">
      <c r="B11" s="28" t="s">
        <v>117</v>
      </c>
      <c r="E11" s="10">
        <f>F11+G11</f>
        <v>7447634.960000001</v>
      </c>
      <c r="F11" s="34">
        <f>'Revenue-E'!O27</f>
        <v>4777962.94</v>
      </c>
      <c r="G11" s="34">
        <f>'Revenue-E'!O11</f>
        <v>2669672.02</v>
      </c>
    </row>
    <row r="12" spans="2:7" ht="12.75">
      <c r="B12" s="28" t="s">
        <v>118</v>
      </c>
      <c r="E12" s="35">
        <f>F12+G12</f>
        <v>1502286.79</v>
      </c>
      <c r="F12" s="59">
        <f>'Revenue-E'!O28</f>
        <v>1227641.79</v>
      </c>
      <c r="G12" s="59">
        <f>('Revenue-E'!O12+'Revenue-E'!O22)</f>
        <v>274645</v>
      </c>
    </row>
    <row r="13" spans="2:13" ht="12.75">
      <c r="B13" s="28" t="s">
        <v>114</v>
      </c>
      <c r="E13" s="33">
        <f>F13+G13</f>
        <v>363995</v>
      </c>
      <c r="F13" s="60">
        <f>('Revenue-E'!O32+'Revenue-E'!O33+'Revenue-E'!O34)</f>
        <v>-136201</v>
      </c>
      <c r="G13" s="60">
        <f>('Revenue-E'!O16+'Revenue-E'!O17+'Revenue-E'!O18)</f>
        <v>500196</v>
      </c>
      <c r="H13" s="32"/>
      <c r="I13" s="32"/>
      <c r="J13" s="32"/>
      <c r="K13" s="32"/>
      <c r="L13" s="32"/>
      <c r="M13" s="32"/>
    </row>
    <row r="14" spans="1:7" ht="12.75">
      <c r="A14" s="28" t="s">
        <v>119</v>
      </c>
      <c r="E14" s="10">
        <f>SUM(E9:E13)</f>
        <v>810171151.6600001</v>
      </c>
      <c r="F14" s="10">
        <f>SUM(F9:F13)</f>
        <v>547776885.27</v>
      </c>
      <c r="G14" s="10">
        <f>SUM(G9:G13)</f>
        <v>262394266.39000002</v>
      </c>
    </row>
    <row r="15" spans="5:7" ht="12.75">
      <c r="E15" s="10"/>
      <c r="F15" s="10"/>
      <c r="G15" s="10"/>
    </row>
    <row r="16" spans="1:7" ht="12.75">
      <c r="A16" s="28" t="s">
        <v>120</v>
      </c>
      <c r="E16" s="10"/>
      <c r="F16" s="10"/>
      <c r="G16" s="10"/>
    </row>
    <row r="17" spans="2:7" ht="12.75">
      <c r="B17" s="28" t="s">
        <v>121</v>
      </c>
      <c r="E17" s="10">
        <f>F17+G17</f>
        <v>342546</v>
      </c>
      <c r="F17" s="34">
        <f>'Revenue-E'!O29</f>
        <v>214204</v>
      </c>
      <c r="G17" s="34">
        <f>'Revenue-E'!O13</f>
        <v>128342</v>
      </c>
    </row>
    <row r="18" spans="2:7" ht="12.75">
      <c r="B18" s="28" t="s">
        <v>155</v>
      </c>
      <c r="E18" s="10">
        <f>-'Revenue-E'!O5</f>
        <v>-344332</v>
      </c>
      <c r="F18" s="34">
        <f>E18*F32</f>
        <v>-226019.52479999998</v>
      </c>
      <c r="G18" s="34">
        <f>E18*G32</f>
        <v>-118312.4752</v>
      </c>
    </row>
    <row r="19" spans="2:12" ht="12.75">
      <c r="B19" s="28" t="s">
        <v>156</v>
      </c>
      <c r="E19" s="35">
        <f>-'Revenue-E'!O6</f>
        <v>-123216.42</v>
      </c>
      <c r="F19" s="59">
        <f>E19*F32</f>
        <v>-80879.258088</v>
      </c>
      <c r="G19" s="59">
        <f>E19*G32</f>
        <v>-42337.161912</v>
      </c>
      <c r="J19" s="36"/>
      <c r="K19" s="36"/>
      <c r="L19" s="36"/>
    </row>
    <row r="20" spans="2:12" ht="12.75">
      <c r="B20" s="28" t="s">
        <v>157</v>
      </c>
      <c r="E20" s="35">
        <f>F20+G20</f>
        <v>2669700.41</v>
      </c>
      <c r="F20" s="59">
        <f>'Revenue-E'!O30</f>
        <v>1442296.6300000001</v>
      </c>
      <c r="G20" s="59">
        <f>'Revenue-E'!O14</f>
        <v>1227403.78</v>
      </c>
      <c r="J20" s="36"/>
      <c r="K20" s="36"/>
      <c r="L20" s="36"/>
    </row>
    <row r="21" spans="1:12" ht="12.75">
      <c r="A21" s="28" t="s">
        <v>122</v>
      </c>
      <c r="E21" s="37">
        <f>SUM(E17:E20)</f>
        <v>2544697.99</v>
      </c>
      <c r="F21" s="37">
        <f>SUM(F17:F20)</f>
        <v>1349601.8471120002</v>
      </c>
      <c r="G21" s="37">
        <f>SUM(G17:G20)</f>
        <v>1195096.142888</v>
      </c>
      <c r="J21" s="38"/>
      <c r="K21" s="36"/>
      <c r="L21" s="36"/>
    </row>
    <row r="22" spans="5:12" ht="12.75">
      <c r="E22" s="33"/>
      <c r="F22" s="39"/>
      <c r="G22" s="39"/>
      <c r="J22" s="36"/>
      <c r="K22" s="36"/>
      <c r="L22" s="36"/>
    </row>
    <row r="23" spans="1:7" ht="12.75">
      <c r="A23" s="26" t="s">
        <v>123</v>
      </c>
      <c r="E23" s="10">
        <f>E14+E21</f>
        <v>812715849.6500001</v>
      </c>
      <c r="F23" s="34">
        <f>F14+F21</f>
        <v>549126487.117112</v>
      </c>
      <c r="G23" s="34">
        <f>G14+G21</f>
        <v>263589362.53288803</v>
      </c>
    </row>
    <row r="24" spans="4:12" ht="12.75">
      <c r="D24" s="40"/>
      <c r="E24" s="4"/>
      <c r="F24" s="41"/>
      <c r="G24" s="4"/>
      <c r="I24" s="10"/>
      <c r="L24" s="10"/>
    </row>
    <row r="25" spans="1:7" ht="12.75">
      <c r="A25" s="26" t="s">
        <v>124</v>
      </c>
      <c r="E25" s="4"/>
      <c r="F25" s="4"/>
      <c r="G25" s="4"/>
    </row>
    <row r="26" spans="1:7" ht="12.75">
      <c r="A26" s="28" t="s">
        <v>125</v>
      </c>
      <c r="E26" s="4"/>
      <c r="F26" s="83">
        <v>0.001</v>
      </c>
      <c r="G26" s="84"/>
    </row>
    <row r="27" spans="1:7" ht="12.75">
      <c r="A27" s="28" t="s">
        <v>126</v>
      </c>
      <c r="D27" s="10"/>
      <c r="E27" s="4"/>
      <c r="F27" s="85">
        <v>0.002</v>
      </c>
      <c r="G27" s="85">
        <v>0.002179</v>
      </c>
    </row>
    <row r="28" spans="5:7" ht="12.75">
      <c r="E28" s="4"/>
      <c r="F28" s="20"/>
      <c r="G28" s="20"/>
    </row>
    <row r="29" spans="1:7" s="26" customFormat="1" ht="12.75">
      <c r="A29" s="26" t="s">
        <v>127</v>
      </c>
      <c r="E29" s="42">
        <f>F29+G29</f>
        <v>1672564</v>
      </c>
      <c r="F29" s="43">
        <f>ROUND(F26*50000+(F23-50000)*F27,0)</f>
        <v>1098203</v>
      </c>
      <c r="G29" s="42">
        <f>ROUND(G23*G27,0)</f>
        <v>574361</v>
      </c>
    </row>
    <row r="30" spans="5:7" ht="6" customHeight="1">
      <c r="E30" s="44"/>
      <c r="F30" s="44"/>
      <c r="G30" s="44"/>
    </row>
    <row r="31" spans="5:7" ht="12.75">
      <c r="E31" s="10"/>
      <c r="F31" s="10"/>
      <c r="G31" s="10"/>
    </row>
    <row r="32" spans="2:7" ht="12.75">
      <c r="B32" s="28" t="s">
        <v>158</v>
      </c>
      <c r="E32" s="10"/>
      <c r="F32" s="61">
        <f>Input!D21</f>
        <v>0.6564</v>
      </c>
      <c r="G32" s="61">
        <f>Input!E21</f>
        <v>0.3436</v>
      </c>
    </row>
    <row r="33" spans="5:7" ht="12.75">
      <c r="E33" s="10"/>
      <c r="F33" s="10"/>
      <c r="G33" s="10"/>
    </row>
    <row r="34" spans="2:7" ht="12.75">
      <c r="B34" s="45" t="s">
        <v>128</v>
      </c>
      <c r="C34" s="28" t="s">
        <v>129</v>
      </c>
      <c r="E34" s="4"/>
      <c r="F34" s="4"/>
      <c r="G34" s="4"/>
    </row>
    <row r="35" spans="2:7" ht="12.75">
      <c r="B35" s="45"/>
      <c r="C35" s="28" t="s">
        <v>130</v>
      </c>
      <c r="E35" s="4"/>
      <c r="F35" s="4"/>
      <c r="G35" s="4"/>
    </row>
    <row r="36" spans="2:7" ht="12.75">
      <c r="B36" s="45"/>
      <c r="C36" s="28" t="s">
        <v>131</v>
      </c>
      <c r="E36" s="4"/>
      <c r="F36" s="4"/>
      <c r="G36" s="4"/>
    </row>
    <row r="37" spans="2:7" ht="12.75">
      <c r="B37" s="45"/>
      <c r="E37" s="4"/>
      <c r="F37" s="4"/>
      <c r="G37" s="4"/>
    </row>
    <row r="38" spans="2:7" ht="12.75">
      <c r="B38" s="45" t="s">
        <v>128</v>
      </c>
      <c r="C38" s="28" t="s">
        <v>132</v>
      </c>
      <c r="E38" s="4"/>
      <c r="F38" s="4"/>
      <c r="G38" s="4"/>
    </row>
    <row r="39" spans="2:7" ht="12.75">
      <c r="B39" s="45"/>
      <c r="C39" s="32" t="s">
        <v>133</v>
      </c>
      <c r="D39" s="32"/>
      <c r="E39" s="20"/>
      <c r="F39" s="20"/>
      <c r="G39" s="20"/>
    </row>
    <row r="40" spans="2:7" ht="12.75">
      <c r="B40" s="45"/>
      <c r="E40" s="4"/>
      <c r="F40" s="4"/>
      <c r="G40" s="4"/>
    </row>
    <row r="41" spans="1:7" ht="12.75">
      <c r="A41" s="28" t="s">
        <v>134</v>
      </c>
      <c r="E41" s="4"/>
      <c r="F41" s="4"/>
      <c r="G41" s="4"/>
    </row>
    <row r="42" spans="1:2" ht="12.75">
      <c r="A42" s="46">
        <v>1</v>
      </c>
      <c r="B42" s="28" t="s">
        <v>135</v>
      </c>
    </row>
    <row r="43" spans="1:12" ht="12.75">
      <c r="A43" s="46">
        <v>2</v>
      </c>
      <c r="B43" s="47" t="s">
        <v>159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7" ht="24.75" customHeight="1">
      <c r="A44" s="46"/>
      <c r="B44" s="94" t="s">
        <v>160</v>
      </c>
      <c r="C44" s="94"/>
      <c r="D44" s="94"/>
      <c r="E44" s="94"/>
      <c r="F44" s="94"/>
      <c r="G44" s="94"/>
    </row>
    <row r="45" spans="2:7" ht="12.75">
      <c r="B45" s="46"/>
      <c r="C45" s="48"/>
      <c r="F45" s="13"/>
      <c r="G45" s="13"/>
    </row>
    <row r="46" ht="12.75">
      <c r="B46" s="46"/>
    </row>
    <row r="50" ht="12.75">
      <c r="K50" s="95"/>
    </row>
    <row r="51" ht="12.75">
      <c r="K51" s="95"/>
    </row>
    <row r="79" ht="12.75">
      <c r="B79" s="46"/>
    </row>
  </sheetData>
  <sheetProtection/>
  <mergeCells count="2">
    <mergeCell ref="B44:G44"/>
    <mergeCell ref="K50:K51"/>
  </mergeCells>
  <printOptions/>
  <pageMargins left="1" right="1" top="1.25" bottom="1" header="0.5" footer="0.5"/>
  <pageSetup horizontalDpi="300" verticalDpi="300" orientation="portrait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  <rowBreaks count="1" manualBreakCount="1">
    <brk id="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G12" sqref="G12"/>
      <selection activeCell="A1" sqref="A1"/>
    </sheetView>
  </sheetViews>
  <sheetFormatPr defaultColWidth="9.8515625" defaultRowHeight="12.75"/>
  <cols>
    <col min="1" max="1" width="5.421875" style="28" customWidth="1"/>
    <col min="2" max="2" width="9.8515625" style="28" customWidth="1"/>
    <col min="3" max="3" width="10.57421875" style="28" customWidth="1"/>
    <col min="4" max="4" width="13.421875" style="28" customWidth="1"/>
    <col min="5" max="5" width="14.421875" style="28" customWidth="1"/>
    <col min="6" max="7" width="13.421875" style="28" customWidth="1"/>
    <col min="8" max="8" width="3.8515625" style="28" customWidth="1"/>
    <col min="9" max="10" width="9.8515625" style="28" customWidth="1"/>
    <col min="11" max="11" width="10.57421875" style="28" customWidth="1"/>
    <col min="12" max="16384" width="9.8515625" style="28" customWidth="1"/>
  </cols>
  <sheetData>
    <row r="1" spans="1:7" s="26" customFormat="1" ht="15.75">
      <c r="A1" s="24" t="s">
        <v>77</v>
      </c>
      <c r="B1" s="25"/>
      <c r="C1" s="25"/>
      <c r="D1" s="25"/>
      <c r="E1" s="25"/>
      <c r="F1" s="25"/>
      <c r="G1" s="25"/>
    </row>
    <row r="2" spans="1:7" s="26" customFormat="1" ht="15.75">
      <c r="A2" s="24" t="s">
        <v>136</v>
      </c>
      <c r="B2" s="25"/>
      <c r="C2" s="25"/>
      <c r="D2" s="25"/>
      <c r="E2" s="25"/>
      <c r="F2" s="25"/>
      <c r="G2" s="25"/>
    </row>
    <row r="3" spans="1:7" s="26" customFormat="1" ht="15.75">
      <c r="A3" s="24" t="str">
        <f>Input!C3</f>
        <v>Twelve Months Ended December 31, 2019</v>
      </c>
      <c r="B3" s="25"/>
      <c r="C3" s="25"/>
      <c r="D3" s="25"/>
      <c r="E3" s="25"/>
      <c r="F3" s="25"/>
      <c r="G3" s="25"/>
    </row>
    <row r="4" spans="1:7" s="26" customFormat="1" ht="39" customHeight="1">
      <c r="A4" s="27"/>
      <c r="B4" s="25"/>
      <c r="C4" s="25"/>
      <c r="D4" s="25"/>
      <c r="E4" s="25"/>
      <c r="F4" s="25"/>
      <c r="G4" s="25"/>
    </row>
    <row r="5" ht="15" customHeight="1">
      <c r="F5" s="29" t="s">
        <v>137</v>
      </c>
    </row>
    <row r="6" spans="5:7" ht="12.75">
      <c r="E6" s="30" t="s">
        <v>111</v>
      </c>
      <c r="F6" s="30" t="s">
        <v>80</v>
      </c>
      <c r="G6" s="30" t="s">
        <v>81</v>
      </c>
    </row>
    <row r="7" spans="1:7" ht="12.75">
      <c r="A7" s="26" t="s">
        <v>138</v>
      </c>
      <c r="D7" s="31"/>
      <c r="E7" s="10"/>
      <c r="F7" s="10"/>
      <c r="G7" s="10"/>
    </row>
    <row r="8" spans="5:7" ht="12.75">
      <c r="E8" s="10"/>
      <c r="F8" s="10"/>
      <c r="G8" s="10"/>
    </row>
    <row r="9" spans="1:7" ht="12.75">
      <c r="A9" s="28" t="s">
        <v>113</v>
      </c>
      <c r="E9" s="10"/>
      <c r="F9" s="10"/>
      <c r="G9" s="10"/>
    </row>
    <row r="10" spans="2:11" ht="13.5" customHeight="1">
      <c r="B10" s="28" t="s">
        <v>139</v>
      </c>
      <c r="E10" s="12">
        <f>F10+G10</f>
        <v>141223575.58999997</v>
      </c>
      <c r="F10" s="14">
        <f>'Revenue-G'!O29</f>
        <v>97151452.16</v>
      </c>
      <c r="G10" s="14">
        <f>'Revenue-G'!O5</f>
        <v>44072123.42999999</v>
      </c>
      <c r="K10" s="62"/>
    </row>
    <row r="11" spans="2:7" ht="12.75">
      <c r="B11" s="28" t="s">
        <v>140</v>
      </c>
      <c r="E11" s="12">
        <f>F11+G11</f>
        <v>67329876.66</v>
      </c>
      <c r="F11" s="14">
        <f>('Revenue-G'!O30+'Revenue-G'!O31+'Revenue-G'!O32)</f>
        <v>47979148.220000006</v>
      </c>
      <c r="G11" s="14">
        <f>('Revenue-G'!O6+'Revenue-G'!O7)</f>
        <v>19350728.439999998</v>
      </c>
    </row>
    <row r="12" spans="2:7" ht="12.75">
      <c r="B12" s="28" t="s">
        <v>141</v>
      </c>
      <c r="E12" s="17">
        <f>F12+G12</f>
        <v>238489.07999999996</v>
      </c>
      <c r="F12" s="8">
        <f>'Revenue-G'!O33</f>
        <v>209620.03999999995</v>
      </c>
      <c r="G12" s="8">
        <f>'Revenue-G'!O8</f>
        <v>28869.039999999997</v>
      </c>
    </row>
    <row r="13" spans="2:13" ht="12.75">
      <c r="B13" s="28" t="s">
        <v>114</v>
      </c>
      <c r="E13" s="17">
        <f>F13+G13</f>
        <v>-3714764</v>
      </c>
      <c r="F13" s="8">
        <f>('Revenue-G'!O38+'Revenue-G'!O39+'Revenue-G'!O40)</f>
        <v>-2788442</v>
      </c>
      <c r="G13" s="8">
        <f>('Revenue-G'!O11+'Revenue-G'!O12+'Revenue-G'!O13)</f>
        <v>-926322</v>
      </c>
      <c r="L13" s="32"/>
      <c r="M13" s="32"/>
    </row>
    <row r="14" spans="1:7" ht="12.75">
      <c r="A14" s="28" t="s">
        <v>142</v>
      </c>
      <c r="E14" s="50">
        <f>SUM(E10:E13)</f>
        <v>205077177.32999998</v>
      </c>
      <c r="F14" s="50">
        <f>SUM(F10:F13)</f>
        <v>142551778.42</v>
      </c>
      <c r="G14" s="50">
        <f>SUM(G10:G13)</f>
        <v>62525398.90999999</v>
      </c>
    </row>
    <row r="15" spans="5:7" ht="12.75">
      <c r="E15" s="12"/>
      <c r="F15" s="12"/>
      <c r="G15" s="12"/>
    </row>
    <row r="16" spans="1:7" ht="12.75">
      <c r="A16" s="28" t="s">
        <v>143</v>
      </c>
      <c r="E16" s="12"/>
      <c r="F16" s="12"/>
      <c r="G16" s="12"/>
    </row>
    <row r="17" spans="2:7" ht="12.75">
      <c r="B17" s="28" t="s">
        <v>144</v>
      </c>
      <c r="E17" s="12">
        <f>F17+G17</f>
        <v>14773</v>
      </c>
      <c r="F17" s="14">
        <f>'Revenue-G'!O34</f>
        <v>7083</v>
      </c>
      <c r="G17" s="14">
        <f>'Revenue-G'!O9</f>
        <v>7690</v>
      </c>
    </row>
    <row r="18" spans="2:7" ht="12.75">
      <c r="B18" s="28" t="s">
        <v>145</v>
      </c>
      <c r="E18" s="12">
        <f>F18+G18</f>
        <v>5770418.63</v>
      </c>
      <c r="F18" s="14">
        <f>('Revenue-G'!O35+'Revenue-G'!O36)</f>
        <v>5183203.82</v>
      </c>
      <c r="G18" s="14">
        <f>'Revenue-G'!O10</f>
        <v>587214.8099999999</v>
      </c>
    </row>
    <row r="19" spans="2:7" ht="12.75">
      <c r="B19" s="28" t="s">
        <v>146</v>
      </c>
      <c r="E19" s="17">
        <f>F19+G19</f>
        <v>2751.2400000000002</v>
      </c>
      <c r="F19" s="8">
        <f>'Revenue-G'!O37</f>
        <v>2751.2400000000002</v>
      </c>
      <c r="G19" s="8">
        <v>0</v>
      </c>
    </row>
    <row r="20" spans="1:12" ht="12.75">
      <c r="A20" s="28" t="s">
        <v>122</v>
      </c>
      <c r="E20" s="50">
        <f>SUM(E17:E19)</f>
        <v>5787942.87</v>
      </c>
      <c r="F20" s="50">
        <f>SUM(F17:F19)</f>
        <v>5193038.0600000005</v>
      </c>
      <c r="G20" s="50">
        <f>SUM(G17:G19)</f>
        <v>594904.8099999999</v>
      </c>
      <c r="L20" s="36"/>
    </row>
    <row r="21" spans="5:12" ht="12.75" customHeight="1">
      <c r="E21" s="49"/>
      <c r="F21" s="49"/>
      <c r="G21" s="49"/>
      <c r="L21" s="36"/>
    </row>
    <row r="22" spans="1:12" ht="12.75">
      <c r="A22" s="26" t="s">
        <v>147</v>
      </c>
      <c r="E22" s="12">
        <f>E14+E20</f>
        <v>210865120.2</v>
      </c>
      <c r="F22" s="12">
        <f>F14+F20</f>
        <v>147744816.48</v>
      </c>
      <c r="G22" s="12">
        <f>G14+G20</f>
        <v>63120303.71999999</v>
      </c>
      <c r="L22" s="36"/>
    </row>
    <row r="23" spans="5:12" ht="12.75">
      <c r="E23" s="4"/>
      <c r="F23" s="4"/>
      <c r="G23" s="4"/>
      <c r="L23" s="36"/>
    </row>
    <row r="24" spans="1:12" ht="12.75">
      <c r="A24" s="26" t="s">
        <v>124</v>
      </c>
      <c r="E24" s="4"/>
      <c r="F24" s="4"/>
      <c r="G24" s="4"/>
      <c r="L24" s="36"/>
    </row>
    <row r="25" spans="1:7" ht="12.75">
      <c r="A25" s="28" t="s">
        <v>125</v>
      </c>
      <c r="E25" s="4"/>
      <c r="F25" s="51">
        <f>'E-RE-2'!F26</f>
        <v>0.001</v>
      </c>
      <c r="G25" s="51">
        <f>'E-RE-2'!G26</f>
        <v>0</v>
      </c>
    </row>
    <row r="26" spans="1:12" ht="12.75">
      <c r="A26" s="28" t="s">
        <v>126</v>
      </c>
      <c r="D26" s="10"/>
      <c r="E26" s="4"/>
      <c r="F26" s="51">
        <f>'E-RE-2'!F27</f>
        <v>0.002</v>
      </c>
      <c r="G26" s="51">
        <f>'E-RE-2'!G27</f>
        <v>0.002179</v>
      </c>
      <c r="L26" s="10"/>
    </row>
    <row r="27" spans="5:7" ht="12.75">
      <c r="E27" s="4"/>
      <c r="F27" s="20"/>
      <c r="G27" s="52"/>
    </row>
    <row r="28" spans="1:7" ht="13.5" thickBot="1">
      <c r="A28" s="26" t="s">
        <v>127</v>
      </c>
      <c r="B28" s="26"/>
      <c r="C28" s="26"/>
      <c r="D28" s="26"/>
      <c r="E28" s="53">
        <f>F28+G28</f>
        <v>432979.14180588</v>
      </c>
      <c r="F28" s="53">
        <f>ROUND(F25*50000+(F22-50000)*F26,0)</f>
        <v>295440</v>
      </c>
      <c r="G28" s="54">
        <f>G22*G26</f>
        <v>137539.14180587998</v>
      </c>
    </row>
    <row r="29" spans="4:7" ht="13.5" thickTop="1">
      <c r="D29" s="40"/>
      <c r="E29" s="12"/>
      <c r="F29" s="55"/>
      <c r="G29" s="12"/>
    </row>
    <row r="30" spans="5:7" ht="12.75">
      <c r="E30" s="4"/>
      <c r="F30" s="4"/>
      <c r="G30" s="4"/>
    </row>
    <row r="31" spans="1:11" s="26" customFormat="1" ht="12.75">
      <c r="A31" s="28"/>
      <c r="B31" s="45" t="s">
        <v>128</v>
      </c>
      <c r="C31" s="28" t="s">
        <v>148</v>
      </c>
      <c r="D31" s="28"/>
      <c r="E31" s="4"/>
      <c r="F31" s="4"/>
      <c r="G31" s="4"/>
      <c r="H31" s="28"/>
      <c r="I31" s="28"/>
      <c r="J31" s="28"/>
      <c r="K31" s="28"/>
    </row>
    <row r="32" spans="1:11" s="26" customFormat="1" ht="12.75">
      <c r="A32" s="28"/>
      <c r="B32" s="45"/>
      <c r="C32" s="28" t="s">
        <v>130</v>
      </c>
      <c r="D32" s="28"/>
      <c r="E32" s="4"/>
      <c r="F32" s="4"/>
      <c r="G32" s="4"/>
      <c r="H32" s="28"/>
      <c r="I32" s="28"/>
      <c r="J32" s="28"/>
      <c r="K32" s="28"/>
    </row>
    <row r="33" spans="1:11" s="26" customFormat="1" ht="12.75">
      <c r="A33" s="28"/>
      <c r="B33" s="45"/>
      <c r="C33" s="28" t="s">
        <v>131</v>
      </c>
      <c r="D33" s="28"/>
      <c r="E33" s="4"/>
      <c r="F33" s="4"/>
      <c r="G33" s="4"/>
      <c r="H33" s="28"/>
      <c r="I33" s="28"/>
      <c r="J33" s="28"/>
      <c r="K33" s="28"/>
    </row>
    <row r="34" spans="1:11" s="26" customFormat="1" ht="12.75">
      <c r="A34" s="28"/>
      <c r="B34" s="28"/>
      <c r="C34" s="28"/>
      <c r="D34" s="28"/>
      <c r="E34" s="4"/>
      <c r="F34" s="4"/>
      <c r="G34" s="4"/>
      <c r="H34" s="28"/>
      <c r="I34" s="28"/>
      <c r="J34" s="28"/>
      <c r="K34" s="28"/>
    </row>
    <row r="35" spans="2:7" ht="13.5" customHeight="1">
      <c r="B35" s="45" t="s">
        <v>128</v>
      </c>
      <c r="C35" s="28" t="s">
        <v>149</v>
      </c>
      <c r="E35" s="4"/>
      <c r="F35" s="4"/>
      <c r="G35" s="4"/>
    </row>
    <row r="36" spans="2:7" ht="12.75">
      <c r="B36" s="45"/>
      <c r="C36" s="28" t="s">
        <v>150</v>
      </c>
      <c r="E36" s="4"/>
      <c r="F36" s="4"/>
      <c r="G36" s="4"/>
    </row>
    <row r="37" spans="2:7" ht="12.75">
      <c r="B37" s="45"/>
      <c r="E37" s="4"/>
      <c r="F37" s="4"/>
      <c r="G37" s="4"/>
    </row>
    <row r="38" spans="1:7" ht="12.75">
      <c r="A38" s="28" t="s">
        <v>134</v>
      </c>
      <c r="E38" s="4"/>
      <c r="F38" s="4"/>
      <c r="G38" s="4"/>
    </row>
    <row r="39" spans="1:8" ht="12.75">
      <c r="A39" s="46">
        <v>1</v>
      </c>
      <c r="B39" s="28" t="s">
        <v>151</v>
      </c>
      <c r="H39" s="45"/>
    </row>
    <row r="40" spans="1:8" ht="12.75">
      <c r="A40" s="46">
        <v>2</v>
      </c>
      <c r="B40" s="47" t="str">
        <f>'E-RE-2'!B43</f>
        <v>Rate from 2017 Commission Fees letters/orders:  </v>
      </c>
      <c r="H40" s="56"/>
    </row>
    <row r="41" spans="2:7" ht="12.75">
      <c r="B41" s="96" t="str">
        <f>'E-RE-2'!B44</f>
        <v>WA, Order No. A 140166 dated 02/23/2017; ID letter dated April 6, 2017.</v>
      </c>
      <c r="C41" s="96"/>
      <c r="D41" s="96"/>
      <c r="E41" s="96"/>
      <c r="F41" s="96"/>
      <c r="G41" s="96"/>
    </row>
    <row r="42" spans="2:7" ht="12.75">
      <c r="B42" s="96"/>
      <c r="C42" s="96"/>
      <c r="D42" s="96"/>
      <c r="E42" s="96"/>
      <c r="F42" s="96"/>
      <c r="G42" s="96"/>
    </row>
    <row r="48" ht="12.75">
      <c r="L48" s="32"/>
    </row>
  </sheetData>
  <sheetProtection/>
  <mergeCells count="1">
    <mergeCell ref="B41:G42"/>
  </mergeCells>
  <printOptions/>
  <pageMargins left="1" right="1" top="1.25" bottom="1" header="0.5" footer="0.5"/>
  <pageSetup horizontalDpi="300" verticalDpi="300" orientation="portrait" scale="98" r:id="rId1"/>
  <headerFooter alignWithMargins="0">
    <oddHeader>&amp;R&amp;"-,Regular"Adjustment No. _______
Workpaper Ref. &amp;U&amp;A&amp;U
</oddHeader>
    <oddFooter>&amp;L&amp;"-,Regular"&amp;F&amp;R&amp;"Abadi MT Condensed Light,Regular"&amp;9Prep by: ____________     
          Date:  &amp;U&amp;D      &amp;U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31" zoomScalePageLayoutView="0" workbookViewId="0" topLeftCell="A1">
      <selection activeCell="L18" sqref="L18"/>
      <selection activeCell="P6" sqref="P6"/>
    </sheetView>
  </sheetViews>
  <sheetFormatPr defaultColWidth="9.140625" defaultRowHeight="12.75"/>
  <cols>
    <col min="1" max="1" width="13.421875" style="0" bestFit="1" customWidth="1"/>
    <col min="2" max="2" width="12.57421875" style="0" bestFit="1" customWidth="1"/>
    <col min="3" max="3" width="10.8515625" style="0" customWidth="1"/>
    <col min="4" max="4" width="16.57421875" style="0" bestFit="1" customWidth="1"/>
    <col min="5" max="15" width="9.57421875" style="0" bestFit="1" customWidth="1"/>
    <col min="16" max="16" width="16.421875" style="0" bestFit="1" customWidth="1"/>
  </cols>
  <sheetData>
    <row r="1" spans="1:4" ht="14.25">
      <c r="A1" s="78" t="s">
        <v>0</v>
      </c>
      <c r="B1" s="78" t="s">
        <v>1</v>
      </c>
      <c r="C1" s="78" t="s">
        <v>2</v>
      </c>
      <c r="D1" s="78" t="s">
        <v>3</v>
      </c>
    </row>
    <row r="3" spans="1:16" ht="14.25">
      <c r="A3" s="68"/>
      <c r="B3" s="69"/>
      <c r="C3" s="70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4.25">
      <c r="A4" s="71"/>
      <c r="B4" s="72"/>
      <c r="C4" s="73"/>
      <c r="D4" s="78">
        <f>Input!C5</f>
        <v>201901</v>
      </c>
      <c r="E4" s="78">
        <f>D4+1</f>
        <v>201902</v>
      </c>
      <c r="F4" s="78">
        <f aca="true" t="shared" si="0" ref="F4:O4">E4+1</f>
        <v>201903</v>
      </c>
      <c r="G4" s="78">
        <f t="shared" si="0"/>
        <v>201904</v>
      </c>
      <c r="H4" s="78">
        <f t="shared" si="0"/>
        <v>201905</v>
      </c>
      <c r="I4" s="78">
        <f t="shared" si="0"/>
        <v>201906</v>
      </c>
      <c r="J4" s="78">
        <f t="shared" si="0"/>
        <v>201907</v>
      </c>
      <c r="K4" s="78">
        <f t="shared" si="0"/>
        <v>201908</v>
      </c>
      <c r="L4" s="78">
        <f t="shared" si="0"/>
        <v>201909</v>
      </c>
      <c r="M4" s="78">
        <f t="shared" si="0"/>
        <v>201910</v>
      </c>
      <c r="N4" s="78">
        <f t="shared" si="0"/>
        <v>201911</v>
      </c>
      <c r="O4" s="78">
        <f t="shared" si="0"/>
        <v>201912</v>
      </c>
      <c r="P4" s="77" t="s">
        <v>4</v>
      </c>
    </row>
    <row r="5" spans="1:16" ht="14.25">
      <c r="A5" s="79" t="s">
        <v>5</v>
      </c>
      <c r="B5" s="78" t="s">
        <v>6</v>
      </c>
      <c r="C5" s="78" t="s">
        <v>7</v>
      </c>
      <c r="D5" s="86">
        <v>107206.23999999999</v>
      </c>
      <c r="E5" s="86">
        <v>107087.29000000001</v>
      </c>
      <c r="F5" s="86">
        <v>110111.42</v>
      </c>
      <c r="G5" s="86">
        <v>121053.17000000001</v>
      </c>
      <c r="H5" s="86">
        <v>113166.17</v>
      </c>
      <c r="I5" s="86">
        <v>95101.01999999999</v>
      </c>
      <c r="J5" s="86">
        <v>110799.34999999998</v>
      </c>
      <c r="K5" s="86">
        <v>133513.05</v>
      </c>
      <c r="L5" s="86">
        <v>129534.65999999999</v>
      </c>
      <c r="M5" s="86">
        <v>131396.13</v>
      </c>
      <c r="N5" s="86">
        <v>110326.58000000002</v>
      </c>
      <c r="O5" s="86">
        <v>101329.56</v>
      </c>
      <c r="P5" s="87">
        <f aca="true" t="shared" si="1" ref="P5:P10">SUM(D5:O5)</f>
        <v>1370624.6400000001</v>
      </c>
    </row>
    <row r="6" spans="1:16" ht="14.25">
      <c r="A6" s="80"/>
      <c r="B6" s="78" t="s">
        <v>8</v>
      </c>
      <c r="C6" s="78" t="s">
        <v>9</v>
      </c>
      <c r="D6" s="86">
        <v>53337.91</v>
      </c>
      <c r="E6" s="86">
        <v>49056.04</v>
      </c>
      <c r="F6" s="86">
        <v>58460.26</v>
      </c>
      <c r="G6" s="86">
        <v>72840.35</v>
      </c>
      <c r="H6" s="86">
        <v>103078.8</v>
      </c>
      <c r="I6" s="86">
        <v>74583.04000000001</v>
      </c>
      <c r="J6" s="86">
        <v>103787.79000000004</v>
      </c>
      <c r="K6" s="86">
        <v>130616.56999999992</v>
      </c>
      <c r="L6" s="86">
        <v>61459.58999999998</v>
      </c>
      <c r="M6" s="86">
        <v>129864.77999999997</v>
      </c>
      <c r="N6" s="86">
        <v>79790.68</v>
      </c>
      <c r="O6" s="86">
        <v>87197.56999999996</v>
      </c>
      <c r="P6" s="87">
        <f t="shared" si="1"/>
        <v>1004073.3799999998</v>
      </c>
    </row>
    <row r="7" spans="1:16" ht="14.25">
      <c r="A7" s="81"/>
      <c r="B7" s="78" t="s">
        <v>10</v>
      </c>
      <c r="C7" s="78" t="s">
        <v>11</v>
      </c>
      <c r="D7" s="86">
        <v>225385.99</v>
      </c>
      <c r="E7" s="86">
        <v>225746.44</v>
      </c>
      <c r="F7" s="86">
        <v>229687.08999999994</v>
      </c>
      <c r="G7" s="86">
        <v>223729.45</v>
      </c>
      <c r="H7" s="86">
        <v>224532.99</v>
      </c>
      <c r="I7" s="86">
        <v>225208.68999999997</v>
      </c>
      <c r="J7" s="86">
        <v>300565.0099999999</v>
      </c>
      <c r="K7" s="86">
        <v>308522.9600000001</v>
      </c>
      <c r="L7" s="86">
        <v>200707.59</v>
      </c>
      <c r="M7" s="86">
        <v>221607.91999999998</v>
      </c>
      <c r="N7" s="86">
        <v>175900.39000000004</v>
      </c>
      <c r="O7" s="86">
        <v>74100.65999999999</v>
      </c>
      <c r="P7" s="87">
        <f t="shared" si="1"/>
        <v>2635695.1799999997</v>
      </c>
    </row>
    <row r="8" spans="1:16" ht="14.25">
      <c r="A8" s="79" t="s">
        <v>12</v>
      </c>
      <c r="B8" s="78" t="s">
        <v>13</v>
      </c>
      <c r="C8" s="78" t="s">
        <v>7</v>
      </c>
      <c r="D8" s="86">
        <v>27279.75</v>
      </c>
      <c r="E8" s="86">
        <v>30192.699999999993</v>
      </c>
      <c r="F8" s="86">
        <v>30157.719999999998</v>
      </c>
      <c r="G8" s="86">
        <v>33311.31999999999</v>
      </c>
      <c r="H8" s="86">
        <v>31440.51</v>
      </c>
      <c r="I8" s="86">
        <v>31584.93</v>
      </c>
      <c r="J8" s="86">
        <v>33336.19</v>
      </c>
      <c r="K8" s="86">
        <v>37911.75999999999</v>
      </c>
      <c r="L8" s="86">
        <v>26251.439999999988</v>
      </c>
      <c r="M8" s="86">
        <v>23827.88</v>
      </c>
      <c r="N8" s="86">
        <v>24684.11</v>
      </c>
      <c r="O8" s="86">
        <v>23429.419999999995</v>
      </c>
      <c r="P8" s="87">
        <f t="shared" si="1"/>
        <v>353407.7299999999</v>
      </c>
    </row>
    <row r="9" spans="1:16" ht="14.25">
      <c r="A9" s="80"/>
      <c r="B9" s="78" t="s">
        <v>14</v>
      </c>
      <c r="C9" s="78" t="s">
        <v>9</v>
      </c>
      <c r="D9" s="86">
        <v>15669.260000000002</v>
      </c>
      <c r="E9" s="86">
        <v>15719.12</v>
      </c>
      <c r="F9" s="86">
        <v>12236.25</v>
      </c>
      <c r="G9" s="86">
        <v>12427.599999999999</v>
      </c>
      <c r="H9" s="86">
        <v>13864.51</v>
      </c>
      <c r="I9" s="86">
        <v>28457.28</v>
      </c>
      <c r="J9" s="86">
        <v>11614.66</v>
      </c>
      <c r="K9" s="86">
        <v>16154.079999999998</v>
      </c>
      <c r="L9" s="86">
        <v>17378.13</v>
      </c>
      <c r="M9" s="86">
        <v>19336.880000000005</v>
      </c>
      <c r="N9" s="86">
        <v>17956.289999999994</v>
      </c>
      <c r="O9" s="86">
        <v>19679.549999999992</v>
      </c>
      <c r="P9" s="87">
        <f t="shared" si="1"/>
        <v>200493.61</v>
      </c>
    </row>
    <row r="10" spans="1:16" ht="14.25">
      <c r="A10" s="81"/>
      <c r="B10" s="78" t="s">
        <v>15</v>
      </c>
      <c r="C10" s="78" t="s">
        <v>16</v>
      </c>
      <c r="D10" s="86">
        <v>75839.41</v>
      </c>
      <c r="E10" s="86">
        <v>101978.04000000001</v>
      </c>
      <c r="F10" s="86">
        <v>139637.52000000002</v>
      </c>
      <c r="G10" s="86">
        <v>53202.52999999999</v>
      </c>
      <c r="H10" s="86">
        <v>106109.15999999999</v>
      </c>
      <c r="I10" s="86">
        <v>102132.68</v>
      </c>
      <c r="J10" s="86">
        <v>107023.79999999997</v>
      </c>
      <c r="K10" s="86">
        <v>74230.6</v>
      </c>
      <c r="L10" s="86">
        <v>54204.72</v>
      </c>
      <c r="M10" s="86">
        <v>65035.72999999997</v>
      </c>
      <c r="N10" s="86">
        <v>59963.72</v>
      </c>
      <c r="O10" s="86">
        <v>56636.350000000006</v>
      </c>
      <c r="P10" s="87">
        <f t="shared" si="1"/>
        <v>995994.2599999998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115" zoomScaleNormal="115" zoomScaleSheetLayoutView="131" zoomScalePageLayoutView="0" workbookViewId="0" topLeftCell="A1">
      <pane xSplit="4" ySplit="4" topLeftCell="E5" activePane="bottomRight" state="split"/>
      <selection pane="topLeft" activeCell="A1" sqref="A1"/>
      <selection pane="topRight" activeCell="E1" sqref="E1"/>
      <selection pane="bottomLeft" activeCell="A5" sqref="A5"/>
      <selection pane="bottomRight" activeCell="E4" sqref="E4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7.8515625" style="0" customWidth="1"/>
    <col min="4" max="4" width="2.421875" style="0" bestFit="1" customWidth="1"/>
    <col min="5" max="7" width="10.140625" style="0" bestFit="1" customWidth="1"/>
    <col min="8" max="8" width="11.140625" style="0" bestFit="1" customWidth="1"/>
    <col min="9" max="10" width="10.140625" style="0" bestFit="1" customWidth="1"/>
    <col min="11" max="11" width="11.140625" style="0" bestFit="1" customWidth="1"/>
    <col min="12" max="16" width="10.140625" style="0" bestFit="1" customWidth="1"/>
    <col min="17" max="17" width="11.140625" style="0" bestFit="1" customWidth="1"/>
  </cols>
  <sheetData>
    <row r="1" spans="1:3" ht="14.25">
      <c r="A1" s="78" t="s">
        <v>0</v>
      </c>
      <c r="B1" s="78" t="s">
        <v>24</v>
      </c>
      <c r="C1" s="78" t="s">
        <v>25</v>
      </c>
    </row>
    <row r="3" spans="1:17" ht="14.25">
      <c r="A3" s="68"/>
      <c r="B3" s="69"/>
      <c r="C3" s="69"/>
      <c r="D3" s="70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4.25">
      <c r="A4" s="71"/>
      <c r="B4" s="72"/>
      <c r="C4" s="72"/>
      <c r="D4" s="73"/>
      <c r="E4" s="78">
        <f>Input!C5</f>
        <v>201901</v>
      </c>
      <c r="F4" s="78">
        <f>E4+1</f>
        <v>201902</v>
      </c>
      <c r="G4" s="78">
        <f aca="true" t="shared" si="0" ref="G4:P4">F4+1</f>
        <v>201903</v>
      </c>
      <c r="H4" s="78">
        <f t="shared" si="0"/>
        <v>201904</v>
      </c>
      <c r="I4" s="78">
        <f t="shared" si="0"/>
        <v>201905</v>
      </c>
      <c r="J4" s="78">
        <f t="shared" si="0"/>
        <v>201906</v>
      </c>
      <c r="K4" s="78">
        <f t="shared" si="0"/>
        <v>201907</v>
      </c>
      <c r="L4" s="78">
        <f t="shared" si="0"/>
        <v>201908</v>
      </c>
      <c r="M4" s="78">
        <f t="shared" si="0"/>
        <v>201909</v>
      </c>
      <c r="N4" s="78">
        <f t="shared" si="0"/>
        <v>201910</v>
      </c>
      <c r="O4" s="78">
        <f t="shared" si="0"/>
        <v>201911</v>
      </c>
      <c r="P4" s="78">
        <f t="shared" si="0"/>
        <v>201912</v>
      </c>
      <c r="Q4" s="77" t="s">
        <v>4</v>
      </c>
    </row>
    <row r="5" spans="1:17" ht="14.25">
      <c r="A5" s="79" t="s">
        <v>26</v>
      </c>
      <c r="B5" s="79" t="s">
        <v>5</v>
      </c>
      <c r="C5" s="79" t="s">
        <v>11</v>
      </c>
      <c r="D5" s="78" t="s">
        <v>27</v>
      </c>
      <c r="E5" s="86">
        <v>-183333.33</v>
      </c>
      <c r="F5" s="86">
        <v>-183333.33</v>
      </c>
      <c r="G5" s="86">
        <v>-183333.33</v>
      </c>
      <c r="H5" s="86">
        <v>-183333.33</v>
      </c>
      <c r="I5" s="86">
        <v>-183333.33</v>
      </c>
      <c r="J5" s="86">
        <v>-183333.33</v>
      </c>
      <c r="K5" s="86">
        <v>-183333.33</v>
      </c>
      <c r="L5" s="86">
        <v>-255875.66</v>
      </c>
      <c r="M5" s="86">
        <v>-147062.33</v>
      </c>
      <c r="N5" s="86">
        <v>-183333.33</v>
      </c>
      <c r="O5" s="86">
        <v>-128926.52</v>
      </c>
      <c r="P5" s="86">
        <v>-90677.81</v>
      </c>
      <c r="Q5" s="82">
        <f>SUM(E5:P5)</f>
        <v>-2089208.9600000002</v>
      </c>
    </row>
    <row r="6" spans="1:17" ht="14.25">
      <c r="A6" s="81"/>
      <c r="B6" s="81"/>
      <c r="C6" s="81"/>
      <c r="D6" s="78" t="s">
        <v>28</v>
      </c>
      <c r="E6" s="86"/>
      <c r="F6" s="86"/>
      <c r="G6" s="86"/>
      <c r="H6" s="86"/>
      <c r="I6" s="86"/>
      <c r="J6" s="86"/>
      <c r="K6" s="63">
        <v>2089208.6300000001</v>
      </c>
      <c r="L6" s="86"/>
      <c r="M6" s="86"/>
      <c r="N6" s="86"/>
      <c r="O6" s="86"/>
      <c r="P6" s="86"/>
      <c r="Q6" s="82">
        <f aca="true" t="shared" si="1" ref="Q6:Q14">SUM(E6:P6)</f>
        <v>2089208.6300000001</v>
      </c>
    </row>
    <row r="7" spans="1:17" ht="14.25">
      <c r="A7" s="79" t="s">
        <v>29</v>
      </c>
      <c r="B7" s="79" t="s">
        <v>5</v>
      </c>
      <c r="C7" s="79" t="s">
        <v>11</v>
      </c>
      <c r="D7" s="78" t="s">
        <v>27</v>
      </c>
      <c r="E7" s="86">
        <v>-39512.82</v>
      </c>
      <c r="F7" s="86">
        <v>-39512.82</v>
      </c>
      <c r="G7" s="86">
        <v>-39512.82</v>
      </c>
      <c r="H7" s="86">
        <v>-39512.82</v>
      </c>
      <c r="I7" s="86">
        <v>-39512.82</v>
      </c>
      <c r="J7" s="86">
        <v>-41434.72</v>
      </c>
      <c r="K7" s="86">
        <v>-41434.72</v>
      </c>
      <c r="L7" s="86">
        <v>-39512.82</v>
      </c>
      <c r="M7" s="86">
        <v>-39512.82</v>
      </c>
      <c r="N7" s="86">
        <v>-35631.36</v>
      </c>
      <c r="O7" s="86">
        <v>-38219</v>
      </c>
      <c r="P7" s="86">
        <v>38219</v>
      </c>
      <c r="Q7" s="82">
        <f t="shared" si="1"/>
        <v>-395090.54000000004</v>
      </c>
    </row>
    <row r="8" spans="1:17" ht="14.25">
      <c r="A8" s="81"/>
      <c r="B8" s="81"/>
      <c r="C8" s="81"/>
      <c r="D8" s="78" t="s">
        <v>28</v>
      </c>
      <c r="E8" s="86"/>
      <c r="F8" s="86"/>
      <c r="G8" s="86"/>
      <c r="H8" s="86"/>
      <c r="I8" s="86"/>
      <c r="J8" s="86"/>
      <c r="K8" s="86">
        <v>434388.28</v>
      </c>
      <c r="L8" s="86"/>
      <c r="M8" s="86"/>
      <c r="N8" s="86"/>
      <c r="O8" s="86"/>
      <c r="P8" s="86"/>
      <c r="Q8" s="82">
        <f t="shared" si="1"/>
        <v>434388.28</v>
      </c>
    </row>
    <row r="9" spans="1:17" ht="14.25">
      <c r="A9" s="79" t="s">
        <v>30</v>
      </c>
      <c r="B9" s="79" t="s">
        <v>31</v>
      </c>
      <c r="C9" s="79" t="s">
        <v>9</v>
      </c>
      <c r="D9" s="78" t="s">
        <v>27</v>
      </c>
      <c r="E9" s="86">
        <v>-58741.67</v>
      </c>
      <c r="F9" s="86">
        <v>-58741.67</v>
      </c>
      <c r="G9" s="86">
        <v>-58741.67</v>
      </c>
      <c r="H9" s="86">
        <v>-58741.67</v>
      </c>
      <c r="I9" s="86">
        <v>-58741.67</v>
      </c>
      <c r="J9" s="86">
        <v>-58741.67</v>
      </c>
      <c r="K9" s="86">
        <v>-58741.67</v>
      </c>
      <c r="L9" s="86">
        <v>-58741.67</v>
      </c>
      <c r="M9" s="86">
        <v>-87079.9</v>
      </c>
      <c r="N9" s="86">
        <v>322046.57999999996</v>
      </c>
      <c r="O9" s="86">
        <v>-87079.9</v>
      </c>
      <c r="P9" s="86">
        <v>-87079.92</v>
      </c>
      <c r="Q9" s="82">
        <f t="shared" si="1"/>
        <v>-409126.49999999994</v>
      </c>
    </row>
    <row r="10" spans="1:17" ht="14.25">
      <c r="A10" s="80"/>
      <c r="B10" s="80"/>
      <c r="C10" s="81"/>
      <c r="D10" s="78" t="s">
        <v>28</v>
      </c>
      <c r="E10" s="86"/>
      <c r="F10" s="86"/>
      <c r="G10" s="86"/>
      <c r="H10" s="86">
        <v>409126.83</v>
      </c>
      <c r="I10" s="86"/>
      <c r="J10" s="86"/>
      <c r="K10" s="86"/>
      <c r="L10" s="86"/>
      <c r="M10" s="86"/>
      <c r="N10" s="86"/>
      <c r="O10" s="86">
        <v>363141</v>
      </c>
      <c r="P10" s="86"/>
      <c r="Q10" s="82">
        <f t="shared" si="1"/>
        <v>772267.8300000001</v>
      </c>
    </row>
    <row r="11" spans="1:17" ht="14.25">
      <c r="A11" s="80"/>
      <c r="B11" s="80"/>
      <c r="C11" s="79" t="s">
        <v>7</v>
      </c>
      <c r="D11" s="78" t="s">
        <v>27</v>
      </c>
      <c r="E11" s="86">
        <v>-114891.67</v>
      </c>
      <c r="F11" s="86">
        <v>-114891.67</v>
      </c>
      <c r="G11" s="86">
        <v>-114891.67</v>
      </c>
      <c r="H11" s="86">
        <v>-114891.67</v>
      </c>
      <c r="I11" s="86">
        <v>-114876.8</v>
      </c>
      <c r="J11" s="86">
        <v>-114876.8</v>
      </c>
      <c r="K11" s="86">
        <v>-114876.8</v>
      </c>
      <c r="L11" s="86">
        <v>-114876.8</v>
      </c>
      <c r="M11" s="86">
        <v>-114876.82</v>
      </c>
      <c r="N11" s="86">
        <v>-114876.82</v>
      </c>
      <c r="O11" s="86">
        <v>-114876.82</v>
      </c>
      <c r="P11" s="86">
        <v>-114876.8</v>
      </c>
      <c r="Q11" s="82">
        <f t="shared" si="1"/>
        <v>-1378581.1400000004</v>
      </c>
    </row>
    <row r="12" spans="1:17" ht="14.25">
      <c r="A12" s="80"/>
      <c r="B12" s="81"/>
      <c r="C12" s="81"/>
      <c r="D12" s="78" t="s">
        <v>28</v>
      </c>
      <c r="E12" s="86"/>
      <c r="F12" s="86"/>
      <c r="G12" s="86"/>
      <c r="H12" s="86">
        <v>1378581.47</v>
      </c>
      <c r="I12" s="86"/>
      <c r="J12" s="86"/>
      <c r="K12" s="86"/>
      <c r="L12" s="86"/>
      <c r="M12" s="86"/>
      <c r="N12" s="86"/>
      <c r="O12" s="86"/>
      <c r="P12" s="86"/>
      <c r="Q12" s="82">
        <f t="shared" si="1"/>
        <v>1378581.47</v>
      </c>
    </row>
    <row r="13" spans="1:17" ht="14.25">
      <c r="A13" s="80"/>
      <c r="B13" s="79" t="s">
        <v>12</v>
      </c>
      <c r="C13" s="79" t="s">
        <v>16</v>
      </c>
      <c r="D13" s="78" t="s">
        <v>27</v>
      </c>
      <c r="E13" s="86">
        <v>-47883</v>
      </c>
      <c r="F13" s="86">
        <v>-47883</v>
      </c>
      <c r="G13" s="86">
        <v>-47883</v>
      </c>
      <c r="H13" s="86">
        <v>-46896.27</v>
      </c>
      <c r="I13" s="86">
        <v>-46896.27</v>
      </c>
      <c r="J13" s="86">
        <v>-46896.27</v>
      </c>
      <c r="K13" s="86">
        <v>-46896.27</v>
      </c>
      <c r="L13" s="86">
        <v>-46896.27</v>
      </c>
      <c r="M13" s="86">
        <v>-46896.27</v>
      </c>
      <c r="N13" s="86">
        <v>-41002.02</v>
      </c>
      <c r="O13" s="86">
        <v>-41002.02</v>
      </c>
      <c r="P13" s="86">
        <v>-41002</v>
      </c>
      <c r="Q13" s="82">
        <f t="shared" si="1"/>
        <v>-548032.6600000001</v>
      </c>
    </row>
    <row r="14" spans="1:17" ht="14.25">
      <c r="A14" s="81"/>
      <c r="B14" s="81"/>
      <c r="C14" s="81"/>
      <c r="D14" s="78" t="s">
        <v>28</v>
      </c>
      <c r="E14" s="86"/>
      <c r="F14" s="86"/>
      <c r="G14" s="86">
        <v>436715.41</v>
      </c>
      <c r="H14" s="86"/>
      <c r="I14" s="86"/>
      <c r="J14" s="86"/>
      <c r="K14" s="86"/>
      <c r="L14" s="86"/>
      <c r="M14" s="86">
        <v>111316.98000000001</v>
      </c>
      <c r="N14" s="86"/>
      <c r="O14" s="86"/>
      <c r="P14" s="86"/>
      <c r="Q14" s="82">
        <f t="shared" si="1"/>
        <v>548032.39</v>
      </c>
    </row>
    <row r="16" ht="14.25">
      <c r="K16" s="86"/>
    </row>
    <row r="17" spans="7:17" ht="12.75">
      <c r="G17" s="63"/>
      <c r="H17" s="63"/>
      <c r="M17" s="63"/>
      <c r="Q17" s="63">
        <f>SUM(Q5,Q7)</f>
        <v>-2484299.5</v>
      </c>
    </row>
    <row r="18" spans="11:17" ht="12.75">
      <c r="K18" s="63"/>
      <c r="Q18" s="63">
        <f>-Q17</f>
        <v>2484299.5</v>
      </c>
    </row>
    <row r="19" spans="8:11" ht="12.75">
      <c r="H19" s="63"/>
      <c r="K19" s="63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SheetLayoutView="251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I59" sqref="I59"/>
      <selection pane="topLeft" activeCell="A1" sqref="A1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0.8515625" style="0" bestFit="1" customWidth="1"/>
    <col min="5" max="14" width="10.57421875" style="0" bestFit="1" customWidth="1"/>
    <col min="15" max="15" width="12.14062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38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6" ht="14.25">
      <c r="A5" s="79" t="s">
        <v>11</v>
      </c>
      <c r="B5" s="78" t="s">
        <v>39</v>
      </c>
      <c r="C5" s="89">
        <v>39250</v>
      </c>
      <c r="D5" s="89">
        <v>39250</v>
      </c>
      <c r="E5" s="89">
        <v>39250</v>
      </c>
      <c r="F5" s="89">
        <v>39250</v>
      </c>
      <c r="G5" s="89">
        <v>39250</v>
      </c>
      <c r="H5" s="89">
        <v>39250</v>
      </c>
      <c r="I5" s="89">
        <v>39250</v>
      </c>
      <c r="J5" s="89">
        <v>-55750</v>
      </c>
      <c r="K5" s="89">
        <v>31333</v>
      </c>
      <c r="L5" s="89">
        <v>31333</v>
      </c>
      <c r="M5" s="89">
        <v>31333</v>
      </c>
      <c r="N5" s="89">
        <v>31333</v>
      </c>
      <c r="O5" s="90">
        <f>SUM(C5:N5)</f>
        <v>344332</v>
      </c>
      <c r="P5" s="1"/>
    </row>
    <row r="6" spans="1:16" ht="14.25">
      <c r="A6" s="80"/>
      <c r="B6" s="78" t="s">
        <v>40</v>
      </c>
      <c r="C6" s="89">
        <v>4848.84</v>
      </c>
      <c r="D6" s="89">
        <v>3853.23</v>
      </c>
      <c r="E6" s="89">
        <v>18103.82</v>
      </c>
      <c r="F6" s="89">
        <v>17908.71</v>
      </c>
      <c r="G6" s="89">
        <v>14534.73</v>
      </c>
      <c r="H6" s="89">
        <v>6095.879999999999</v>
      </c>
      <c r="I6" s="89">
        <v>4516.26</v>
      </c>
      <c r="J6" s="89">
        <v>4446.889999999999</v>
      </c>
      <c r="K6" s="89">
        <v>11770.09</v>
      </c>
      <c r="L6" s="89">
        <v>8711.24</v>
      </c>
      <c r="M6" s="89">
        <v>5697.75</v>
      </c>
      <c r="N6" s="89">
        <v>22728.98</v>
      </c>
      <c r="O6" s="90">
        <f aca="true" t="shared" si="1" ref="O6:O34">SUM(C6:N6)</f>
        <v>123216.42</v>
      </c>
      <c r="P6" s="1"/>
    </row>
    <row r="7" spans="1:16" ht="14.25">
      <c r="A7" s="81"/>
      <c r="B7" s="77" t="s">
        <v>4</v>
      </c>
      <c r="C7" s="89">
        <f>SUM(C5:C6)</f>
        <v>44098.84</v>
      </c>
      <c r="D7" s="89">
        <f aca="true" t="shared" si="2" ref="D7:O7">SUM(D5:D6)</f>
        <v>43103.23</v>
      </c>
      <c r="E7" s="89">
        <f t="shared" si="2"/>
        <v>57353.82</v>
      </c>
      <c r="F7" s="89">
        <f t="shared" si="2"/>
        <v>57158.71</v>
      </c>
      <c r="G7" s="89">
        <f t="shared" si="2"/>
        <v>53784.729999999996</v>
      </c>
      <c r="H7" s="89">
        <f t="shared" si="2"/>
        <v>45345.88</v>
      </c>
      <c r="I7" s="89">
        <f t="shared" si="2"/>
        <v>43766.26</v>
      </c>
      <c r="J7" s="89">
        <f t="shared" si="2"/>
        <v>-51303.11</v>
      </c>
      <c r="K7" s="89">
        <f t="shared" si="2"/>
        <v>43103.09</v>
      </c>
      <c r="L7" s="89">
        <f t="shared" si="2"/>
        <v>40044.24</v>
      </c>
      <c r="M7" s="89">
        <f t="shared" si="2"/>
        <v>37030.75</v>
      </c>
      <c r="N7" s="89">
        <f t="shared" si="2"/>
        <v>54061.979999999996</v>
      </c>
      <c r="O7" s="90">
        <f t="shared" si="2"/>
        <v>467548.42</v>
      </c>
      <c r="P7" s="1"/>
    </row>
    <row r="8" spans="1:16" ht="14.25">
      <c r="A8" s="79" t="s">
        <v>9</v>
      </c>
      <c r="B8" s="78" t="s">
        <v>41</v>
      </c>
      <c r="C8" s="89">
        <v>13042794.65</v>
      </c>
      <c r="D8" s="89">
        <v>12756910.639999997</v>
      </c>
      <c r="E8" s="89">
        <v>13022320.899999999</v>
      </c>
      <c r="F8" s="89">
        <v>9576962.660000002</v>
      </c>
      <c r="G8" s="89">
        <v>7726920.539999999</v>
      </c>
      <c r="H8" s="89">
        <v>7485368.34</v>
      </c>
      <c r="I8" s="89">
        <v>7899767.09</v>
      </c>
      <c r="J8" s="89">
        <v>8747997.62</v>
      </c>
      <c r="K8" s="89">
        <v>8095463.840000002</v>
      </c>
      <c r="L8" s="89">
        <v>8011849.92</v>
      </c>
      <c r="M8" s="89">
        <v>10281848.120000001</v>
      </c>
      <c r="N8" s="89">
        <v>12909157.450000001</v>
      </c>
      <c r="O8" s="90">
        <f t="shared" si="1"/>
        <v>119557361.77000003</v>
      </c>
      <c r="P8" s="1"/>
    </row>
    <row r="9" spans="1:16" ht="14.25">
      <c r="A9" s="80"/>
      <c r="B9" s="78" t="s">
        <v>42</v>
      </c>
      <c r="C9" s="89">
        <v>8038966.580000001</v>
      </c>
      <c r="D9" s="89">
        <v>7983042.420000001</v>
      </c>
      <c r="E9" s="89">
        <v>8025652.760000001</v>
      </c>
      <c r="F9" s="89">
        <v>7238436.67</v>
      </c>
      <c r="G9" s="89">
        <v>6760046.019999999</v>
      </c>
      <c r="H9" s="89">
        <v>6971312.180000001</v>
      </c>
      <c r="I9" s="89">
        <v>7236456.280000001</v>
      </c>
      <c r="J9" s="89">
        <v>7670089.579999999</v>
      </c>
      <c r="K9" s="89">
        <v>7637751.24</v>
      </c>
      <c r="L9" s="89">
        <v>6961785.82</v>
      </c>
      <c r="M9" s="89">
        <v>7371268.86</v>
      </c>
      <c r="N9" s="89">
        <v>8033354.540000001</v>
      </c>
      <c r="O9" s="90">
        <f t="shared" si="1"/>
        <v>89928162.94999999</v>
      </c>
      <c r="P9" s="1"/>
    </row>
    <row r="10" spans="1:16" ht="14.25">
      <c r="A10" s="80"/>
      <c r="B10" s="78" t="s">
        <v>43</v>
      </c>
      <c r="C10" s="89">
        <v>3433669.0599999996</v>
      </c>
      <c r="D10" s="89">
        <v>3635579.21</v>
      </c>
      <c r="E10" s="89">
        <v>3368001.5000000005</v>
      </c>
      <c r="F10" s="89">
        <v>4504977.7299999995</v>
      </c>
      <c r="G10" s="89">
        <v>4208777.07</v>
      </c>
      <c r="H10" s="89">
        <v>4308647.31</v>
      </c>
      <c r="I10" s="89">
        <v>4144891.9399999995</v>
      </c>
      <c r="J10" s="89">
        <v>4472134.789999998</v>
      </c>
      <c r="K10" s="89">
        <v>4519327.029999999</v>
      </c>
      <c r="L10" s="89">
        <v>3909438.5200000005</v>
      </c>
      <c r="M10" s="89">
        <v>4503811.619999999</v>
      </c>
      <c r="N10" s="89">
        <v>4401942.390000001</v>
      </c>
      <c r="O10" s="90">
        <f t="shared" si="1"/>
        <v>49411198.17</v>
      </c>
      <c r="P10" s="1"/>
    </row>
    <row r="11" spans="1:16" ht="14.25">
      <c r="A11" s="80"/>
      <c r="B11" s="78" t="s">
        <v>44</v>
      </c>
      <c r="C11" s="89">
        <v>223276.39000000004</v>
      </c>
      <c r="D11" s="89">
        <v>225587.49</v>
      </c>
      <c r="E11" s="89">
        <v>226087.81</v>
      </c>
      <c r="F11" s="89">
        <v>224452.74999999994</v>
      </c>
      <c r="G11" s="89">
        <v>222357.76</v>
      </c>
      <c r="H11" s="89">
        <v>222387.18999999994</v>
      </c>
      <c r="I11" s="89">
        <v>221133.18</v>
      </c>
      <c r="J11" s="89">
        <v>219110.03000000003</v>
      </c>
      <c r="K11" s="89">
        <v>214963.62000000005</v>
      </c>
      <c r="L11" s="89">
        <v>222729.73</v>
      </c>
      <c r="M11" s="89">
        <v>212666.4</v>
      </c>
      <c r="N11" s="89">
        <v>234919.66999999998</v>
      </c>
      <c r="O11" s="90">
        <f t="shared" si="1"/>
        <v>2669672.02</v>
      </c>
      <c r="P11" s="1"/>
    </row>
    <row r="12" spans="1:16" ht="14.25">
      <c r="A12" s="80"/>
      <c r="B12" s="78" t="s">
        <v>45</v>
      </c>
      <c r="C12" s="89">
        <v>24045.929999999993</v>
      </c>
      <c r="D12" s="89">
        <v>24186.21</v>
      </c>
      <c r="E12" s="89">
        <v>23227.559999999998</v>
      </c>
      <c r="F12" s="89">
        <v>18037.28</v>
      </c>
      <c r="G12" s="89">
        <v>15005.86</v>
      </c>
      <c r="H12" s="89">
        <v>18225.6</v>
      </c>
      <c r="I12" s="89">
        <v>19379.050000000003</v>
      </c>
      <c r="J12" s="89">
        <v>21478.899999999998</v>
      </c>
      <c r="K12" s="89">
        <v>13607.150000000001</v>
      </c>
      <c r="L12" s="89">
        <v>14526.16</v>
      </c>
      <c r="M12" s="89">
        <v>19791.9</v>
      </c>
      <c r="N12" s="89">
        <v>22694.55</v>
      </c>
      <c r="O12" s="90">
        <f t="shared" si="1"/>
        <v>234206.14999999997</v>
      </c>
      <c r="P12" s="1"/>
    </row>
    <row r="13" spans="1:16" ht="14.25">
      <c r="A13" s="80"/>
      <c r="B13" s="78" t="s">
        <v>46</v>
      </c>
      <c r="C13" s="89">
        <v>13507.1</v>
      </c>
      <c r="D13" s="89">
        <v>5632</v>
      </c>
      <c r="E13" s="89">
        <v>13506.9</v>
      </c>
      <c r="F13" s="89">
        <v>13370</v>
      </c>
      <c r="G13" s="89">
        <v>14328</v>
      </c>
      <c r="H13" s="89">
        <v>10988</v>
      </c>
      <c r="I13" s="89">
        <v>8656</v>
      </c>
      <c r="J13" s="89">
        <v>7490</v>
      </c>
      <c r="K13" s="89">
        <v>9248</v>
      </c>
      <c r="L13" s="89">
        <v>12184</v>
      </c>
      <c r="M13" s="89">
        <v>9020</v>
      </c>
      <c r="N13" s="89">
        <v>10412</v>
      </c>
      <c r="O13" s="90">
        <f t="shared" si="1"/>
        <v>128342</v>
      </c>
      <c r="P13" s="1"/>
    </row>
    <row r="14" spans="1:16" ht="14.25">
      <c r="A14" s="80"/>
      <c r="B14" s="78" t="s">
        <v>40</v>
      </c>
      <c r="C14" s="89">
        <v>303162.12</v>
      </c>
      <c r="D14" s="89">
        <v>10183.12</v>
      </c>
      <c r="E14" s="89">
        <v>-175284.73</v>
      </c>
      <c r="F14" s="89">
        <v>117694.26999999999</v>
      </c>
      <c r="G14" s="89">
        <v>117694.26999999999</v>
      </c>
      <c r="H14" s="89">
        <v>117694.26999999999</v>
      </c>
      <c r="I14" s="89">
        <v>118245.40999999999</v>
      </c>
      <c r="J14" s="89">
        <v>117694.27</v>
      </c>
      <c r="K14" s="89">
        <v>114018.25000000001</v>
      </c>
      <c r="L14" s="89">
        <v>105677.93</v>
      </c>
      <c r="M14" s="89">
        <v>106229.07</v>
      </c>
      <c r="N14" s="89">
        <v>174395.53</v>
      </c>
      <c r="O14" s="90">
        <f t="shared" si="1"/>
        <v>1227403.78</v>
      </c>
      <c r="P14" s="1"/>
    </row>
    <row r="15" spans="1:16" ht="14.25">
      <c r="A15" s="80"/>
      <c r="B15" s="78">
        <v>454100</v>
      </c>
      <c r="C15" s="89">
        <v>0</v>
      </c>
      <c r="D15" s="89">
        <v>0</v>
      </c>
      <c r="E15" s="89">
        <v>3399.3</v>
      </c>
      <c r="F15" s="89">
        <v>3399.3</v>
      </c>
      <c r="G15" s="89">
        <v>3399.3</v>
      </c>
      <c r="H15" s="89">
        <v>3399.3</v>
      </c>
      <c r="I15" s="89">
        <v>3399.3</v>
      </c>
      <c r="J15" s="89">
        <v>3399.3</v>
      </c>
      <c r="K15" s="89">
        <v>-25909.86</v>
      </c>
      <c r="L15" s="89">
        <v>54.28</v>
      </c>
      <c r="M15" s="89">
        <v>54.28</v>
      </c>
      <c r="N15" s="89">
        <v>4479.85</v>
      </c>
      <c r="O15" s="90">
        <f t="shared" si="1"/>
        <v>-925.6500000000015</v>
      </c>
      <c r="P15" s="1"/>
    </row>
    <row r="16" spans="1:16" ht="14.25">
      <c r="A16" s="80"/>
      <c r="B16" s="78" t="s">
        <v>47</v>
      </c>
      <c r="C16" s="89">
        <v>-417368</v>
      </c>
      <c r="D16" s="89">
        <v>-200293</v>
      </c>
      <c r="E16" s="89">
        <v>-1227287</v>
      </c>
      <c r="F16" s="89">
        <v>-884140</v>
      </c>
      <c r="G16" s="89">
        <v>-232186</v>
      </c>
      <c r="H16" s="89">
        <v>102499</v>
      </c>
      <c r="I16" s="89">
        <v>357272</v>
      </c>
      <c r="J16" s="89">
        <v>400131</v>
      </c>
      <c r="K16" s="89">
        <v>-1039192</v>
      </c>
      <c r="L16" s="89">
        <v>1075662</v>
      </c>
      <c r="M16" s="89">
        <v>1439325</v>
      </c>
      <c r="N16" s="89">
        <v>204272</v>
      </c>
      <c r="O16" s="90">
        <f t="shared" si="1"/>
        <v>-421305</v>
      </c>
      <c r="P16" s="1"/>
    </row>
    <row r="17" spans="1:16" ht="14.25">
      <c r="A17" s="80"/>
      <c r="B17" s="78" t="s">
        <v>48</v>
      </c>
      <c r="C17" s="89">
        <v>-271087</v>
      </c>
      <c r="D17" s="89">
        <v>-26202</v>
      </c>
      <c r="E17" s="89">
        <v>-660511</v>
      </c>
      <c r="F17" s="89">
        <v>-100125</v>
      </c>
      <c r="G17" s="89">
        <v>182298</v>
      </c>
      <c r="H17" s="89">
        <v>277161</v>
      </c>
      <c r="I17" s="89">
        <v>240291</v>
      </c>
      <c r="J17" s="89">
        <v>184300</v>
      </c>
      <c r="K17" s="89">
        <v>-608102</v>
      </c>
      <c r="L17" s="89">
        <v>598225</v>
      </c>
      <c r="M17" s="89">
        <v>330306</v>
      </c>
      <c r="N17" s="89">
        <v>-222684</v>
      </c>
      <c r="O17" s="90">
        <f t="shared" si="1"/>
        <v>-76130</v>
      </c>
      <c r="P17" s="1"/>
    </row>
    <row r="18" spans="1:16" ht="14.25">
      <c r="A18" s="80"/>
      <c r="B18" s="78" t="s">
        <v>49</v>
      </c>
      <c r="C18" s="89">
        <v>10267</v>
      </c>
      <c r="D18" s="89">
        <v>-283242</v>
      </c>
      <c r="E18" s="89">
        <v>1123338</v>
      </c>
      <c r="F18" s="89">
        <v>-483045</v>
      </c>
      <c r="G18" s="89">
        <v>191646</v>
      </c>
      <c r="H18" s="89">
        <v>-168214</v>
      </c>
      <c r="I18" s="89">
        <v>255823</v>
      </c>
      <c r="J18" s="89">
        <v>121808</v>
      </c>
      <c r="K18" s="89">
        <v>-492904</v>
      </c>
      <c r="L18" s="89">
        <v>713413</v>
      </c>
      <c r="M18" s="89">
        <v>-68459</v>
      </c>
      <c r="N18" s="89">
        <v>77200</v>
      </c>
      <c r="O18" s="90">
        <f t="shared" si="1"/>
        <v>997631</v>
      </c>
      <c r="P18" s="1"/>
    </row>
    <row r="19" spans="1:16" ht="14.25">
      <c r="A19" s="81"/>
      <c r="B19" s="77" t="s">
        <v>4</v>
      </c>
      <c r="C19" s="89">
        <f aca="true" t="shared" si="3" ref="C19:O19">SUM(C8:C18)</f>
        <v>24401233.830000002</v>
      </c>
      <c r="D19" s="89">
        <f t="shared" si="3"/>
        <v>24131384.09</v>
      </c>
      <c r="E19" s="89">
        <f t="shared" si="3"/>
        <v>23742451.999999996</v>
      </c>
      <c r="F19" s="89">
        <f t="shared" si="3"/>
        <v>20230020.660000004</v>
      </c>
      <c r="G19" s="89">
        <f t="shared" si="3"/>
        <v>19210286.82</v>
      </c>
      <c r="H19" s="89">
        <f t="shared" si="3"/>
        <v>19349468.19</v>
      </c>
      <c r="I19" s="89">
        <f t="shared" si="3"/>
        <v>20505314.250000004</v>
      </c>
      <c r="J19" s="89">
        <f t="shared" si="3"/>
        <v>21965633.49</v>
      </c>
      <c r="K19" s="89">
        <f t="shared" si="3"/>
        <v>18438271.27</v>
      </c>
      <c r="L19" s="89">
        <f t="shared" si="3"/>
        <v>21625546.360000003</v>
      </c>
      <c r="M19" s="89">
        <f t="shared" si="3"/>
        <v>24205862.25</v>
      </c>
      <c r="N19" s="89">
        <f t="shared" si="3"/>
        <v>25850143.980000008</v>
      </c>
      <c r="O19" s="90">
        <f t="shared" si="3"/>
        <v>263655617.19000006</v>
      </c>
      <c r="P19" s="1"/>
    </row>
    <row r="20" spans="1:16" ht="14.25">
      <c r="A20" s="79" t="s">
        <v>50</v>
      </c>
      <c r="B20" s="78" t="s">
        <v>41</v>
      </c>
      <c r="C20" s="89">
        <v>2247.09</v>
      </c>
      <c r="D20" s="89">
        <v>2829.29</v>
      </c>
      <c r="E20" s="89">
        <v>2672.85</v>
      </c>
      <c r="F20" s="89">
        <v>1851.56</v>
      </c>
      <c r="G20" s="89">
        <v>1139.92</v>
      </c>
      <c r="H20" s="89">
        <v>743.7</v>
      </c>
      <c r="I20" s="89">
        <v>607.85</v>
      </c>
      <c r="J20" s="89">
        <v>628.04</v>
      </c>
      <c r="K20" s="89">
        <v>580.98</v>
      </c>
      <c r="L20" s="89">
        <v>1136.65</v>
      </c>
      <c r="M20" s="89">
        <v>1695.87</v>
      </c>
      <c r="N20" s="89">
        <v>1935.7</v>
      </c>
      <c r="O20" s="90">
        <f t="shared" si="1"/>
        <v>18069.5</v>
      </c>
      <c r="P20" s="1"/>
    </row>
    <row r="21" spans="1:16" ht="14.25">
      <c r="A21" s="80"/>
      <c r="B21" s="78" t="s">
        <v>42</v>
      </c>
      <c r="C21" s="89">
        <v>6094.4400000000005</v>
      </c>
      <c r="D21" s="89">
        <v>5578.41</v>
      </c>
      <c r="E21" s="89">
        <v>5480.28</v>
      </c>
      <c r="F21" s="89">
        <v>3843.67</v>
      </c>
      <c r="G21" s="89">
        <v>2501.8700000000003</v>
      </c>
      <c r="H21" s="89">
        <v>1114.31</v>
      </c>
      <c r="I21" s="89">
        <v>1082.6000000000001</v>
      </c>
      <c r="J21" s="89">
        <v>1157.2</v>
      </c>
      <c r="K21" s="89">
        <v>1239.24</v>
      </c>
      <c r="L21" s="89">
        <v>1797.26</v>
      </c>
      <c r="M21" s="89">
        <v>2654.68</v>
      </c>
      <c r="N21" s="89">
        <v>2417.02</v>
      </c>
      <c r="O21" s="90">
        <f t="shared" si="1"/>
        <v>34960.98</v>
      </c>
      <c r="P21" s="1"/>
    </row>
    <row r="22" spans="1:16" ht="14.25">
      <c r="A22" s="80"/>
      <c r="B22" s="78" t="s">
        <v>45</v>
      </c>
      <c r="C22" s="89">
        <v>5302.099999999999</v>
      </c>
      <c r="D22" s="89">
        <v>5918.099999999999</v>
      </c>
      <c r="E22" s="89">
        <v>5987.89</v>
      </c>
      <c r="F22" s="89">
        <v>4330.88</v>
      </c>
      <c r="G22" s="89">
        <v>2002.63</v>
      </c>
      <c r="H22" s="89">
        <v>1114.29</v>
      </c>
      <c r="I22" s="89">
        <v>1015.5</v>
      </c>
      <c r="J22" s="89">
        <v>1085.5</v>
      </c>
      <c r="K22" s="89">
        <v>1039.84</v>
      </c>
      <c r="L22" s="89">
        <v>3034.44</v>
      </c>
      <c r="M22" s="89">
        <v>4413.6</v>
      </c>
      <c r="N22" s="89">
        <v>5194.08</v>
      </c>
      <c r="O22" s="90">
        <f t="shared" si="1"/>
        <v>40438.850000000006</v>
      </c>
      <c r="P22" s="1"/>
    </row>
    <row r="23" spans="1:16" ht="14.25">
      <c r="A23" s="81"/>
      <c r="B23" s="77" t="s">
        <v>4</v>
      </c>
      <c r="C23" s="89">
        <f>SUM(C20:C22)</f>
        <v>13643.630000000001</v>
      </c>
      <c r="D23" s="89">
        <f aca="true" t="shared" si="4" ref="D23:O23">SUM(D20:D22)</f>
        <v>14325.8</v>
      </c>
      <c r="E23" s="89">
        <f t="shared" si="4"/>
        <v>14141.02</v>
      </c>
      <c r="F23" s="89">
        <f t="shared" si="4"/>
        <v>10026.11</v>
      </c>
      <c r="G23" s="89">
        <f t="shared" si="4"/>
        <v>5644.42</v>
      </c>
      <c r="H23" s="89">
        <f t="shared" si="4"/>
        <v>2972.3</v>
      </c>
      <c r="I23" s="89">
        <f t="shared" si="4"/>
        <v>2705.9500000000003</v>
      </c>
      <c r="J23" s="89">
        <f t="shared" si="4"/>
        <v>2870.74</v>
      </c>
      <c r="K23" s="89">
        <f t="shared" si="4"/>
        <v>2860.06</v>
      </c>
      <c r="L23" s="89">
        <f t="shared" si="4"/>
        <v>5968.35</v>
      </c>
      <c r="M23" s="89">
        <f t="shared" si="4"/>
        <v>8764.15</v>
      </c>
      <c r="N23" s="89">
        <f t="shared" si="4"/>
        <v>9546.8</v>
      </c>
      <c r="O23" s="90">
        <f t="shared" si="4"/>
        <v>93469.33000000002</v>
      </c>
      <c r="P23" s="1"/>
    </row>
    <row r="24" spans="1:16" ht="14.25">
      <c r="A24" s="79" t="s">
        <v>7</v>
      </c>
      <c r="B24" s="78" t="s">
        <v>41</v>
      </c>
      <c r="C24" s="89">
        <v>27263167.809999995</v>
      </c>
      <c r="D24" s="89">
        <v>25312501.450000007</v>
      </c>
      <c r="E24" s="89">
        <v>27807428.569999997</v>
      </c>
      <c r="F24" s="89">
        <v>19344805.459999997</v>
      </c>
      <c r="G24" s="89">
        <v>16388720.179999998</v>
      </c>
      <c r="H24" s="89">
        <v>15676333.87</v>
      </c>
      <c r="I24" s="89">
        <v>17420331.93</v>
      </c>
      <c r="J24" s="89">
        <v>18863188.5</v>
      </c>
      <c r="K24" s="89">
        <v>17990423.979999997</v>
      </c>
      <c r="L24" s="89">
        <v>17229920.31</v>
      </c>
      <c r="M24" s="89">
        <v>20213381.38</v>
      </c>
      <c r="N24" s="89">
        <v>26547725.260000005</v>
      </c>
      <c r="O24" s="90">
        <f t="shared" si="1"/>
        <v>250057928.7</v>
      </c>
      <c r="P24" s="1"/>
    </row>
    <row r="25" spans="1:16" ht="14.25">
      <c r="A25" s="80"/>
      <c r="B25" s="78" t="s">
        <v>42</v>
      </c>
      <c r="C25" s="89">
        <v>19449889.39</v>
      </c>
      <c r="D25" s="89">
        <v>18658939.57</v>
      </c>
      <c r="E25" s="89">
        <v>19611119.97</v>
      </c>
      <c r="F25" s="89">
        <v>17781398.290000003</v>
      </c>
      <c r="G25" s="89">
        <v>17466214.81</v>
      </c>
      <c r="H25" s="89">
        <v>18317194.169999998</v>
      </c>
      <c r="I25" s="89">
        <v>19502527.22</v>
      </c>
      <c r="J25" s="89">
        <v>20202133.04</v>
      </c>
      <c r="K25" s="89">
        <v>19867203.089999996</v>
      </c>
      <c r="L25" s="89">
        <v>18535751.52</v>
      </c>
      <c r="M25" s="89">
        <v>18051688.020000003</v>
      </c>
      <c r="N25" s="89">
        <v>20274184.610000003</v>
      </c>
      <c r="O25" s="90">
        <f t="shared" si="1"/>
        <v>227718243.70000005</v>
      </c>
      <c r="P25" s="1"/>
    </row>
    <row r="26" spans="1:16" ht="14.25">
      <c r="A26" s="80"/>
      <c r="B26" s="78" t="s">
        <v>43</v>
      </c>
      <c r="C26" s="89">
        <v>5111276.890000001</v>
      </c>
      <c r="D26" s="89">
        <v>5006758.199999999</v>
      </c>
      <c r="E26" s="89">
        <v>4813373.170000002</v>
      </c>
      <c r="F26" s="89">
        <v>5080110.29</v>
      </c>
      <c r="G26" s="89">
        <v>5038048.140000001</v>
      </c>
      <c r="H26" s="89">
        <v>5840462.6899999995</v>
      </c>
      <c r="I26" s="89">
        <v>5932801.110000001</v>
      </c>
      <c r="J26" s="89">
        <v>6042599.8</v>
      </c>
      <c r="K26" s="89">
        <v>6046279.819999998</v>
      </c>
      <c r="L26" s="89">
        <v>5288381.099999999</v>
      </c>
      <c r="M26" s="89">
        <v>5181940.4799999995</v>
      </c>
      <c r="N26" s="89">
        <v>4749277.449999999</v>
      </c>
      <c r="O26" s="90">
        <f t="shared" si="1"/>
        <v>64131309.14</v>
      </c>
      <c r="P26" s="1"/>
    </row>
    <row r="27" spans="1:16" ht="14.25">
      <c r="A27" s="80"/>
      <c r="B27" s="78" t="s">
        <v>44</v>
      </c>
      <c r="C27" s="89">
        <v>401154.47000000003</v>
      </c>
      <c r="D27" s="89">
        <v>415220.33999999997</v>
      </c>
      <c r="E27" s="89">
        <v>411792.99</v>
      </c>
      <c r="F27" s="89">
        <v>396035.97</v>
      </c>
      <c r="G27" s="89">
        <v>415311.36000000004</v>
      </c>
      <c r="H27" s="89">
        <v>415973.1200000001</v>
      </c>
      <c r="I27" s="89">
        <v>413843.06</v>
      </c>
      <c r="J27" s="89">
        <v>391737.57999999996</v>
      </c>
      <c r="K27" s="89">
        <v>387912.83999999997</v>
      </c>
      <c r="L27" s="89">
        <v>388075.01999999996</v>
      </c>
      <c r="M27" s="89">
        <v>384881.25</v>
      </c>
      <c r="N27" s="89">
        <v>356024.94000000006</v>
      </c>
      <c r="O27" s="90">
        <f t="shared" si="1"/>
        <v>4777962.94</v>
      </c>
      <c r="P27" s="1"/>
    </row>
    <row r="28" spans="1:16" ht="14.25">
      <c r="A28" s="80"/>
      <c r="B28" s="78" t="s">
        <v>45</v>
      </c>
      <c r="C28" s="89">
        <v>116288.92000000001</v>
      </c>
      <c r="D28" s="89">
        <v>112828.11999999998</v>
      </c>
      <c r="E28" s="89">
        <v>117583.22</v>
      </c>
      <c r="F28" s="89">
        <v>97865.44999999998</v>
      </c>
      <c r="G28" s="89">
        <v>93337.70000000003</v>
      </c>
      <c r="H28" s="89">
        <v>90589.3</v>
      </c>
      <c r="I28" s="89">
        <v>94629.87000000002</v>
      </c>
      <c r="J28" s="89">
        <v>93562.14</v>
      </c>
      <c r="K28" s="89">
        <v>101400.31</v>
      </c>
      <c r="L28" s="89">
        <v>94369.1</v>
      </c>
      <c r="M28" s="89">
        <v>96222.31999999999</v>
      </c>
      <c r="N28" s="89">
        <v>118965.34000000001</v>
      </c>
      <c r="O28" s="90">
        <f t="shared" si="1"/>
        <v>1227641.79</v>
      </c>
      <c r="P28" s="1"/>
    </row>
    <row r="29" spans="1:16" ht="14.25">
      <c r="A29" s="80"/>
      <c r="B29" s="78" t="s">
        <v>46</v>
      </c>
      <c r="C29" s="89">
        <v>15461</v>
      </c>
      <c r="D29" s="89">
        <v>8835</v>
      </c>
      <c r="E29" s="89">
        <v>13790</v>
      </c>
      <c r="F29" s="89">
        <v>15952</v>
      </c>
      <c r="G29" s="89">
        <v>17969</v>
      </c>
      <c r="H29" s="89">
        <v>14037</v>
      </c>
      <c r="I29" s="89">
        <v>19311</v>
      </c>
      <c r="J29" s="89">
        <v>19103</v>
      </c>
      <c r="K29" s="89">
        <v>20897</v>
      </c>
      <c r="L29" s="89">
        <v>21692</v>
      </c>
      <c r="M29" s="89">
        <v>20144</v>
      </c>
      <c r="N29" s="89">
        <v>27013</v>
      </c>
      <c r="O29" s="90">
        <f t="shared" si="1"/>
        <v>214204</v>
      </c>
      <c r="P29" s="1"/>
    </row>
    <row r="30" spans="1:16" ht="14.25">
      <c r="A30" s="80"/>
      <c r="B30" s="78" t="s">
        <v>40</v>
      </c>
      <c r="C30" s="89">
        <v>70579.77</v>
      </c>
      <c r="D30" s="89">
        <v>28866.200000000004</v>
      </c>
      <c r="E30" s="89">
        <v>89748.83</v>
      </c>
      <c r="F30" s="89">
        <v>128689</v>
      </c>
      <c r="G30" s="89">
        <v>124321.72</v>
      </c>
      <c r="H30" s="89">
        <v>124381.89</v>
      </c>
      <c r="I30" s="89">
        <v>124507.29</v>
      </c>
      <c r="J30" s="89">
        <v>124507.29000000001</v>
      </c>
      <c r="K30" s="89">
        <v>109150.84</v>
      </c>
      <c r="L30" s="89">
        <v>159878.17</v>
      </c>
      <c r="M30" s="89">
        <v>106286.39000000001</v>
      </c>
      <c r="N30" s="89">
        <v>251379.24</v>
      </c>
      <c r="O30" s="90">
        <f t="shared" si="1"/>
        <v>1442296.6300000001</v>
      </c>
      <c r="P30" s="1"/>
    </row>
    <row r="31" spans="1:16" ht="14.25">
      <c r="A31" s="80"/>
      <c r="B31" s="78">
        <v>454100</v>
      </c>
      <c r="C31" s="89">
        <v>0</v>
      </c>
      <c r="D31" s="89">
        <v>0</v>
      </c>
      <c r="E31" s="89">
        <v>3070.33</v>
      </c>
      <c r="F31" s="89">
        <v>3070.33</v>
      </c>
      <c r="G31" s="89">
        <v>3070.33</v>
      </c>
      <c r="H31" s="89">
        <v>3070.33</v>
      </c>
      <c r="I31" s="89">
        <v>3070.33</v>
      </c>
      <c r="J31" s="89">
        <v>3070.33</v>
      </c>
      <c r="K31" s="89">
        <v>-16950.72</v>
      </c>
      <c r="L31" s="89">
        <v>36.84</v>
      </c>
      <c r="M31" s="89">
        <v>36.84</v>
      </c>
      <c r="N31" s="89">
        <v>3670.84</v>
      </c>
      <c r="O31" s="90">
        <f t="shared" si="1"/>
        <v>5215.779999999999</v>
      </c>
      <c r="P31" s="1"/>
    </row>
    <row r="32" spans="1:16" ht="14.25">
      <c r="A32" s="80"/>
      <c r="B32" s="78" t="s">
        <v>47</v>
      </c>
      <c r="C32" s="89">
        <v>333447</v>
      </c>
      <c r="D32" s="89">
        <v>-572486</v>
      </c>
      <c r="E32" s="89">
        <v>-1736641</v>
      </c>
      <c r="F32" s="89">
        <v>-2205896</v>
      </c>
      <c r="G32" s="89">
        <v>-252378</v>
      </c>
      <c r="H32" s="89">
        <v>155650</v>
      </c>
      <c r="I32" s="89">
        <v>1136362</v>
      </c>
      <c r="J32" s="89">
        <v>721827</v>
      </c>
      <c r="K32" s="89">
        <v>-2047890</v>
      </c>
      <c r="L32" s="89">
        <v>1904961</v>
      </c>
      <c r="M32" s="89">
        <v>2271222</v>
      </c>
      <c r="N32" s="89">
        <v>181297</v>
      </c>
      <c r="O32" s="90">
        <f t="shared" si="1"/>
        <v>-110525</v>
      </c>
      <c r="P32" s="1"/>
    </row>
    <row r="33" spans="1:16" ht="14.25">
      <c r="A33" s="80"/>
      <c r="B33" s="78" t="s">
        <v>48</v>
      </c>
      <c r="C33" s="89">
        <v>-497434</v>
      </c>
      <c r="D33" s="89">
        <v>117727</v>
      </c>
      <c r="E33" s="89">
        <v>-1201783</v>
      </c>
      <c r="F33" s="89">
        <v>-243181</v>
      </c>
      <c r="G33" s="89">
        <v>788836</v>
      </c>
      <c r="H33" s="89">
        <v>928431</v>
      </c>
      <c r="I33" s="89">
        <v>870604</v>
      </c>
      <c r="J33" s="89">
        <v>169422</v>
      </c>
      <c r="K33" s="89">
        <v>-1623669</v>
      </c>
      <c r="L33" s="89">
        <v>1400135</v>
      </c>
      <c r="M33" s="89">
        <v>344016</v>
      </c>
      <c r="N33" s="89">
        <v>-1069172</v>
      </c>
      <c r="O33" s="90">
        <f t="shared" si="1"/>
        <v>-16068</v>
      </c>
      <c r="P33" s="1"/>
    </row>
    <row r="34" spans="1:16" ht="14.25">
      <c r="A34" s="80"/>
      <c r="B34" s="78" t="s">
        <v>49</v>
      </c>
      <c r="C34" s="89">
        <v>-46416</v>
      </c>
      <c r="D34" s="89">
        <v>-263246</v>
      </c>
      <c r="E34" s="89">
        <v>201257</v>
      </c>
      <c r="F34" s="89">
        <v>-530170</v>
      </c>
      <c r="G34" s="89">
        <v>593304</v>
      </c>
      <c r="H34" s="89">
        <v>310802</v>
      </c>
      <c r="I34" s="89">
        <v>86723</v>
      </c>
      <c r="J34" s="89">
        <v>-179813</v>
      </c>
      <c r="K34" s="89">
        <v>-151519</v>
      </c>
      <c r="L34" s="89">
        <v>185744</v>
      </c>
      <c r="M34" s="89">
        <v>-295505</v>
      </c>
      <c r="N34" s="89">
        <v>79231</v>
      </c>
      <c r="O34" s="90">
        <f t="shared" si="1"/>
        <v>-9608</v>
      </c>
      <c r="P34" s="1"/>
    </row>
    <row r="35" spans="1:16" ht="14.25">
      <c r="A35" s="81"/>
      <c r="B35" s="77" t="s">
        <v>4</v>
      </c>
      <c r="C35" s="89">
        <f aca="true" t="shared" si="5" ref="C35:O35">SUM(C24:C34)</f>
        <v>52217415.25</v>
      </c>
      <c r="D35" s="89">
        <f t="shared" si="5"/>
        <v>48825943.88000002</v>
      </c>
      <c r="E35" s="89">
        <f t="shared" si="5"/>
        <v>50130740.07999999</v>
      </c>
      <c r="F35" s="89">
        <f t="shared" si="5"/>
        <v>39868679.79</v>
      </c>
      <c r="G35" s="89">
        <f t="shared" si="5"/>
        <v>40676755.239999995</v>
      </c>
      <c r="H35" s="89">
        <f t="shared" si="5"/>
        <v>41876925.36999999</v>
      </c>
      <c r="I35" s="89">
        <f t="shared" si="5"/>
        <v>45604710.809999995</v>
      </c>
      <c r="J35" s="89">
        <f t="shared" si="5"/>
        <v>46451337.67999999</v>
      </c>
      <c r="K35" s="89">
        <f t="shared" si="5"/>
        <v>40683239.160000004</v>
      </c>
      <c r="L35" s="89">
        <f t="shared" si="5"/>
        <v>45208944.06000001</v>
      </c>
      <c r="M35" s="89">
        <f t="shared" si="5"/>
        <v>46374313.68000001</v>
      </c>
      <c r="N35" s="89">
        <f t="shared" si="5"/>
        <v>51519596.680000015</v>
      </c>
      <c r="O35" s="90">
        <f t="shared" si="5"/>
        <v>549438601.6800001</v>
      </c>
      <c r="P35" s="1"/>
    </row>
    <row r="36" spans="3:16" ht="12.75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"/>
    </row>
    <row r="37" spans="3:16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>
        <f>SUM(O35,O23,O19,O7)</f>
        <v>813655236.6200001</v>
      </c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26" zoomScalePageLayoutView="0" workbookViewId="0" topLeftCell="A1">
      <pane xSplit="2" ySplit="4" topLeftCell="C5" activePane="bottomRight" state="split"/>
      <selection pane="topLeft" activeCell="A1" sqref="A1"/>
      <selection pane="topRight" activeCell="C1" sqref="C1"/>
      <selection pane="bottomLeft" activeCell="A5" sqref="A5"/>
      <selection pane="bottomRight" activeCell="G34" sqref="G34"/>
      <selection pane="topLeft" activeCell="O14" sqref="O14"/>
    </sheetView>
  </sheetViews>
  <sheetFormatPr defaultColWidth="9.140625" defaultRowHeight="12.75"/>
  <cols>
    <col min="1" max="1" width="13.421875" style="0" bestFit="1" customWidth="1"/>
    <col min="2" max="2" width="10.421875" style="0" bestFit="1" customWidth="1"/>
    <col min="3" max="3" width="18.140625" style="0" bestFit="1" customWidth="1"/>
    <col min="4" max="4" width="11.00390625" style="0" bestFit="1" customWidth="1"/>
    <col min="5" max="5" width="10.57421875" style="0" bestFit="1" customWidth="1"/>
    <col min="6" max="7" width="10.140625" style="0" bestFit="1" customWidth="1"/>
    <col min="8" max="11" width="9.57421875" style="0" bestFit="1" customWidth="1"/>
    <col min="12" max="14" width="10.57421875" style="0" bestFit="1" customWidth="1"/>
    <col min="15" max="15" width="11.7109375" style="0" bestFit="1" customWidth="1"/>
  </cols>
  <sheetData>
    <row r="1" spans="1:4" ht="14.25">
      <c r="A1" s="78" t="s">
        <v>0</v>
      </c>
      <c r="B1" s="78" t="s">
        <v>24</v>
      </c>
      <c r="C1" s="78" t="s">
        <v>25</v>
      </c>
      <c r="D1" s="78" t="s">
        <v>57</v>
      </c>
    </row>
    <row r="3" spans="1:15" ht="14.25">
      <c r="A3" s="68"/>
      <c r="B3" s="70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4.25">
      <c r="A4" s="71"/>
      <c r="B4" s="73"/>
      <c r="C4" s="78">
        <f>Input!C5</f>
        <v>201901</v>
      </c>
      <c r="D4" s="78">
        <f>C4+1</f>
        <v>201902</v>
      </c>
      <c r="E4" s="78">
        <f aca="true" t="shared" si="0" ref="E4:N4">D4+1</f>
        <v>201903</v>
      </c>
      <c r="F4" s="78">
        <f t="shared" si="0"/>
        <v>201904</v>
      </c>
      <c r="G4" s="78">
        <f t="shared" si="0"/>
        <v>201905</v>
      </c>
      <c r="H4" s="78">
        <f t="shared" si="0"/>
        <v>201906</v>
      </c>
      <c r="I4" s="78">
        <f t="shared" si="0"/>
        <v>201907</v>
      </c>
      <c r="J4" s="78">
        <f t="shared" si="0"/>
        <v>201908</v>
      </c>
      <c r="K4" s="78">
        <f t="shared" si="0"/>
        <v>201909</v>
      </c>
      <c r="L4" s="78">
        <f t="shared" si="0"/>
        <v>201910</v>
      </c>
      <c r="M4" s="78">
        <f t="shared" si="0"/>
        <v>201911</v>
      </c>
      <c r="N4" s="78">
        <f t="shared" si="0"/>
        <v>201912</v>
      </c>
      <c r="O4" s="77" t="s">
        <v>4</v>
      </c>
    </row>
    <row r="5" spans="1:15" ht="14.25">
      <c r="A5" s="79" t="s">
        <v>9</v>
      </c>
      <c r="B5" s="78" t="s">
        <v>58</v>
      </c>
      <c r="C5" s="89">
        <v>6005330.349999999</v>
      </c>
      <c r="D5" s="89">
        <v>6474463.34</v>
      </c>
      <c r="E5" s="89">
        <v>6574812.319999999</v>
      </c>
      <c r="F5" s="89">
        <v>3767171.0700000003</v>
      </c>
      <c r="G5" s="89">
        <v>2398680.96</v>
      </c>
      <c r="H5" s="89">
        <v>1514294.7900000003</v>
      </c>
      <c r="I5" s="89">
        <v>1268998.5399999998</v>
      </c>
      <c r="J5" s="89">
        <v>1136623.06</v>
      </c>
      <c r="K5" s="89">
        <v>1247976.34</v>
      </c>
      <c r="L5" s="89">
        <v>2730306.05</v>
      </c>
      <c r="M5" s="89">
        <v>4602140.700000001</v>
      </c>
      <c r="N5" s="89">
        <v>6351325.909999998</v>
      </c>
      <c r="O5" s="90">
        <f>SUM(C5:N5)</f>
        <v>44072123.42999999</v>
      </c>
    </row>
    <row r="6" spans="1:15" ht="14.25">
      <c r="A6" s="80"/>
      <c r="B6" s="78" t="s">
        <v>59</v>
      </c>
      <c r="C6" s="89">
        <v>2474409.3600000003</v>
      </c>
      <c r="D6" s="89">
        <v>2652092.9299999997</v>
      </c>
      <c r="E6" s="89">
        <v>2762833.37</v>
      </c>
      <c r="F6" s="89">
        <v>1546656</v>
      </c>
      <c r="G6" s="89">
        <v>977436.2</v>
      </c>
      <c r="H6" s="89">
        <v>639867</v>
      </c>
      <c r="I6" s="89">
        <v>614206.28</v>
      </c>
      <c r="J6" s="89">
        <v>586608.1</v>
      </c>
      <c r="K6" s="89">
        <v>595299.45</v>
      </c>
      <c r="L6" s="89">
        <v>1060687.0599999998</v>
      </c>
      <c r="M6" s="89">
        <v>1818822.7300000002</v>
      </c>
      <c r="N6" s="89">
        <v>2528749.42</v>
      </c>
      <c r="O6" s="90">
        <f aca="true" t="shared" si="1" ref="O6:O40">SUM(C6:N6)</f>
        <v>18257667.9</v>
      </c>
    </row>
    <row r="7" spans="1:15" ht="14.25">
      <c r="A7" s="80"/>
      <c r="B7" s="78" t="s">
        <v>61</v>
      </c>
      <c r="C7" s="89">
        <v>113784.8</v>
      </c>
      <c r="D7" s="89">
        <v>119698.94</v>
      </c>
      <c r="E7" s="89">
        <v>120194.18999999997</v>
      </c>
      <c r="F7" s="89">
        <v>93180.77999999997</v>
      </c>
      <c r="G7" s="89">
        <v>61890.37999999999</v>
      </c>
      <c r="H7" s="89">
        <v>60847.619999999995</v>
      </c>
      <c r="I7" s="89">
        <v>63860.04</v>
      </c>
      <c r="J7" s="89">
        <v>69756.93000000001</v>
      </c>
      <c r="K7" s="89">
        <v>56338.840000000004</v>
      </c>
      <c r="L7" s="89">
        <v>94040.13999999998</v>
      </c>
      <c r="M7" s="89">
        <v>108846.37</v>
      </c>
      <c r="N7" s="89">
        <v>130621.51</v>
      </c>
      <c r="O7" s="90">
        <f t="shared" si="1"/>
        <v>1093060.54</v>
      </c>
    </row>
    <row r="8" spans="1:15" ht="14.25">
      <c r="A8" s="80"/>
      <c r="B8" s="78" t="s">
        <v>62</v>
      </c>
      <c r="C8" s="89">
        <v>4023.37</v>
      </c>
      <c r="D8" s="89">
        <v>4161.75</v>
      </c>
      <c r="E8" s="89">
        <v>4769.91</v>
      </c>
      <c r="F8" s="89">
        <v>2525.63</v>
      </c>
      <c r="G8" s="89">
        <v>1648.5</v>
      </c>
      <c r="H8" s="89">
        <v>795.6400000000001</v>
      </c>
      <c r="I8" s="89">
        <v>730.24</v>
      </c>
      <c r="J8" s="89">
        <v>694.0999999999999</v>
      </c>
      <c r="K8" s="89">
        <v>733.41</v>
      </c>
      <c r="L8" s="89">
        <v>1580.28</v>
      </c>
      <c r="M8" s="89">
        <v>3047.02</v>
      </c>
      <c r="N8" s="89">
        <v>4159.19</v>
      </c>
      <c r="O8" s="90">
        <f t="shared" si="1"/>
        <v>28869.039999999997</v>
      </c>
    </row>
    <row r="9" spans="1:15" ht="14.25">
      <c r="A9" s="80"/>
      <c r="B9" s="78" t="s">
        <v>63</v>
      </c>
      <c r="C9" s="89">
        <v>548</v>
      </c>
      <c r="D9" s="89">
        <v>318</v>
      </c>
      <c r="E9" s="89">
        <v>744</v>
      </c>
      <c r="F9" s="89">
        <v>692</v>
      </c>
      <c r="G9" s="89">
        <v>1082</v>
      </c>
      <c r="H9" s="89">
        <v>654</v>
      </c>
      <c r="I9" s="89">
        <v>576</v>
      </c>
      <c r="J9" s="89">
        <v>496</v>
      </c>
      <c r="K9" s="89">
        <v>824</v>
      </c>
      <c r="L9" s="89">
        <v>654</v>
      </c>
      <c r="M9" s="89">
        <v>576</v>
      </c>
      <c r="N9" s="89">
        <v>526</v>
      </c>
      <c r="O9" s="90">
        <f t="shared" si="1"/>
        <v>7690</v>
      </c>
    </row>
    <row r="10" spans="1:15" ht="14.25">
      <c r="A10" s="80"/>
      <c r="B10" s="78" t="s">
        <v>64</v>
      </c>
      <c r="C10" s="89">
        <v>47622.189999999995</v>
      </c>
      <c r="D10" s="89">
        <v>53335.04</v>
      </c>
      <c r="E10" s="89">
        <v>47980.85</v>
      </c>
      <c r="F10" s="89">
        <v>51415.29</v>
      </c>
      <c r="G10" s="89">
        <v>55866.24</v>
      </c>
      <c r="H10" s="89">
        <v>47827.5</v>
      </c>
      <c r="I10" s="89">
        <v>42023.77</v>
      </c>
      <c r="J10" s="89">
        <v>41631.35</v>
      </c>
      <c r="K10" s="89">
        <v>40735.17</v>
      </c>
      <c r="L10" s="89">
        <v>58324.35</v>
      </c>
      <c r="M10" s="89">
        <v>51840.61</v>
      </c>
      <c r="N10" s="89">
        <v>48612.450000000004</v>
      </c>
      <c r="O10" s="90">
        <f t="shared" si="1"/>
        <v>587214.8099999999</v>
      </c>
    </row>
    <row r="11" spans="1:15" ht="14.25">
      <c r="A11" s="80"/>
      <c r="B11" s="78" t="s">
        <v>47</v>
      </c>
      <c r="C11" s="89">
        <v>41147</v>
      </c>
      <c r="D11" s="89">
        <v>297162</v>
      </c>
      <c r="E11" s="89">
        <v>-1894856</v>
      </c>
      <c r="F11" s="89">
        <v>-699854</v>
      </c>
      <c r="G11" s="89">
        <v>-621867</v>
      </c>
      <c r="H11" s="89">
        <v>-99217</v>
      </c>
      <c r="I11" s="89">
        <v>-65293</v>
      </c>
      <c r="J11" s="89">
        <v>44688</v>
      </c>
      <c r="K11" s="89">
        <v>379036</v>
      </c>
      <c r="L11" s="89">
        <v>1490872</v>
      </c>
      <c r="M11" s="89">
        <v>891355</v>
      </c>
      <c r="N11" s="89">
        <v>-400022</v>
      </c>
      <c r="O11" s="90">
        <f t="shared" si="1"/>
        <v>-636849</v>
      </c>
    </row>
    <row r="12" spans="1:15" ht="14.25">
      <c r="A12" s="80"/>
      <c r="B12" s="78" t="s">
        <v>48</v>
      </c>
      <c r="C12" s="89">
        <v>97208</v>
      </c>
      <c r="D12" s="89">
        <v>76126</v>
      </c>
      <c r="E12" s="89">
        <v>-742478</v>
      </c>
      <c r="F12" s="89">
        <v>-287455</v>
      </c>
      <c r="G12" s="89">
        <v>-229791</v>
      </c>
      <c r="H12" s="89">
        <v>-27884</v>
      </c>
      <c r="I12" s="89">
        <v>6875</v>
      </c>
      <c r="J12" s="89">
        <v>38413</v>
      </c>
      <c r="K12" s="89">
        <v>158099</v>
      </c>
      <c r="L12" s="89">
        <v>430147</v>
      </c>
      <c r="M12" s="89">
        <v>325454</v>
      </c>
      <c r="N12" s="89">
        <v>-130954</v>
      </c>
      <c r="O12" s="90">
        <f t="shared" si="1"/>
        <v>-286240</v>
      </c>
    </row>
    <row r="13" spans="1:15" ht="14.25">
      <c r="A13" s="80"/>
      <c r="B13" s="78" t="s">
        <v>65</v>
      </c>
      <c r="C13" s="89">
        <v>4971</v>
      </c>
      <c r="D13" s="89">
        <v>-7248</v>
      </c>
      <c r="E13" s="89">
        <v>2717</v>
      </c>
      <c r="F13" s="89">
        <v>4642</v>
      </c>
      <c r="G13" s="89">
        <v>-8021</v>
      </c>
      <c r="H13" s="89">
        <v>-5626</v>
      </c>
      <c r="I13" s="89">
        <v>-393</v>
      </c>
      <c r="J13" s="89">
        <v>-947</v>
      </c>
      <c r="K13" s="89">
        <v>17346</v>
      </c>
      <c r="L13" s="89">
        <v>-6602</v>
      </c>
      <c r="M13" s="89">
        <v>-3883</v>
      </c>
      <c r="N13" s="89">
        <v>-189</v>
      </c>
      <c r="O13" s="90">
        <f>SUM(C13:N13)</f>
        <v>-3233</v>
      </c>
    </row>
    <row r="14" spans="1:15" ht="15" customHeight="1">
      <c r="A14" s="81"/>
      <c r="B14" s="77" t="s">
        <v>4</v>
      </c>
      <c r="C14" s="89">
        <f aca="true" t="shared" si="2" ref="C14:O14">SUM(C5:C13)</f>
        <v>8789044.069999998</v>
      </c>
      <c r="D14" s="89">
        <f t="shared" si="2"/>
        <v>9670109.999999998</v>
      </c>
      <c r="E14" s="89">
        <f t="shared" si="2"/>
        <v>6876717.639999999</v>
      </c>
      <c r="F14" s="89">
        <f t="shared" si="2"/>
        <v>4478973.7700000005</v>
      </c>
      <c r="G14" s="89">
        <f t="shared" si="2"/>
        <v>2636925.2800000003</v>
      </c>
      <c r="H14" s="89">
        <f t="shared" si="2"/>
        <v>2131559.5500000003</v>
      </c>
      <c r="I14" s="89">
        <f t="shared" si="2"/>
        <v>1931583.8699999999</v>
      </c>
      <c r="J14" s="89">
        <f t="shared" si="2"/>
        <v>1917963.5400000003</v>
      </c>
      <c r="K14" s="89">
        <f t="shared" si="2"/>
        <v>2496388.21</v>
      </c>
      <c r="L14" s="89">
        <f t="shared" si="2"/>
        <v>5860008.879999999</v>
      </c>
      <c r="M14" s="89">
        <f t="shared" si="2"/>
        <v>7798199.430000002</v>
      </c>
      <c r="N14" s="89">
        <f t="shared" si="2"/>
        <v>8532829.479999997</v>
      </c>
      <c r="O14" s="90">
        <f t="shared" si="2"/>
        <v>63120303.71999999</v>
      </c>
    </row>
    <row r="15" spans="1:15" ht="14.25">
      <c r="A15" s="79" t="s">
        <v>16</v>
      </c>
      <c r="B15" s="78" t="s">
        <v>58</v>
      </c>
      <c r="C15" s="89">
        <v>8695295.440000001</v>
      </c>
      <c r="D15" s="89">
        <v>7724974.88</v>
      </c>
      <c r="E15" s="89">
        <v>8280994.919999999</v>
      </c>
      <c r="F15" s="89">
        <v>4967989.77</v>
      </c>
      <c r="G15" s="89">
        <v>3396484.8400000003</v>
      </c>
      <c r="H15" s="89">
        <v>2492561.15</v>
      </c>
      <c r="I15" s="89">
        <v>1940722.0200000003</v>
      </c>
      <c r="J15" s="89">
        <v>1792608.83</v>
      </c>
      <c r="K15" s="89">
        <v>1862856.2300000002</v>
      </c>
      <c r="L15" s="89">
        <v>3290826.6799999997</v>
      </c>
      <c r="M15" s="89">
        <v>5338010</v>
      </c>
      <c r="N15" s="89">
        <v>8477144.15</v>
      </c>
      <c r="O15" s="90">
        <f t="shared" si="1"/>
        <v>58260468.91</v>
      </c>
    </row>
    <row r="16" spans="1:15" ht="14.25">
      <c r="A16" s="80"/>
      <c r="B16" s="78" t="s">
        <v>59</v>
      </c>
      <c r="C16" s="89">
        <v>4328033.93</v>
      </c>
      <c r="D16" s="89">
        <v>3871740.93</v>
      </c>
      <c r="E16" s="89">
        <v>4249030.34</v>
      </c>
      <c r="F16" s="89">
        <v>2558974.0399999996</v>
      </c>
      <c r="G16" s="89">
        <v>1676091.9300000002</v>
      </c>
      <c r="H16" s="89">
        <v>1279211.2600000002</v>
      </c>
      <c r="I16" s="89">
        <v>1030285.38</v>
      </c>
      <c r="J16" s="89">
        <v>952375.0499999998</v>
      </c>
      <c r="K16" s="89">
        <v>1001287.9799999997</v>
      </c>
      <c r="L16" s="89">
        <v>1583293.8599999999</v>
      </c>
      <c r="M16" s="89">
        <v>2581965.9600000004</v>
      </c>
      <c r="N16" s="89">
        <v>4050004.5499999993</v>
      </c>
      <c r="O16" s="90">
        <f t="shared" si="1"/>
        <v>29162295.21</v>
      </c>
    </row>
    <row r="17" spans="1:15" ht="14.25">
      <c r="A17" s="80"/>
      <c r="B17" s="78" t="s">
        <v>60</v>
      </c>
      <c r="C17" s="89">
        <v>88421.65</v>
      </c>
      <c r="D17" s="89">
        <v>86356.37</v>
      </c>
      <c r="E17" s="89">
        <v>90332.19999999998</v>
      </c>
      <c r="F17" s="89">
        <v>66653.71</v>
      </c>
      <c r="G17" s="89">
        <v>68287.29999999999</v>
      </c>
      <c r="H17" s="89">
        <v>56178.08</v>
      </c>
      <c r="I17" s="89">
        <v>47692.46000000001</v>
      </c>
      <c r="J17" s="89">
        <v>38520.92</v>
      </c>
      <c r="K17" s="89">
        <v>38985.12</v>
      </c>
      <c r="L17" s="89">
        <v>51955.58</v>
      </c>
      <c r="M17" s="89">
        <v>74895.61</v>
      </c>
      <c r="N17" s="89">
        <v>94845.64</v>
      </c>
      <c r="O17" s="90">
        <f t="shared" si="1"/>
        <v>803124.64</v>
      </c>
    </row>
    <row r="18" spans="1:15" ht="14.25">
      <c r="A18" s="80"/>
      <c r="B18" s="78" t="s">
        <v>61</v>
      </c>
      <c r="C18" s="89">
        <v>19247.93</v>
      </c>
      <c r="D18" s="89">
        <v>21537.530000000002</v>
      </c>
      <c r="E18" s="89">
        <v>21534.280000000002</v>
      </c>
      <c r="F18" s="89">
        <v>17159</v>
      </c>
      <c r="G18" s="89">
        <v>35155.98999999999</v>
      </c>
      <c r="H18" s="89">
        <v>43735.1</v>
      </c>
      <c r="I18" s="89">
        <v>29191.85</v>
      </c>
      <c r="J18" s="89">
        <v>23726.509999999995</v>
      </c>
      <c r="K18" s="89">
        <v>45669.36</v>
      </c>
      <c r="L18" s="89">
        <v>28723.649999999998</v>
      </c>
      <c r="M18" s="89">
        <v>38423.42999999999</v>
      </c>
      <c r="N18" s="89">
        <v>24064.910000000003</v>
      </c>
      <c r="O18" s="90">
        <f t="shared" si="1"/>
        <v>348169.54000000004</v>
      </c>
    </row>
    <row r="19" spans="1:15" ht="14.25">
      <c r="A19" s="80"/>
      <c r="B19" s="78" t="s">
        <v>66</v>
      </c>
      <c r="C19" s="89">
        <v>47375.46</v>
      </c>
      <c r="D19" s="89">
        <v>52448.36</v>
      </c>
      <c r="E19" s="89">
        <v>120719.03</v>
      </c>
      <c r="F19" s="89">
        <v>82142.88</v>
      </c>
      <c r="G19" s="89">
        <v>91860.13</v>
      </c>
      <c r="H19" s="89">
        <v>76026.97</v>
      </c>
      <c r="I19" s="89">
        <v>68487.43000000001</v>
      </c>
      <c r="J19" s="89">
        <v>62218.83</v>
      </c>
      <c r="K19" s="89">
        <v>80346.84000000001</v>
      </c>
      <c r="L19" s="89">
        <v>68028.83</v>
      </c>
      <c r="M19" s="89">
        <v>88912.74</v>
      </c>
      <c r="N19" s="89">
        <v>113801.03000000001</v>
      </c>
      <c r="O19" s="90">
        <f t="shared" si="1"/>
        <v>952368.5299999999</v>
      </c>
    </row>
    <row r="20" spans="1:15" ht="14.25">
      <c r="A20" s="80"/>
      <c r="B20" s="78" t="s">
        <v>62</v>
      </c>
      <c r="C20" s="89">
        <v>2853.83</v>
      </c>
      <c r="D20" s="89">
        <v>2261.13</v>
      </c>
      <c r="E20" s="89">
        <v>2508.7</v>
      </c>
      <c r="F20" s="89">
        <v>1278.66</v>
      </c>
      <c r="G20" s="89">
        <v>612.14</v>
      </c>
      <c r="H20" s="89">
        <v>573.47</v>
      </c>
      <c r="I20" s="89">
        <v>395.35</v>
      </c>
      <c r="J20" s="89">
        <v>384.79</v>
      </c>
      <c r="K20" s="89">
        <v>379.78999999999996</v>
      </c>
      <c r="L20" s="89">
        <v>443.15</v>
      </c>
      <c r="M20" s="89">
        <v>957.2400000000001</v>
      </c>
      <c r="N20" s="89">
        <v>1930.7800000000002</v>
      </c>
      <c r="O20" s="90">
        <f t="shared" si="1"/>
        <v>14579.03</v>
      </c>
    </row>
    <row r="21" spans="1:15" ht="14.25">
      <c r="A21" s="80"/>
      <c r="B21" s="78" t="s">
        <v>63</v>
      </c>
      <c r="C21" s="89">
        <v>8880</v>
      </c>
      <c r="D21" s="89">
        <v>8285</v>
      </c>
      <c r="E21" s="89">
        <v>9690</v>
      </c>
      <c r="F21" s="89">
        <v>9160</v>
      </c>
      <c r="G21" s="89">
        <v>9395</v>
      </c>
      <c r="H21" s="89">
        <v>5905</v>
      </c>
      <c r="I21" s="89">
        <v>5631.9</v>
      </c>
      <c r="J21" s="89">
        <v>5045</v>
      </c>
      <c r="K21" s="89">
        <v>7250</v>
      </c>
      <c r="L21" s="89">
        <v>10081.7</v>
      </c>
      <c r="M21" s="89">
        <v>5584.91</v>
      </c>
      <c r="N21" s="89">
        <v>6990</v>
      </c>
      <c r="O21" s="90">
        <f t="shared" si="1"/>
        <v>91898.51</v>
      </c>
    </row>
    <row r="22" spans="1:15" ht="14.25">
      <c r="A22" s="80"/>
      <c r="B22" s="78" t="s">
        <v>64</v>
      </c>
      <c r="C22" s="89">
        <v>296136.85</v>
      </c>
      <c r="D22" s="89">
        <v>307469.15</v>
      </c>
      <c r="E22" s="89">
        <v>270261.96</v>
      </c>
      <c r="F22" s="89">
        <v>249346.28999999998</v>
      </c>
      <c r="G22" s="89">
        <v>251035.52999999997</v>
      </c>
      <c r="H22" s="89">
        <v>232936.38999999998</v>
      </c>
      <c r="I22" s="89">
        <v>210970.75</v>
      </c>
      <c r="J22" s="89">
        <v>202156.06</v>
      </c>
      <c r="K22" s="89">
        <v>227771.04</v>
      </c>
      <c r="L22" s="89">
        <v>208205.4</v>
      </c>
      <c r="M22" s="89">
        <v>250099.72</v>
      </c>
      <c r="N22" s="89">
        <v>244862.23</v>
      </c>
      <c r="O22" s="90">
        <f t="shared" si="1"/>
        <v>2951251.37</v>
      </c>
    </row>
    <row r="23" spans="1:15" ht="14.25">
      <c r="A23" s="80"/>
      <c r="B23" s="78" t="s">
        <v>47</v>
      </c>
      <c r="C23" s="89">
        <v>-1475417</v>
      </c>
      <c r="D23" s="89">
        <v>1140645</v>
      </c>
      <c r="E23" s="89">
        <v>-1900464</v>
      </c>
      <c r="F23" s="89">
        <v>-950454</v>
      </c>
      <c r="G23" s="89">
        <v>-783277</v>
      </c>
      <c r="H23" s="89">
        <v>-591972</v>
      </c>
      <c r="I23" s="89">
        <v>767143</v>
      </c>
      <c r="J23" s="89">
        <v>101145</v>
      </c>
      <c r="K23" s="89">
        <v>209163</v>
      </c>
      <c r="L23" s="89">
        <v>1634436</v>
      </c>
      <c r="M23" s="89">
        <v>1159418</v>
      </c>
      <c r="N23" s="89">
        <v>303536</v>
      </c>
      <c r="O23" s="90">
        <f t="shared" si="1"/>
        <v>-386098</v>
      </c>
    </row>
    <row r="24" spans="1:15" ht="14.25">
      <c r="A24" s="80"/>
      <c r="B24" s="78" t="s">
        <v>48</v>
      </c>
      <c r="C24" s="89">
        <v>-776130</v>
      </c>
      <c r="D24" s="89">
        <v>667967</v>
      </c>
      <c r="E24" s="89">
        <v>-1001008</v>
      </c>
      <c r="F24" s="89">
        <v>-505064</v>
      </c>
      <c r="G24" s="89">
        <v>-335762</v>
      </c>
      <c r="H24" s="89">
        <v>-248585</v>
      </c>
      <c r="I24" s="89">
        <v>373986</v>
      </c>
      <c r="J24" s="89">
        <v>83659</v>
      </c>
      <c r="K24" s="89">
        <v>160072</v>
      </c>
      <c r="L24" s="89">
        <v>756314</v>
      </c>
      <c r="M24" s="89">
        <v>548245</v>
      </c>
      <c r="N24" s="89">
        <v>111398</v>
      </c>
      <c r="O24" s="90">
        <f t="shared" si="1"/>
        <v>-164908</v>
      </c>
    </row>
    <row r="25" spans="1:15" ht="14.25">
      <c r="A25" s="80"/>
      <c r="B25" s="78" t="s">
        <v>68</v>
      </c>
      <c r="C25" s="89">
        <v>-27673</v>
      </c>
      <c r="D25" s="89">
        <v>24309</v>
      </c>
      <c r="E25" s="89">
        <v>-36891</v>
      </c>
      <c r="F25" s="89">
        <v>-8010</v>
      </c>
      <c r="G25" s="89">
        <v>-1994</v>
      </c>
      <c r="H25" s="89">
        <v>-8614</v>
      </c>
      <c r="I25" s="89">
        <v>16810</v>
      </c>
      <c r="J25" s="89">
        <v>1403</v>
      </c>
      <c r="K25" s="89">
        <v>7205</v>
      </c>
      <c r="L25" s="89">
        <v>21186</v>
      </c>
      <c r="M25" s="89">
        <v>7772</v>
      </c>
      <c r="N25" s="89">
        <v>-16863</v>
      </c>
      <c r="O25" s="90">
        <f t="shared" si="1"/>
        <v>-21360</v>
      </c>
    </row>
    <row r="26" spans="1:15" ht="14.25">
      <c r="A26" s="80"/>
      <c r="B26" s="78">
        <v>499400</v>
      </c>
      <c r="C26" s="89">
        <v>2738</v>
      </c>
      <c r="D26" s="89">
        <v>16842</v>
      </c>
      <c r="E26" s="89">
        <v>-4523</v>
      </c>
      <c r="F26" s="89">
        <v>-12675</v>
      </c>
      <c r="G26" s="89">
        <v>-800</v>
      </c>
      <c r="H26" s="89">
        <v>-11573</v>
      </c>
      <c r="I26" s="89">
        <v>24710</v>
      </c>
      <c r="J26" s="89">
        <v>6390</v>
      </c>
      <c r="K26" s="89">
        <v>25814</v>
      </c>
      <c r="L26" s="89">
        <v>4007</v>
      </c>
      <c r="M26" s="89">
        <v>4291</v>
      </c>
      <c r="N26" s="89">
        <v>-20644</v>
      </c>
      <c r="O26" s="90">
        <f t="shared" si="1"/>
        <v>34577</v>
      </c>
    </row>
    <row r="27" spans="1:15" ht="14.25">
      <c r="A27" s="80"/>
      <c r="B27" s="78" t="s">
        <v>65</v>
      </c>
      <c r="C27" s="89">
        <v>26736</v>
      </c>
      <c r="D27" s="89">
        <v>-22750</v>
      </c>
      <c r="E27" s="89">
        <v>-9627</v>
      </c>
      <c r="F27" s="89">
        <v>257</v>
      </c>
      <c r="G27" s="89">
        <v>-7548</v>
      </c>
      <c r="H27" s="89">
        <v>-9589</v>
      </c>
      <c r="I27" s="89">
        <v>-4009</v>
      </c>
      <c r="J27" s="89">
        <v>5519</v>
      </c>
      <c r="K27" s="89">
        <v>-2792</v>
      </c>
      <c r="L27" s="89">
        <v>18697</v>
      </c>
      <c r="M27" s="89">
        <v>-5006</v>
      </c>
      <c r="N27" s="89">
        <v>-4317</v>
      </c>
      <c r="O27" s="90">
        <f t="shared" si="1"/>
        <v>-14429</v>
      </c>
    </row>
    <row r="28" spans="1:15" ht="14.25">
      <c r="A28" s="81"/>
      <c r="B28" s="77" t="s">
        <v>4</v>
      </c>
      <c r="C28" s="89">
        <f aca="true" t="shared" si="3" ref="C28:O28">SUM(C15:C27)</f>
        <v>11236499.090000002</v>
      </c>
      <c r="D28" s="89">
        <f t="shared" si="3"/>
        <v>13902086.35</v>
      </c>
      <c r="E28" s="89">
        <f t="shared" si="3"/>
        <v>10092558.429999996</v>
      </c>
      <c r="F28" s="89">
        <f t="shared" si="3"/>
        <v>6476758.349999999</v>
      </c>
      <c r="G28" s="89">
        <f t="shared" si="3"/>
        <v>4399541.86</v>
      </c>
      <c r="H28" s="89">
        <f t="shared" si="3"/>
        <v>3316794.420000001</v>
      </c>
      <c r="I28" s="89">
        <f t="shared" si="3"/>
        <v>4512017.140000001</v>
      </c>
      <c r="J28" s="89">
        <f t="shared" si="3"/>
        <v>3275151.9899999998</v>
      </c>
      <c r="K28" s="89">
        <f t="shared" si="3"/>
        <v>3664008.36</v>
      </c>
      <c r="L28" s="89">
        <f t="shared" si="3"/>
        <v>7676198.850000001</v>
      </c>
      <c r="M28" s="89">
        <f t="shared" si="3"/>
        <v>10093569.610000001</v>
      </c>
      <c r="N28" s="89">
        <f t="shared" si="3"/>
        <v>13386753.29</v>
      </c>
      <c r="O28" s="90">
        <f t="shared" si="3"/>
        <v>92031937.74000002</v>
      </c>
    </row>
    <row r="29" spans="1:15" ht="14.25">
      <c r="A29" s="79" t="s">
        <v>7</v>
      </c>
      <c r="B29" s="78" t="s">
        <v>58</v>
      </c>
      <c r="C29" s="89">
        <v>13140470.12</v>
      </c>
      <c r="D29" s="89">
        <v>13417619.070000002</v>
      </c>
      <c r="E29" s="89">
        <v>14692770.47</v>
      </c>
      <c r="F29" s="89">
        <v>7872208.6499999985</v>
      </c>
      <c r="G29" s="89">
        <v>5134407.5600000005</v>
      </c>
      <c r="H29" s="89">
        <v>3315978.4299999997</v>
      </c>
      <c r="I29" s="89">
        <v>3047993.8699999996</v>
      </c>
      <c r="J29" s="89">
        <v>2829038.7300000004</v>
      </c>
      <c r="K29" s="89">
        <v>2965297.9899999998</v>
      </c>
      <c r="L29" s="89">
        <v>5857066.590000001</v>
      </c>
      <c r="M29" s="89">
        <v>9942195.909999996</v>
      </c>
      <c r="N29" s="89">
        <v>14936404.770000001</v>
      </c>
      <c r="O29" s="90">
        <f t="shared" si="1"/>
        <v>97151452.16</v>
      </c>
    </row>
    <row r="30" spans="1:15" ht="14.25">
      <c r="A30" s="80"/>
      <c r="B30" s="78" t="s">
        <v>59</v>
      </c>
      <c r="C30" s="89">
        <v>6138639.609999999</v>
      </c>
      <c r="D30" s="89">
        <v>6545579.189999998</v>
      </c>
      <c r="E30" s="89">
        <v>6958324.9399999995</v>
      </c>
      <c r="F30" s="89">
        <v>3913124.73</v>
      </c>
      <c r="G30" s="89">
        <v>2309737.7299999995</v>
      </c>
      <c r="H30" s="89">
        <v>1510513.03</v>
      </c>
      <c r="I30" s="89">
        <v>1380723.4799999997</v>
      </c>
      <c r="J30" s="89">
        <v>1268878.3099999998</v>
      </c>
      <c r="K30" s="89">
        <v>1355196.81</v>
      </c>
      <c r="L30" s="89">
        <v>2612691.5000000005</v>
      </c>
      <c r="M30" s="89">
        <v>4641663.98</v>
      </c>
      <c r="N30" s="89">
        <v>7290772.6899999995</v>
      </c>
      <c r="O30" s="90">
        <f t="shared" si="1"/>
        <v>45925846</v>
      </c>
    </row>
    <row r="31" spans="1:15" ht="14.25">
      <c r="A31" s="80"/>
      <c r="B31" s="78" t="s">
        <v>60</v>
      </c>
      <c r="C31" s="89">
        <v>68269.19</v>
      </c>
      <c r="D31" s="89">
        <v>68693.67</v>
      </c>
      <c r="E31" s="89">
        <v>64608.520000000004</v>
      </c>
      <c r="F31" s="89">
        <v>47891.009999999995</v>
      </c>
      <c r="G31" s="89">
        <v>36799.270000000004</v>
      </c>
      <c r="H31" s="89">
        <v>26680.08</v>
      </c>
      <c r="I31" s="89">
        <v>20101.79</v>
      </c>
      <c r="J31" s="89">
        <v>19270.13</v>
      </c>
      <c r="K31" s="89">
        <v>6301.36</v>
      </c>
      <c r="L31" s="89">
        <v>54059.240000000005</v>
      </c>
      <c r="M31" s="89">
        <v>46353.240000000005</v>
      </c>
      <c r="N31" s="89">
        <v>29395.95</v>
      </c>
      <c r="O31" s="90">
        <f t="shared" si="1"/>
        <v>488423.45</v>
      </c>
    </row>
    <row r="32" spans="1:15" ht="14.25">
      <c r="A32" s="80"/>
      <c r="B32" s="78" t="s">
        <v>61</v>
      </c>
      <c r="C32" s="89">
        <v>169226.47</v>
      </c>
      <c r="D32" s="89">
        <v>188646.72999999998</v>
      </c>
      <c r="E32" s="89">
        <v>190839.26000000004</v>
      </c>
      <c r="F32" s="89">
        <v>118416.94000000002</v>
      </c>
      <c r="G32" s="89">
        <v>89253.08000000002</v>
      </c>
      <c r="H32" s="89">
        <v>74776.71999999999</v>
      </c>
      <c r="I32" s="89">
        <v>71284.81999999999</v>
      </c>
      <c r="J32" s="89">
        <v>69316.5</v>
      </c>
      <c r="K32" s="89">
        <v>106676.43999999999</v>
      </c>
      <c r="L32" s="89">
        <v>117482.44</v>
      </c>
      <c r="M32" s="89">
        <v>164504.11000000002</v>
      </c>
      <c r="N32" s="89">
        <v>204455.26</v>
      </c>
      <c r="O32" s="90">
        <f t="shared" si="1"/>
        <v>1564878.77</v>
      </c>
    </row>
    <row r="33" spans="1:15" ht="14.25">
      <c r="A33" s="80"/>
      <c r="B33" s="78" t="s">
        <v>62</v>
      </c>
      <c r="C33" s="89">
        <v>30583.14</v>
      </c>
      <c r="D33" s="89">
        <v>33758.10999999999</v>
      </c>
      <c r="E33" s="89">
        <v>34640.42</v>
      </c>
      <c r="F33" s="89">
        <v>19936.07</v>
      </c>
      <c r="G33" s="89">
        <v>11140.269999999999</v>
      </c>
      <c r="H33" s="89">
        <v>5296.63</v>
      </c>
      <c r="I33" s="89">
        <v>4318.86</v>
      </c>
      <c r="J33" s="89">
        <v>4044.08</v>
      </c>
      <c r="K33" s="89">
        <v>3903.2400000000007</v>
      </c>
      <c r="L33" s="89">
        <v>10243.999999999998</v>
      </c>
      <c r="M33" s="89">
        <v>19452.309999999998</v>
      </c>
      <c r="N33" s="89">
        <v>32302.909999999996</v>
      </c>
      <c r="O33" s="90">
        <f t="shared" si="1"/>
        <v>209620.03999999995</v>
      </c>
    </row>
    <row r="34" spans="1:15" ht="14.25">
      <c r="A34" s="80"/>
      <c r="B34" s="78" t="s">
        <v>63</v>
      </c>
      <c r="C34" s="89">
        <v>842</v>
      </c>
      <c r="D34" s="89">
        <v>325</v>
      </c>
      <c r="E34" s="89">
        <v>711</v>
      </c>
      <c r="F34" s="89">
        <v>624</v>
      </c>
      <c r="G34" s="89">
        <v>606</v>
      </c>
      <c r="H34" s="89">
        <v>470</v>
      </c>
      <c r="I34" s="89">
        <v>550</v>
      </c>
      <c r="J34" s="89">
        <v>259</v>
      </c>
      <c r="K34" s="89">
        <v>866</v>
      </c>
      <c r="L34" s="89">
        <v>950</v>
      </c>
      <c r="M34" s="89">
        <v>413</v>
      </c>
      <c r="N34" s="89">
        <v>467</v>
      </c>
      <c r="O34" s="90">
        <f t="shared" si="1"/>
        <v>7083</v>
      </c>
    </row>
    <row r="35" spans="1:15" ht="14.25">
      <c r="A35" s="80"/>
      <c r="B35" s="78" t="s">
        <v>64</v>
      </c>
      <c r="C35" s="89">
        <v>487784.86</v>
      </c>
      <c r="D35" s="89">
        <v>488369.77</v>
      </c>
      <c r="E35" s="89">
        <v>485321.29</v>
      </c>
      <c r="F35" s="89">
        <v>457673.08999999997</v>
      </c>
      <c r="G35" s="89">
        <v>409533.7800000001</v>
      </c>
      <c r="H35" s="89">
        <v>367274.91</v>
      </c>
      <c r="I35" s="89">
        <v>355329.35000000003</v>
      </c>
      <c r="J35" s="89">
        <v>356148.18</v>
      </c>
      <c r="K35" s="89">
        <v>370932.35</v>
      </c>
      <c r="L35" s="89">
        <v>370373.45</v>
      </c>
      <c r="M35" s="89">
        <v>433336.2</v>
      </c>
      <c r="N35" s="89">
        <v>435787.47000000003</v>
      </c>
      <c r="O35" s="90">
        <f t="shared" si="1"/>
        <v>5017864.7</v>
      </c>
    </row>
    <row r="36" spans="1:15" ht="14.25">
      <c r="A36" s="80"/>
      <c r="B36" s="78" t="s">
        <v>69</v>
      </c>
      <c r="C36" s="89">
        <v>7928.32</v>
      </c>
      <c r="D36" s="89">
        <v>3695.05</v>
      </c>
      <c r="E36" s="89">
        <v>12205.77</v>
      </c>
      <c r="F36" s="89">
        <v>17026.43</v>
      </c>
      <c r="G36" s="89">
        <v>1442.26</v>
      </c>
      <c r="H36" s="89">
        <v>2539.31</v>
      </c>
      <c r="I36" s="89">
        <v>7733.59</v>
      </c>
      <c r="J36" s="89">
        <v>13589.140000000001</v>
      </c>
      <c r="K36" s="89">
        <v>29392.120000000003</v>
      </c>
      <c r="L36" s="89">
        <v>17019.879999999997</v>
      </c>
      <c r="M36" s="89">
        <v>30006.42</v>
      </c>
      <c r="N36" s="89">
        <v>22760.83</v>
      </c>
      <c r="O36" s="90">
        <f t="shared" si="1"/>
        <v>165339.12</v>
      </c>
    </row>
    <row r="37" spans="1:15" ht="14.25">
      <c r="A37" s="80"/>
      <c r="B37" s="78" t="s">
        <v>67</v>
      </c>
      <c r="C37" s="89">
        <v>229.27</v>
      </c>
      <c r="D37" s="89">
        <v>229.27</v>
      </c>
      <c r="E37" s="89">
        <v>229.27</v>
      </c>
      <c r="F37" s="89">
        <v>229.27</v>
      </c>
      <c r="G37" s="89">
        <v>229.27</v>
      </c>
      <c r="H37" s="89">
        <v>229.27</v>
      </c>
      <c r="I37" s="89">
        <v>229.27</v>
      </c>
      <c r="J37" s="89">
        <v>229.27</v>
      </c>
      <c r="K37" s="89">
        <v>229.27</v>
      </c>
      <c r="L37" s="89">
        <v>229.27</v>
      </c>
      <c r="M37" s="89">
        <v>229.27</v>
      </c>
      <c r="N37" s="89">
        <v>229.27</v>
      </c>
      <c r="O37" s="90">
        <f t="shared" si="1"/>
        <v>2751.2400000000002</v>
      </c>
    </row>
    <row r="38" spans="1:15" ht="14.25">
      <c r="A38" s="80"/>
      <c r="B38" s="78" t="s">
        <v>47</v>
      </c>
      <c r="C38" s="89">
        <v>84195</v>
      </c>
      <c r="D38" s="89">
        <v>205524</v>
      </c>
      <c r="E38" s="89">
        <v>-4169087</v>
      </c>
      <c r="F38" s="89">
        <v>-1697348</v>
      </c>
      <c r="G38" s="89">
        <v>-1225363</v>
      </c>
      <c r="H38" s="89">
        <v>-253780</v>
      </c>
      <c r="I38" s="89">
        <v>-52205</v>
      </c>
      <c r="J38" s="89">
        <v>121543</v>
      </c>
      <c r="K38" s="89">
        <v>673912</v>
      </c>
      <c r="L38" s="89">
        <v>2804082</v>
      </c>
      <c r="M38" s="89">
        <v>1863835</v>
      </c>
      <c r="N38" s="89">
        <v>-386668</v>
      </c>
      <c r="O38" s="90">
        <f t="shared" si="1"/>
        <v>-2031360</v>
      </c>
    </row>
    <row r="39" spans="1:15" ht="14.25">
      <c r="A39" s="80"/>
      <c r="B39" s="78" t="s">
        <v>48</v>
      </c>
      <c r="C39" s="89">
        <v>20643</v>
      </c>
      <c r="D39" s="89">
        <v>236063</v>
      </c>
      <c r="E39" s="89">
        <v>-1963717</v>
      </c>
      <c r="F39" s="89">
        <v>-734219</v>
      </c>
      <c r="G39" s="89">
        <v>-631371</v>
      </c>
      <c r="H39" s="89">
        <v>-42925</v>
      </c>
      <c r="I39" s="89">
        <v>-35158</v>
      </c>
      <c r="J39" s="89">
        <v>60870</v>
      </c>
      <c r="K39" s="89">
        <v>460844</v>
      </c>
      <c r="L39" s="89">
        <v>1164792</v>
      </c>
      <c r="M39" s="89">
        <v>889698</v>
      </c>
      <c r="N39" s="89">
        <v>-152376</v>
      </c>
      <c r="O39" s="90">
        <f t="shared" si="1"/>
        <v>-726856</v>
      </c>
    </row>
    <row r="40" spans="1:15" ht="14.25">
      <c r="A40" s="80"/>
      <c r="B40" s="78" t="s">
        <v>65</v>
      </c>
      <c r="C40" s="89">
        <v>19841</v>
      </c>
      <c r="D40" s="89">
        <v>-19017</v>
      </c>
      <c r="E40" s="89">
        <v>-19933</v>
      </c>
      <c r="F40" s="89">
        <v>-40817</v>
      </c>
      <c r="G40" s="89">
        <v>-32154</v>
      </c>
      <c r="H40" s="89">
        <v>-5829</v>
      </c>
      <c r="I40" s="89">
        <v>53</v>
      </c>
      <c r="J40" s="89">
        <v>-5242</v>
      </c>
      <c r="K40" s="89">
        <v>16744</v>
      </c>
      <c r="L40" s="89">
        <v>46068</v>
      </c>
      <c r="M40" s="89">
        <v>5402</v>
      </c>
      <c r="N40" s="89">
        <v>4658</v>
      </c>
      <c r="O40" s="90">
        <f t="shared" si="1"/>
        <v>-30226</v>
      </c>
    </row>
    <row r="41" spans="1:15" ht="14.25">
      <c r="A41" s="81"/>
      <c r="B41" s="77" t="s">
        <v>4</v>
      </c>
      <c r="C41" s="90">
        <f>SUM(C29:C40)</f>
        <v>20168651.979999997</v>
      </c>
      <c r="D41" s="90">
        <f aca="true" t="shared" si="4" ref="D41:O41">SUM(D29:D40)</f>
        <v>21169485.86</v>
      </c>
      <c r="E41" s="90">
        <f t="shared" si="4"/>
        <v>16286913.940000001</v>
      </c>
      <c r="F41" s="90">
        <f t="shared" si="4"/>
        <v>9974746.189999998</v>
      </c>
      <c r="G41" s="90">
        <f t="shared" si="4"/>
        <v>6104261.219999999</v>
      </c>
      <c r="H41" s="90">
        <f t="shared" si="4"/>
        <v>5001224.379999999</v>
      </c>
      <c r="I41" s="90">
        <f t="shared" si="4"/>
        <v>4800955.029999999</v>
      </c>
      <c r="J41" s="90">
        <f t="shared" si="4"/>
        <v>4737944.339999999</v>
      </c>
      <c r="K41" s="90">
        <f t="shared" si="4"/>
        <v>5990295.58</v>
      </c>
      <c r="L41" s="90">
        <f t="shared" si="4"/>
        <v>13055058.370000001</v>
      </c>
      <c r="M41" s="90">
        <f t="shared" si="4"/>
        <v>18037089.439999998</v>
      </c>
      <c r="N41" s="90">
        <f t="shared" si="4"/>
        <v>22418190.15</v>
      </c>
      <c r="O41" s="90">
        <f t="shared" si="4"/>
        <v>147744816.48</v>
      </c>
    </row>
    <row r="42" spans="3:15" ht="12.75"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3:15" ht="12.7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>
        <f>SUM(O41,O28,O14)</f>
        <v>302897057.94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7109375" defaultRowHeight="12.75"/>
  <cols>
    <col min="1" max="16384" width="8.7109375" style="8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Andrews, Liz</cp:lastModifiedBy>
  <cp:lastPrinted>2018-03-23T15:08:38Z</cp:lastPrinted>
  <dcterms:created xsi:type="dcterms:W3CDTF">2016-06-07T20:33:33Z</dcterms:created>
  <dcterms:modified xsi:type="dcterms:W3CDTF">2020-04-17T21:56:43Z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