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792" yWindow="2712" windowWidth="16332" windowHeight="8532" tabRatio="883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definedNames>
    <definedName name="_xlnm.Print_Area" localSheetId="0">'New Format'!$A$1:$G$49</definedName>
    <definedName name="_xlnm.Print_Area" localSheetId="1">'Pg 2 CapStructure'!$A$1:$Q$44</definedName>
    <definedName name="_xlnm.Print_Area" localSheetId="2">'Pg 3 STD Cost Rate'!$A$1:$G$35</definedName>
    <definedName name="_xlnm.Print_Area" localSheetId="3">'Pg 4 STD OS &amp; Comm Fees'!$A$1:$K$36</definedName>
    <definedName name="_xlnm.Print_Area" localSheetId="4">'Pg 5 STD Amort'!$A$1:$G$35</definedName>
    <definedName name="_xlnm.Print_Area" localSheetId="5">'Pg 6 LTD Cost '!$A$1:$V$35</definedName>
    <definedName name="_xlnm.Print_Area" localSheetId="6">'Pg 7 Reacquired Debt'!$A$1:$J$41</definedName>
    <definedName name="_xlnm.Print_Titles" localSheetId="6">'Pg 7 Reacquired Debt'!$1:$7</definedName>
  </definedNames>
  <calcPr calcId="162913"/>
</workbook>
</file>

<file path=xl/calcChain.xml><?xml version="1.0" encoding="utf-8"?>
<calcChain xmlns="http://schemas.openxmlformats.org/spreadsheetml/2006/main">
  <c r="O40" i="1" l="1"/>
  <c r="N40" i="1"/>
  <c r="M40" i="1"/>
  <c r="L42" i="1"/>
  <c r="K42" i="1"/>
  <c r="J42" i="1"/>
  <c r="I42" i="1"/>
  <c r="H42" i="1"/>
  <c r="G42" i="1"/>
  <c r="F42" i="1"/>
  <c r="E42" i="1"/>
  <c r="D42" i="1"/>
  <c r="C42" i="1"/>
  <c r="L40" i="1"/>
  <c r="K40" i="1"/>
  <c r="J40" i="1"/>
  <c r="I40" i="1"/>
  <c r="H40" i="1"/>
  <c r="G40" i="1"/>
  <c r="F40" i="1"/>
  <c r="E40" i="1"/>
  <c r="D40" i="1"/>
  <c r="C40" i="1"/>
  <c r="C34" i="1" l="1"/>
  <c r="E26" i="71" l="1"/>
  <c r="E24" i="71"/>
  <c r="E23" i="71"/>
  <c r="E29" i="71"/>
  <c r="Q12" i="1" l="1"/>
  <c r="E25" i="71" l="1"/>
  <c r="X23" i="7" l="1"/>
  <c r="F23" i="7"/>
  <c r="H23" i="7" l="1"/>
  <c r="X24" i="7" s="1"/>
  <c r="J31" i="21"/>
  <c r="I23" i="7" l="1"/>
  <c r="I28" i="7" s="1"/>
  <c r="D27" i="71" l="1"/>
  <c r="E27" i="71"/>
  <c r="F27" i="71"/>
  <c r="C27" i="71"/>
  <c r="Q36" i="1"/>
  <c r="Q34" i="1"/>
  <c r="E38" i="1" l="1"/>
  <c r="D38" i="1"/>
  <c r="C38" i="1"/>
  <c r="F22" i="7" l="1"/>
  <c r="F6" i="7" l="1"/>
  <c r="Q7" i="1" l="1"/>
  <c r="B3" i="29" l="1"/>
  <c r="A2" i="7"/>
  <c r="B3" i="71"/>
  <c r="B3" i="21"/>
  <c r="B4" i="2"/>
  <c r="E26" i="21" l="1"/>
  <c r="G26" i="21"/>
  <c r="H26" i="21" s="1"/>
  <c r="A27" i="21"/>
  <c r="A28" i="21" s="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J26" i="21" l="1"/>
  <c r="F13" i="21" s="1"/>
  <c r="H22" i="7" l="1"/>
  <c r="X22" i="7" s="1"/>
  <c r="I22" i="7" l="1"/>
  <c r="V26" i="7" l="1"/>
  <c r="U26" i="7"/>
  <c r="T26" i="7"/>
  <c r="Q40" i="1" l="1"/>
  <c r="G27" i="21"/>
  <c r="Q41" i="1" l="1"/>
  <c r="Q14" i="1"/>
  <c r="M38" i="1"/>
  <c r="M43" i="1" l="1"/>
  <c r="M44" i="1" s="1"/>
  <c r="N43" i="1"/>
  <c r="O43" i="1"/>
  <c r="N38" i="1"/>
  <c r="O38" i="1"/>
  <c r="O16" i="1"/>
  <c r="N16" i="1"/>
  <c r="M16" i="1"/>
  <c r="M10" i="1"/>
  <c r="N10" i="1"/>
  <c r="O10" i="1"/>
  <c r="Q9" i="1"/>
  <c r="Q8" i="1"/>
  <c r="E16" i="2"/>
  <c r="D16" i="2"/>
  <c r="C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H27" i="21"/>
  <c r="E12" i="21"/>
  <c r="E11" i="21"/>
  <c r="I24" i="29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T5" i="7"/>
  <c r="U5" i="7"/>
  <c r="V5" i="7"/>
  <c r="F31" i="71"/>
  <c r="E31" i="71"/>
  <c r="D31" i="71"/>
  <c r="C31" i="71"/>
  <c r="C16" i="1"/>
  <c r="D16" i="1"/>
  <c r="E16" i="1"/>
  <c r="F16" i="1"/>
  <c r="H16" i="1"/>
  <c r="I16" i="1"/>
  <c r="J16" i="1"/>
  <c r="L43" i="1"/>
  <c r="K43" i="1"/>
  <c r="J43" i="1"/>
  <c r="L16" i="1"/>
  <c r="K16" i="1"/>
  <c r="Q42" i="1"/>
  <c r="I43" i="1"/>
  <c r="I44" i="1" s="1"/>
  <c r="H43" i="1"/>
  <c r="G43" i="1"/>
  <c r="F43" i="1"/>
  <c r="G16" i="1"/>
  <c r="E43" i="1"/>
  <c r="E44" i="1" s="1"/>
  <c r="A9" i="83"/>
  <c r="A10" i="83" s="1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J38" i="1"/>
  <c r="I38" i="1"/>
  <c r="H38" i="1"/>
  <c r="G38" i="1"/>
  <c r="F38" i="1"/>
  <c r="K10" i="1"/>
  <c r="J10" i="1"/>
  <c r="I10" i="1"/>
  <c r="H10" i="1"/>
  <c r="G10" i="1"/>
  <c r="F10" i="1"/>
  <c r="E10" i="1"/>
  <c r="D10" i="1"/>
  <c r="C10" i="1"/>
  <c r="J32" i="21"/>
  <c r="H21" i="7"/>
  <c r="X21" i="7" s="1"/>
  <c r="L38" i="1"/>
  <c r="L10" i="1"/>
  <c r="A27" i="71"/>
  <c r="E15" i="2"/>
  <c r="D15" i="2" s="1"/>
  <c r="A21" i="21"/>
  <c r="A22" i="21" s="1"/>
  <c r="A23" i="21" s="1"/>
  <c r="A24" i="21" s="1"/>
  <c r="A25" i="21" s="1"/>
  <c r="H11" i="7"/>
  <c r="X11" i="7" s="1"/>
  <c r="H10" i="7"/>
  <c r="X10" i="7" s="1"/>
  <c r="D21" i="29"/>
  <c r="C15" i="2"/>
  <c r="C13" i="2"/>
  <c r="E13" i="2"/>
  <c r="H20" i="7"/>
  <c r="X20" i="7" s="1"/>
  <c r="H19" i="7"/>
  <c r="X19" i="7" s="1"/>
  <c r="H18" i="7"/>
  <c r="X18" i="7" s="1"/>
  <c r="I25" i="29"/>
  <c r="I31" i="29" s="1"/>
  <c r="I25" i="7" s="1"/>
  <c r="X25" i="7" s="1"/>
  <c r="X26" i="7" s="1"/>
  <c r="Y26" i="7" s="1"/>
  <c r="H17" i="7"/>
  <c r="X17" i="7" s="1"/>
  <c r="H16" i="7"/>
  <c r="H6" i="7"/>
  <c r="X6" i="7" s="1"/>
  <c r="H7" i="7"/>
  <c r="X7" i="7" s="1"/>
  <c r="H8" i="7"/>
  <c r="X8" i="7" s="1"/>
  <c r="H9" i="7"/>
  <c r="X9" i="7" s="1"/>
  <c r="H12" i="7"/>
  <c r="H13" i="7"/>
  <c r="X13" i="7" s="1"/>
  <c r="H14" i="7"/>
  <c r="H15" i="7"/>
  <c r="X15" i="7" s="1"/>
  <c r="D20" i="29"/>
  <c r="D19" i="29"/>
  <c r="D18" i="29"/>
  <c r="H13" i="29"/>
  <c r="H12" i="29"/>
  <c r="S26" i="7"/>
  <c r="X27" i="7"/>
  <c r="A6" i="21"/>
  <c r="A7" i="21" s="1"/>
  <c r="A8" i="21" s="1"/>
  <c r="A9" i="21" s="1"/>
  <c r="A10" i="21" s="1"/>
  <c r="A11" i="21" s="1"/>
  <c r="A12" i="21" s="1"/>
  <c r="A9" i="71"/>
  <c r="A10" i="71"/>
  <c r="A11" i="71" s="1"/>
  <c r="A12" i="71" s="1"/>
  <c r="A13" i="71" s="1"/>
  <c r="A14" i="71" s="1"/>
  <c r="A6" i="1"/>
  <c r="A7" i="1" s="1"/>
  <c r="A8" i="1" s="1"/>
  <c r="A9" i="1" s="1"/>
  <c r="A10" i="1" s="1"/>
  <c r="A12" i="1" s="1"/>
  <c r="A14" i="1" s="1"/>
  <c r="A16" i="1" s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9" i="2"/>
  <c r="A10" i="2" s="1"/>
  <c r="A11" i="2" s="1"/>
  <c r="A12" i="2" s="1"/>
  <c r="A13" i="2" s="1"/>
  <c r="A14" i="2" s="1"/>
  <c r="Q26" i="7"/>
  <c r="R26" i="7"/>
  <c r="P26" i="7"/>
  <c r="O26" i="7"/>
  <c r="N26" i="7"/>
  <c r="M26" i="7"/>
  <c r="L26" i="7"/>
  <c r="K26" i="7"/>
  <c r="J26" i="7"/>
  <c r="M41" i="7"/>
  <c r="N41" i="7"/>
  <c r="O41" i="7"/>
  <c r="P41" i="7"/>
  <c r="Q41" i="7"/>
  <c r="R41" i="7"/>
  <c r="S41" i="7"/>
  <c r="J41" i="7"/>
  <c r="K41" i="7"/>
  <c r="L41" i="7"/>
  <c r="D13" i="29"/>
  <c r="D12" i="29"/>
  <c r="E14" i="2"/>
  <c r="D14" i="2" s="1"/>
  <c r="D16" i="21"/>
  <c r="C16" i="21"/>
  <c r="C14" i="2"/>
  <c r="A28" i="71"/>
  <c r="A29" i="71" s="1"/>
  <c r="A30" i="71" s="1"/>
  <c r="A31" i="71" s="1"/>
  <c r="A32" i="71" s="1"/>
  <c r="A33" i="71" s="1"/>
  <c r="A34" i="71" s="1"/>
  <c r="A35" i="71" s="1"/>
  <c r="D43" i="1"/>
  <c r="D44" i="1" s="1"/>
  <c r="G44" i="1" l="1"/>
  <c r="L44" i="1"/>
  <c r="N44" i="1"/>
  <c r="I14" i="7"/>
  <c r="X14" i="7"/>
  <c r="I12" i="7"/>
  <c r="X12" i="7"/>
  <c r="I16" i="7"/>
  <c r="X16" i="7"/>
  <c r="O44" i="1"/>
  <c r="O20" i="1" s="1"/>
  <c r="O22" i="1" s="1"/>
  <c r="O28" i="1" s="1"/>
  <c r="J44" i="1"/>
  <c r="F44" i="1"/>
  <c r="K44" i="1"/>
  <c r="K20" i="1" s="1"/>
  <c r="K22" i="1" s="1"/>
  <c r="K28" i="1" s="1"/>
  <c r="H44" i="1"/>
  <c r="I9" i="7"/>
  <c r="I13" i="7"/>
  <c r="A15" i="71"/>
  <c r="A16" i="71" s="1"/>
  <c r="A17" i="71" s="1"/>
  <c r="A18" i="71" s="1"/>
  <c r="A19" i="71" s="1"/>
  <c r="A20" i="71" s="1"/>
  <c r="A21" i="71" s="1"/>
  <c r="A22" i="71" s="1"/>
  <c r="A23" i="71" s="1"/>
  <c r="A24" i="71" s="1"/>
  <c r="I20" i="1"/>
  <c r="I22" i="1" s="1"/>
  <c r="I28" i="1" s="1"/>
  <c r="J20" i="1"/>
  <c r="J22" i="1" s="1"/>
  <c r="J27" i="1" s="1"/>
  <c r="E16" i="21"/>
  <c r="E17" i="2"/>
  <c r="G20" i="1"/>
  <c r="G22" i="1" s="1"/>
  <c r="I15" i="7"/>
  <c r="D13" i="2"/>
  <c r="C17" i="2"/>
  <c r="F30" i="7" s="1"/>
  <c r="H20" i="1"/>
  <c r="H22" i="1" s="1"/>
  <c r="H27" i="1" s="1"/>
  <c r="I17" i="7"/>
  <c r="I21" i="7"/>
  <c r="I18" i="7"/>
  <c r="I8" i="7"/>
  <c r="I6" i="7"/>
  <c r="I10" i="7"/>
  <c r="F26" i="7"/>
  <c r="F28" i="7" s="1"/>
  <c r="J27" i="21"/>
  <c r="F14" i="21" s="1"/>
  <c r="E20" i="1"/>
  <c r="E22" i="1" s="1"/>
  <c r="I11" i="7"/>
  <c r="I20" i="7"/>
  <c r="I19" i="7"/>
  <c r="L20" i="1"/>
  <c r="L22" i="1" s="1"/>
  <c r="L28" i="1" s="1"/>
  <c r="N20" i="1"/>
  <c r="N22" i="1" s="1"/>
  <c r="N25" i="1" s="1"/>
  <c r="D20" i="1"/>
  <c r="D22" i="1" s="1"/>
  <c r="G27" i="71"/>
  <c r="I7" i="7"/>
  <c r="Q10" i="1"/>
  <c r="Q38" i="1"/>
  <c r="C43" i="1"/>
  <c r="C44" i="1" s="1"/>
  <c r="Q16" i="1"/>
  <c r="F20" i="1" l="1"/>
  <c r="F22" i="1" s="1"/>
  <c r="D25" i="1"/>
  <c r="E21" i="2"/>
  <c r="C23" i="2"/>
  <c r="J28" i="21"/>
  <c r="Q43" i="1"/>
  <c r="H28" i="7"/>
  <c r="E16" i="83" s="1"/>
  <c r="F32" i="7"/>
  <c r="K24" i="1"/>
  <c r="H28" i="1"/>
  <c r="K25" i="1"/>
  <c r="K27" i="1"/>
  <c r="H24" i="1"/>
  <c r="H25" i="1"/>
  <c r="J25" i="1"/>
  <c r="I26" i="7"/>
  <c r="H26" i="7" s="1"/>
  <c r="J24" i="1"/>
  <c r="J28" i="1"/>
  <c r="D27" i="1"/>
  <c r="D28" i="1"/>
  <c r="C14" i="83"/>
  <c r="E24" i="1"/>
  <c r="E27" i="1"/>
  <c r="E25" i="1"/>
  <c r="G28" i="1"/>
  <c r="I24" i="1"/>
  <c r="I25" i="1"/>
  <c r="I27" i="1"/>
  <c r="O27" i="1"/>
  <c r="L25" i="1"/>
  <c r="L27" i="1"/>
  <c r="I30" i="7"/>
  <c r="D17" i="2"/>
  <c r="C16" i="83"/>
  <c r="L24" i="1"/>
  <c r="Q44" i="1"/>
  <c r="C20" i="1"/>
  <c r="C22" i="1" s="1"/>
  <c r="E28" i="1"/>
  <c r="M20" i="1"/>
  <c r="O24" i="1"/>
  <c r="O25" i="1"/>
  <c r="N27" i="1"/>
  <c r="N28" i="1"/>
  <c r="N24" i="1"/>
  <c r="N26" i="1" s="1"/>
  <c r="F28" i="1" l="1"/>
  <c r="F21" i="2"/>
  <c r="D24" i="1"/>
  <c r="D26" i="1" s="1"/>
  <c r="D30" i="1" s="1"/>
  <c r="F17" i="2"/>
  <c r="K26" i="1"/>
  <c r="K30" i="1" s="1"/>
  <c r="H26" i="1"/>
  <c r="H30" i="1" s="1"/>
  <c r="J26" i="1"/>
  <c r="J30" i="1" s="1"/>
  <c r="E26" i="1"/>
  <c r="E30" i="1" s="1"/>
  <c r="C26" i="83"/>
  <c r="I26" i="1"/>
  <c r="I30" i="1" s="1"/>
  <c r="F27" i="1"/>
  <c r="F24" i="1"/>
  <c r="F25" i="1"/>
  <c r="G24" i="1"/>
  <c r="G27" i="1"/>
  <c r="G25" i="1"/>
  <c r="L26" i="1"/>
  <c r="L30" i="1" s="1"/>
  <c r="C28" i="1"/>
  <c r="H30" i="7"/>
  <c r="E14" i="83" s="1"/>
  <c r="I32" i="7"/>
  <c r="H32" i="7" s="1"/>
  <c r="E18" i="83" s="1"/>
  <c r="Q20" i="1"/>
  <c r="M22" i="1"/>
  <c r="O26" i="1"/>
  <c r="O30" i="1" s="1"/>
  <c r="N30" i="1"/>
  <c r="C25" i="1" l="1"/>
  <c r="C27" i="1"/>
  <c r="C24" i="1"/>
  <c r="F26" i="1"/>
  <c r="F30" i="1" s="1"/>
  <c r="G26" i="1"/>
  <c r="G30" i="1" s="1"/>
  <c r="Q22" i="1"/>
  <c r="C28" i="83"/>
  <c r="C30" i="83" s="1"/>
  <c r="D14" i="83" s="1"/>
  <c r="F14" i="83" s="1"/>
  <c r="M28" i="1"/>
  <c r="M27" i="1"/>
  <c r="M24" i="1"/>
  <c r="M25" i="1"/>
  <c r="C26" i="1" l="1"/>
  <c r="C30" i="1" s="1"/>
  <c r="M26" i="1"/>
  <c r="M30" i="1" s="1"/>
  <c r="Q24" i="1"/>
  <c r="Q25" i="1"/>
  <c r="Q27" i="1"/>
  <c r="Q28" i="1"/>
  <c r="D28" i="83"/>
  <c r="F28" i="83" s="1"/>
  <c r="D18" i="83"/>
  <c r="D26" i="83" s="1"/>
  <c r="F18" i="21"/>
  <c r="D16" i="83"/>
  <c r="F16" i="83" s="1"/>
  <c r="G33" i="71"/>
  <c r="G35" i="71" s="1"/>
  <c r="I33" i="29"/>
  <c r="I35" i="29" s="1"/>
  <c r="F24" i="83" s="1"/>
  <c r="F18" i="83" l="1"/>
  <c r="F22" i="83"/>
  <c r="Q26" i="1"/>
  <c r="Q30" i="1" s="1"/>
  <c r="D30" i="83"/>
  <c r="F15" i="21" l="1"/>
  <c r="F16" i="21" s="1"/>
  <c r="F20" i="21" s="1"/>
  <c r="F20" i="83" l="1"/>
  <c r="F26" i="83" s="1"/>
  <c r="F30" i="83" s="1"/>
  <c r="E19" i="2"/>
  <c r="E23" i="2" l="1"/>
  <c r="F19" i="2"/>
  <c r="F23" i="2" l="1"/>
</calcChain>
</file>

<file path=xl/comments1.xml><?xml version="1.0" encoding="utf-8"?>
<comments xmlns="http://schemas.openxmlformats.org/spreadsheetml/2006/main">
  <authors>
    <author>Puget Sound Energy</author>
    <author>jsant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 Financial Package</t>
        </r>
      </text>
    </comment>
    <comment ref="B34" authorId="1" shape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Package: retained earnings adjustment - derivative gain (loss) in retained earnings.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GL: OCI-Derivatives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Puget Sound Energy:
Source: GL: OCI Other + OCI Pension</t>
        </r>
      </text>
    </comment>
    <comment ref="B44" authorId="1" shapeId="0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0" authorId="1" shape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7" authorId="1" shapeId="0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jsant</author>
    <author>Puget Sound Energy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 xml:space="preserve">Based on daily balances outstanding
</t>
        </r>
      </text>
    </comment>
    <comment ref="F9" authorId="0" shapeId="0">
      <text>
        <r>
          <rPr>
            <sz val="8"/>
            <color indexed="81"/>
            <rFont val="Tahoma"/>
            <family val="2"/>
          </rPr>
          <t>Includes Credit Facility and Letter of Credit Fees.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Cost of Borrowing report</t>
        </r>
      </text>
    </comment>
    <comment ref="J31" authorId="1" shapeId="0">
      <text>
        <r>
          <rPr>
            <b/>
            <sz val="8"/>
            <color indexed="81"/>
            <rFont val="Tahoma"/>
            <family val="2"/>
          </rPr>
          <t>Puget Sound Energy:</t>
        </r>
        <r>
          <rPr>
            <sz val="8"/>
            <color indexed="81"/>
            <rFont val="Tahoma"/>
            <family val="2"/>
          </rPr>
          <t xml:space="preserve">
Added $15 monthly to cover cost of annual amendment fees</t>
        </r>
      </text>
    </comment>
  </commentList>
</comments>
</file>

<file path=xl/comments3.xml><?xml version="1.0" encoding="utf-8"?>
<comments xmlns="http://schemas.openxmlformats.org/spreadsheetml/2006/main">
  <authors>
    <author>jsant</author>
  </authors>
  <commentList>
    <comment ref="I31" authorId="0" shapeId="0">
      <text>
        <r>
          <rPr>
            <sz val="8"/>
            <color indexed="81"/>
            <rFont val="Tahoma"/>
            <family val="2"/>
          </rPr>
          <t>Flows to Cost of Debt Tab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<sst xmlns="http://schemas.openxmlformats.org/spreadsheetml/2006/main" count="333" uniqueCount="207">
  <si>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</si>
  <si>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</si>
  <si>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</si>
  <si>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</si>
  <si>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</si>
  <si>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</si>
  <si>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</si>
  <si>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</si>
  <si>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</si>
  <si>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</si>
  <si>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</si>
  <si>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</si>
  <si>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</si>
  <si>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</si>
  <si>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</si>
  <si>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</si>
  <si>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</si>
  <si>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</si>
  <si>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</si>
  <si>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</si>
  <si>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</si>
  <si>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</si>
  <si>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</si>
  <si>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</si>
  <si>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</si>
  <si>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</si>
  <si>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</si>
  <si>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</si>
  <si>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</si>
  <si>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</si>
  <si>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</si>
  <si>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</si>
  <si>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</si>
  <si>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</si>
  <si>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</si>
  <si>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</si>
  <si>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</si>
  <si>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</si>
  <si>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</si>
  <si>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</si>
  <si>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</si>
  <si>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</si>
  <si>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</si>
  <si>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</si>
  <si>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</si>
  <si>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</si>
  <si>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</si>
  <si>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</si>
  <si>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</si>
  <si>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</si>
  <si>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</si>
  <si>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</si>
  <si>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</si>
  <si>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</si>
  <si>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</si>
  <si>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</si>
  <si>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</si>
  <si>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</si>
  <si>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</si>
  <si>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</si>
  <si>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</si>
  <si>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</si>
  <si>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</si>
  <si>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</si>
  <si>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</si>
  <si>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</si>
  <si>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</si>
  <si>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</si>
  <si>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</si>
  <si>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</si>
  <si>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</si>
  <si>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</si>
  <si>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</si>
  <si>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</si>
  <si>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</si>
  <si>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</si>
  <si>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</si>
  <si>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</si>
  <si>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</si>
  <si>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</si>
  <si>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</si>
  <si>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</si>
  <si>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</si>
  <si>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</si>
  <si>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</si>
  <si>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</si>
  <si>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</si>
  <si>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</si>
  <si>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</si>
  <si>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</si>
  <si>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</si>
  <si>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</si>
  <si>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</si>
  <si>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</si>
  <si>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</si>
  <si>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</si>
  <si>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</si>
  <si>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</si>
  <si>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</si>
  <si>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</si>
  <si>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</si>
  <si>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</si>
  <si>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</si>
  <si>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</si>
  <si>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</si>
  <si>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</si>
  <si>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</si>
  <si>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</si>
  <si>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</si>
  <si>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</si>
  <si>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</si>
  <si>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</si>
  <si>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</si>
  <si>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</si>
  <si>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</si>
  <si>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</si>
  <si>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</si>
  <si>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</si>
  <si>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</si>
  <si>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</si>
  <si>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</si>
  <si>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</si>
  <si>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</si>
  <si>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</si>
  <si>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</si>
  <si>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</si>
  <si>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</si>
  <si>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</si>
  <si>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</si>
  <si>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</si>
  <si>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</si>
  <si>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</si>
  <si>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</si>
  <si>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</si>
  <si>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</si>
  <si>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</si>
  <si>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</si>
  <si>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</si>
  <si>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</si>
  <si>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</si>
  <si>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</si>
  <si>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</si>
  <si>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</si>
  <si>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</si>
  <si>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</si>
  <si>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</si>
  <si>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</si>
  <si>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</si>
  <si>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</si>
  <si>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</si>
  <si>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</si>
  <si>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</si>
  <si>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</si>
  <si>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</si>
  <si>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</si>
  <si>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</si>
  <si>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TOTAL</t>
  </si>
  <si>
    <t>AMORTIZATION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</si>
  <si>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</si>
  <si>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</si>
  <si>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</si>
  <si>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</si>
  <si>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</si>
  <si>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</si>
  <si>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</si>
  <si>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</si>
  <si>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</si>
  <si>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</si>
  <si>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monthly</t>
  </si>
  <si>
    <t>Mos. X monthly</t>
  </si>
  <si>
    <t>Diff</t>
  </si>
  <si>
    <t>Months</t>
  </si>
  <si>
    <t>Remaining at:</t>
  </si>
  <si>
    <t>Bal Sheet #</t>
  </si>
  <si>
    <t>Internal Checkpoints Only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</si>
  <si>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</si>
  <si>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</si>
  <si>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</si>
  <si>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</si>
  <si>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</si>
  <si>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</si>
  <si>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</si>
  <si>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</si>
  <si>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SAP FS10N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</si>
  <si>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</si>
  <si>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</si>
  <si>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</si>
  <si>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</si>
  <si>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</si>
  <si>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</si>
  <si>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</si>
  <si>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</si>
  <si>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</si>
  <si>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</si>
  <si>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</si>
  <si>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</si>
  <si>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</si>
  <si>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</si>
  <si>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</si>
  <si>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</si>
  <si>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</si>
  <si>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SAP "Balance Sheet" 18900000 - 18999999</t>
  </si>
  <si>
    <t>Exclude:</t>
  </si>
  <si>
    <t>For The 12 Months Ending December 31, 2019</t>
  </si>
  <si>
    <t>December 31, 2018 Through December 31, 2019</t>
  </si>
  <si>
    <t>Total Amortization for 12 months ended 12/31/19</t>
  </si>
  <si>
    <t>As of: 12/31/19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</si>
</sst>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0.0_);[Red]\(0.0\)"/>
    <numFmt numFmtId="189" formatCode="_(* #,##0.000_);_(* \(#,##0.000\);_(* &quot;-&quot;??_);_(@_)"/>
    <numFmt numFmtId="190" formatCode="[$-409]mmm\-yy;@"/>
  </numFmts>
  <fonts count="73">
    <font>
      <sz val="8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indexed="17"/>
      <name val="Arial"/>
      <family val="2"/>
    </font>
    <font>
      <u/>
      <sz val="9"/>
      <color indexed="12"/>
      <name val="Arial"/>
      <family val="2"/>
    </font>
    <font>
      <sz val="8"/>
      <color indexed="8"/>
      <name val="Times New Roman"/>
      <family val="1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8">
    <xf numFmtId="37" fontId="0" fillId="0" borderId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2" fillId="16" borderId="1" applyNumberFormat="0" applyAlignment="0" applyProtection="0"/>
    <xf numFmtId="0" fontId="52" fillId="16" borderId="1" applyNumberFormat="0" applyAlignment="0" applyProtection="0"/>
    <xf numFmtId="0" fontId="53" fillId="17" borderId="2" applyNumberFormat="0" applyAlignment="0" applyProtection="0"/>
    <xf numFmtId="0" fontId="53" fillId="17" borderId="2" applyNumberFormat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6" fillId="0" borderId="3" applyNumberFormat="0" applyFill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7" borderId="1" applyNumberFormat="0" applyAlignment="0" applyProtection="0"/>
    <xf numFmtId="0" fontId="59" fillId="7" borderId="1" applyNumberFormat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177" fontId="24" fillId="0" borderId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1" fillId="0" borderId="0"/>
    <xf numFmtId="0" fontId="12" fillId="0" borderId="0"/>
    <xf numFmtId="0" fontId="12" fillId="0" borderId="0"/>
    <xf numFmtId="37" fontId="24" fillId="0" borderId="0"/>
    <xf numFmtId="37" fontId="15" fillId="0" borderId="0"/>
    <xf numFmtId="0" fontId="3" fillId="0" borderId="0"/>
    <xf numFmtId="0" fontId="3" fillId="0" borderId="0"/>
    <xf numFmtId="37" fontId="3" fillId="0" borderId="0"/>
    <xf numFmtId="37" fontId="3" fillId="0" borderId="0"/>
    <xf numFmtId="37" fontId="3" fillId="0" borderId="0"/>
    <xf numFmtId="10" fontId="3" fillId="0" borderId="0"/>
    <xf numFmtId="0" fontId="3" fillId="0" borderId="0"/>
    <xf numFmtId="0" fontId="15" fillId="4" borderId="7" applyNumberFormat="0" applyFont="0" applyAlignment="0" applyProtection="0"/>
    <xf numFmtId="0" fontId="15" fillId="4" borderId="7" applyNumberFormat="0" applyFont="0" applyAlignment="0" applyProtection="0"/>
    <xf numFmtId="0" fontId="62" fillId="16" borderId="8" applyNumberFormat="0" applyAlignment="0" applyProtection="0"/>
    <xf numFmtId="0" fontId="62" fillId="16" borderId="8" applyNumberForma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473">
    <xf numFmtId="37" fontId="0" fillId="0" borderId="0" xfId="0"/>
    <xf numFmtId="0" fontId="4" fillId="0" borderId="0" xfId="88" applyFont="1"/>
    <xf numFmtId="0" fontId="4" fillId="0" borderId="0" xfId="88" applyFont="1" applyFill="1"/>
    <xf numFmtId="37" fontId="4" fillId="0" borderId="0" xfId="90" applyFont="1" applyAlignment="1" applyProtection="1">
      <alignment horizontal="center"/>
    </xf>
    <xf numFmtId="37" fontId="4" fillId="0" borderId="0" xfId="90" applyFont="1" applyProtection="1"/>
    <xf numFmtId="37" fontId="4" fillId="0" borderId="0" xfId="90" applyFont="1"/>
    <xf numFmtId="37" fontId="5" fillId="0" borderId="0" xfId="0" applyFont="1" applyAlignment="1">
      <alignment horizontal="centerContinuous"/>
    </xf>
    <xf numFmtId="37" fontId="4" fillId="0" borderId="0" xfId="90" applyFont="1" applyAlignment="1">
      <alignment horizontal="centerContinuous"/>
    </xf>
    <xf numFmtId="37" fontId="4" fillId="0" borderId="0" xfId="90" applyFont="1" applyAlignment="1" applyProtection="1">
      <alignment horizontal="left"/>
    </xf>
    <xf numFmtId="10" fontId="4" fillId="0" borderId="0" xfId="90" applyNumberFormat="1" applyFont="1" applyProtection="1"/>
    <xf numFmtId="37" fontId="4" fillId="0" borderId="0" xfId="90" applyNumberFormat="1" applyFont="1" applyProtection="1"/>
    <xf numFmtId="37" fontId="4" fillId="0" borderId="0" xfId="90" applyFont="1" applyAlignment="1">
      <alignment horizontal="center"/>
    </xf>
    <xf numFmtId="15" fontId="4" fillId="0" borderId="0" xfId="90" applyNumberFormat="1" applyFont="1" applyProtection="1"/>
    <xf numFmtId="7" fontId="4" fillId="0" borderId="0" xfId="90" applyNumberFormat="1" applyFont="1" applyProtection="1"/>
    <xf numFmtId="168" fontId="4" fillId="0" borderId="0" xfId="90" applyNumberFormat="1" applyFont="1" applyProtection="1"/>
    <xf numFmtId="1" fontId="4" fillId="0" borderId="0" xfId="93" applyNumberFormat="1" applyFont="1" applyProtection="1"/>
    <xf numFmtId="10" fontId="4" fillId="0" borderId="0" xfId="93" applyFont="1"/>
    <xf numFmtId="10" fontId="4" fillId="0" borderId="0" xfId="93" applyFont="1" applyAlignment="1">
      <alignment horizontal="centerContinuous"/>
    </xf>
    <xf numFmtId="1" fontId="4" fillId="0" borderId="0" xfId="93" applyNumberFormat="1" applyFont="1" applyAlignment="1" applyProtection="1">
      <alignment horizontal="center"/>
    </xf>
    <xf numFmtId="37" fontId="4" fillId="0" borderId="0" xfId="0" applyFont="1"/>
    <xf numFmtId="5" fontId="4" fillId="0" borderId="0" xfId="93" applyNumberFormat="1" applyFont="1" applyProtection="1"/>
    <xf numFmtId="165" fontId="4" fillId="0" borderId="0" xfId="93" applyNumberFormat="1" applyFont="1" applyProtection="1"/>
    <xf numFmtId="10" fontId="4" fillId="0" borderId="0" xfId="93" applyNumberFormat="1" applyFont="1" applyProtection="1"/>
    <xf numFmtId="37" fontId="4" fillId="0" borderId="0" xfId="91" applyFont="1"/>
    <xf numFmtId="37" fontId="4" fillId="0" borderId="0" xfId="91" applyFont="1" applyAlignment="1" applyProtection="1">
      <alignment horizontal="center"/>
    </xf>
    <xf numFmtId="37" fontId="6" fillId="0" borderId="0" xfId="91" applyFont="1" applyAlignment="1">
      <alignment horizontal="center"/>
    </xf>
    <xf numFmtId="5" fontId="4" fillId="0" borderId="0" xfId="91" applyNumberFormat="1" applyFont="1"/>
    <xf numFmtId="37" fontId="7" fillId="0" borderId="0" xfId="91" applyFont="1" applyFill="1"/>
    <xf numFmtId="15" fontId="4" fillId="0" borderId="0" xfId="91" applyNumberFormat="1" applyFont="1" applyProtection="1"/>
    <xf numFmtId="0" fontId="4" fillId="0" borderId="0" xfId="94" applyFont="1" applyAlignment="1" applyProtection="1">
      <alignment horizontal="left"/>
    </xf>
    <xf numFmtId="0" fontId="9" fillId="0" borderId="0" xfId="94" applyFont="1"/>
    <xf numFmtId="0" fontId="5" fillId="0" borderId="0" xfId="94" applyFont="1"/>
    <xf numFmtId="5" fontId="5" fillId="0" borderId="0" xfId="94" applyNumberFormat="1" applyFont="1" applyProtection="1"/>
    <xf numFmtId="37" fontId="2" fillId="0" borderId="0" xfId="90" applyFont="1" applyAlignment="1" applyProtection="1">
      <alignment horizontal="centerContinuous"/>
    </xf>
    <xf numFmtId="37" fontId="15" fillId="0" borderId="0" xfId="0" applyFont="1"/>
    <xf numFmtId="37" fontId="17" fillId="0" borderId="0" xfId="0" applyFont="1"/>
    <xf numFmtId="15" fontId="15" fillId="0" borderId="0" xfId="0" applyNumberFormat="1" applyFont="1" applyAlignment="1">
      <alignment horizontal="left"/>
    </xf>
    <xf numFmtId="37" fontId="15" fillId="0" borderId="0" xfId="0" applyFont="1" applyBorder="1"/>
    <xf numFmtId="37" fontId="19" fillId="0" borderId="0" xfId="0" applyFont="1" applyBorder="1" applyAlignment="1">
      <alignment horizontal="right"/>
    </xf>
    <xf numFmtId="37" fontId="19" fillId="0" borderId="0" xfId="0" applyFont="1" applyBorder="1" applyAlignment="1">
      <alignment horizontal="center"/>
    </xf>
    <xf numFmtId="14" fontId="15" fillId="0" borderId="0" xfId="0" applyNumberFormat="1" applyFont="1" applyFill="1" applyBorder="1"/>
    <xf numFmtId="170" fontId="15" fillId="0" borderId="0" xfId="55" applyNumberFormat="1" applyFont="1" applyBorder="1"/>
    <xf numFmtId="166" fontId="17" fillId="0" borderId="0" xfId="0" applyNumberFormat="1" applyFont="1" applyAlignment="1">
      <alignment horizontal="left"/>
    </xf>
    <xf numFmtId="37" fontId="11" fillId="0" borderId="0" xfId="91" applyFont="1" applyFill="1" applyAlignment="1">
      <alignment horizontal="center"/>
    </xf>
    <xf numFmtId="5" fontId="7" fillId="0" borderId="0" xfId="91" applyNumberFormat="1" applyFont="1" applyFill="1"/>
    <xf numFmtId="37" fontId="7" fillId="0" borderId="0" xfId="91" applyFont="1" applyFill="1" applyAlignment="1">
      <alignment horizontal="center"/>
    </xf>
    <xf numFmtId="37" fontId="7" fillId="0" borderId="0" xfId="0" applyFont="1" applyFill="1"/>
    <xf numFmtId="10" fontId="7" fillId="0" borderId="0" xfId="0" applyNumberFormat="1" applyFont="1" applyFill="1" applyAlignment="1">
      <alignment horizontal="left"/>
    </xf>
    <xf numFmtId="15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/>
    <xf numFmtId="2" fontId="7" fillId="0" borderId="0" xfId="0" applyNumberFormat="1" applyFont="1" applyFill="1"/>
    <xf numFmtId="10" fontId="7" fillId="0" borderId="0" xfId="0" applyNumberFormat="1" applyFont="1" applyFill="1"/>
    <xf numFmtId="5" fontId="7" fillId="0" borderId="0" xfId="91" applyNumberFormat="1" applyFont="1" applyFill="1" applyProtection="1"/>
    <xf numFmtId="37" fontId="11" fillId="0" borderId="0" xfId="91" applyFont="1" applyFill="1" applyAlignment="1" applyProtection="1">
      <alignment horizontal="center"/>
    </xf>
    <xf numFmtId="10" fontId="7" fillId="0" borderId="0" xfId="91" applyNumberFormat="1" applyFont="1" applyFill="1" applyProtection="1"/>
    <xf numFmtId="168" fontId="7" fillId="0" borderId="0" xfId="91" applyNumberFormat="1" applyFont="1" applyFill="1" applyAlignment="1" applyProtection="1">
      <alignment horizontal="fill"/>
    </xf>
    <xf numFmtId="166" fontId="4" fillId="0" borderId="0" xfId="91" applyNumberFormat="1" applyFont="1" applyFill="1"/>
    <xf numFmtId="0" fontId="15" fillId="0" borderId="0" xfId="94" applyFont="1"/>
    <xf numFmtId="0" fontId="16" fillId="0" borderId="0" xfId="94" quotePrefix="1" applyFont="1" applyFill="1" applyAlignment="1" applyProtection="1">
      <alignment horizontal="center"/>
    </xf>
    <xf numFmtId="0" fontId="15" fillId="0" borderId="0" xfId="94" applyFont="1" applyFill="1"/>
    <xf numFmtId="0" fontId="17" fillId="0" borderId="0" xfId="94" applyFont="1" applyFill="1" applyAlignment="1" applyProtection="1">
      <alignment horizontal="center"/>
    </xf>
    <xf numFmtId="14" fontId="15" fillId="0" borderId="0" xfId="94" applyNumberFormat="1" applyFont="1" applyFill="1"/>
    <xf numFmtId="0" fontId="23" fillId="0" borderId="10" xfId="94" applyFont="1" applyFill="1" applyBorder="1" applyAlignment="1" applyProtection="1">
      <alignment horizontal="center" wrapText="1"/>
    </xf>
    <xf numFmtId="0" fontId="22" fillId="0" borderId="10" xfId="94" applyFont="1" applyFill="1" applyBorder="1" applyAlignment="1">
      <alignment horizontal="center"/>
    </xf>
    <xf numFmtId="7" fontId="15" fillId="0" borderId="0" xfId="94" applyNumberFormat="1" applyFont="1" applyFill="1"/>
    <xf numFmtId="0" fontId="17" fillId="0" borderId="0" xfId="94" quotePrefix="1" applyFont="1" applyFill="1" applyAlignment="1" applyProtection="1">
      <alignment horizontal="left"/>
    </xf>
    <xf numFmtId="37" fontId="12" fillId="0" borderId="0" xfId="90" applyFont="1"/>
    <xf numFmtId="37" fontId="14" fillId="0" borderId="0" xfId="90" applyFont="1"/>
    <xf numFmtId="37" fontId="14" fillId="0" borderId="0" xfId="90" applyFont="1" applyAlignment="1" applyProtection="1">
      <alignment horizontal="center"/>
    </xf>
    <xf numFmtId="37" fontId="26" fillId="0" borderId="0" xfId="90" applyFont="1" applyAlignment="1" applyProtection="1">
      <alignment horizontal="center"/>
    </xf>
    <xf numFmtId="37" fontId="12" fillId="0" borderId="0" xfId="90" applyFont="1" applyAlignment="1" applyProtection="1">
      <alignment horizontal="left"/>
    </xf>
    <xf numFmtId="37" fontId="12" fillId="0" borderId="0" xfId="90" applyFont="1" applyAlignment="1" applyProtection="1">
      <alignment horizontal="fill"/>
    </xf>
    <xf numFmtId="37" fontId="12" fillId="0" borderId="0" xfId="90" applyFont="1" applyAlignment="1" applyProtection="1">
      <alignment horizontal="center"/>
    </xf>
    <xf numFmtId="10" fontId="12" fillId="0" borderId="0" xfId="90" applyNumberFormat="1" applyFont="1" applyProtection="1"/>
    <xf numFmtId="37" fontId="12" fillId="0" borderId="0" xfId="90" applyNumberFormat="1" applyFont="1" applyProtection="1"/>
    <xf numFmtId="5" fontId="12" fillId="0" borderId="0" xfId="90" applyNumberFormat="1" applyFont="1" applyProtection="1"/>
    <xf numFmtId="5" fontId="12" fillId="0" borderId="0" xfId="90" applyNumberFormat="1" applyFont="1"/>
    <xf numFmtId="5" fontId="28" fillId="0" borderId="0" xfId="90" applyNumberFormat="1" applyFont="1"/>
    <xf numFmtId="5" fontId="28" fillId="0" borderId="0" xfId="90" applyNumberFormat="1" applyFont="1" applyProtection="1"/>
    <xf numFmtId="37" fontId="14" fillId="0" borderId="11" xfId="90" applyFont="1" applyBorder="1" applyAlignment="1" applyProtection="1">
      <alignment horizontal="left"/>
    </xf>
    <xf numFmtId="5" fontId="14" fillId="0" borderId="12" xfId="90" applyNumberFormat="1" applyFont="1" applyBorder="1" applyProtection="1"/>
    <xf numFmtId="5" fontId="14" fillId="0" borderId="12" xfId="90" applyNumberFormat="1" applyFont="1" applyBorder="1"/>
    <xf numFmtId="5" fontId="29" fillId="0" borderId="0" xfId="90" applyNumberFormat="1" applyFont="1" applyFill="1" applyProtection="1"/>
    <xf numFmtId="5" fontId="29" fillId="0" borderId="0" xfId="90" applyNumberFormat="1" applyFont="1" applyProtection="1"/>
    <xf numFmtId="5" fontId="29" fillId="0" borderId="0" xfId="90" applyNumberFormat="1" applyFont="1"/>
    <xf numFmtId="170" fontId="29" fillId="0" borderId="0" xfId="55" applyNumberFormat="1" applyFont="1"/>
    <xf numFmtId="5" fontId="30" fillId="0" borderId="0" xfId="90" applyNumberFormat="1" applyFont="1"/>
    <xf numFmtId="5" fontId="30" fillId="0" borderId="0" xfId="90" applyNumberFormat="1" applyFont="1" applyProtection="1"/>
    <xf numFmtId="37" fontId="0" fillId="0" borderId="0" xfId="0" applyBorder="1"/>
    <xf numFmtId="0" fontId="8" fillId="0" borderId="0" xfId="88" applyFont="1"/>
    <xf numFmtId="0" fontId="8" fillId="0" borderId="0" xfId="88" applyFont="1" applyFill="1"/>
    <xf numFmtId="164" fontId="8" fillId="0" borderId="0" xfId="88" applyNumberFormat="1" applyFont="1"/>
    <xf numFmtId="175" fontId="8" fillId="0" borderId="0" xfId="88" applyNumberFormat="1" applyFont="1" applyFill="1" applyBorder="1" applyProtection="1"/>
    <xf numFmtId="0" fontId="8" fillId="0" borderId="0" xfId="88" applyFont="1" applyBorder="1"/>
    <xf numFmtId="0" fontId="4" fillId="0" borderId="0" xfId="88" applyFont="1" applyBorder="1"/>
    <xf numFmtId="164" fontId="33" fillId="0" borderId="0" xfId="88" applyNumberFormat="1" applyFont="1" applyFill="1" applyProtection="1"/>
    <xf numFmtId="175" fontId="33" fillId="0" borderId="0" xfId="88" applyNumberFormat="1" applyFont="1" applyFill="1" applyProtection="1"/>
    <xf numFmtId="164" fontId="33" fillId="0" borderId="0" xfId="88" applyNumberFormat="1" applyFont="1" applyFill="1" applyBorder="1" applyProtection="1"/>
    <xf numFmtId="175" fontId="33" fillId="0" borderId="0" xfId="88" applyNumberFormat="1" applyFont="1" applyFill="1" applyBorder="1" applyProtection="1"/>
    <xf numFmtId="17" fontId="18" fillId="0" borderId="0" xfId="88" applyNumberFormat="1" applyFont="1" applyFill="1" applyAlignment="1" applyProtection="1">
      <alignment horizontal="center"/>
    </xf>
    <xf numFmtId="0" fontId="18" fillId="0" borderId="0" xfId="88" applyFont="1" applyAlignment="1" applyProtection="1">
      <alignment horizontal="center" wrapText="1"/>
    </xf>
    <xf numFmtId="0" fontId="17" fillId="0" borderId="0" xfId="88" applyFont="1" applyAlignment="1">
      <alignment horizontal="centerContinuous"/>
    </xf>
    <xf numFmtId="10" fontId="14" fillId="0" borderId="0" xfId="93" applyFont="1" applyAlignment="1">
      <alignment horizontal="centerContinuous"/>
    </xf>
    <xf numFmtId="10" fontId="12" fillId="0" borderId="0" xfId="93" applyFont="1"/>
    <xf numFmtId="10" fontId="12" fillId="0" borderId="0" xfId="93" applyFont="1" applyAlignment="1">
      <alignment horizontal="center"/>
    </xf>
    <xf numFmtId="10" fontId="14" fillId="0" borderId="0" xfId="93" applyFont="1" applyAlignment="1">
      <alignment horizontal="center"/>
    </xf>
    <xf numFmtId="10" fontId="14" fillId="0" borderId="0" xfId="93" applyFont="1" applyAlignment="1" applyProtection="1">
      <alignment horizontal="center"/>
    </xf>
    <xf numFmtId="10" fontId="26" fillId="0" borderId="0" xfId="93" applyFont="1" applyAlignment="1" applyProtection="1">
      <alignment horizontal="center"/>
    </xf>
    <xf numFmtId="10" fontId="12" fillId="0" borderId="0" xfId="93" applyFont="1" applyAlignment="1" applyProtection="1">
      <alignment horizontal="left"/>
    </xf>
    <xf numFmtId="10" fontId="14" fillId="0" borderId="0" xfId="93" applyFont="1" applyAlignment="1" applyProtection="1">
      <alignment horizontal="left"/>
    </xf>
    <xf numFmtId="10" fontId="14" fillId="0" borderId="0" xfId="93" applyFont="1"/>
    <xf numFmtId="10" fontId="12" fillId="0" borderId="0" xfId="93" applyFont="1" applyBorder="1"/>
    <xf numFmtId="0" fontId="17" fillId="0" borderId="0" xfId="94" quotePrefix="1" applyFont="1" applyFill="1" applyBorder="1" applyAlignment="1" applyProtection="1">
      <alignment horizontal="left"/>
    </xf>
    <xf numFmtId="0" fontId="23" fillId="0" borderId="10" xfId="94" applyFont="1" applyFill="1" applyBorder="1" applyAlignment="1" applyProtection="1">
      <alignment horizontal="left"/>
    </xf>
    <xf numFmtId="168" fontId="15" fillId="0" borderId="0" xfId="94" applyNumberFormat="1" applyFont="1" applyFill="1" applyAlignment="1">
      <alignment horizontal="left"/>
    </xf>
    <xf numFmtId="15" fontId="15" fillId="0" borderId="0" xfId="94" applyNumberFormat="1" applyFont="1" applyFill="1" applyAlignment="1">
      <alignment horizontal="center"/>
    </xf>
    <xf numFmtId="174" fontId="15" fillId="0" borderId="0" xfId="94" applyNumberFormat="1" applyFont="1" applyFill="1"/>
    <xf numFmtId="15" fontId="32" fillId="0" borderId="0" xfId="94" applyNumberFormat="1" applyFont="1" applyBorder="1" applyAlignment="1">
      <alignment horizontal="left"/>
    </xf>
    <xf numFmtId="0" fontId="21" fillId="0" borderId="0" xfId="94" applyFont="1"/>
    <xf numFmtId="0" fontId="32" fillId="0" borderId="0" xfId="94" quotePrefix="1" applyFont="1" applyAlignment="1">
      <alignment horizontal="left"/>
    </xf>
    <xf numFmtId="37" fontId="32" fillId="0" borderId="0" xfId="0" applyFont="1" applyBorder="1"/>
    <xf numFmtId="37" fontId="21" fillId="0" borderId="0" xfId="0" applyFont="1" applyBorder="1"/>
    <xf numFmtId="0" fontId="34" fillId="0" borderId="0" xfId="88" applyFont="1" applyAlignment="1" applyProtection="1">
      <alignment horizontal="center" wrapText="1"/>
    </xf>
    <xf numFmtId="172" fontId="17" fillId="0" borderId="0" xfId="94" applyNumberFormat="1" applyFont="1" applyFill="1" applyAlignment="1">
      <alignment horizontal="left"/>
    </xf>
    <xf numFmtId="39" fontId="0" fillId="0" borderId="0" xfId="0" applyNumberFormat="1"/>
    <xf numFmtId="37" fontId="24" fillId="0" borderId="13" xfId="0" applyFont="1" applyBorder="1"/>
    <xf numFmtId="37" fontId="17" fillId="0" borderId="0" xfId="0" applyFont="1" applyBorder="1" applyAlignment="1">
      <alignment horizontal="left"/>
    </xf>
    <xf numFmtId="37" fontId="23" fillId="0" borderId="0" xfId="90" applyFont="1" applyAlignment="1" applyProtection="1">
      <alignment horizontal="center"/>
    </xf>
    <xf numFmtId="37" fontId="24" fillId="0" borderId="0" xfId="92" applyFont="1" applyBorder="1" applyAlignment="1" applyProtection="1">
      <alignment horizontal="left"/>
    </xf>
    <xf numFmtId="1" fontId="15" fillId="0" borderId="0" xfId="93" applyNumberFormat="1" applyFont="1" applyAlignment="1" applyProtection="1">
      <alignment horizontal="center"/>
    </xf>
    <xf numFmtId="37" fontId="17" fillId="0" borderId="0" xfId="90" applyFont="1" applyAlignment="1" applyProtection="1">
      <alignment horizontal="left"/>
    </xf>
    <xf numFmtId="37" fontId="25" fillId="0" borderId="0" xfId="90" applyFont="1" applyAlignment="1" applyProtection="1">
      <alignment horizontal="left"/>
    </xf>
    <xf numFmtId="37" fontId="24" fillId="0" borderId="0" xfId="91" applyNumberFormat="1" applyFont="1" applyAlignment="1">
      <alignment horizontal="center"/>
    </xf>
    <xf numFmtId="37" fontId="36" fillId="0" borderId="0" xfId="91" applyFont="1"/>
    <xf numFmtId="37" fontId="23" fillId="0" borderId="0" xfId="91" applyNumberFormat="1" applyFont="1"/>
    <xf numFmtId="37" fontId="24" fillId="0" borderId="0" xfId="91" applyNumberFormat="1" applyFont="1"/>
    <xf numFmtId="37" fontId="24" fillId="0" borderId="0" xfId="0" applyNumberFormat="1" applyFont="1"/>
    <xf numFmtId="171" fontId="24" fillId="0" borderId="0" xfId="0" applyNumberFormat="1" applyFont="1"/>
    <xf numFmtId="37" fontId="23" fillId="0" borderId="0" xfId="91" applyNumberFormat="1" applyFont="1" applyAlignment="1" applyProtection="1">
      <alignment horizontal="left"/>
    </xf>
    <xf numFmtId="38" fontId="12" fillId="0" borderId="0" xfId="93" applyNumberFormat="1" applyFont="1"/>
    <xf numFmtId="0" fontId="24" fillId="0" borderId="0" xfId="88" applyFont="1" applyAlignment="1" applyProtection="1">
      <alignment horizontal="left"/>
    </xf>
    <xf numFmtId="0" fontId="24" fillId="0" borderId="0" xfId="88" applyFont="1"/>
    <xf numFmtId="0" fontId="23" fillId="0" borderId="0" xfId="88" applyFont="1" applyAlignment="1" applyProtection="1">
      <alignment horizontal="left"/>
    </xf>
    <xf numFmtId="0" fontId="23" fillId="0" borderId="0" xfId="88" applyFont="1" applyAlignment="1" applyProtection="1">
      <alignment horizontal="centerContinuous"/>
    </xf>
    <xf numFmtId="0" fontId="36" fillId="0" borderId="0" xfId="88" applyFont="1" applyFill="1" applyAlignment="1">
      <alignment horizontal="centerContinuous"/>
    </xf>
    <xf numFmtId="0" fontId="36" fillId="0" borderId="0" xfId="88" applyFont="1" applyAlignment="1">
      <alignment horizontal="centerContinuous"/>
    </xf>
    <xf numFmtId="37" fontId="15" fillId="0" borderId="14" xfId="0" applyFont="1" applyBorder="1" applyAlignment="1">
      <alignment horizontal="centerContinuous"/>
    </xf>
    <xf numFmtId="7" fontId="15" fillId="0" borderId="0" xfId="59" applyNumberFormat="1" applyFont="1" applyBorder="1"/>
    <xf numFmtId="5" fontId="15" fillId="0" borderId="0" xfId="94" applyNumberFormat="1" applyFont="1" applyProtection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4" fillId="0" borderId="0" xfId="91" applyNumberFormat="1" applyFont="1" applyAlignment="1" applyProtection="1">
      <alignment horizontal="centerContinuous"/>
    </xf>
    <xf numFmtId="37" fontId="24" fillId="0" borderId="0" xfId="91" applyNumberFormat="1" applyFont="1" applyAlignment="1">
      <alignment horizontal="centerContinuous"/>
    </xf>
    <xf numFmtId="37" fontId="24" fillId="0" borderId="0" xfId="0" applyNumberFormat="1" applyFont="1" applyAlignment="1">
      <alignment horizontal="centerContinuous"/>
    </xf>
    <xf numFmtId="166" fontId="24" fillId="0" borderId="0" xfId="91" applyNumberFormat="1" applyFont="1" applyFill="1" applyAlignment="1">
      <alignment horizontal="centerContinuous"/>
    </xf>
    <xf numFmtId="166" fontId="24" fillId="0" borderId="0" xfId="0" applyNumberFormat="1" applyFont="1" applyFill="1" applyAlignment="1">
      <alignment horizontal="centerContinuous"/>
    </xf>
    <xf numFmtId="166" fontId="24" fillId="0" borderId="0" xfId="91" applyNumberFormat="1" applyFont="1" applyFill="1" applyAlignment="1" applyProtection="1">
      <alignment horizontal="centerContinuous"/>
    </xf>
    <xf numFmtId="37" fontId="24" fillId="0" borderId="0" xfId="0" applyFont="1"/>
    <xf numFmtId="14" fontId="24" fillId="0" borderId="0" xfId="0" applyNumberFormat="1" applyFont="1" applyBorder="1"/>
    <xf numFmtId="37" fontId="23" fillId="0" borderId="0" xfId="0" applyFont="1" applyBorder="1"/>
    <xf numFmtId="175" fontId="33" fillId="0" borderId="19" xfId="88" applyNumberFormat="1" applyFont="1" applyFill="1" applyBorder="1" applyProtection="1"/>
    <xf numFmtId="164" fontId="33" fillId="0" borderId="19" xfId="88" applyNumberFormat="1" applyFont="1" applyFill="1" applyBorder="1" applyProtection="1"/>
    <xf numFmtId="175" fontId="33" fillId="0" borderId="20" xfId="88" applyNumberFormat="1" applyFont="1" applyFill="1" applyBorder="1" applyProtection="1"/>
    <xf numFmtId="5" fontId="12" fillId="0" borderId="0" xfId="55" applyNumberFormat="1" applyFont="1" applyAlignment="1" applyProtection="1"/>
    <xf numFmtId="10" fontId="12" fillId="0" borderId="0" xfId="93" applyFont="1" applyAlignment="1" applyProtection="1"/>
    <xf numFmtId="5" fontId="12" fillId="0" borderId="0" xfId="93" applyNumberFormat="1" applyFont="1" applyAlignment="1" applyProtection="1"/>
    <xf numFmtId="10" fontId="12" fillId="0" borderId="0" xfId="93" applyFont="1" applyBorder="1" applyAlignment="1" applyProtection="1"/>
    <xf numFmtId="5" fontId="12" fillId="0" borderId="0" xfId="93" applyNumberFormat="1" applyFont="1" applyAlignment="1"/>
    <xf numFmtId="5" fontId="28" fillId="0" borderId="0" xfId="93" applyNumberFormat="1" applyFont="1" applyBorder="1" applyAlignment="1" applyProtection="1"/>
    <xf numFmtId="165" fontId="12" fillId="0" borderId="0" xfId="93" applyNumberFormat="1" applyFont="1" applyBorder="1" applyAlignment="1" applyProtection="1"/>
    <xf numFmtId="5" fontId="35" fillId="0" borderId="0" xfId="93" applyNumberFormat="1" applyFont="1" applyBorder="1" applyAlignment="1" applyProtection="1"/>
    <xf numFmtId="10" fontId="35" fillId="0" borderId="0" xfId="93" applyFont="1" applyBorder="1" applyAlignment="1"/>
    <xf numFmtId="5" fontId="33" fillId="0" borderId="0" xfId="88" applyNumberFormat="1" applyFont="1" applyFill="1" applyProtection="1"/>
    <xf numFmtId="37" fontId="24" fillId="0" borderId="0" xfId="91" applyNumberFormat="1" applyFont="1" applyAlignment="1">
      <alignment horizontal="right"/>
    </xf>
    <xf numFmtId="37" fontId="38" fillId="0" borderId="0" xfId="90" applyFont="1" applyAlignment="1" applyProtection="1">
      <alignment horizontal="center"/>
    </xf>
    <xf numFmtId="37" fontId="33" fillId="0" borderId="0" xfId="88" applyNumberFormat="1" applyFont="1" applyFill="1" applyProtection="1"/>
    <xf numFmtId="10" fontId="12" fillId="0" borderId="0" xfId="93" applyNumberFormat="1" applyFont="1" applyAlignment="1" applyProtection="1"/>
    <xf numFmtId="10" fontId="24" fillId="0" borderId="0" xfId="0" applyNumberFormat="1" applyFont="1"/>
    <xf numFmtId="37" fontId="17" fillId="0" borderId="0" xfId="0" applyFont="1" applyFill="1" applyBorder="1" applyAlignment="1">
      <alignment horizontal="left"/>
    </xf>
    <xf numFmtId="37" fontId="15" fillId="0" borderId="15" xfId="0" applyFont="1" applyBorder="1" applyAlignment="1">
      <alignment horizontal="centerContinuous"/>
    </xf>
    <xf numFmtId="37" fontId="17" fillId="0" borderId="16" xfId="0" applyFont="1" applyFill="1" applyBorder="1" applyAlignment="1">
      <alignment horizontal="left"/>
    </xf>
    <xf numFmtId="170" fontId="15" fillId="0" borderId="17" xfId="55" applyNumberFormat="1" applyFont="1" applyBorder="1"/>
    <xf numFmtId="37" fontId="23" fillId="0" borderId="17" xfId="0" applyFont="1" applyBorder="1"/>
    <xf numFmtId="37" fontId="0" fillId="0" borderId="21" xfId="0" applyBorder="1"/>
    <xf numFmtId="37" fontId="17" fillId="0" borderId="18" xfId="0" applyFont="1" applyFill="1" applyBorder="1" applyAlignment="1">
      <alignment horizontal="left"/>
    </xf>
    <xf numFmtId="7" fontId="15" fillId="0" borderId="18" xfId="59" applyNumberFormat="1" applyFont="1" applyBorder="1"/>
    <xf numFmtId="10" fontId="14" fillId="0" borderId="0" xfId="90" applyNumberFormat="1" applyFont="1" applyProtection="1"/>
    <xf numFmtId="37" fontId="24" fillId="0" borderId="0" xfId="90" applyFont="1" applyAlignment="1" applyProtection="1">
      <alignment horizontal="center"/>
    </xf>
    <xf numFmtId="1" fontId="24" fillId="0" borderId="0" xfId="93" applyNumberFormat="1" applyFont="1" applyAlignment="1" applyProtection="1">
      <alignment horizontal="center"/>
    </xf>
    <xf numFmtId="5" fontId="12" fillId="0" borderId="0" xfId="93" applyNumberFormat="1" applyFont="1"/>
    <xf numFmtId="10" fontId="4" fillId="0" borderId="0" xfId="93" applyFont="1" applyBorder="1"/>
    <xf numFmtId="1" fontId="15" fillId="0" borderId="0" xfId="93" applyNumberFormat="1" applyFont="1" applyFill="1" applyAlignment="1" applyProtection="1">
      <alignment horizontal="center"/>
    </xf>
    <xf numFmtId="164" fontId="33" fillId="0" borderId="22" xfId="88" applyNumberFormat="1" applyFont="1" applyFill="1" applyBorder="1" applyProtection="1"/>
    <xf numFmtId="17" fontId="43" fillId="0" borderId="0" xfId="88" applyNumberFormat="1" applyFont="1" applyFill="1" applyAlignment="1" applyProtection="1">
      <alignment horizontal="center"/>
    </xf>
    <xf numFmtId="175" fontId="42" fillId="0" borderId="0" xfId="88" applyNumberFormat="1" applyFont="1" applyFill="1" applyBorder="1" applyProtection="1"/>
    <xf numFmtId="164" fontId="24" fillId="0" borderId="0" xfId="88" applyNumberFormat="1" applyFont="1" applyFill="1" applyBorder="1" applyProtection="1"/>
    <xf numFmtId="0" fontId="17" fillId="0" borderId="0" xfId="94" quotePrefix="1" applyFont="1" applyFill="1" applyBorder="1" applyAlignment="1" applyProtection="1">
      <alignment horizontal="centerContinuous" vertical="center" wrapText="1"/>
    </xf>
    <xf numFmtId="172" fontId="43" fillId="0" borderId="0" xfId="94" quotePrefix="1" applyNumberFormat="1" applyFont="1" applyFill="1" applyBorder="1" applyAlignment="1" applyProtection="1">
      <alignment horizontal="centerContinuous" vertical="center" wrapText="1"/>
    </xf>
    <xf numFmtId="168" fontId="15" fillId="0" borderId="0" xfId="99" applyNumberFormat="1" applyFont="1"/>
    <xf numFmtId="178" fontId="15" fillId="0" borderId="0" xfId="99" applyNumberFormat="1" applyFont="1"/>
    <xf numFmtId="37" fontId="15" fillId="0" borderId="16" xfId="0" applyFont="1" applyFill="1" applyBorder="1"/>
    <xf numFmtId="37" fontId="15" fillId="0" borderId="0" xfId="0" applyFont="1" applyFill="1" applyBorder="1"/>
    <xf numFmtId="44" fontId="20" fillId="0" borderId="0" xfId="59" applyFont="1" applyFill="1" applyBorder="1"/>
    <xf numFmtId="167" fontId="20" fillId="0" borderId="0" xfId="0" applyNumberFormat="1" applyFont="1" applyFill="1" applyBorder="1"/>
    <xf numFmtId="37" fontId="15" fillId="0" borderId="18" xfId="0" applyFont="1" applyFill="1" applyBorder="1"/>
    <xf numFmtId="170" fontId="15" fillId="0" borderId="0" xfId="55" applyNumberFormat="1" applyFont="1" applyFill="1" applyBorder="1"/>
    <xf numFmtId="168" fontId="29" fillId="0" borderId="0" xfId="90" applyNumberFormat="1" applyFont="1" applyProtection="1"/>
    <xf numFmtId="168" fontId="29" fillId="0" borderId="0" xfId="90" applyNumberFormat="1" applyFont="1"/>
    <xf numFmtId="37" fontId="15" fillId="0" borderId="0" xfId="0" applyFont="1" applyFill="1" applyBorder="1" applyAlignment="1">
      <alignment horizontal="center"/>
    </xf>
    <xf numFmtId="37" fontId="19" fillId="0" borderId="0" xfId="0" applyFont="1" applyFill="1" applyBorder="1" applyAlignment="1">
      <alignment horizontal="center"/>
    </xf>
    <xf numFmtId="10" fontId="23" fillId="18" borderId="23" xfId="91" applyNumberFormat="1" applyFont="1" applyFill="1" applyBorder="1" applyProtection="1"/>
    <xf numFmtId="10" fontId="14" fillId="18" borderId="23" xfId="90" applyNumberFormat="1" applyFont="1" applyFill="1" applyBorder="1" applyAlignment="1" applyProtection="1">
      <alignment horizontal="center"/>
    </xf>
    <xf numFmtId="175" fontId="34" fillId="18" borderId="23" xfId="88" applyNumberFormat="1" applyFont="1" applyFill="1" applyBorder="1" applyProtection="1"/>
    <xf numFmtId="164" fontId="34" fillId="18" borderId="23" xfId="88" applyNumberFormat="1" applyFont="1" applyFill="1" applyBorder="1" applyProtection="1"/>
    <xf numFmtId="37" fontId="15" fillId="0" borderId="0" xfId="0" applyFont="1" applyBorder="1" applyAlignment="1">
      <alignment horizontal="center"/>
    </xf>
    <xf numFmtId="37" fontId="11" fillId="0" borderId="0" xfId="91" applyFont="1" applyAlignment="1">
      <alignment horizontal="center"/>
    </xf>
    <xf numFmtId="37" fontId="37" fillId="0" borderId="0" xfId="0" applyFont="1" applyAlignment="1">
      <alignment horizontal="right"/>
    </xf>
    <xf numFmtId="0" fontId="23" fillId="0" borderId="0" xfId="94" applyFont="1" applyFill="1" applyBorder="1" applyAlignment="1" applyProtection="1">
      <alignment horizontal="center" wrapText="1"/>
    </xf>
    <xf numFmtId="37" fontId="23" fillId="0" borderId="0" xfId="0" applyFont="1" applyFill="1" applyBorder="1"/>
    <xf numFmtId="0" fontId="47" fillId="0" borderId="0" xfId="94" applyFont="1"/>
    <xf numFmtId="0" fontId="8" fillId="0" borderId="0" xfId="88" applyFont="1" applyFill="1" applyBorder="1"/>
    <xf numFmtId="37" fontId="8" fillId="0" borderId="0" xfId="88" applyNumberFormat="1" applyFont="1" applyFill="1" applyBorder="1"/>
    <xf numFmtId="10" fontId="35" fillId="0" borderId="0" xfId="93" applyNumberFormat="1" applyFont="1" applyBorder="1" applyAlignment="1" applyProtection="1"/>
    <xf numFmtId="0" fontId="24" fillId="0" borderId="12" xfId="88" applyFont="1" applyBorder="1" applyAlignment="1" applyProtection="1">
      <alignment horizontal="left"/>
    </xf>
    <xf numFmtId="0" fontId="24" fillId="0" borderId="0" xfId="88" applyFont="1" applyBorder="1" applyAlignment="1" applyProtection="1">
      <alignment horizontal="left"/>
    </xf>
    <xf numFmtId="175" fontId="24" fillId="0" borderId="12" xfId="88" applyNumberFormat="1" applyFont="1" applyFill="1" applyBorder="1" applyProtection="1"/>
    <xf numFmtId="0" fontId="24" fillId="0" borderId="0" xfId="88" applyFont="1" applyBorder="1" applyAlignment="1" applyProtection="1">
      <alignment horizontal="left" indent="1"/>
    </xf>
    <xf numFmtId="0" fontId="24" fillId="0" borderId="12" xfId="88" applyFont="1" applyBorder="1" applyAlignment="1" applyProtection="1">
      <alignment horizontal="left" indent="2"/>
    </xf>
    <xf numFmtId="37" fontId="17" fillId="0" borderId="0" xfId="91" applyNumberFormat="1" applyFont="1" applyAlignment="1" applyProtection="1">
      <alignment horizontal="centerContinuous"/>
    </xf>
    <xf numFmtId="0" fontId="17" fillId="0" borderId="0" xfId="94" applyFont="1" applyFill="1" applyAlignment="1" applyProtection="1">
      <alignment horizontal="left"/>
    </xf>
    <xf numFmtId="0" fontId="5" fillId="0" borderId="0" xfId="94" applyFont="1" applyFill="1"/>
    <xf numFmtId="1" fontId="15" fillId="0" borderId="0" xfId="94" applyNumberFormat="1" applyFont="1" applyFill="1" applyAlignment="1" applyProtection="1">
      <alignment horizontal="center"/>
    </xf>
    <xf numFmtId="0" fontId="5" fillId="0" borderId="0" xfId="94" applyFont="1" applyAlignment="1">
      <alignment horizontal="center"/>
    </xf>
    <xf numFmtId="37" fontId="4" fillId="0" borderId="0" xfId="93" applyNumberFormat="1" applyFont="1"/>
    <xf numFmtId="37" fontId="19" fillId="0" borderId="0" xfId="0" applyFont="1"/>
    <xf numFmtId="167" fontId="4" fillId="0" borderId="0" xfId="93" applyNumberFormat="1" applyFont="1"/>
    <xf numFmtId="10" fontId="7" fillId="0" borderId="0" xfId="93" applyFont="1"/>
    <xf numFmtId="14" fontId="15" fillId="0" borderId="16" xfId="0" applyNumberFormat="1" applyFont="1" applyFill="1" applyBorder="1"/>
    <xf numFmtId="10" fontId="35" fillId="0" borderId="0" xfId="93" applyNumberFormat="1" applyFont="1" applyFill="1" applyBorder="1" applyAlignment="1" applyProtection="1"/>
    <xf numFmtId="10" fontId="23" fillId="0" borderId="0" xfId="91" applyNumberFormat="1" applyFont="1" applyFill="1" applyBorder="1" applyProtection="1"/>
    <xf numFmtId="175" fontId="34" fillId="0" borderId="19" xfId="88" applyNumberFormat="1" applyFont="1" applyFill="1" applyBorder="1" applyProtection="1"/>
    <xf numFmtId="164" fontId="34" fillId="0" borderId="24" xfId="88" applyNumberFormat="1" applyFont="1" applyFill="1" applyBorder="1" applyProtection="1"/>
    <xf numFmtId="0" fontId="23" fillId="0" borderId="0" xfId="94" applyFont="1" applyFill="1" applyAlignment="1" applyProtection="1">
      <alignment horizontal="center"/>
    </xf>
    <xf numFmtId="0" fontId="23" fillId="0" borderId="0" xfId="94" applyFont="1" applyFill="1" applyAlignment="1">
      <alignment horizontal="center"/>
    </xf>
    <xf numFmtId="10" fontId="44" fillId="0" borderId="0" xfId="93" applyFont="1" applyBorder="1"/>
    <xf numFmtId="37" fontId="4" fillId="0" borderId="0" xfId="93" applyNumberFormat="1" applyFont="1" applyBorder="1"/>
    <xf numFmtId="182" fontId="27" fillId="0" borderId="0" xfId="93" applyNumberFormat="1" applyFont="1" applyBorder="1" applyAlignment="1">
      <alignment horizontal="center"/>
    </xf>
    <xf numFmtId="37" fontId="12" fillId="0" borderId="0" xfId="93" applyNumberFormat="1" applyFont="1" applyBorder="1" applyAlignment="1">
      <alignment horizontal="center"/>
    </xf>
    <xf numFmtId="10" fontId="27" fillId="0" borderId="0" xfId="93" applyFont="1" applyBorder="1" applyAlignment="1" applyProtection="1"/>
    <xf numFmtId="10" fontId="12" fillId="0" borderId="0" xfId="93" applyNumberFormat="1" applyFont="1" applyBorder="1" applyAlignment="1" applyProtection="1"/>
    <xf numFmtId="181" fontId="40" fillId="0" borderId="0" xfId="93" applyNumberFormat="1" applyFont="1" applyBorder="1" applyAlignment="1" applyProtection="1">
      <alignment horizontal="centerContinuous" vertical="center" wrapText="1"/>
    </xf>
    <xf numFmtId="166" fontId="17" fillId="0" borderId="0" xfId="0" applyNumberFormat="1" applyFont="1" applyFill="1" applyBorder="1" applyAlignment="1">
      <alignment horizontal="centerContinuous" vertical="center" wrapText="1"/>
    </xf>
    <xf numFmtId="37" fontId="15" fillId="0" borderId="0" xfId="0" applyFont="1" applyFill="1" applyBorder="1" applyAlignment="1">
      <alignment horizontal="centerContinuous" vertical="center" wrapText="1"/>
    </xf>
    <xf numFmtId="37" fontId="15" fillId="0" borderId="0" xfId="0" applyFont="1" applyBorder="1" applyAlignment="1">
      <alignment horizontal="left" vertical="center" wrapText="1"/>
    </xf>
    <xf numFmtId="5" fontId="15" fillId="0" borderId="0" xfId="59" applyNumberFormat="1" applyFont="1" applyFill="1" applyBorder="1"/>
    <xf numFmtId="179" fontId="33" fillId="0" borderId="0" xfId="88" applyNumberFormat="1" applyFont="1" applyFill="1" applyProtection="1"/>
    <xf numFmtId="37" fontId="23" fillId="0" borderId="0" xfId="90" quotePrefix="1" applyFont="1" applyAlignment="1" applyProtection="1">
      <alignment horizontal="center"/>
    </xf>
    <xf numFmtId="14" fontId="17" fillId="0" borderId="16" xfId="0" applyNumberFormat="1" applyFont="1" applyFill="1" applyBorder="1"/>
    <xf numFmtId="14" fontId="15" fillId="0" borderId="16" xfId="0" applyNumberFormat="1" applyFont="1" applyFill="1" applyBorder="1" applyAlignment="1">
      <alignment horizontal="left" indent="1"/>
    </xf>
    <xf numFmtId="0" fontId="17" fillId="0" borderId="0" xfId="94" applyFont="1" applyAlignment="1" applyProtection="1">
      <alignment horizontal="left"/>
    </xf>
    <xf numFmtId="181" fontId="14" fillId="0" borderId="0" xfId="93" applyNumberFormat="1" applyFont="1" applyBorder="1" applyAlignment="1" applyProtection="1">
      <alignment horizontal="centerContinuous" vertical="center" wrapText="1"/>
    </xf>
    <xf numFmtId="181" fontId="17" fillId="0" borderId="0" xfId="91" applyNumberFormat="1" applyFont="1" applyFill="1" applyAlignment="1" applyProtection="1">
      <alignment horizontal="centerContinuous"/>
    </xf>
    <xf numFmtId="168" fontId="15" fillId="0" borderId="0" xfId="0" applyNumberFormat="1" applyFont="1" applyFill="1" applyBorder="1" applyAlignment="1">
      <alignment horizontal="center"/>
    </xf>
    <xf numFmtId="183" fontId="33" fillId="0" borderId="0" xfId="88" applyNumberFormat="1" applyFont="1" applyFill="1" applyProtection="1"/>
    <xf numFmtId="5" fontId="36" fillId="0" borderId="0" xfId="91" applyNumberFormat="1" applyFont="1" applyFill="1"/>
    <xf numFmtId="5" fontId="4" fillId="0" borderId="0" xfId="91" applyNumberFormat="1" applyFont="1" applyFill="1"/>
    <xf numFmtId="175" fontId="24" fillId="0" borderId="0" xfId="88" applyNumberFormat="1" applyFont="1" applyFill="1" applyProtection="1"/>
    <xf numFmtId="175" fontId="23" fillId="0" borderId="0" xfId="88" applyNumberFormat="1" applyFont="1" applyFill="1" applyProtection="1"/>
    <xf numFmtId="37" fontId="45" fillId="0" borderId="0" xfId="0" applyFont="1"/>
    <xf numFmtId="175" fontId="24" fillId="0" borderId="0" xfId="88" applyNumberFormat="1" applyFont="1" applyFill="1" applyBorder="1" applyProtection="1"/>
    <xf numFmtId="37" fontId="24" fillId="0" borderId="0" xfId="0" applyFont="1" applyFill="1" applyBorder="1"/>
    <xf numFmtId="37" fontId="25" fillId="0" borderId="0" xfId="0" applyNumberFormat="1" applyFont="1" applyFill="1" applyBorder="1" applyAlignment="1">
      <alignment horizontal="center"/>
    </xf>
    <xf numFmtId="37" fontId="46" fillId="0" borderId="0" xfId="0" applyFont="1" applyFill="1" applyBorder="1"/>
    <xf numFmtId="170" fontId="25" fillId="0" borderId="0" xfId="59" applyNumberFormat="1" applyFont="1" applyBorder="1"/>
    <xf numFmtId="14" fontId="25" fillId="0" borderId="0" xfId="0" applyNumberFormat="1" applyFont="1" applyFill="1" applyBorder="1"/>
    <xf numFmtId="168" fontId="24" fillId="0" borderId="0" xfId="0" applyNumberFormat="1" applyFont="1"/>
    <xf numFmtId="17" fontId="24" fillId="0" borderId="0" xfId="0" applyNumberFormat="1" applyFont="1" applyAlignment="1">
      <alignment horizontal="center"/>
    </xf>
    <xf numFmtId="39" fontId="24" fillId="0" borderId="0" xfId="0" applyNumberFormat="1" applyFont="1" applyFill="1" applyAlignment="1">
      <alignment horizontal="center"/>
    </xf>
    <xf numFmtId="171" fontId="24" fillId="0" borderId="0" xfId="0" applyNumberFormat="1" applyFont="1" applyFill="1" applyAlignment="1">
      <alignment horizontal="center"/>
    </xf>
    <xf numFmtId="175" fontId="23" fillId="0" borderId="12" xfId="88" applyNumberFormat="1" applyFont="1" applyFill="1" applyBorder="1" applyProtection="1"/>
    <xf numFmtId="171" fontId="24" fillId="0" borderId="0" xfId="0" applyNumberFormat="1" applyFont="1" applyFill="1"/>
    <xf numFmtId="175" fontId="23" fillId="0" borderId="0" xfId="88" applyNumberFormat="1" applyFont="1" applyFill="1" applyBorder="1" applyProtection="1"/>
    <xf numFmtId="2" fontId="24" fillId="0" borderId="0" xfId="0" applyNumberFormat="1" applyFont="1" applyFill="1" applyBorder="1" applyAlignment="1">
      <alignment horizontal="center"/>
    </xf>
    <xf numFmtId="175" fontId="23" fillId="0" borderId="25" xfId="88" applyNumberFormat="1" applyFont="1" applyFill="1" applyBorder="1" applyProtection="1"/>
    <xf numFmtId="37" fontId="46" fillId="0" borderId="0" xfId="91" applyNumberFormat="1" applyFont="1"/>
    <xf numFmtId="37" fontId="46" fillId="0" borderId="0" xfId="91" applyNumberFormat="1" applyFont="1" applyAlignment="1">
      <alignment horizontal="right"/>
    </xf>
    <xf numFmtId="175" fontId="46" fillId="0" borderId="0" xfId="88" applyNumberFormat="1" applyFont="1" applyFill="1" applyProtection="1"/>
    <xf numFmtId="37" fontId="4" fillId="0" borderId="0" xfId="91" applyFont="1" applyFill="1"/>
    <xf numFmtId="37" fontId="24" fillId="0" borderId="0" xfId="0" applyNumberFormat="1" applyFont="1" applyFill="1"/>
    <xf numFmtId="15" fontId="15" fillId="0" borderId="0" xfId="94" applyNumberFormat="1" applyFont="1" applyFill="1" applyAlignment="1">
      <alignment horizontal="right"/>
    </xf>
    <xf numFmtId="5" fontId="15" fillId="0" borderId="0" xfId="94" applyNumberFormat="1" applyFont="1" applyFill="1"/>
    <xf numFmtId="168" fontId="15" fillId="0" borderId="0" xfId="94" applyNumberFormat="1" applyFont="1" applyFill="1" applyAlignment="1" applyProtection="1">
      <alignment horizontal="left"/>
    </xf>
    <xf numFmtId="15" fontId="15" fillId="0" borderId="0" xfId="94" applyNumberFormat="1" applyFont="1" applyFill="1" applyAlignment="1" applyProtection="1">
      <alignment horizontal="center"/>
    </xf>
    <xf numFmtId="5" fontId="19" fillId="0" borderId="0" xfId="94" applyNumberFormat="1" applyFont="1" applyFill="1"/>
    <xf numFmtId="174" fontId="25" fillId="0" borderId="0" xfId="94" applyNumberFormat="1" applyFont="1" applyFill="1"/>
    <xf numFmtId="5" fontId="17" fillId="0" borderId="25" xfId="94" applyNumberFormat="1" applyFont="1" applyFill="1" applyBorder="1" applyAlignment="1" applyProtection="1">
      <alignment horizontal="right"/>
    </xf>
    <xf numFmtId="43" fontId="42" fillId="0" borderId="0" xfId="88" applyNumberFormat="1" applyFont="1" applyFill="1" applyProtection="1"/>
    <xf numFmtId="164" fontId="33" fillId="0" borderId="26" xfId="88" applyNumberFormat="1" applyFont="1" applyFill="1" applyBorder="1" applyProtection="1"/>
    <xf numFmtId="175" fontId="33" fillId="0" borderId="10" xfId="88" applyNumberFormat="1" applyFont="1" applyFill="1" applyBorder="1" applyProtection="1"/>
    <xf numFmtId="164" fontId="33" fillId="0" borderId="25" xfId="88" applyNumberFormat="1" applyFont="1" applyFill="1" applyBorder="1" applyProtection="1"/>
    <xf numFmtId="165" fontId="33" fillId="0" borderId="0" xfId="88" applyNumberFormat="1" applyFont="1" applyFill="1" applyProtection="1"/>
    <xf numFmtId="165" fontId="33" fillId="0" borderId="19" xfId="88" applyNumberFormat="1" applyFont="1" applyFill="1" applyBorder="1" applyProtection="1"/>
    <xf numFmtId="165" fontId="33" fillId="0" borderId="10" xfId="88" applyNumberFormat="1" applyFont="1" applyFill="1" applyBorder="1" applyProtection="1"/>
    <xf numFmtId="165" fontId="33" fillId="0" borderId="20" xfId="88" applyNumberFormat="1" applyFont="1" applyFill="1" applyBorder="1" applyProtection="1"/>
    <xf numFmtId="0" fontId="33" fillId="0" borderId="0" xfId="88" applyFont="1" applyFill="1"/>
    <xf numFmtId="37" fontId="23" fillId="0" borderId="0" xfId="90" applyFont="1" applyFill="1" applyAlignment="1" applyProtection="1">
      <alignment horizontal="center"/>
    </xf>
    <xf numFmtId="165" fontId="33" fillId="0" borderId="0" xfId="88" applyNumberFormat="1" applyFont="1" applyFill="1"/>
    <xf numFmtId="0" fontId="33" fillId="0" borderId="19" xfId="88" applyFont="1" applyFill="1" applyBorder="1"/>
    <xf numFmtId="165" fontId="33" fillId="0" borderId="27" xfId="88" applyNumberFormat="1" applyFont="1" applyFill="1" applyBorder="1" applyProtection="1"/>
    <xf numFmtId="165" fontId="33" fillId="0" borderId="28" xfId="88" applyNumberFormat="1" applyFont="1" applyFill="1" applyBorder="1" applyProtection="1"/>
    <xf numFmtId="164" fontId="42" fillId="0" borderId="0" xfId="88" applyNumberFormat="1" applyFont="1" applyFill="1" applyBorder="1" applyProtection="1"/>
    <xf numFmtId="164" fontId="24" fillId="0" borderId="12" xfId="88" applyNumberFormat="1" applyFont="1" applyFill="1" applyBorder="1" applyProtection="1"/>
    <xf numFmtId="37" fontId="11" fillId="0" borderId="0" xfId="91" applyFont="1" applyAlignment="1">
      <alignment horizontal="right"/>
    </xf>
    <xf numFmtId="5" fontId="45" fillId="0" borderId="0" xfId="59" applyNumberFormat="1" applyFont="1" applyFill="1" applyBorder="1"/>
    <xf numFmtId="180" fontId="45" fillId="0" borderId="0" xfId="0" applyNumberFormat="1" applyFont="1" applyFill="1" applyBorder="1"/>
    <xf numFmtId="169" fontId="45" fillId="0" borderId="0" xfId="0" applyNumberFormat="1" applyFont="1" applyFill="1" applyBorder="1"/>
    <xf numFmtId="10" fontId="45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37" fontId="0" fillId="0" borderId="0" xfId="0" applyFill="1" applyBorder="1"/>
    <xf numFmtId="37" fontId="12" fillId="0" borderId="0" xfId="90" applyFont="1" applyAlignment="1">
      <alignment horizontal="left" indent="1"/>
    </xf>
    <xf numFmtId="5" fontId="12" fillId="0" borderId="26" xfId="90" applyNumberFormat="1" applyFont="1" applyBorder="1" applyProtection="1"/>
    <xf numFmtId="5" fontId="29" fillId="0" borderId="26" xfId="90" applyNumberFormat="1" applyFont="1" applyBorder="1"/>
    <xf numFmtId="168" fontId="29" fillId="0" borderId="26" xfId="90" applyNumberFormat="1" applyFont="1" applyBorder="1" applyProtection="1"/>
    <xf numFmtId="14" fontId="17" fillId="0" borderId="16" xfId="0" applyNumberFormat="1" applyFont="1" applyFill="1" applyBorder="1" applyAlignment="1">
      <alignment horizontal="left" indent="2"/>
    </xf>
    <xf numFmtId="37" fontId="17" fillId="0" borderId="16" xfId="0" applyFont="1" applyFill="1" applyBorder="1" applyAlignment="1">
      <alignment horizontal="left" indent="1"/>
    </xf>
    <xf numFmtId="0" fontId="14" fillId="0" borderId="0" xfId="94" quotePrefix="1" applyFont="1" applyFill="1" applyBorder="1" applyAlignment="1" applyProtection="1">
      <alignment horizontal="centerContinuous" vertical="center" wrapText="1"/>
    </xf>
    <xf numFmtId="181" fontId="14" fillId="0" borderId="0" xfId="94" quotePrefix="1" applyNumberFormat="1" applyFont="1" applyFill="1" applyBorder="1" applyAlignment="1" applyProtection="1">
      <alignment horizontal="centerContinuous" vertical="center" wrapText="1"/>
    </xf>
    <xf numFmtId="37" fontId="48" fillId="0" borderId="0" xfId="0" applyFont="1" applyBorder="1" applyAlignment="1">
      <alignment horizontal="center"/>
    </xf>
    <xf numFmtId="10" fontId="28" fillId="0" borderId="0" xfId="93" applyNumberFormat="1" applyFont="1" applyFill="1" applyAlignment="1" applyProtection="1"/>
    <xf numFmtId="10" fontId="33" fillId="0" borderId="0" xfId="99" applyNumberFormat="1" applyFont="1" applyFill="1" applyBorder="1" applyProtection="1"/>
    <xf numFmtId="10" fontId="33" fillId="0" borderId="10" xfId="88" applyNumberFormat="1" applyFont="1" applyFill="1" applyBorder="1" applyProtection="1"/>
    <xf numFmtId="184" fontId="33" fillId="0" borderId="0" xfId="88" applyNumberFormat="1" applyFont="1" applyFill="1" applyBorder="1" applyProtection="1"/>
    <xf numFmtId="0" fontId="31" fillId="0" borderId="0" xfId="88" applyFont="1" applyBorder="1" applyAlignment="1" applyProtection="1">
      <alignment horizontal="centerContinuous" vertical="center" wrapText="1"/>
    </xf>
    <xf numFmtId="10" fontId="31" fillId="0" borderId="0" xfId="93" applyFont="1" applyBorder="1" applyAlignment="1" applyProtection="1">
      <alignment horizontal="centerContinuous" vertical="center" wrapText="1"/>
    </xf>
    <xf numFmtId="172" fontId="31" fillId="0" borderId="0" xfId="93" applyNumberFormat="1" applyFont="1" applyBorder="1" applyAlignment="1" applyProtection="1">
      <alignment horizontal="centerContinuous" vertical="center" wrapText="1"/>
    </xf>
    <xf numFmtId="180" fontId="48" fillId="0" borderId="0" xfId="0" applyNumberFormat="1" applyFont="1" applyFill="1" applyBorder="1" applyAlignment="1">
      <alignment horizontal="left" indent="1"/>
    </xf>
    <xf numFmtId="1" fontId="15" fillId="0" borderId="0" xfId="0" applyNumberFormat="1" applyFont="1" applyFill="1" applyBorder="1" applyAlignment="1">
      <alignment horizontal="center"/>
    </xf>
    <xf numFmtId="37" fontId="23" fillId="0" borderId="13" xfId="0" applyFont="1" applyFill="1" applyBorder="1"/>
    <xf numFmtId="5" fontId="12" fillId="0" borderId="0" xfId="90" applyNumberFormat="1" applyFont="1" applyFill="1" applyProtection="1"/>
    <xf numFmtId="10" fontId="12" fillId="0" borderId="0" xfId="93" applyFont="1" applyFill="1" applyAlignment="1" applyProtection="1"/>
    <xf numFmtId="37" fontId="14" fillId="0" borderId="0" xfId="90" applyFont="1" applyBorder="1" applyAlignment="1" applyProtection="1">
      <alignment horizontal="center"/>
    </xf>
    <xf numFmtId="37" fontId="39" fillId="0" borderId="29" xfId="0" applyFont="1" applyFill="1" applyBorder="1"/>
    <xf numFmtId="37" fontId="15" fillId="0" borderId="15" xfId="0" applyFont="1" applyFill="1" applyBorder="1"/>
    <xf numFmtId="37" fontId="0" fillId="0" borderId="14" xfId="0" applyBorder="1"/>
    <xf numFmtId="37" fontId="15" fillId="0" borderId="17" xfId="0" applyFont="1" applyBorder="1"/>
    <xf numFmtId="37" fontId="15" fillId="0" borderId="18" xfId="0" applyFont="1" applyBorder="1"/>
    <xf numFmtId="37" fontId="15" fillId="0" borderId="21" xfId="0" applyFont="1" applyBorder="1"/>
    <xf numFmtId="10" fontId="12" fillId="0" borderId="0" xfId="93" applyNumberFormat="1" applyFont="1" applyAlignment="1"/>
    <xf numFmtId="10" fontId="28" fillId="0" borderId="0" xfId="93" applyNumberFormat="1" applyFont="1" applyAlignment="1" applyProtection="1"/>
    <xf numFmtId="37" fontId="24" fillId="0" borderId="0" xfId="91" applyNumberFormat="1" applyFont="1" applyBorder="1" applyAlignment="1">
      <alignment horizontal="center"/>
    </xf>
    <xf numFmtId="37" fontId="23" fillId="0" borderId="0" xfId="91" applyNumberFormat="1" applyFont="1" applyBorder="1" applyAlignment="1" applyProtection="1">
      <alignment horizontal="center" wrapText="1"/>
    </xf>
    <xf numFmtId="17" fontId="17" fillId="0" borderId="0" xfId="88" applyNumberFormat="1" applyFont="1" applyFill="1" applyAlignment="1" applyProtection="1">
      <alignment horizontal="right"/>
    </xf>
    <xf numFmtId="164" fontId="24" fillId="0" borderId="0" xfId="88" applyNumberFormat="1" applyFont="1" applyFill="1" applyProtection="1"/>
    <xf numFmtId="164" fontId="24" fillId="0" borderId="26" xfId="88" applyNumberFormat="1" applyFont="1" applyFill="1" applyBorder="1" applyProtection="1"/>
    <xf numFmtId="39" fontId="42" fillId="0" borderId="0" xfId="0" applyNumberFormat="1" applyFont="1"/>
    <xf numFmtId="168" fontId="45" fillId="0" borderId="0" xfId="99" applyNumberFormat="1" applyFont="1" applyFill="1" applyBorder="1"/>
    <xf numFmtId="168" fontId="15" fillId="0" borderId="0" xfId="99" applyNumberFormat="1" applyFont="1" applyFill="1" applyBorder="1" applyAlignment="1">
      <alignment horizontal="left"/>
    </xf>
    <xf numFmtId="169" fontId="45" fillId="0" borderId="0" xfId="0" applyNumberFormat="1" applyFont="1" applyFill="1" applyBorder="1" applyAlignment="1">
      <alignment horizontal="center"/>
    </xf>
    <xf numFmtId="5" fontId="15" fillId="0" borderId="25" xfId="59" applyNumberFormat="1" applyFont="1" applyBorder="1"/>
    <xf numFmtId="5" fontId="15" fillId="0" borderId="25" xfId="55" applyNumberFormat="1" applyFont="1" applyFill="1" applyBorder="1"/>
    <xf numFmtId="168" fontId="15" fillId="0" borderId="25" xfId="99" applyNumberFormat="1" applyFont="1" applyFill="1" applyBorder="1" applyAlignment="1">
      <alignment horizontal="center"/>
    </xf>
    <xf numFmtId="5" fontId="17" fillId="0" borderId="25" xfId="55" applyNumberFormat="1" applyFont="1" applyFill="1" applyBorder="1"/>
    <xf numFmtId="10" fontId="17" fillId="0" borderId="0" xfId="93" applyFont="1" applyAlignment="1" applyProtection="1">
      <alignment horizontal="left"/>
    </xf>
    <xf numFmtId="176" fontId="42" fillId="0" borderId="0" xfId="88" applyNumberFormat="1" applyFont="1" applyFill="1" applyProtection="1"/>
    <xf numFmtId="164" fontId="42" fillId="0" borderId="0" xfId="88" applyNumberFormat="1" applyFont="1" applyFill="1" applyProtection="1"/>
    <xf numFmtId="175" fontId="42" fillId="0" borderId="0" xfId="88" applyNumberFormat="1" applyFont="1" applyFill="1" applyProtection="1"/>
    <xf numFmtId="0" fontId="42" fillId="0" borderId="0" xfId="88" applyFont="1" applyFill="1"/>
    <xf numFmtId="5" fontId="45" fillId="0" borderId="0" xfId="55" applyNumberFormat="1" applyFont="1" applyFill="1" applyBorder="1"/>
    <xf numFmtId="168" fontId="45" fillId="0" borderId="0" xfId="0" applyNumberFormat="1" applyFont="1" applyFill="1" applyBorder="1" applyAlignment="1">
      <alignment horizontal="center"/>
    </xf>
    <xf numFmtId="37" fontId="25" fillId="0" borderId="0" xfId="0" applyFont="1"/>
    <xf numFmtId="37" fontId="17" fillId="0" borderId="0" xfId="90" applyFont="1" applyAlignment="1" applyProtection="1">
      <alignment horizontal="center"/>
    </xf>
    <xf numFmtId="37" fontId="17" fillId="0" borderId="10" xfId="0" applyFont="1" applyBorder="1"/>
    <xf numFmtId="37" fontId="17" fillId="0" borderId="0" xfId="0" applyFont="1" applyBorder="1"/>
    <xf numFmtId="37" fontId="17" fillId="0" borderId="0" xfId="0" applyFont="1" applyFill="1" applyBorder="1" applyAlignment="1">
      <alignment horizontal="center"/>
    </xf>
    <xf numFmtId="37" fontId="17" fillId="0" borderId="0" xfId="0" applyFont="1" applyBorder="1" applyAlignment="1">
      <alignment horizontal="center"/>
    </xf>
    <xf numFmtId="37" fontId="17" fillId="0" borderId="0" xfId="0" applyFont="1" applyAlignment="1">
      <alignment horizontal="center"/>
    </xf>
    <xf numFmtId="174" fontId="17" fillId="0" borderId="10" xfId="94" applyNumberFormat="1" applyFont="1" applyFill="1" applyBorder="1" applyAlignment="1">
      <alignment horizontal="center"/>
    </xf>
    <xf numFmtId="37" fontId="25" fillId="0" borderId="0" xfId="0" applyFont="1" applyFill="1" applyBorder="1"/>
    <xf numFmtId="37" fontId="25" fillId="0" borderId="0" xfId="0" applyNumberFormat="1" applyFont="1"/>
    <xf numFmtId="37" fontId="45" fillId="0" borderId="0" xfId="0" applyNumberFormat="1" applyFont="1"/>
    <xf numFmtId="37" fontId="15" fillId="0" borderId="0" xfId="0" applyNumberFormat="1" applyFont="1"/>
    <xf numFmtId="37" fontId="45" fillId="0" borderId="0" xfId="0" applyNumberFormat="1" applyFont="1" applyFill="1"/>
    <xf numFmtId="37" fontId="17" fillId="0" borderId="12" xfId="0" applyFont="1" applyFill="1" applyBorder="1"/>
    <xf numFmtId="37" fontId="25" fillId="0" borderId="0" xfId="0" applyNumberFormat="1" applyFont="1" applyBorder="1"/>
    <xf numFmtId="37" fontId="25" fillId="0" borderId="0" xfId="0" applyFont="1" applyFill="1" applyBorder="1" applyAlignment="1">
      <alignment horizontal="left" indent="1"/>
    </xf>
    <xf numFmtId="37" fontId="15" fillId="0" borderId="0" xfId="0" applyFont="1" applyFill="1" applyBorder="1" applyAlignment="1">
      <alignment horizontal="left" indent="1"/>
    </xf>
    <xf numFmtId="37" fontId="17" fillId="0" borderId="0" xfId="0" applyFont="1" applyFill="1" applyBorder="1"/>
    <xf numFmtId="39" fontId="15" fillId="0" borderId="0" xfId="0" applyNumberFormat="1" applyFont="1"/>
    <xf numFmtId="5" fontId="17" fillId="0" borderId="12" xfId="59" applyNumberFormat="1" applyFont="1" applyFill="1" applyBorder="1"/>
    <xf numFmtId="5" fontId="17" fillId="0" borderId="23" xfId="59" applyNumberFormat="1" applyFont="1" applyFill="1" applyBorder="1"/>
    <xf numFmtId="5" fontId="15" fillId="0" borderId="25" xfId="59" applyNumberFormat="1" applyFont="1" applyFill="1" applyBorder="1"/>
    <xf numFmtId="173" fontId="45" fillId="0" borderId="0" xfId="0" applyNumberFormat="1" applyFont="1" applyBorder="1" applyAlignment="1">
      <alignment horizontal="left" indent="1"/>
    </xf>
    <xf numFmtId="1" fontId="45" fillId="0" borderId="0" xfId="0" applyNumberFormat="1" applyFont="1" applyFill="1" applyBorder="1" applyAlignment="1">
      <alignment horizontal="center"/>
    </xf>
    <xf numFmtId="37" fontId="23" fillId="0" borderId="0" xfId="90" applyFont="1" applyAlignment="1" applyProtection="1">
      <alignment horizontal="left"/>
    </xf>
    <xf numFmtId="37" fontId="23" fillId="0" borderId="10" xfId="91" applyNumberFormat="1" applyFont="1" applyBorder="1" applyAlignment="1" applyProtection="1">
      <alignment horizontal="center" wrapText="1"/>
    </xf>
    <xf numFmtId="175" fontId="34" fillId="0" borderId="12" xfId="88" applyNumberFormat="1" applyFont="1" applyFill="1" applyBorder="1" applyProtection="1"/>
    <xf numFmtId="10" fontId="23" fillId="19" borderId="23" xfId="91" applyNumberFormat="1" applyFont="1" applyFill="1" applyBorder="1" applyProtection="1"/>
    <xf numFmtId="186" fontId="42" fillId="0" borderId="0" xfId="88" applyNumberFormat="1" applyFont="1" applyFill="1" applyBorder="1" applyProtection="1"/>
    <xf numFmtId="188" fontId="45" fillId="0" borderId="0" xfId="94" applyNumberFormat="1" applyFont="1" applyFill="1"/>
    <xf numFmtId="0" fontId="66" fillId="0" borderId="0" xfId="94" applyFont="1" applyAlignment="1">
      <alignment horizontal="center"/>
    </xf>
    <xf numFmtId="15" fontId="45" fillId="0" borderId="0" xfId="94" applyNumberFormat="1" applyFont="1" applyFill="1" applyAlignment="1">
      <alignment horizontal="center"/>
    </xf>
    <xf numFmtId="15" fontId="66" fillId="20" borderId="0" xfId="94" applyNumberFormat="1" applyFont="1" applyFill="1" applyAlignment="1">
      <alignment horizontal="right"/>
    </xf>
    <xf numFmtId="5" fontId="45" fillId="20" borderId="0" xfId="89" applyNumberFormat="1" applyFont="1" applyFill="1" applyBorder="1" applyProtection="1"/>
    <xf numFmtId="5" fontId="15" fillId="0" borderId="0" xfId="89" applyNumberFormat="1" applyFont="1" applyBorder="1" applyProtection="1"/>
    <xf numFmtId="0" fontId="45" fillId="0" borderId="0" xfId="94" applyFont="1" applyAlignment="1">
      <alignment horizontal="left"/>
    </xf>
    <xf numFmtId="0" fontId="40" fillId="0" borderId="0" xfId="94" applyFont="1"/>
    <xf numFmtId="5" fontId="15" fillId="0" borderId="0" xfId="55" applyNumberFormat="1" applyFont="1" applyFill="1" applyBorder="1"/>
    <xf numFmtId="176" fontId="18" fillId="0" borderId="0" xfId="88" applyNumberFormat="1" applyFont="1" applyAlignment="1" applyProtection="1">
      <alignment horizontal="center" wrapText="1"/>
    </xf>
    <xf numFmtId="0" fontId="67" fillId="0" borderId="0" xfId="88" applyFont="1"/>
    <xf numFmtId="10" fontId="27" fillId="0" borderId="0" xfId="93" applyNumberFormat="1" applyFont="1" applyFill="1" applyBorder="1" applyAlignment="1" applyProtection="1"/>
    <xf numFmtId="181" fontId="17" fillId="0" borderId="0" xfId="0" applyNumberFormat="1" applyFont="1" applyBorder="1" applyAlignment="1">
      <alignment horizontal="left"/>
    </xf>
    <xf numFmtId="5" fontId="5" fillId="0" borderId="0" xfId="94" applyNumberFormat="1" applyFont="1"/>
    <xf numFmtId="10" fontId="69" fillId="0" borderId="0" xfId="93" applyNumberFormat="1" applyFont="1" applyFill="1" applyAlignment="1" applyProtection="1"/>
    <xf numFmtId="10" fontId="8" fillId="0" borderId="0" xfId="99" applyNumberFormat="1" applyFont="1"/>
    <xf numFmtId="10" fontId="12" fillId="0" borderId="0" xfId="90" applyNumberFormat="1" applyFont="1"/>
    <xf numFmtId="5" fontId="45" fillId="0" borderId="0" xfId="59" applyNumberFormat="1" applyFont="1" applyFill="1"/>
    <xf numFmtId="189" fontId="12" fillId="0" borderId="0" xfId="55" applyNumberFormat="1" applyFont="1" applyBorder="1" applyAlignment="1"/>
    <xf numFmtId="37" fontId="70" fillId="0" borderId="0" xfId="0" applyFont="1"/>
    <xf numFmtId="37" fontId="0" fillId="0" borderId="0" xfId="0" applyNumberFormat="1" applyFont="1"/>
    <xf numFmtId="10" fontId="20" fillId="0" borderId="0" xfId="99" applyNumberFormat="1" applyFont="1" applyFill="1" applyBorder="1"/>
    <xf numFmtId="10" fontId="15" fillId="0" borderId="0" xfId="99" applyNumberFormat="1" applyFont="1"/>
    <xf numFmtId="10" fontId="15" fillId="0" borderId="0" xfId="99" applyNumberFormat="1" applyFont="1" applyFill="1"/>
    <xf numFmtId="187" fontId="44" fillId="0" borderId="0" xfId="93" applyNumberFormat="1" applyFont="1" applyBorder="1"/>
    <xf numFmtId="5" fontId="18" fillId="0" borderId="0" xfId="59" applyNumberFormat="1" applyFont="1" applyFill="1" applyBorder="1"/>
    <xf numFmtId="37" fontId="17" fillId="0" borderId="16" xfId="0" applyFont="1" applyFill="1" applyBorder="1"/>
    <xf numFmtId="10" fontId="24" fillId="0" borderId="0" xfId="100" applyNumberFormat="1" applyFont="1" applyFill="1"/>
    <xf numFmtId="37" fontId="23" fillId="0" borderId="0" xfId="87" applyNumberFormat="1" applyFont="1" applyFill="1" applyBorder="1"/>
    <xf numFmtId="0" fontId="15" fillId="0" borderId="0" xfId="94" applyNumberFormat="1" applyFont="1" applyFill="1"/>
    <xf numFmtId="5" fontId="17" fillId="0" borderId="0" xfId="94" applyNumberFormat="1" applyFont="1" applyFill="1" applyAlignment="1">
      <alignment horizontal="right"/>
    </xf>
    <xf numFmtId="37" fontId="46" fillId="0" borderId="0" xfId="0" applyFont="1" applyBorder="1"/>
    <xf numFmtId="37" fontId="15" fillId="0" borderId="0" xfId="0" applyFont="1" applyBorder="1" applyAlignment="1">
      <alignment horizontal="right"/>
    </xf>
    <xf numFmtId="37" fontId="46" fillId="0" borderId="0" xfId="0" applyFont="1" applyFill="1" applyBorder="1" applyAlignment="1">
      <alignment horizontal="center"/>
    </xf>
    <xf numFmtId="170" fontId="15" fillId="0" borderId="25" xfId="59" applyNumberFormat="1" applyFont="1" applyBorder="1"/>
    <xf numFmtId="5" fontId="17" fillId="0" borderId="0" xfId="55" applyNumberFormat="1" applyFont="1" applyFill="1" applyBorder="1"/>
    <xf numFmtId="168" fontId="15" fillId="0" borderId="0" xfId="99" applyNumberFormat="1" applyFont="1" applyFill="1" applyBorder="1" applyAlignment="1">
      <alignment horizontal="center"/>
    </xf>
    <xf numFmtId="175" fontId="34" fillId="0" borderId="0" xfId="88" applyNumberFormat="1" applyFont="1" applyFill="1" applyBorder="1" applyProtection="1"/>
    <xf numFmtId="10" fontId="0" fillId="0" borderId="0" xfId="99" applyNumberFormat="1" applyFont="1"/>
    <xf numFmtId="10" fontId="21" fillId="0" borderId="0" xfId="99" applyNumberFormat="1" applyFont="1"/>
    <xf numFmtId="168" fontId="4" fillId="0" borderId="0" xfId="99" applyNumberFormat="1" applyFont="1"/>
    <xf numFmtId="37" fontId="24" fillId="0" borderId="0" xfId="91" applyNumberFormat="1" applyFont="1" applyFill="1" applyAlignment="1">
      <alignment horizontal="center"/>
    </xf>
    <xf numFmtId="168" fontId="24" fillId="0" borderId="0" xfId="0" applyNumberFormat="1" applyFont="1" applyFill="1"/>
    <xf numFmtId="17" fontId="24" fillId="0" borderId="0" xfId="0" applyNumberFormat="1" applyFont="1" applyFill="1" applyAlignment="1">
      <alignment horizontal="center"/>
    </xf>
    <xf numFmtId="10" fontId="24" fillId="0" borderId="0" xfId="0" applyNumberFormat="1" applyFont="1" applyFill="1"/>
    <xf numFmtId="10" fontId="12" fillId="0" borderId="0" xfId="93" applyFont="1" applyFill="1" applyBorder="1" applyAlignment="1" applyProtection="1"/>
    <xf numFmtId="14" fontId="4" fillId="0" borderId="0" xfId="91" applyNumberFormat="1" applyFont="1"/>
    <xf numFmtId="10" fontId="8" fillId="0" borderId="0" xfId="99" applyNumberFormat="1" applyFont="1" applyFill="1"/>
    <xf numFmtId="10" fontId="1" fillId="0" borderId="0" xfId="93" applyNumberFormat="1" applyFont="1" applyFill="1" applyBorder="1" applyAlignment="1" applyProtection="1"/>
    <xf numFmtId="168" fontId="12" fillId="0" borderId="0" xfId="93" applyNumberFormat="1" applyFont="1" applyAlignment="1" applyProtection="1"/>
    <xf numFmtId="0" fontId="24" fillId="0" borderId="0" xfId="88" applyFont="1" applyFill="1" applyBorder="1" applyAlignment="1" applyProtection="1">
      <alignment horizontal="left" indent="1"/>
    </xf>
    <xf numFmtId="164" fontId="34" fillId="0" borderId="23" xfId="88" applyNumberFormat="1" applyFont="1" applyFill="1" applyBorder="1" applyProtection="1"/>
    <xf numFmtId="0" fontId="67" fillId="0" borderId="0" xfId="88" applyFont="1" applyFill="1"/>
    <xf numFmtId="0" fontId="4" fillId="0" borderId="0" xfId="88" applyFont="1" applyFill="1" applyBorder="1"/>
    <xf numFmtId="37" fontId="24" fillId="0" borderId="0" xfId="91" applyNumberFormat="1" applyFont="1" applyFill="1" applyBorder="1" applyAlignment="1">
      <alignment horizontal="center"/>
    </xf>
    <xf numFmtId="37" fontId="24" fillId="0" borderId="0" xfId="91" applyNumberFormat="1" applyFont="1" applyFill="1" applyAlignment="1" applyProtection="1"/>
    <xf numFmtId="17" fontId="24" fillId="0" borderId="0" xfId="91" applyNumberFormat="1" applyFont="1" applyFill="1" applyProtection="1"/>
    <xf numFmtId="17" fontId="24" fillId="0" borderId="0" xfId="91" applyNumberFormat="1" applyFont="1" applyFill="1" applyAlignment="1" applyProtection="1">
      <alignment horizontal="center"/>
    </xf>
    <xf numFmtId="5" fontId="15" fillId="0" borderId="0" xfId="89" applyNumberFormat="1" applyFont="1" applyFill="1" applyBorder="1" applyProtection="1"/>
    <xf numFmtId="5" fontId="45" fillId="0" borderId="0" xfId="89" applyNumberFormat="1" applyFont="1" applyFill="1" applyBorder="1" applyProtection="1"/>
    <xf numFmtId="188" fontId="65" fillId="0" borderId="0" xfId="94" applyNumberFormat="1" applyFont="1" applyFill="1"/>
    <xf numFmtId="164" fontId="8" fillId="0" borderId="0" xfId="88" applyNumberFormat="1" applyFont="1" applyFill="1" applyBorder="1"/>
    <xf numFmtId="0" fontId="23" fillId="0" borderId="0" xfId="88" applyFont="1" applyAlignment="1" applyProtection="1">
      <alignment horizontal="right"/>
    </xf>
    <xf numFmtId="190" fontId="42" fillId="0" borderId="0" xfId="88" applyNumberFormat="1" applyFont="1" applyFill="1" applyBorder="1" applyProtection="1"/>
    <xf numFmtId="0" fontId="23" fillId="0" borderId="0" xfId="88" applyFont="1" applyBorder="1" applyAlignment="1" applyProtection="1">
      <alignment horizontal="right"/>
    </xf>
    <xf numFmtId="0" fontId="23" fillId="0" borderId="0" xfId="88" applyFont="1" applyFill="1" applyBorder="1" applyAlignment="1" applyProtection="1">
      <alignment horizontal="right"/>
    </xf>
    <xf numFmtId="0" fontId="23" fillId="0" borderId="0" xfId="88" applyFont="1" applyAlignment="1" applyProtection="1">
      <alignment horizontal="center"/>
    </xf>
    <xf numFmtId="0" fontId="41" fillId="0" borderId="0" xfId="88" applyFont="1" applyFill="1" applyBorder="1" applyAlignment="1" applyProtection="1">
      <alignment horizontal="center" vertical="center" wrapText="1"/>
    </xf>
    <xf numFmtId="37" fontId="17" fillId="0" borderId="16" xfId="0" applyFont="1" applyFill="1" applyBorder="1" applyAlignment="1">
      <alignment horizontal="left"/>
    </xf>
    <xf numFmtId="37" fontId="17" fillId="0" borderId="0" xfId="0" applyFont="1" applyFill="1" applyBorder="1" applyAlignment="1">
      <alignment horizontal="left"/>
    </xf>
    <xf numFmtId="37" fontId="39" fillId="0" borderId="29" xfId="0" applyFont="1" applyFill="1" applyBorder="1" applyAlignment="1">
      <alignment horizontal="left"/>
    </xf>
    <xf numFmtId="37" fontId="39" fillId="0" borderId="15" xfId="0" applyFont="1" applyFill="1" applyBorder="1" applyAlignment="1">
      <alignment horizontal="left"/>
    </xf>
    <xf numFmtId="181" fontId="17" fillId="0" borderId="0" xfId="94" applyNumberFormat="1" applyFont="1" applyFill="1" applyAlignment="1">
      <alignment horizontal="left"/>
    </xf>
  </cellXfs>
  <cellStyles count="10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0" xfId="58"/>
    <cellStyle name="Currency" xfId="59" builtinId="4"/>
    <cellStyle name="Currency 2" xfId="60"/>
    <cellStyle name="Currency 3" xfId="61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_AMACAPST" xfId="88"/>
    <cellStyle name="Normal_AMORTONR" xfId="89"/>
    <cellStyle name="Normal_COSTOF" xfId="90"/>
    <cellStyle name="Normal_COSTOFD" xfId="91"/>
    <cellStyle name="Normal_COSTOFPR" xfId="92"/>
    <cellStyle name="Normal_RATEOFRE" xfId="93"/>
    <cellStyle name="Normal_SCHEDULE" xfId="94"/>
    <cellStyle name="Note" xfId="95" builtinId="10" customBuiltin="1"/>
    <cellStyle name="Note 2" xfId="96"/>
    <cellStyle name="Output" xfId="97" builtinId="21" customBuiltin="1"/>
    <cellStyle name="Output 2" xfId="98"/>
    <cellStyle name="Percent" xfId="99" builtinId="5"/>
    <cellStyle name="Percent 2" xfId="100"/>
    <cellStyle name="Percent 3" xfId="101"/>
    <cellStyle name="Title" xfId="102" builtinId="15" customBuiltin="1"/>
    <cellStyle name="Title 2" xfId="103"/>
    <cellStyle name="Total" xfId="104" builtinId="25" customBuiltin="1"/>
    <cellStyle name="Total 2" xfId="105"/>
    <cellStyle name="Warning Text" xfId="106" builtinId="11" customBuiltin="1"/>
    <cellStyle name="Warning Text 2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G25" sqref="G25"/>
    </sheetView>
  </sheetViews>
  <sheetFormatPr defaultColWidth="11.42578125" defaultRowHeight="13.2"/>
  <cols>
    <col min="1" max="1" width="3.85546875" style="16" customWidth="1"/>
    <col min="2" max="2" width="37.28515625" style="16" customWidth="1"/>
    <col min="3" max="3" width="18.140625" style="16" customWidth="1"/>
    <col min="4" max="4" width="13.42578125" style="16" customWidth="1"/>
    <col min="5" max="5" width="13.140625" style="16" customWidth="1"/>
    <col min="6" max="6" width="13.42578125" style="16" customWidth="1"/>
    <col min="7" max="7" width="11.42578125" style="16" customWidth="1"/>
    <col min="8" max="8" width="13.85546875" style="16" customWidth="1"/>
    <col min="9" max="9" width="17.7109375" style="16" customWidth="1"/>
    <col min="10" max="10" width="8.42578125" style="16" customWidth="1"/>
    <col min="11" max="11" width="9" style="16" customWidth="1"/>
    <col min="12" max="12" width="8.7109375" style="16" customWidth="1"/>
    <col min="13" max="16384" width="11.42578125" style="16"/>
  </cols>
  <sheetData>
    <row r="1" spans="1:12" ht="15.6">
      <c r="B1" s="334" t="s">
        <v>4</v>
      </c>
      <c r="C1" s="334"/>
      <c r="D1" s="334"/>
      <c r="E1" s="334"/>
      <c r="F1" s="334"/>
    </row>
    <row r="2" spans="1:12">
      <c r="A2" s="102"/>
      <c r="B2" s="17"/>
      <c r="C2" s="17"/>
      <c r="D2" s="17"/>
      <c r="E2" s="17"/>
      <c r="F2" s="17"/>
    </row>
    <row r="3" spans="1:12" ht="15.6">
      <c r="B3" s="335" t="s">
        <v>6</v>
      </c>
      <c r="C3" s="335"/>
      <c r="D3" s="335"/>
      <c r="E3" s="335"/>
      <c r="F3" s="335"/>
    </row>
    <row r="4" spans="1:12" ht="15.6">
      <c r="B4" s="336" t="s">
        <v>58</v>
      </c>
      <c r="C4" s="336"/>
      <c r="D4" s="336"/>
      <c r="E4" s="336"/>
      <c r="F4" s="336"/>
      <c r="H4" s="235"/>
      <c r="L4" s="237"/>
    </row>
    <row r="5" spans="1:12">
      <c r="A5" s="103"/>
      <c r="B5" s="252" t="s">
        <v>203</v>
      </c>
      <c r="C5" s="252"/>
      <c r="D5" s="252"/>
      <c r="E5" s="252"/>
      <c r="F5" s="252"/>
      <c r="H5" s="235"/>
      <c r="L5" s="237"/>
    </row>
    <row r="6" spans="1:12">
      <c r="A6" s="18"/>
      <c r="C6" s="19"/>
      <c r="H6" s="235"/>
      <c r="L6" s="237"/>
    </row>
    <row r="7" spans="1:12">
      <c r="A7" s="18"/>
      <c r="B7" s="103"/>
      <c r="C7" s="103"/>
      <c r="D7" s="103"/>
      <c r="E7" s="103"/>
      <c r="F7" s="103"/>
      <c r="H7" s="235"/>
      <c r="L7" s="237"/>
    </row>
    <row r="8" spans="1:12">
      <c r="A8" s="190">
        <v>1</v>
      </c>
      <c r="B8" s="127" t="s">
        <v>5</v>
      </c>
      <c r="C8" s="127" t="s">
        <v>27</v>
      </c>
      <c r="D8" s="127" t="s">
        <v>52</v>
      </c>
      <c r="E8" s="127" t="s">
        <v>64</v>
      </c>
      <c r="F8" s="127" t="s">
        <v>65</v>
      </c>
      <c r="H8" s="235"/>
      <c r="L8" s="237"/>
    </row>
    <row r="9" spans="1:12">
      <c r="A9" s="190">
        <f>+A8+1</f>
        <v>2</v>
      </c>
      <c r="B9" s="103"/>
      <c r="C9" s="103"/>
      <c r="D9" s="103"/>
      <c r="E9" s="103"/>
      <c r="F9" s="103"/>
      <c r="H9" s="235"/>
      <c r="L9" s="237"/>
    </row>
    <row r="10" spans="1:12">
      <c r="A10" s="190">
        <f t="shared" ref="A10:A17" si="0">+A9+1</f>
        <v>3</v>
      </c>
      <c r="B10" s="104" t="s">
        <v>2</v>
      </c>
      <c r="C10" s="105"/>
      <c r="D10" s="105"/>
      <c r="E10" s="105"/>
      <c r="F10" s="105" t="s">
        <v>7</v>
      </c>
      <c r="H10" s="235"/>
      <c r="L10" s="237"/>
    </row>
    <row r="11" spans="1:12">
      <c r="A11" s="190">
        <f t="shared" si="0"/>
        <v>4</v>
      </c>
      <c r="B11" s="105"/>
      <c r="C11" s="106"/>
      <c r="D11" s="105"/>
      <c r="E11" s="105"/>
      <c r="F11" s="106" t="s">
        <v>8</v>
      </c>
      <c r="H11" s="235"/>
      <c r="L11" s="237"/>
    </row>
    <row r="12" spans="1:12">
      <c r="A12" s="190">
        <f t="shared" si="0"/>
        <v>5</v>
      </c>
      <c r="B12" s="107" t="s">
        <v>9</v>
      </c>
      <c r="C12" s="107" t="s">
        <v>79</v>
      </c>
      <c r="D12" s="107" t="s">
        <v>10</v>
      </c>
      <c r="E12" s="107" t="s">
        <v>11</v>
      </c>
      <c r="F12" s="107" t="s">
        <v>12</v>
      </c>
      <c r="H12" s="235"/>
      <c r="L12" s="237"/>
    </row>
    <row r="13" spans="1:12">
      <c r="A13" s="190">
        <f t="shared" si="0"/>
        <v>6</v>
      </c>
      <c r="B13" s="108"/>
      <c r="C13" s="108"/>
      <c r="D13" s="108"/>
      <c r="E13" s="108"/>
      <c r="F13" s="108"/>
      <c r="H13" s="235"/>
      <c r="L13" s="237"/>
    </row>
    <row r="14" spans="1:12">
      <c r="A14" s="190">
        <f t="shared" si="0"/>
        <v>7</v>
      </c>
      <c r="B14" s="108" t="s">
        <v>13</v>
      </c>
      <c r="C14" s="165">
        <f>'Pg 2 CapStructure'!Q10</f>
        <v>341629042</v>
      </c>
      <c r="D14" s="449">
        <f>ROUND(C14/$C$30,4)</f>
        <v>4.0599999999999997E-2</v>
      </c>
      <c r="E14" s="341">
        <f>'Pg 6 LTD Cost '!H30</f>
        <v>2.7E-2</v>
      </c>
      <c r="F14" s="178">
        <f>ROUND(D14*E14,4)</f>
        <v>1.1000000000000001E-3</v>
      </c>
      <c r="L14" s="235"/>
    </row>
    <row r="15" spans="1:12">
      <c r="A15" s="190">
        <f t="shared" si="0"/>
        <v>8</v>
      </c>
      <c r="B15" s="108"/>
      <c r="C15" s="167"/>
      <c r="D15" s="178"/>
      <c r="E15" s="166"/>
      <c r="F15" s="178"/>
      <c r="L15" s="235"/>
    </row>
    <row r="16" spans="1:12">
      <c r="A16" s="190">
        <f t="shared" si="0"/>
        <v>9</v>
      </c>
      <c r="B16" s="108" t="s">
        <v>14</v>
      </c>
      <c r="C16" s="167">
        <f>'Pg 2 CapStructure'!Q16</f>
        <v>4059141681</v>
      </c>
      <c r="D16" s="414">
        <f>ROUND(C16/$C$30,4)</f>
        <v>0.48259999999999997</v>
      </c>
      <c r="E16" s="168">
        <f>'Pg 6 LTD Cost '!H28</f>
        <v>5.4199999999999998E-2</v>
      </c>
      <c r="F16" s="178">
        <f>ROUND(D16*E16,4)</f>
        <v>2.6200000000000001E-2</v>
      </c>
      <c r="L16" s="235"/>
    </row>
    <row r="17" spans="1:12">
      <c r="A17" s="190">
        <f t="shared" si="0"/>
        <v>10</v>
      </c>
      <c r="B17" s="110"/>
      <c r="C17" s="169"/>
      <c r="D17" s="178"/>
      <c r="E17" s="168"/>
      <c r="F17" s="349"/>
      <c r="H17" s="246"/>
      <c r="I17" s="192"/>
      <c r="J17" s="192"/>
      <c r="K17" s="192"/>
      <c r="L17" s="247"/>
    </row>
    <row r="18" spans="1:12">
      <c r="A18" s="190">
        <v>11</v>
      </c>
      <c r="B18" s="103" t="s">
        <v>190</v>
      </c>
      <c r="C18" s="169"/>
      <c r="D18" s="178">
        <f>ROUND((C14+C16)/C30,4)</f>
        <v>0.52329999999999999</v>
      </c>
      <c r="E18" s="168">
        <f>'Pg 6 LTD Cost '!H32</f>
        <v>5.21E-2</v>
      </c>
      <c r="F18" s="349">
        <f>F16+F14</f>
        <v>2.7300000000000001E-2</v>
      </c>
      <c r="H18" s="424"/>
      <c r="I18" s="192"/>
      <c r="J18" s="192"/>
      <c r="K18" s="192"/>
      <c r="L18" s="247"/>
    </row>
    <row r="19" spans="1:12">
      <c r="A19" s="190">
        <v>12</v>
      </c>
      <c r="B19" s="110"/>
      <c r="C19" s="169"/>
      <c r="D19" s="178"/>
      <c r="E19" s="168"/>
      <c r="F19" s="349"/>
      <c r="H19" s="246"/>
      <c r="I19" s="192"/>
      <c r="J19" s="192"/>
      <c r="K19" s="192"/>
      <c r="L19" s="247"/>
    </row>
    <row r="20" spans="1:12">
      <c r="A20" s="190">
        <v>13</v>
      </c>
      <c r="B20" s="103" t="s">
        <v>54</v>
      </c>
      <c r="C20" s="169"/>
      <c r="D20" s="178"/>
      <c r="E20" s="168"/>
      <c r="F20" s="349">
        <f>'Pg 4 STD OS &amp; Comm Fees'!F20</f>
        <v>2.0000000000000001E-4</v>
      </c>
      <c r="H20" s="246"/>
      <c r="I20" s="192"/>
      <c r="J20" s="192"/>
      <c r="K20" s="192"/>
      <c r="L20" s="247"/>
    </row>
    <row r="21" spans="1:12">
      <c r="A21" s="190">
        <v>14</v>
      </c>
      <c r="B21" s="110"/>
      <c r="C21" s="169"/>
      <c r="D21" s="178"/>
      <c r="E21" s="168"/>
      <c r="F21" s="349"/>
      <c r="H21" s="246"/>
      <c r="I21" s="192"/>
      <c r="J21" s="192"/>
      <c r="K21" s="192"/>
      <c r="L21" s="247"/>
    </row>
    <row r="22" spans="1:12">
      <c r="A22" s="190">
        <v>15</v>
      </c>
      <c r="B22" s="103" t="s">
        <v>191</v>
      </c>
      <c r="C22" s="169"/>
      <c r="D22" s="178"/>
      <c r="E22" s="168"/>
      <c r="F22" s="349">
        <f>'Pg 5 STD Amort'!G35</f>
        <v>1E-4</v>
      </c>
      <c r="H22" s="246"/>
      <c r="I22" s="192"/>
      <c r="J22" s="192"/>
      <c r="K22" s="192"/>
      <c r="L22" s="247"/>
    </row>
    <row r="23" spans="1:12">
      <c r="A23" s="190">
        <v>16</v>
      </c>
      <c r="B23" s="110"/>
      <c r="C23" s="169"/>
      <c r="D23" s="178"/>
      <c r="E23" s="168"/>
      <c r="F23" s="349"/>
      <c r="H23" s="246"/>
      <c r="I23" s="192"/>
      <c r="J23" s="192"/>
      <c r="K23" s="192"/>
      <c r="L23" s="247"/>
    </row>
    <row r="24" spans="1:12">
      <c r="A24" s="190">
        <v>17</v>
      </c>
      <c r="B24" s="103" t="s">
        <v>192</v>
      </c>
      <c r="C24" s="169"/>
      <c r="D24" s="178"/>
      <c r="E24" s="168"/>
      <c r="F24" s="349">
        <f>'Pg 7 Reacquired Debt'!I35</f>
        <v>2.9999999999999997E-4</v>
      </c>
      <c r="H24" s="246"/>
      <c r="I24" s="192"/>
      <c r="J24" s="192"/>
      <c r="K24" s="192"/>
      <c r="L24" s="247"/>
    </row>
    <row r="25" spans="1:12">
      <c r="A25" s="190">
        <v>18</v>
      </c>
      <c r="B25" s="110"/>
      <c r="C25" s="169"/>
      <c r="D25" s="178"/>
      <c r="E25" s="168"/>
      <c r="F25" s="349"/>
      <c r="H25" s="246"/>
      <c r="I25" s="192"/>
      <c r="J25" s="192"/>
      <c r="K25" s="192"/>
      <c r="L25" s="247"/>
    </row>
    <row r="26" spans="1:12">
      <c r="A26" s="190">
        <v>19</v>
      </c>
      <c r="B26" s="110" t="s">
        <v>193</v>
      </c>
      <c r="C26" s="169">
        <f>C16+C14</f>
        <v>4400770723</v>
      </c>
      <c r="D26" s="178">
        <f>D18</f>
        <v>0.52329999999999999</v>
      </c>
      <c r="E26" s="168"/>
      <c r="F26" s="445">
        <f>SUM(F18:F25)</f>
        <v>2.7900000000000001E-2</v>
      </c>
      <c r="G26" s="440"/>
      <c r="H26" s="246"/>
      <c r="I26" s="192"/>
      <c r="J26" s="192"/>
      <c r="K26" s="192"/>
      <c r="L26" s="247"/>
    </row>
    <row r="27" spans="1:12">
      <c r="A27" s="190">
        <v>20</v>
      </c>
      <c r="B27" s="110"/>
      <c r="C27" s="169"/>
      <c r="D27" s="178"/>
      <c r="E27" s="168"/>
      <c r="F27" s="349"/>
      <c r="H27" s="246"/>
      <c r="I27" s="192"/>
      <c r="J27" s="192"/>
      <c r="K27" s="192"/>
      <c r="L27" s="247"/>
    </row>
    <row r="28" spans="1:12">
      <c r="A28" s="190">
        <v>21</v>
      </c>
      <c r="B28" s="109" t="s">
        <v>15</v>
      </c>
      <c r="C28" s="170">
        <f>'Pg 2 CapStructure'!Q20</f>
        <v>4009571697</v>
      </c>
      <c r="D28" s="330">
        <f>ROUND(C28/$C$30,4)</f>
        <v>0.47670000000000001</v>
      </c>
      <c r="E28" s="448">
        <v>9.5000000000000001E-2</v>
      </c>
      <c r="F28" s="350">
        <f>ROUND(D28*E28,4)</f>
        <v>4.53E-2</v>
      </c>
      <c r="H28" s="248"/>
      <c r="I28" s="448"/>
      <c r="J28" s="249"/>
      <c r="K28" s="250"/>
      <c r="L28" s="168"/>
    </row>
    <row r="29" spans="1:12">
      <c r="A29" s="190">
        <v>22</v>
      </c>
      <c r="B29" s="110"/>
      <c r="C29" s="168"/>
      <c r="D29" s="171"/>
      <c r="E29" s="411"/>
      <c r="F29" s="168"/>
      <c r="H29" s="248"/>
      <c r="I29" s="448"/>
      <c r="J29" s="249"/>
      <c r="K29" s="250"/>
      <c r="L29" s="168"/>
    </row>
    <row r="30" spans="1:12">
      <c r="A30" s="190">
        <v>23</v>
      </c>
      <c r="B30" s="109" t="s">
        <v>16</v>
      </c>
      <c r="C30" s="172">
        <f>C28+C26</f>
        <v>8410342420</v>
      </c>
      <c r="D30" s="240">
        <f>D28+D18</f>
        <v>1</v>
      </c>
      <c r="E30" s="418"/>
      <c r="F30" s="224">
        <f>F28+F26</f>
        <v>7.3200000000000001E-2</v>
      </c>
      <c r="H30" s="111"/>
      <c r="I30" s="111"/>
      <c r="J30" s="249"/>
      <c r="K30" s="168"/>
      <c r="L30" s="251"/>
    </row>
    <row r="31" spans="1:12">
      <c r="A31" s="190">
        <v>24</v>
      </c>
      <c r="B31" s="103"/>
      <c r="C31" s="111"/>
      <c r="D31" s="111"/>
      <c r="E31" s="173"/>
      <c r="F31" s="111"/>
      <c r="H31" s="103"/>
      <c r="I31" s="103"/>
      <c r="J31" s="103"/>
    </row>
    <row r="32" spans="1:12">
      <c r="A32" s="190">
        <v>25</v>
      </c>
      <c r="B32" s="103"/>
      <c r="C32" s="103"/>
      <c r="D32" s="103"/>
      <c r="E32" s="111"/>
      <c r="F32" s="103"/>
    </row>
    <row r="33" spans="1:7">
      <c r="A33" s="190">
        <v>26</v>
      </c>
      <c r="B33" s="364" t="s">
        <v>164</v>
      </c>
      <c r="C33" s="103"/>
      <c r="D33" s="103"/>
      <c r="E33" s="139"/>
      <c r="F33" s="103"/>
      <c r="G33" s="238"/>
    </row>
    <row r="34" spans="1:7">
      <c r="A34" s="15"/>
      <c r="B34" s="103"/>
      <c r="C34" s="103"/>
      <c r="D34" s="103"/>
      <c r="E34" s="103"/>
      <c r="F34" s="103"/>
    </row>
    <row r="35" spans="1:7">
      <c r="A35" s="15"/>
      <c r="B35" s="103"/>
      <c r="C35" s="167"/>
      <c r="D35" s="103"/>
      <c r="E35" s="103"/>
      <c r="F35" s="103"/>
    </row>
    <row r="36" spans="1:7">
      <c r="A36" s="15"/>
      <c r="B36" s="103"/>
      <c r="C36" s="167"/>
      <c r="D36" s="103"/>
      <c r="E36" s="103"/>
      <c r="F36" s="103"/>
    </row>
    <row r="37" spans="1:7">
      <c r="A37" s="15"/>
      <c r="B37" s="103"/>
      <c r="C37" s="167"/>
      <c r="D37" s="103"/>
      <c r="E37" s="103"/>
      <c r="F37" s="103"/>
    </row>
    <row r="38" spans="1:7">
      <c r="A38" s="15"/>
      <c r="B38" s="103"/>
      <c r="D38" s="103"/>
      <c r="E38" s="103"/>
      <c r="F38" s="103"/>
    </row>
    <row r="39" spans="1:7">
      <c r="A39" s="15"/>
      <c r="B39" s="103"/>
      <c r="C39" s="191"/>
      <c r="D39" s="103"/>
      <c r="E39" s="103"/>
      <c r="F39" s="103"/>
    </row>
    <row r="40" spans="1:7">
      <c r="A40" s="15"/>
      <c r="B40" s="103"/>
      <c r="C40" s="103"/>
      <c r="D40" s="103"/>
      <c r="E40" s="103"/>
      <c r="F40" s="103"/>
    </row>
    <row r="41" spans="1:7">
      <c r="A41" s="15"/>
      <c r="B41" s="103"/>
      <c r="C41" s="103"/>
      <c r="D41" s="103"/>
      <c r="E41" s="103"/>
      <c r="F41" s="103"/>
    </row>
    <row r="42" spans="1:7">
      <c r="B42" s="103"/>
      <c r="C42" s="103"/>
      <c r="D42" s="103"/>
      <c r="E42" s="103"/>
      <c r="F42" s="103"/>
    </row>
    <row r="43" spans="1:7">
      <c r="B43" s="103"/>
      <c r="C43" s="103"/>
      <c r="D43" s="103"/>
      <c r="E43" s="103"/>
      <c r="F43" s="103"/>
    </row>
    <row r="44" spans="1:7">
      <c r="E44" s="103"/>
    </row>
    <row r="46" spans="1:7">
      <c r="C46" s="20"/>
      <c r="D46" s="21"/>
    </row>
    <row r="47" spans="1:7">
      <c r="D47" s="21"/>
    </row>
    <row r="48" spans="1:7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pageMargins left="0.7" right="0.7" top="0.75" bottom="0.75" header="0.3" footer="0.3"/>
  <pageSetup orientation="portrait" r:id="rId1"/>
  <headerFooter>
    <oddFooter>&amp;CPg 1 Cost of Capital&amp;R&amp;F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677"/>
  <sheetViews>
    <sheetView zoomScale="120" zoomScaleNormal="120" workbookViewId="0">
      <pane xSplit="2" ySplit="6" topLeftCell="C22" activePane="bottomRight" state="frozen"/>
      <selection activeCell="C28" sqref="C28"/>
      <selection pane="topRight" activeCell="C28" sqref="C28"/>
      <selection pane="bottomLeft" activeCell="C28" sqref="C28"/>
      <selection pane="bottomRight" activeCell="S2" sqref="S2"/>
    </sheetView>
  </sheetViews>
  <sheetFormatPr defaultColWidth="15.85546875" defaultRowHeight="13.2"/>
  <cols>
    <col min="1" max="1" width="3.28515625" style="1" customWidth="1"/>
    <col min="2" max="2" width="32.28515625" style="1" customWidth="1"/>
    <col min="3" max="3" width="14.140625" style="2" customWidth="1"/>
    <col min="4" max="4" width="11" style="2" customWidth="1"/>
    <col min="5" max="5" width="11.140625" style="2" customWidth="1"/>
    <col min="6" max="7" width="10.85546875" style="2" customWidth="1"/>
    <col min="8" max="9" width="10.42578125" style="2" customWidth="1"/>
    <col min="10" max="11" width="10.85546875" style="2" customWidth="1"/>
    <col min="12" max="16" width="10.7109375" style="2" customWidth="1"/>
    <col min="17" max="17" width="12.42578125" style="1" customWidth="1"/>
    <col min="18" max="18" width="10.28515625" style="1" customWidth="1"/>
    <col min="19" max="19" width="13" style="1" customWidth="1"/>
    <col min="20" max="21" width="10.28515625" style="1" customWidth="1"/>
    <col min="22" max="22" width="16.28515625" style="1" bestFit="1" customWidth="1"/>
    <col min="23" max="32" width="8.85546875" style="1" customWidth="1"/>
    <col min="33" max="33" width="10.140625" style="1" customWidth="1"/>
    <col min="34" max="16384" width="15.85546875" style="1"/>
  </cols>
  <sheetData>
    <row r="1" spans="1:53">
      <c r="B1" s="143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5"/>
    </row>
    <row r="2" spans="1:53">
      <c r="B2" s="143" t="s">
        <v>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5"/>
    </row>
    <row r="3" spans="1:53" ht="12.75" customHeight="1">
      <c r="B3" s="467" t="s">
        <v>204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</row>
    <row r="4" spans="1:53">
      <c r="B4" s="466" t="s">
        <v>59</v>
      </c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</row>
    <row r="5" spans="1:53">
      <c r="A5" s="129">
        <v>1</v>
      </c>
      <c r="B5" s="127" t="s">
        <v>5</v>
      </c>
      <c r="C5" s="307" t="s">
        <v>27</v>
      </c>
      <c r="D5" s="307" t="s">
        <v>52</v>
      </c>
      <c r="E5" s="307" t="s">
        <v>64</v>
      </c>
      <c r="F5" s="307" t="s">
        <v>65</v>
      </c>
      <c r="G5" s="307" t="s">
        <v>66</v>
      </c>
      <c r="H5" s="307" t="s">
        <v>67</v>
      </c>
      <c r="I5" s="307" t="s">
        <v>68</v>
      </c>
      <c r="J5" s="307" t="s">
        <v>69</v>
      </c>
      <c r="K5" s="307" t="s">
        <v>71</v>
      </c>
      <c r="L5" s="307" t="s">
        <v>72</v>
      </c>
      <c r="M5" s="307" t="s">
        <v>73</v>
      </c>
      <c r="N5" s="307" t="s">
        <v>74</v>
      </c>
      <c r="O5" s="307" t="s">
        <v>75</v>
      </c>
      <c r="P5" s="307"/>
      <c r="Q5" s="127" t="s">
        <v>76</v>
      </c>
    </row>
    <row r="6" spans="1:53" ht="35.1" customHeight="1">
      <c r="A6" s="129">
        <f>+A5+1</f>
        <v>2</v>
      </c>
      <c r="B6" s="101" t="s">
        <v>1</v>
      </c>
      <c r="C6" s="195">
        <v>43465</v>
      </c>
      <c r="D6" s="195">
        <v>43496</v>
      </c>
      <c r="E6" s="195">
        <v>43524</v>
      </c>
      <c r="F6" s="195">
        <v>43555</v>
      </c>
      <c r="G6" s="195">
        <v>43585</v>
      </c>
      <c r="H6" s="195">
        <v>43616</v>
      </c>
      <c r="I6" s="195">
        <v>43646</v>
      </c>
      <c r="J6" s="195">
        <v>43677</v>
      </c>
      <c r="K6" s="195">
        <v>43708</v>
      </c>
      <c r="L6" s="195">
        <v>43738</v>
      </c>
      <c r="M6" s="195">
        <v>43769</v>
      </c>
      <c r="N6" s="195">
        <v>43799</v>
      </c>
      <c r="O6" s="195">
        <v>43830</v>
      </c>
      <c r="P6" s="195"/>
      <c r="Q6" s="122" t="s">
        <v>107</v>
      </c>
      <c r="R6" s="100"/>
      <c r="S6" s="8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</row>
    <row r="7" spans="1:53">
      <c r="A7" s="129">
        <f>+A6+1</f>
        <v>3</v>
      </c>
      <c r="B7" s="141" t="s">
        <v>36</v>
      </c>
      <c r="C7" s="365">
        <v>379297000</v>
      </c>
      <c r="D7" s="365">
        <v>409000000</v>
      </c>
      <c r="E7" s="365">
        <v>423000000</v>
      </c>
      <c r="F7" s="365">
        <v>432000000</v>
      </c>
      <c r="G7" s="365">
        <v>492000000</v>
      </c>
      <c r="H7" s="365">
        <v>508000000</v>
      </c>
      <c r="I7" s="365">
        <v>540000000</v>
      </c>
      <c r="J7" s="365">
        <v>562900000</v>
      </c>
      <c r="K7" s="365">
        <v>152000000</v>
      </c>
      <c r="L7" s="365">
        <v>69000000</v>
      </c>
      <c r="M7" s="365">
        <v>98000000</v>
      </c>
      <c r="N7" s="365">
        <v>136000000</v>
      </c>
      <c r="O7" s="365">
        <v>176000000</v>
      </c>
      <c r="P7" s="365"/>
      <c r="Q7" s="162">
        <f>ROUND(((C7+O7)+(SUM(D7:N7)*2))/24,0)</f>
        <v>341629042</v>
      </c>
      <c r="R7" s="409"/>
      <c r="S7" s="410"/>
      <c r="T7" s="410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</row>
    <row r="8" spans="1:53">
      <c r="A8" s="129">
        <f>+A7+1</f>
        <v>4</v>
      </c>
      <c r="B8" s="141" t="s">
        <v>160</v>
      </c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162">
        <f>ROUND(((C8+L8)+(SUM(D8:N8)*2))/24,0)</f>
        <v>0</v>
      </c>
      <c r="R8" s="409"/>
      <c r="S8" s="410"/>
      <c r="T8" s="410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</row>
    <row r="9" spans="1:53" ht="13.8" thickBot="1">
      <c r="A9" s="129">
        <f>+A8+1</f>
        <v>5</v>
      </c>
      <c r="B9" s="141" t="s">
        <v>148</v>
      </c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162">
        <f>ROUND(((C9+L9)+(SUM(D9:N9)*2))/24,0)</f>
        <v>0</v>
      </c>
      <c r="R9" s="100"/>
      <c r="T9" s="410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</row>
    <row r="10" spans="1:53" ht="13.8" thickBot="1">
      <c r="A10" s="129">
        <f>+A9+1</f>
        <v>6</v>
      </c>
      <c r="B10" s="142" t="s">
        <v>30</v>
      </c>
      <c r="C10" s="355">
        <f t="shared" ref="C10:H10" si="0">SUM(C7:C9)</f>
        <v>379297000</v>
      </c>
      <c r="D10" s="355">
        <f t="shared" si="0"/>
        <v>409000000</v>
      </c>
      <c r="E10" s="355">
        <f t="shared" si="0"/>
        <v>423000000</v>
      </c>
      <c r="F10" s="355">
        <f t="shared" si="0"/>
        <v>432000000</v>
      </c>
      <c r="G10" s="355">
        <f t="shared" si="0"/>
        <v>492000000</v>
      </c>
      <c r="H10" s="355">
        <f t="shared" si="0"/>
        <v>508000000</v>
      </c>
      <c r="I10" s="355">
        <f t="shared" ref="I10:Q10" si="1">SUM(I7:I9)</f>
        <v>540000000</v>
      </c>
      <c r="J10" s="355">
        <f t="shared" si="1"/>
        <v>562900000</v>
      </c>
      <c r="K10" s="355">
        <f t="shared" si="1"/>
        <v>152000000</v>
      </c>
      <c r="L10" s="355">
        <f t="shared" si="1"/>
        <v>69000000</v>
      </c>
      <c r="M10" s="355">
        <f t="shared" si="1"/>
        <v>98000000</v>
      </c>
      <c r="N10" s="355">
        <f t="shared" si="1"/>
        <v>136000000</v>
      </c>
      <c r="O10" s="355">
        <f t="shared" si="1"/>
        <v>176000000</v>
      </c>
      <c r="P10" s="197"/>
      <c r="Q10" s="215">
        <f t="shared" si="1"/>
        <v>341629042</v>
      </c>
      <c r="R10" s="96"/>
      <c r="T10" s="96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1"/>
      <c r="AG10" s="91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</row>
    <row r="11" spans="1:53" ht="6.9" customHeight="1" thickBot="1">
      <c r="A11" s="129"/>
      <c r="B11" s="140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162"/>
      <c r="R11" s="96"/>
      <c r="T11" s="96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1"/>
      <c r="AG11" s="91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</row>
    <row r="12" spans="1:53" ht="13.8" thickBot="1">
      <c r="A12" s="129">
        <f>+A10+1</f>
        <v>7</v>
      </c>
      <c r="B12" s="142" t="s">
        <v>121</v>
      </c>
      <c r="C12" s="366">
        <v>3892443356</v>
      </c>
      <c r="D12" s="366">
        <v>3892580192</v>
      </c>
      <c r="E12" s="366">
        <v>3892717027</v>
      </c>
      <c r="F12" s="366">
        <v>3892853863</v>
      </c>
      <c r="G12" s="366">
        <v>3892990699</v>
      </c>
      <c r="H12" s="366">
        <v>3893127535</v>
      </c>
      <c r="I12" s="366">
        <v>3893264371</v>
      </c>
      <c r="J12" s="366">
        <v>3893401206</v>
      </c>
      <c r="K12" s="366">
        <v>4336699980</v>
      </c>
      <c r="L12" s="366">
        <v>4335794533</v>
      </c>
      <c r="M12" s="366">
        <v>4335995443</v>
      </c>
      <c r="N12" s="366">
        <v>4335982822</v>
      </c>
      <c r="O12" s="366">
        <v>4336141648</v>
      </c>
      <c r="P12" s="366"/>
      <c r="Q12" s="215">
        <f>ROUND(((C12+O12)+(SUM(D12:N12)*2))/24,0)</f>
        <v>4059141681</v>
      </c>
      <c r="R12" s="96"/>
      <c r="S12" s="410"/>
      <c r="T12" s="410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1"/>
      <c r="AG12" s="91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</row>
    <row r="13" spans="1:53" ht="6" customHeight="1">
      <c r="A13" s="129"/>
      <c r="B13" s="142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163"/>
      <c r="R13" s="96"/>
      <c r="T13" s="96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</row>
    <row r="14" spans="1:53" ht="13.5" customHeight="1">
      <c r="A14" s="129">
        <f>+A12+1</f>
        <v>8</v>
      </c>
      <c r="B14" s="142" t="s">
        <v>116</v>
      </c>
      <c r="C14" s="367"/>
      <c r="D14" s="367">
        <v>0</v>
      </c>
      <c r="E14" s="367">
        <v>0</v>
      </c>
      <c r="F14" s="367">
        <v>0</v>
      </c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242">
        <f>ROUND(((C14+O14)+(SUM(D14:N14)*2))/24,0)</f>
        <v>0</v>
      </c>
      <c r="R14" s="96"/>
      <c r="S14" s="410"/>
      <c r="T14" s="410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</row>
    <row r="15" spans="1:53" ht="5.25" customHeight="1" thickBot="1">
      <c r="A15" s="129"/>
      <c r="B15" s="142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163"/>
      <c r="R15" s="96"/>
      <c r="S15" s="96"/>
      <c r="T15" s="96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</row>
    <row r="16" spans="1:53" ht="13.5" customHeight="1" thickBot="1">
      <c r="A16" s="129">
        <f>+A14+1</f>
        <v>9</v>
      </c>
      <c r="B16" s="142" t="s">
        <v>14</v>
      </c>
      <c r="C16" s="299">
        <f>SUM(C12:C14)</f>
        <v>3892443356</v>
      </c>
      <c r="D16" s="299">
        <f>SUM(D12:D14)</f>
        <v>3892580192</v>
      </c>
      <c r="E16" s="299">
        <f>SUM(E12:E14)</f>
        <v>3892717027</v>
      </c>
      <c r="F16" s="299">
        <f>SUM(F12:F14)</f>
        <v>3892853863</v>
      </c>
      <c r="G16" s="299">
        <f t="shared" ref="G16:O16" si="2">SUM(G12:G14)</f>
        <v>3892990699</v>
      </c>
      <c r="H16" s="299">
        <f t="shared" si="2"/>
        <v>3893127535</v>
      </c>
      <c r="I16" s="299">
        <f t="shared" si="2"/>
        <v>3893264371</v>
      </c>
      <c r="J16" s="299">
        <f t="shared" si="2"/>
        <v>3893401206</v>
      </c>
      <c r="K16" s="299">
        <f t="shared" si="2"/>
        <v>4336699980</v>
      </c>
      <c r="L16" s="299">
        <f t="shared" si="2"/>
        <v>4335794533</v>
      </c>
      <c r="M16" s="299">
        <f t="shared" si="2"/>
        <v>4335995443</v>
      </c>
      <c r="N16" s="299">
        <f t="shared" si="2"/>
        <v>4335982822</v>
      </c>
      <c r="O16" s="299">
        <f t="shared" si="2"/>
        <v>4336141648</v>
      </c>
      <c r="P16" s="97"/>
      <c r="Q16" s="215">
        <f>SUM(Q12:Q14)</f>
        <v>4059141681</v>
      </c>
      <c r="R16" s="96"/>
      <c r="S16" s="265"/>
      <c r="T16" s="96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1:53" ht="6.75" customHeight="1" thickBot="1">
      <c r="A17" s="129"/>
      <c r="B17" s="142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163"/>
      <c r="R17" s="96"/>
      <c r="S17" s="96"/>
      <c r="T17" s="96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</row>
    <row r="18" spans="1:53" ht="13.8" thickBot="1">
      <c r="A18" s="129">
        <f>+A16+1</f>
        <v>10</v>
      </c>
      <c r="B18" s="142" t="s">
        <v>82</v>
      </c>
      <c r="C18" s="298">
        <v>0</v>
      </c>
      <c r="D18" s="298">
        <v>0</v>
      </c>
      <c r="E18" s="298">
        <v>0</v>
      </c>
      <c r="F18" s="298">
        <v>0</v>
      </c>
      <c r="G18" s="298">
        <v>0</v>
      </c>
      <c r="H18" s="298">
        <v>0</v>
      </c>
      <c r="I18" s="298">
        <v>0</v>
      </c>
      <c r="J18" s="298">
        <v>0</v>
      </c>
      <c r="K18" s="298">
        <v>0</v>
      </c>
      <c r="L18" s="298">
        <v>0</v>
      </c>
      <c r="M18" s="298">
        <v>0</v>
      </c>
      <c r="N18" s="298">
        <v>0</v>
      </c>
      <c r="O18" s="298">
        <v>0</v>
      </c>
      <c r="P18" s="298"/>
      <c r="Q18" s="214"/>
      <c r="R18" s="96"/>
      <c r="S18" s="177"/>
      <c r="T18" s="96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</row>
    <row r="19" spans="1:53" ht="6.9" customHeight="1" thickBot="1">
      <c r="A19" s="129"/>
      <c r="B19" s="142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162"/>
      <c r="R19" s="96"/>
      <c r="S19" s="96"/>
      <c r="T19" s="9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</row>
    <row r="20" spans="1:53" ht="13.8" thickBot="1">
      <c r="A20" s="129">
        <f>+A18+1</f>
        <v>11</v>
      </c>
      <c r="B20" s="142" t="s">
        <v>97</v>
      </c>
      <c r="C20" s="300">
        <f t="shared" ref="C20:H20" si="3">C44</f>
        <v>3887149407</v>
      </c>
      <c r="D20" s="300">
        <f t="shared" si="3"/>
        <v>3897925603</v>
      </c>
      <c r="E20" s="300">
        <f t="shared" si="3"/>
        <v>3940502476</v>
      </c>
      <c r="F20" s="300">
        <f>F44</f>
        <v>3957303831</v>
      </c>
      <c r="G20" s="300">
        <f t="shared" si="3"/>
        <v>3976476702</v>
      </c>
      <c r="H20" s="300">
        <f t="shared" si="3"/>
        <v>3974088576</v>
      </c>
      <c r="I20" s="300">
        <f t="shared" ref="I20:O20" si="4">I44</f>
        <v>3953713550</v>
      </c>
      <c r="J20" s="300">
        <f t="shared" si="4"/>
        <v>3937654424</v>
      </c>
      <c r="K20" s="300">
        <f>K44</f>
        <v>3938448296</v>
      </c>
      <c r="L20" s="300">
        <f t="shared" si="4"/>
        <v>4130344688</v>
      </c>
      <c r="M20" s="300">
        <f t="shared" si="4"/>
        <v>4152562420</v>
      </c>
      <c r="N20" s="300">
        <f t="shared" si="4"/>
        <v>4198166496</v>
      </c>
      <c r="O20" s="300">
        <f t="shared" si="4"/>
        <v>4228197192</v>
      </c>
      <c r="P20" s="271"/>
      <c r="Q20" s="214">
        <f>ROUND(((C20+O20)+(SUM(D20:N20)*2))/24,0)</f>
        <v>4009571697</v>
      </c>
      <c r="R20" s="96"/>
      <c r="S20" s="96"/>
      <c r="T20" s="96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</row>
    <row r="21" spans="1:53" ht="6.9" customHeight="1">
      <c r="A21" s="129"/>
      <c r="B21" s="142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64"/>
      <c r="R21" s="96"/>
      <c r="S21" s="96"/>
      <c r="T21" s="96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</row>
    <row r="22" spans="1:53" ht="13.8" thickBot="1">
      <c r="A22" s="129">
        <f>+A20+1</f>
        <v>12</v>
      </c>
      <c r="B22" s="142" t="s">
        <v>86</v>
      </c>
      <c r="C22" s="301">
        <f t="shared" ref="C22" si="5">C10+C16+C18+C20-1000</f>
        <v>8158888763</v>
      </c>
      <c r="D22" s="301">
        <f>D10+D16+D18+D20</f>
        <v>8199505795</v>
      </c>
      <c r="E22" s="301">
        <f>E10+E16+E18+E20</f>
        <v>8256219503</v>
      </c>
      <c r="F22" s="301">
        <f>F10+F16+F18+F20</f>
        <v>8282157694</v>
      </c>
      <c r="G22" s="301">
        <f>G10+G16+G18+G20</f>
        <v>8361467401</v>
      </c>
      <c r="H22" s="301">
        <f t="shared" ref="H22" si="6">H10+H16+H18+H20</f>
        <v>8375216111</v>
      </c>
      <c r="I22" s="301">
        <f>I10+I16+I18+I20</f>
        <v>8386977921</v>
      </c>
      <c r="J22" s="301">
        <f>J10+J16+J18+J20</f>
        <v>8393955630</v>
      </c>
      <c r="K22" s="301">
        <f t="shared" ref="K22:O22" si="7">K10+K16+K18+K20</f>
        <v>8427148276</v>
      </c>
      <c r="L22" s="301">
        <f>L10+L16+L18+L20</f>
        <v>8535139221</v>
      </c>
      <c r="M22" s="301">
        <f t="shared" si="7"/>
        <v>8586557863</v>
      </c>
      <c r="N22" s="301">
        <f t="shared" si="7"/>
        <v>8670149318</v>
      </c>
      <c r="O22" s="301">
        <f t="shared" si="7"/>
        <v>8740338840</v>
      </c>
      <c r="P22" s="301"/>
      <c r="Q22" s="243">
        <f>Q10+Q16+Q18+Q20</f>
        <v>8410342420</v>
      </c>
      <c r="R22" s="96"/>
      <c r="S22" s="96"/>
      <c r="T22" s="96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</row>
    <row r="23" spans="1:53" ht="13.8" thickTop="1">
      <c r="A23" s="129"/>
      <c r="B23" s="142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94"/>
      <c r="R23" s="96"/>
      <c r="S23" s="96"/>
      <c r="T23" s="96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</row>
    <row r="24" spans="1:53">
      <c r="A24" s="129">
        <f>+A22+1</f>
        <v>13</v>
      </c>
      <c r="B24" s="128" t="s">
        <v>30</v>
      </c>
      <c r="C24" s="302">
        <f t="shared" ref="C24:H24" si="8">C10/C$22</f>
        <v>4.6488806382565952E-2</v>
      </c>
      <c r="D24" s="302">
        <f t="shared" si="8"/>
        <v>4.9881055056928587E-2</v>
      </c>
      <c r="E24" s="302">
        <f t="shared" si="8"/>
        <v>5.1234102950666181E-2</v>
      </c>
      <c r="F24" s="302">
        <f t="shared" si="8"/>
        <v>5.2160320530115226E-2</v>
      </c>
      <c r="G24" s="302">
        <f t="shared" si="8"/>
        <v>5.8841346429355047E-2</v>
      </c>
      <c r="H24" s="302">
        <f t="shared" si="8"/>
        <v>6.0655151254281468E-2</v>
      </c>
      <c r="I24" s="302">
        <f>I10/I$22</f>
        <v>6.4385527789205685E-2</v>
      </c>
      <c r="J24" s="302">
        <f>J10/J$22</f>
        <v>6.7060159096885771E-2</v>
      </c>
      <c r="K24" s="302">
        <f>K10/K$22</f>
        <v>1.8036943817980117E-2</v>
      </c>
      <c r="L24" s="302">
        <f>L10/L$22</f>
        <v>8.0842266556392234E-3</v>
      </c>
      <c r="M24" s="302">
        <f t="shared" ref="M24:O24" si="9">M10/M$22</f>
        <v>1.1413188097443325E-2</v>
      </c>
      <c r="N24" s="302">
        <f t="shared" si="9"/>
        <v>1.568600435953876E-2</v>
      </c>
      <c r="O24" s="302">
        <f t="shared" si="9"/>
        <v>2.013651910090021E-2</v>
      </c>
      <c r="P24" s="302"/>
      <c r="Q24" s="303">
        <f>Q10/Q$22</f>
        <v>4.0620110922903421E-2</v>
      </c>
      <c r="R24" s="96"/>
      <c r="S24" s="96"/>
      <c r="T24" s="96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</row>
    <row r="25" spans="1:53">
      <c r="A25" s="129">
        <f>+A24+1</f>
        <v>14</v>
      </c>
      <c r="B25" s="128" t="s">
        <v>31</v>
      </c>
      <c r="C25" s="304">
        <f t="shared" ref="C25:H25" si="10">C16/C$22</f>
        <v>0.47708008640244776</v>
      </c>
      <c r="D25" s="304">
        <f t="shared" si="10"/>
        <v>0.4747335131312021</v>
      </c>
      <c r="E25" s="304">
        <f t="shared" si="10"/>
        <v>0.47148904236200756</v>
      </c>
      <c r="F25" s="304">
        <f t="shared" si="10"/>
        <v>0.47002894738652146</v>
      </c>
      <c r="G25" s="304">
        <f t="shared" si="10"/>
        <v>0.46558702106934163</v>
      </c>
      <c r="H25" s="304">
        <f t="shared" si="10"/>
        <v>0.46483905410951371</v>
      </c>
      <c r="I25" s="304">
        <f>I16/I$22</f>
        <v>0.46420348398100902</v>
      </c>
      <c r="J25" s="304">
        <f>J16/J$22</f>
        <v>0.46383390353946868</v>
      </c>
      <c r="K25" s="304">
        <f>K16/K$22</f>
        <v>0.51461061772825989</v>
      </c>
      <c r="L25" s="304">
        <f>L16/L$22</f>
        <v>0.50799341647903506</v>
      </c>
      <c r="M25" s="304">
        <f t="shared" ref="M25:O25" si="11">M16/M$22</f>
        <v>0.50497481204710304</v>
      </c>
      <c r="N25" s="304">
        <f t="shared" si="11"/>
        <v>0.50010474594689092</v>
      </c>
      <c r="O25" s="304">
        <f t="shared" si="11"/>
        <v>0.49610681317705069</v>
      </c>
      <c r="P25" s="304"/>
      <c r="Q25" s="305">
        <f>Q16/Q$22</f>
        <v>0.48263691040061124</v>
      </c>
      <c r="R25" s="96"/>
      <c r="S25" s="96"/>
      <c r="T25" s="96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</row>
    <row r="26" spans="1:53">
      <c r="A26" s="129">
        <f>+A25+1</f>
        <v>15</v>
      </c>
      <c r="B26" s="128" t="s">
        <v>103</v>
      </c>
      <c r="C26" s="302">
        <f t="shared" ref="C26:H26" si="12">SUM(C24:C25)</f>
        <v>0.52356889278501373</v>
      </c>
      <c r="D26" s="302">
        <f t="shared" si="12"/>
        <v>0.52461456818813068</v>
      </c>
      <c r="E26" s="302">
        <f t="shared" si="12"/>
        <v>0.52272314531267372</v>
      </c>
      <c r="F26" s="302">
        <f t="shared" si="12"/>
        <v>0.52218926791663667</v>
      </c>
      <c r="G26" s="302">
        <f t="shared" si="12"/>
        <v>0.5244283674986967</v>
      </c>
      <c r="H26" s="302">
        <f t="shared" si="12"/>
        <v>0.52549420536379521</v>
      </c>
      <c r="I26" s="302">
        <f>SUM(I24:I25)</f>
        <v>0.52858901177021467</v>
      </c>
      <c r="J26" s="302">
        <f>SUM(J24:J25)</f>
        <v>0.53089406263635441</v>
      </c>
      <c r="K26" s="302">
        <f>SUM(K24:K25)</f>
        <v>0.53264756154624004</v>
      </c>
      <c r="L26" s="302">
        <f>SUM(L24:L25)</f>
        <v>0.5160776431346743</v>
      </c>
      <c r="M26" s="302">
        <f t="shared" ref="M26:O26" si="13">SUM(M24:M25)</f>
        <v>0.51638800014454633</v>
      </c>
      <c r="N26" s="302">
        <f t="shared" si="13"/>
        <v>0.51579075030642962</v>
      </c>
      <c r="O26" s="302">
        <f t="shared" si="13"/>
        <v>0.51624333227795094</v>
      </c>
      <c r="P26" s="302"/>
      <c r="Q26" s="303">
        <f>SUM(Q24:Q25)</f>
        <v>0.5232570213235147</v>
      </c>
      <c r="R26" s="96"/>
      <c r="S26" s="96"/>
      <c r="T26" s="96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</row>
    <row r="27" spans="1:53">
      <c r="A27" s="129">
        <f>+A26+1</f>
        <v>16</v>
      </c>
      <c r="B27" s="128" t="s">
        <v>104</v>
      </c>
      <c r="C27" s="302">
        <f>C18/C$22</f>
        <v>0</v>
      </c>
      <c r="D27" s="302">
        <f>D18/D$22</f>
        <v>0</v>
      </c>
      <c r="E27" s="302">
        <f>E18/E$22</f>
        <v>0</v>
      </c>
      <c r="F27" s="302">
        <f>F18/F$22</f>
        <v>0</v>
      </c>
      <c r="G27" s="302">
        <f t="shared" ref="G27:O27" si="14">G18/G$22</f>
        <v>0</v>
      </c>
      <c r="H27" s="302">
        <f t="shared" si="14"/>
        <v>0</v>
      </c>
      <c r="I27" s="302">
        <f t="shared" si="14"/>
        <v>0</v>
      </c>
      <c r="J27" s="302">
        <f t="shared" si="14"/>
        <v>0</v>
      </c>
      <c r="K27" s="302">
        <f t="shared" si="14"/>
        <v>0</v>
      </c>
      <c r="L27" s="302">
        <f t="shared" si="14"/>
        <v>0</v>
      </c>
      <c r="M27" s="302">
        <f t="shared" si="14"/>
        <v>0</v>
      </c>
      <c r="N27" s="302">
        <f t="shared" si="14"/>
        <v>0</v>
      </c>
      <c r="O27" s="302">
        <f t="shared" si="14"/>
        <v>0</v>
      </c>
      <c r="P27" s="302"/>
      <c r="Q27" s="303">
        <f>Q18/Q$22</f>
        <v>0</v>
      </c>
      <c r="R27" s="96"/>
      <c r="S27" s="96"/>
      <c r="T27" s="96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</row>
    <row r="28" spans="1:53">
      <c r="A28" s="129">
        <f>+A27+1</f>
        <v>17</v>
      </c>
      <c r="B28" s="128" t="s">
        <v>105</v>
      </c>
      <c r="C28" s="332">
        <f>C20/C$22</f>
        <v>0.47643122978069702</v>
      </c>
      <c r="D28" s="332">
        <f>D20/D$22</f>
        <v>0.47538543181186932</v>
      </c>
      <c r="E28" s="332">
        <f>E20/E$22</f>
        <v>0.47727685468732628</v>
      </c>
      <c r="F28" s="332">
        <f>F20/F$22</f>
        <v>0.47781073208336328</v>
      </c>
      <c r="G28" s="332">
        <f t="shared" ref="G28:O28" si="15">G20/G$22</f>
        <v>0.47557163250130335</v>
      </c>
      <c r="H28" s="332">
        <f t="shared" si="15"/>
        <v>0.47450579463620485</v>
      </c>
      <c r="I28" s="332">
        <f t="shared" si="15"/>
        <v>0.47141098822978528</v>
      </c>
      <c r="J28" s="332">
        <f t="shared" si="15"/>
        <v>0.46910593736364559</v>
      </c>
      <c r="K28" s="332">
        <f t="shared" si="15"/>
        <v>0.46735243845376001</v>
      </c>
      <c r="L28" s="332">
        <f t="shared" si="15"/>
        <v>0.4839223568653257</v>
      </c>
      <c r="M28" s="332">
        <f t="shared" si="15"/>
        <v>0.48361199985545361</v>
      </c>
      <c r="N28" s="332">
        <f t="shared" si="15"/>
        <v>0.48420924969357027</v>
      </c>
      <c r="O28" s="332">
        <f t="shared" si="15"/>
        <v>0.48375666772204912</v>
      </c>
      <c r="P28" s="332"/>
      <c r="Q28" s="305">
        <f>Q20/Q$22</f>
        <v>0.47674297867648535</v>
      </c>
      <c r="R28" s="96"/>
      <c r="S28" s="96"/>
      <c r="T28" s="96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</row>
    <row r="29" spans="1:53">
      <c r="A29" s="193"/>
      <c r="B29" s="128"/>
      <c r="C29" s="308"/>
      <c r="D29" s="306"/>
      <c r="E29" s="306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9"/>
      <c r="R29" s="96"/>
      <c r="S29" s="96"/>
      <c r="T29" s="96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</row>
    <row r="30" spans="1:53" ht="13.8" thickBot="1">
      <c r="A30" s="129">
        <f>+A28+1</f>
        <v>18</v>
      </c>
      <c r="B30" s="128" t="s">
        <v>106</v>
      </c>
      <c r="C30" s="310">
        <f>SUM(C26:C28)</f>
        <v>1.0000001225657107</v>
      </c>
      <c r="D30" s="310">
        <f>SUM(D26:D28)</f>
        <v>1</v>
      </c>
      <c r="E30" s="310">
        <f>SUM(E26:E28)</f>
        <v>1</v>
      </c>
      <c r="F30" s="310">
        <f>SUM(F26:F28)</f>
        <v>1</v>
      </c>
      <c r="G30" s="310">
        <f t="shared" ref="G30:O30" si="16">SUM(G26:G28)</f>
        <v>1</v>
      </c>
      <c r="H30" s="310">
        <f t="shared" si="16"/>
        <v>1</v>
      </c>
      <c r="I30" s="310">
        <f t="shared" si="16"/>
        <v>1</v>
      </c>
      <c r="J30" s="310">
        <f t="shared" si="16"/>
        <v>1</v>
      </c>
      <c r="K30" s="310">
        <f t="shared" si="16"/>
        <v>1</v>
      </c>
      <c r="L30" s="310">
        <f t="shared" si="16"/>
        <v>1</v>
      </c>
      <c r="M30" s="310">
        <f t="shared" si="16"/>
        <v>1</v>
      </c>
      <c r="N30" s="310">
        <f t="shared" si="16"/>
        <v>0.99999999999999989</v>
      </c>
      <c r="O30" s="310">
        <f t="shared" si="16"/>
        <v>1</v>
      </c>
      <c r="P30" s="310"/>
      <c r="Q30" s="311">
        <f>SUM(Q26:Q28)</f>
        <v>1</v>
      </c>
      <c r="R30" s="96"/>
      <c r="S30" s="96"/>
      <c r="T30" s="96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</row>
    <row r="31" spans="1:53" ht="13.8" thickTop="1">
      <c r="A31" s="129"/>
      <c r="B31" s="142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6"/>
      <c r="S31" s="96"/>
      <c r="T31" s="96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</row>
    <row r="32" spans="1:53">
      <c r="A32" s="129"/>
      <c r="B32" s="142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97"/>
      <c r="R32" s="96"/>
      <c r="S32" s="96"/>
      <c r="T32" s="96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</row>
    <row r="33" spans="1:54" ht="13.8" thickBot="1">
      <c r="A33" s="129"/>
      <c r="B33" s="142"/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97"/>
      <c r="R33" s="96"/>
      <c r="S33" s="96"/>
      <c r="T33" s="96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</row>
    <row r="34" spans="1:54" ht="13.8" thickBot="1">
      <c r="A34" s="129">
        <f>+A30+1</f>
        <v>19</v>
      </c>
      <c r="B34" s="142" t="s">
        <v>81</v>
      </c>
      <c r="C34" s="312">
        <f>3707891942+31735</f>
        <v>3707923677</v>
      </c>
      <c r="D34" s="312">
        <v>3721498000</v>
      </c>
      <c r="E34" s="312">
        <v>3805119000</v>
      </c>
      <c r="F34" s="312">
        <v>3793228000</v>
      </c>
      <c r="G34" s="312">
        <v>3802279000</v>
      </c>
      <c r="H34" s="312">
        <v>3793677000</v>
      </c>
      <c r="I34" s="312">
        <v>3768127000</v>
      </c>
      <c r="J34" s="312">
        <v>3737349000</v>
      </c>
      <c r="K34" s="312">
        <v>3735280000</v>
      </c>
      <c r="L34" s="312">
        <v>3934433000</v>
      </c>
      <c r="M34" s="312">
        <v>3961794648</v>
      </c>
      <c r="N34" s="312">
        <v>4031778000</v>
      </c>
      <c r="O34" s="312">
        <v>4048680000</v>
      </c>
      <c r="P34" s="312"/>
      <c r="Q34" s="215">
        <f>ROUND(((C34+O34)+(SUM(D34:N34)*2))/24,0)</f>
        <v>3830238707</v>
      </c>
      <c r="R34" s="89"/>
      <c r="S34" s="410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</row>
    <row r="35" spans="1:54" ht="13.8" thickBot="1">
      <c r="A35" s="129">
        <f>+A34+1</f>
        <v>20</v>
      </c>
      <c r="B35" s="140" t="s">
        <v>32</v>
      </c>
      <c r="C35" s="368"/>
      <c r="D35" s="368"/>
      <c r="E35" s="368"/>
      <c r="F35" s="368"/>
      <c r="G35" s="368"/>
      <c r="H35" s="368"/>
      <c r="I35" s="368"/>
      <c r="P35" s="368"/>
      <c r="Q35" s="174"/>
      <c r="R35" s="89"/>
      <c r="S35" s="410"/>
      <c r="T35" s="89"/>
      <c r="U35" s="93"/>
      <c r="V35" s="140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4"/>
    </row>
    <row r="36" spans="1:54" ht="13.8" thickBot="1">
      <c r="A36" s="129">
        <f>+A35+1</f>
        <v>21</v>
      </c>
      <c r="B36" s="140" t="s">
        <v>33</v>
      </c>
      <c r="C36" s="196">
        <v>-19756868</v>
      </c>
      <c r="D36" s="196">
        <v>-19756868</v>
      </c>
      <c r="E36" s="196">
        <v>-19756868</v>
      </c>
      <c r="F36" s="196">
        <v>-19872350</v>
      </c>
      <c r="G36" s="196">
        <v>-19872350</v>
      </c>
      <c r="H36" s="196">
        <v>-19872350</v>
      </c>
      <c r="I36" s="196">
        <v>-20028452</v>
      </c>
      <c r="J36" s="196">
        <v>-20028452</v>
      </c>
      <c r="K36" s="196">
        <v>-20028452</v>
      </c>
      <c r="L36" s="196">
        <v>-20165313</v>
      </c>
      <c r="M36" s="196">
        <v>-20165313</v>
      </c>
      <c r="N36" s="196">
        <v>-20165313</v>
      </c>
      <c r="O36" s="196">
        <v>-20292289</v>
      </c>
      <c r="P36" s="196"/>
      <c r="Q36" s="215">
        <f>ROUND(((C36+O36)+(SUM(D36:N36)*2))/24,0)</f>
        <v>-19978055</v>
      </c>
      <c r="R36" s="97"/>
      <c r="S36" s="410"/>
      <c r="T36" s="410"/>
      <c r="U36" s="93"/>
      <c r="V36" s="98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4"/>
    </row>
    <row r="37" spans="1:54" ht="13.8" thickBot="1">
      <c r="A37" s="129">
        <f>+A36+1</f>
        <v>22</v>
      </c>
      <c r="B37" s="140" t="s">
        <v>3</v>
      </c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R37" s="97"/>
      <c r="S37" s="410"/>
      <c r="T37" s="92"/>
      <c r="U37" s="92"/>
      <c r="V37" s="98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3"/>
      <c r="AT37" s="93"/>
      <c r="AU37" s="93"/>
      <c r="AV37" s="93"/>
      <c r="AW37" s="93"/>
      <c r="AX37" s="93"/>
      <c r="AY37" s="93"/>
      <c r="AZ37" s="93"/>
      <c r="BA37" s="93"/>
      <c r="BB37" s="94"/>
    </row>
    <row r="38" spans="1:54" ht="13.8" thickBot="1">
      <c r="A38" s="129">
        <f t="shared" ref="A38:A44" si="17">+A37+1</f>
        <v>23</v>
      </c>
      <c r="B38" s="225" t="s">
        <v>34</v>
      </c>
      <c r="C38" s="313">
        <f t="shared" ref="C38:H38" si="18">SUM(C36:C37)</f>
        <v>-19756868</v>
      </c>
      <c r="D38" s="313">
        <f t="shared" si="18"/>
        <v>-19756868</v>
      </c>
      <c r="E38" s="313">
        <f t="shared" si="18"/>
        <v>-19756868</v>
      </c>
      <c r="F38" s="313">
        <f t="shared" si="18"/>
        <v>-19872350</v>
      </c>
      <c r="G38" s="313">
        <f t="shared" si="18"/>
        <v>-19872350</v>
      </c>
      <c r="H38" s="313">
        <f t="shared" si="18"/>
        <v>-19872350</v>
      </c>
      <c r="I38" s="313">
        <f>SUM(I36:I37)</f>
        <v>-20028452</v>
      </c>
      <c r="J38" s="313">
        <f>SUM(J36:J37)</f>
        <v>-20028452</v>
      </c>
      <c r="K38" s="313">
        <f>SUM(K36:K37)</f>
        <v>-20028452</v>
      </c>
      <c r="L38" s="313">
        <f>SUM(L36:L37)</f>
        <v>-20165313</v>
      </c>
      <c r="M38" s="313">
        <f>SUM(M36:M37)</f>
        <v>-20165313</v>
      </c>
      <c r="N38" s="313">
        <f t="shared" ref="N38:O38" si="19">SUM(N36:N37)</f>
        <v>-20165313</v>
      </c>
      <c r="O38" s="313">
        <f t="shared" si="19"/>
        <v>-20292289</v>
      </c>
      <c r="P38" s="197"/>
      <c r="Q38" s="215">
        <f>ROUND(((C38+O38)+(SUM(D38:N38)*2))/24,0)</f>
        <v>-19978055</v>
      </c>
      <c r="R38" s="97"/>
      <c r="S38" s="410"/>
      <c r="T38" s="89"/>
      <c r="U38" s="93"/>
      <c r="V38" s="89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4"/>
    </row>
    <row r="39" spans="1:54" ht="13.8" thickBot="1">
      <c r="A39" s="129">
        <f t="shared" si="17"/>
        <v>24</v>
      </c>
      <c r="B39" s="226" t="s">
        <v>158</v>
      </c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96"/>
      <c r="R39" s="97"/>
      <c r="S39" s="410"/>
      <c r="T39" s="89"/>
      <c r="U39" s="93"/>
      <c r="V39" s="89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4"/>
    </row>
    <row r="40" spans="1:54" s="2" customFormat="1" ht="13.8" thickBot="1">
      <c r="A40" s="193">
        <f t="shared" si="17"/>
        <v>25</v>
      </c>
      <c r="B40" s="450" t="s">
        <v>159</v>
      </c>
      <c r="C40" s="312">
        <f>10591000+21485000</f>
        <v>32076000</v>
      </c>
      <c r="D40" s="312">
        <f>11860000+21485000</f>
        <v>33345000</v>
      </c>
      <c r="E40" s="312">
        <f>52035000+21485000</f>
        <v>73520000</v>
      </c>
      <c r="F40" s="312">
        <f>22589000+21485000</f>
        <v>44074000</v>
      </c>
      <c r="G40" s="312">
        <f>11598000+21485000</f>
        <v>33083000</v>
      </c>
      <c r="H40" s="312">
        <f>4515000+21485000</f>
        <v>26000000</v>
      </c>
      <c r="I40" s="312">
        <f>-1373000+21485000</f>
        <v>20112000</v>
      </c>
      <c r="J40" s="312">
        <f>-16961000+21485000</f>
        <v>4524000</v>
      </c>
      <c r="K40" s="312">
        <f>-20693000+21485000</f>
        <v>792000</v>
      </c>
      <c r="L40" s="312">
        <f>-12999000+21485000</f>
        <v>8486000</v>
      </c>
      <c r="M40" s="312">
        <f>-9375000+21485000</f>
        <v>12110000</v>
      </c>
      <c r="N40" s="312">
        <f>14129000+21485000</f>
        <v>35614000</v>
      </c>
      <c r="O40" s="312">
        <f>7767000+21485000</f>
        <v>29252000</v>
      </c>
      <c r="P40" s="197"/>
      <c r="Q40" s="451">
        <f>ROUND(((C40+O40)+(SUM(D40:N40)*2))/24,0)</f>
        <v>26860333</v>
      </c>
      <c r="R40" s="97"/>
      <c r="S40" s="452"/>
      <c r="T40" s="90"/>
      <c r="U40" s="222"/>
      <c r="V40" s="90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453"/>
    </row>
    <row r="41" spans="1:54" ht="13.8" thickBot="1">
      <c r="A41" s="129">
        <f t="shared" si="17"/>
        <v>26</v>
      </c>
      <c r="B41" s="228" t="s">
        <v>112</v>
      </c>
      <c r="C41" s="196">
        <v>-5738712</v>
      </c>
      <c r="D41" s="196">
        <v>-5706609</v>
      </c>
      <c r="E41" s="196">
        <v>-5674506</v>
      </c>
      <c r="F41" s="196">
        <v>-5642403</v>
      </c>
      <c r="G41" s="196">
        <v>-5610299</v>
      </c>
      <c r="H41" s="196">
        <v>-5578196</v>
      </c>
      <c r="I41" s="196">
        <v>-5546093</v>
      </c>
      <c r="J41" s="196">
        <v>-5513990</v>
      </c>
      <c r="K41" s="196">
        <v>-5481887</v>
      </c>
      <c r="L41" s="196">
        <v>-5449783</v>
      </c>
      <c r="M41" s="196">
        <v>-5417680</v>
      </c>
      <c r="N41" s="196">
        <v>-5385577</v>
      </c>
      <c r="O41" s="196">
        <v>-5353474</v>
      </c>
      <c r="P41" s="196"/>
      <c r="Q41" s="215">
        <f>ROUND(((C41+O41)+(SUM(D41:N41)*2))/24,0)</f>
        <v>-5546093</v>
      </c>
      <c r="R41" s="97"/>
      <c r="S41" s="410"/>
      <c r="T41" s="89"/>
      <c r="U41" s="93"/>
      <c r="V41" s="257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</row>
    <row r="42" spans="1:54" ht="13.8" thickBot="1">
      <c r="A42" s="129">
        <f t="shared" si="17"/>
        <v>27</v>
      </c>
      <c r="B42" s="228" t="s">
        <v>113</v>
      </c>
      <c r="C42" s="196">
        <f>-185108296-663179-660000+625325</f>
        <v>-185806150</v>
      </c>
      <c r="D42" s="196">
        <f>-183651424-657702</f>
        <v>-184309126</v>
      </c>
      <c r="E42" s="196">
        <f>-182819878-652224</f>
        <v>-183472102</v>
      </c>
      <c r="F42" s="196">
        <f>-181988331-646747</f>
        <v>-182635078</v>
      </c>
      <c r="G42" s="196">
        <f>-181156784-641269</f>
        <v>-181798053</v>
      </c>
      <c r="H42" s="196">
        <f>-180325238-635792</f>
        <v>-180961030</v>
      </c>
      <c r="I42" s="196">
        <f>-179493691-630314</f>
        <v>-180124005</v>
      </c>
      <c r="J42" s="196">
        <f>-178662145-624837</f>
        <v>-179286982</v>
      </c>
      <c r="K42" s="196">
        <f>-177830598-619359</f>
        <v>-178449957</v>
      </c>
      <c r="L42" s="196">
        <f>-178168710-613882</f>
        <v>-178782592</v>
      </c>
      <c r="M42" s="196">
        <v>-177294779</v>
      </c>
      <c r="N42" s="196">
        <v>-176451606</v>
      </c>
      <c r="O42" s="196">
        <v>-183123429</v>
      </c>
      <c r="P42" s="196"/>
      <c r="Q42" s="215">
        <f>ROUND(((C42+O42)+(SUM(D42:N42)*2))/24,0)</f>
        <v>-180669175</v>
      </c>
      <c r="R42" s="97"/>
      <c r="S42" s="410"/>
      <c r="T42" s="89"/>
      <c r="U42" s="93"/>
      <c r="V42" s="257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4"/>
    </row>
    <row r="43" spans="1:54" ht="13.8" thickBot="1">
      <c r="A43" s="129">
        <f t="shared" si="17"/>
        <v>28</v>
      </c>
      <c r="B43" s="229" t="s">
        <v>114</v>
      </c>
      <c r="C43" s="227">
        <f t="shared" ref="C43:H43" si="20">SUM(C40:C42)</f>
        <v>-159468862</v>
      </c>
      <c r="D43" s="227">
        <f t="shared" si="20"/>
        <v>-156670735</v>
      </c>
      <c r="E43" s="227">
        <f t="shared" si="20"/>
        <v>-115626608</v>
      </c>
      <c r="F43" s="227">
        <f t="shared" si="20"/>
        <v>-144203481</v>
      </c>
      <c r="G43" s="227">
        <f t="shared" si="20"/>
        <v>-154325352</v>
      </c>
      <c r="H43" s="227">
        <f t="shared" si="20"/>
        <v>-160539226</v>
      </c>
      <c r="I43" s="227">
        <f>SUM(I40:I42)</f>
        <v>-165558098</v>
      </c>
      <c r="J43" s="227">
        <f>SUM(J40:J42)</f>
        <v>-180276972</v>
      </c>
      <c r="K43" s="227">
        <f>SUM(K40:K42)</f>
        <v>-183139844</v>
      </c>
      <c r="L43" s="227">
        <f>SUM(L40:L42)</f>
        <v>-175746375</v>
      </c>
      <c r="M43" s="227">
        <f t="shared" ref="M43:O43" si="21">SUM(M40:M42)</f>
        <v>-170602459</v>
      </c>
      <c r="N43" s="227">
        <f t="shared" si="21"/>
        <v>-146223183</v>
      </c>
      <c r="O43" s="227">
        <f t="shared" si="21"/>
        <v>-159224903</v>
      </c>
      <c r="P43" s="271"/>
      <c r="Q43" s="215">
        <f>ROUND(((C43+O43)+(SUM(D43:N43)*2))/24,0)</f>
        <v>-159354935</v>
      </c>
      <c r="R43" s="97"/>
      <c r="S43" s="89"/>
      <c r="T43" s="89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4"/>
    </row>
    <row r="44" spans="1:54" ht="13.8" thickBot="1">
      <c r="A44" s="129">
        <f t="shared" si="17"/>
        <v>29</v>
      </c>
      <c r="B44" s="462" t="s">
        <v>97</v>
      </c>
      <c r="C44" s="299">
        <f t="shared" ref="C44:O44" si="22">+C34-C38-C43</f>
        <v>3887149407</v>
      </c>
      <c r="D44" s="299">
        <f t="shared" si="22"/>
        <v>3897925603</v>
      </c>
      <c r="E44" s="299">
        <f t="shared" si="22"/>
        <v>3940502476</v>
      </c>
      <c r="F44" s="299">
        <f t="shared" si="22"/>
        <v>3957303831</v>
      </c>
      <c r="G44" s="299">
        <f t="shared" si="22"/>
        <v>3976476702</v>
      </c>
      <c r="H44" s="299">
        <f t="shared" si="22"/>
        <v>3974088576</v>
      </c>
      <c r="I44" s="299">
        <f t="shared" si="22"/>
        <v>3953713550</v>
      </c>
      <c r="J44" s="299">
        <f t="shared" si="22"/>
        <v>3937654424</v>
      </c>
      <c r="K44" s="299">
        <f t="shared" si="22"/>
        <v>3938448296</v>
      </c>
      <c r="L44" s="299">
        <f t="shared" si="22"/>
        <v>4130344688</v>
      </c>
      <c r="M44" s="299">
        <f t="shared" si="22"/>
        <v>4152562420</v>
      </c>
      <c r="N44" s="299">
        <f t="shared" si="22"/>
        <v>4198166496</v>
      </c>
      <c r="O44" s="299">
        <f t="shared" si="22"/>
        <v>4228197192</v>
      </c>
      <c r="P44" s="97"/>
      <c r="Q44" s="215">
        <f>ROUND(((C44+O44)+(SUM(D44:N44)*2))/24,0)</f>
        <v>4009571697</v>
      </c>
      <c r="R44" s="97"/>
      <c r="S44" s="89"/>
      <c r="T44" s="89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</row>
    <row r="45" spans="1:54">
      <c r="B45" s="46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89"/>
      <c r="R45" s="97"/>
      <c r="S45" s="89"/>
      <c r="T45" s="89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4"/>
    </row>
    <row r="46" spans="1:54">
      <c r="B46" s="94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89"/>
      <c r="R46" s="97"/>
      <c r="S46" s="89"/>
      <c r="T46" s="89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</row>
    <row r="47" spans="1:54">
      <c r="B47" s="94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89"/>
      <c r="R47" s="97"/>
      <c r="S47" s="89"/>
      <c r="T47" s="89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</row>
    <row r="48" spans="1:54">
      <c r="B48" s="94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89"/>
      <c r="R48" s="97"/>
      <c r="S48" s="89"/>
      <c r="T48" s="89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4"/>
    </row>
    <row r="49" spans="2:54">
      <c r="B49" s="94"/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196"/>
      <c r="Q49" s="89"/>
      <c r="R49" s="97"/>
      <c r="S49" s="89"/>
      <c r="T49" s="89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4"/>
    </row>
    <row r="50" spans="2:54">
      <c r="B50" s="464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196"/>
      <c r="Q50" s="437"/>
      <c r="R50" s="97"/>
      <c r="S50" s="89"/>
      <c r="T50" s="89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4"/>
    </row>
    <row r="51" spans="2:54">
      <c r="B51" s="464"/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196"/>
      <c r="Q51" s="91"/>
      <c r="R51" s="97"/>
      <c r="S51" s="89"/>
      <c r="T51" s="89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4"/>
    </row>
    <row r="52" spans="2:54">
      <c r="B52" s="94"/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197"/>
      <c r="Q52" s="89"/>
      <c r="R52" s="97"/>
      <c r="S52" s="89"/>
      <c r="T52" s="89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4"/>
    </row>
    <row r="53" spans="2:54"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415"/>
      <c r="R53" s="97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</row>
    <row r="54" spans="2:54">
      <c r="C54" s="461"/>
      <c r="D54" s="461"/>
      <c r="E54" s="461"/>
      <c r="F54" s="461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415"/>
      <c r="R54" s="97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</row>
    <row r="55" spans="2:54"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89"/>
      <c r="R55" s="97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</row>
    <row r="56" spans="2:54">
      <c r="C56" s="90"/>
      <c r="D56" s="90"/>
      <c r="E56" s="90"/>
      <c r="F56" s="90"/>
      <c r="G56" s="90"/>
      <c r="H56" s="222"/>
      <c r="I56" s="222"/>
      <c r="J56" s="222"/>
      <c r="K56" s="463"/>
      <c r="L56" s="222"/>
      <c r="M56" s="447"/>
      <c r="N56" s="90"/>
      <c r="O56" s="90"/>
      <c r="P56" s="90"/>
      <c r="Q56" s="89"/>
      <c r="R56" s="97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</row>
    <row r="57" spans="2:54">
      <c r="C57" s="90"/>
      <c r="D57" s="90"/>
      <c r="E57" s="90"/>
      <c r="F57" s="90"/>
      <c r="G57" s="90"/>
      <c r="H57" s="222"/>
      <c r="I57" s="222"/>
      <c r="J57" s="465"/>
      <c r="K57" s="97"/>
      <c r="L57" s="222"/>
      <c r="M57" s="90"/>
      <c r="N57" s="90"/>
      <c r="O57" s="90"/>
      <c r="P57" s="90"/>
      <c r="Q57" s="89"/>
      <c r="R57" s="97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</row>
    <row r="58" spans="2:54">
      <c r="C58" s="90"/>
      <c r="D58" s="90"/>
      <c r="E58" s="90"/>
      <c r="F58" s="90"/>
      <c r="G58" s="90"/>
      <c r="H58" s="222"/>
      <c r="I58" s="222"/>
      <c r="J58" s="465"/>
      <c r="K58" s="97"/>
      <c r="L58" s="222"/>
      <c r="M58" s="90"/>
      <c r="N58" s="90"/>
      <c r="O58" s="90"/>
      <c r="P58" s="90"/>
      <c r="Q58" s="89"/>
      <c r="R58" s="97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</row>
    <row r="59" spans="2:54">
      <c r="C59" s="90"/>
      <c r="D59" s="90"/>
      <c r="E59" s="90"/>
      <c r="F59" s="90"/>
      <c r="G59" s="90"/>
      <c r="H59" s="222"/>
      <c r="I59" s="222"/>
      <c r="J59" s="222"/>
      <c r="K59" s="196"/>
      <c r="L59" s="222"/>
      <c r="M59" s="90"/>
      <c r="N59" s="90"/>
      <c r="O59" s="90"/>
      <c r="P59" s="90"/>
      <c r="Q59" s="89"/>
      <c r="R59" s="97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</row>
    <row r="60" spans="2:54">
      <c r="C60" s="90"/>
      <c r="D60" s="90"/>
      <c r="E60" s="90"/>
      <c r="F60" s="90"/>
      <c r="G60" s="90"/>
      <c r="H60" s="222"/>
      <c r="I60" s="222"/>
      <c r="J60" s="222"/>
      <c r="K60" s="222"/>
      <c r="L60" s="222"/>
      <c r="M60" s="90"/>
      <c r="N60" s="90"/>
      <c r="O60" s="90"/>
      <c r="P60" s="90"/>
      <c r="Q60" s="89"/>
      <c r="R60" s="97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</row>
    <row r="61" spans="2:54"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89"/>
      <c r="R61" s="97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</row>
    <row r="62" spans="2:54"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89"/>
      <c r="R62" s="97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</row>
    <row r="63" spans="2:54"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89"/>
      <c r="R63" s="97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</row>
    <row r="64" spans="2:54"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</row>
    <row r="65" spans="3:53"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</row>
    <row r="66" spans="3:53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</row>
    <row r="67" spans="3:53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</row>
    <row r="68" spans="3:53"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</row>
    <row r="69" spans="3:53"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</row>
    <row r="70" spans="3:53"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</row>
    <row r="71" spans="3:53"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</row>
    <row r="72" spans="3:53"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</row>
    <row r="73" spans="3:53"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</row>
    <row r="74" spans="3:53"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</row>
    <row r="75" spans="3:53"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</row>
    <row r="76" spans="3:53"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</row>
    <row r="77" spans="3:53"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</row>
    <row r="78" spans="3:53"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</row>
    <row r="79" spans="3:53"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</row>
    <row r="80" spans="3:53"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</row>
    <row r="81" spans="3:53"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</row>
    <row r="82" spans="3:53"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</row>
    <row r="83" spans="3:53"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</row>
    <row r="84" spans="3:53"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</row>
    <row r="85" spans="3:53"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</row>
    <row r="86" spans="3:53"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</row>
    <row r="87" spans="3:53"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</row>
    <row r="88" spans="3:53"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</row>
    <row r="89" spans="3:53"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</row>
    <row r="90" spans="3:53"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</row>
    <row r="91" spans="3:53"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</row>
    <row r="92" spans="3:53"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</row>
    <row r="93" spans="3:53"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</row>
    <row r="94" spans="3:53"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</row>
    <row r="95" spans="3:53"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</row>
    <row r="96" spans="3:53"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</row>
    <row r="97" spans="3:53"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</row>
    <row r="98" spans="3:53"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</row>
    <row r="99" spans="3:53"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</row>
    <row r="100" spans="3:53"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</row>
    <row r="101" spans="3:53"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</row>
    <row r="102" spans="3:53"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</row>
    <row r="103" spans="3:53"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</row>
    <row r="104" spans="3:53"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</row>
    <row r="105" spans="3:53"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</row>
    <row r="106" spans="3:53"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</row>
    <row r="107" spans="3:53"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</row>
    <row r="108" spans="3:53"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</row>
    <row r="109" spans="3:53"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</row>
    <row r="110" spans="3:53"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</row>
    <row r="111" spans="3:53"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</row>
    <row r="112" spans="3:53"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</row>
    <row r="113" spans="3:53"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</row>
    <row r="114" spans="3:53"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</row>
    <row r="115" spans="3:53"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</row>
    <row r="116" spans="3:53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</row>
    <row r="117" spans="3:53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</row>
    <row r="118" spans="3:53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</row>
    <row r="119" spans="3:53"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</row>
    <row r="120" spans="3:53"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</row>
    <row r="121" spans="3:53"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</row>
    <row r="122" spans="3:53"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  <c r="BA122" s="89"/>
    </row>
    <row r="123" spans="3:53"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</row>
    <row r="124" spans="3:53"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</row>
    <row r="125" spans="3:53"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</row>
    <row r="126" spans="3:53"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  <c r="BA126" s="89"/>
    </row>
    <row r="127" spans="3:53"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  <c r="BA127" s="89"/>
    </row>
    <row r="128" spans="3:53"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</row>
    <row r="129" spans="3:53"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</row>
    <row r="130" spans="3:53"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  <c r="BA130" s="89"/>
    </row>
    <row r="131" spans="3:53"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  <c r="BA131" s="89"/>
    </row>
    <row r="132" spans="3:53"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  <c r="AV132" s="89"/>
      <c r="AW132" s="89"/>
      <c r="AX132" s="89"/>
      <c r="AY132" s="89"/>
      <c r="AZ132" s="89"/>
      <c r="BA132" s="89"/>
    </row>
    <row r="133" spans="3:53"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  <c r="BA133" s="89"/>
    </row>
    <row r="134" spans="3:53"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  <c r="AV134" s="89"/>
      <c r="AW134" s="89"/>
      <c r="AX134" s="89"/>
      <c r="AY134" s="89"/>
      <c r="AZ134" s="89"/>
      <c r="BA134" s="89"/>
    </row>
    <row r="135" spans="3:53"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89"/>
      <c r="BA135" s="89"/>
    </row>
    <row r="136" spans="3:53"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</row>
    <row r="137" spans="3:53"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</row>
    <row r="138" spans="3:53"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  <c r="AX138" s="89"/>
      <c r="AY138" s="89"/>
      <c r="AZ138" s="89"/>
      <c r="BA138" s="89"/>
    </row>
    <row r="139" spans="3:53"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  <c r="BA139" s="89"/>
    </row>
    <row r="140" spans="3:53"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X140" s="89"/>
      <c r="AY140" s="89"/>
      <c r="AZ140" s="89"/>
      <c r="BA140" s="89"/>
    </row>
    <row r="141" spans="3:53"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  <c r="BA141" s="89"/>
    </row>
    <row r="142" spans="3:53"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  <c r="BA142" s="89"/>
    </row>
    <row r="143" spans="3:53"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  <c r="BA143" s="89"/>
    </row>
    <row r="144" spans="3:53"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9"/>
      <c r="BA144" s="89"/>
    </row>
    <row r="145" spans="3:53"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</row>
    <row r="146" spans="3:53"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9"/>
      <c r="BA146" s="89"/>
    </row>
    <row r="147" spans="3:53"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89"/>
    </row>
    <row r="148" spans="3:53"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X148" s="89"/>
      <c r="AY148" s="89"/>
      <c r="AZ148" s="89"/>
      <c r="BA148" s="89"/>
    </row>
    <row r="149" spans="3:53"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  <c r="BA149" s="89"/>
    </row>
    <row r="150" spans="3:53"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9"/>
      <c r="BA150" s="89"/>
    </row>
    <row r="151" spans="3:53"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  <c r="BA151" s="89"/>
    </row>
    <row r="152" spans="3:53"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9"/>
      <c r="BA152" s="89"/>
    </row>
    <row r="153" spans="3:53"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89"/>
    </row>
    <row r="154" spans="3:53"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  <c r="BA154" s="89"/>
    </row>
    <row r="155" spans="3:53"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</row>
    <row r="156" spans="3:53"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</row>
    <row r="157" spans="3:53"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  <c r="BA157" s="89"/>
    </row>
    <row r="158" spans="3:53"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  <c r="BA158" s="89"/>
    </row>
    <row r="159" spans="3:53"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  <c r="BA159" s="89"/>
    </row>
    <row r="160" spans="3:53"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  <c r="BA160" s="89"/>
    </row>
    <row r="161" spans="3:53"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  <c r="BA161" s="89"/>
    </row>
    <row r="162" spans="3:53"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  <c r="BA162" s="89"/>
    </row>
    <row r="163" spans="3:53"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  <c r="BA163" s="89"/>
    </row>
    <row r="164" spans="3:53"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</row>
    <row r="165" spans="3:53"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  <c r="BA165" s="89"/>
    </row>
    <row r="166" spans="3:53"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  <c r="BA166" s="89"/>
    </row>
    <row r="167" spans="3:53"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  <c r="BA167" s="89"/>
    </row>
    <row r="168" spans="3:53"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</row>
    <row r="169" spans="3:53"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</row>
    <row r="170" spans="3:53"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  <c r="BA170" s="89"/>
    </row>
    <row r="171" spans="3:53"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  <c r="BA171" s="89"/>
    </row>
    <row r="172" spans="3:53"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</row>
    <row r="173" spans="3:53"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9"/>
      <c r="BA173" s="89"/>
    </row>
    <row r="174" spans="3:53"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</row>
    <row r="175" spans="3:53"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9"/>
      <c r="BA175" s="89"/>
    </row>
    <row r="176" spans="3:53"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  <c r="BA176" s="89"/>
    </row>
    <row r="177" spans="3:53"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  <c r="BA177" s="89"/>
    </row>
    <row r="178" spans="3:53"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</row>
    <row r="179" spans="3:53"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9"/>
    </row>
    <row r="180" spans="3:53"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  <c r="BA180" s="89"/>
    </row>
    <row r="181" spans="3:53"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</row>
    <row r="182" spans="3:53"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  <c r="BA182" s="89"/>
    </row>
    <row r="183" spans="3:53"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  <c r="BA183" s="89"/>
    </row>
    <row r="184" spans="3:53"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</row>
    <row r="185" spans="3:53"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  <c r="BA185" s="89"/>
    </row>
    <row r="186" spans="3:53"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9"/>
      <c r="BA186" s="89"/>
    </row>
    <row r="187" spans="3:53"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  <c r="BA187" s="89"/>
    </row>
    <row r="188" spans="3:53"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  <c r="BA188" s="89"/>
    </row>
    <row r="189" spans="3:53"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  <c r="BA189" s="89"/>
    </row>
    <row r="190" spans="3:53"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  <c r="BA190" s="89"/>
    </row>
    <row r="191" spans="3:53"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  <c r="BA191" s="89"/>
    </row>
    <row r="192" spans="3:53"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  <c r="BA192" s="89"/>
    </row>
    <row r="193" spans="3:53"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  <c r="BA193" s="89"/>
    </row>
    <row r="194" spans="3:53"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  <c r="BA194" s="89"/>
    </row>
    <row r="195" spans="3:53"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  <c r="BA195" s="89"/>
    </row>
    <row r="196" spans="3:53"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  <c r="BA196" s="89"/>
    </row>
    <row r="197" spans="3:53"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  <c r="BA197" s="89"/>
    </row>
    <row r="198" spans="3:53"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  <c r="BA198" s="89"/>
    </row>
    <row r="199" spans="3:53"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  <c r="BA199" s="89"/>
    </row>
    <row r="200" spans="3:53"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  <c r="AX200" s="89"/>
      <c r="AY200" s="89"/>
      <c r="AZ200" s="89"/>
      <c r="BA200" s="89"/>
    </row>
    <row r="201" spans="3:53"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  <c r="AX201" s="89"/>
      <c r="AY201" s="89"/>
      <c r="AZ201" s="89"/>
      <c r="BA201" s="89"/>
    </row>
    <row r="202" spans="3:53"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  <c r="BA202" s="89"/>
    </row>
    <row r="203" spans="3:53"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  <c r="BA203" s="89"/>
    </row>
    <row r="204" spans="3:53"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89"/>
      <c r="AZ204" s="89"/>
      <c r="BA204" s="89"/>
    </row>
    <row r="205" spans="3:53"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  <c r="AX205" s="89"/>
      <c r="AY205" s="89"/>
      <c r="AZ205" s="89"/>
      <c r="BA205" s="89"/>
    </row>
    <row r="206" spans="3:53"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  <c r="BA206" s="89"/>
    </row>
    <row r="207" spans="3:53"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  <c r="BA207" s="89"/>
    </row>
    <row r="208" spans="3:53"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  <c r="BA208" s="89"/>
    </row>
    <row r="209" spans="3:53"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  <c r="AX209" s="89"/>
      <c r="AY209" s="89"/>
      <c r="AZ209" s="89"/>
      <c r="BA209" s="89"/>
    </row>
    <row r="210" spans="3:53"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  <c r="BA210" s="89"/>
    </row>
    <row r="211" spans="3:53"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  <c r="AX211" s="89"/>
      <c r="AY211" s="89"/>
      <c r="AZ211" s="89"/>
      <c r="BA211" s="89"/>
    </row>
    <row r="212" spans="3:53"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  <c r="AX212" s="89"/>
      <c r="AY212" s="89"/>
      <c r="AZ212" s="89"/>
      <c r="BA212" s="89"/>
    </row>
    <row r="213" spans="3:53"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  <c r="AX213" s="89"/>
      <c r="AY213" s="89"/>
      <c r="AZ213" s="89"/>
      <c r="BA213" s="89"/>
    </row>
    <row r="214" spans="3:53"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  <c r="BA214" s="89"/>
    </row>
    <row r="215" spans="3:53"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  <c r="BA215" s="89"/>
    </row>
    <row r="216" spans="3:53"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  <c r="BA216" s="89"/>
    </row>
    <row r="217" spans="3:53"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  <c r="BA217" s="89"/>
    </row>
    <row r="218" spans="3:53"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  <c r="BA218" s="89"/>
    </row>
    <row r="219" spans="3:53"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  <c r="BA219" s="89"/>
    </row>
    <row r="220" spans="3:53"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  <c r="BA220" s="89"/>
    </row>
    <row r="221" spans="3:53"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  <c r="BA221" s="89"/>
    </row>
    <row r="222" spans="3:53"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  <c r="BA222" s="89"/>
    </row>
    <row r="223" spans="3:53"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  <c r="BA223" s="89"/>
    </row>
    <row r="224" spans="3:53"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  <c r="BA224" s="89"/>
    </row>
    <row r="225" spans="3:53"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  <c r="BA225" s="89"/>
    </row>
    <row r="226" spans="3:53"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  <c r="BA226" s="89"/>
    </row>
    <row r="227" spans="3:53"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  <c r="BA227" s="89"/>
    </row>
    <row r="228" spans="3:53"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</row>
    <row r="229" spans="3:53"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  <c r="BA229" s="89"/>
    </row>
    <row r="230" spans="3:53"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  <c r="BA230" s="89"/>
    </row>
    <row r="231" spans="3:53"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  <c r="BA231" s="89"/>
    </row>
    <row r="232" spans="3:53"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  <c r="BA232" s="89"/>
    </row>
    <row r="233" spans="3:53"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  <c r="BA233" s="89"/>
    </row>
    <row r="234" spans="3:53"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  <c r="BA234" s="89"/>
    </row>
    <row r="235" spans="3:53"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  <c r="BA235" s="89"/>
    </row>
    <row r="236" spans="3:53"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  <c r="BA236" s="89"/>
    </row>
    <row r="237" spans="3:53"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  <c r="BA237" s="89"/>
    </row>
    <row r="238" spans="3:53"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  <c r="BA238" s="89"/>
    </row>
    <row r="239" spans="3:53"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  <c r="BA239" s="89"/>
    </row>
    <row r="240" spans="3:53"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  <c r="BA240" s="89"/>
    </row>
    <row r="241" spans="3:53"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  <c r="BA241" s="89"/>
    </row>
    <row r="242" spans="3:53"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  <c r="BA242" s="89"/>
    </row>
    <row r="243" spans="3:53"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  <c r="BA243" s="89"/>
    </row>
    <row r="244" spans="3:53"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  <c r="BA244" s="89"/>
    </row>
    <row r="245" spans="3:53"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  <c r="BA245" s="89"/>
    </row>
    <row r="246" spans="3:53"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  <c r="BA246" s="89"/>
    </row>
    <row r="247" spans="3:53"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  <c r="BA247" s="89"/>
    </row>
    <row r="248" spans="3:53"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  <c r="BA248" s="89"/>
    </row>
    <row r="249" spans="3:53"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  <c r="BA249" s="89"/>
    </row>
    <row r="250" spans="3:53"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  <c r="BA250" s="89"/>
    </row>
    <row r="251" spans="3:53"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  <c r="BA251" s="89"/>
    </row>
    <row r="252" spans="3:53"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  <c r="BA252" s="89"/>
    </row>
    <row r="253" spans="3:53"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  <c r="BA253" s="89"/>
    </row>
    <row r="254" spans="3:53"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  <c r="BA254" s="89"/>
    </row>
    <row r="255" spans="3:53"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  <c r="BA255" s="89"/>
    </row>
    <row r="256" spans="3:53"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  <c r="BA256" s="89"/>
    </row>
    <row r="257" spans="3:53"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  <c r="BA257" s="89"/>
    </row>
    <row r="258" spans="3:53"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  <c r="AX258" s="89"/>
      <c r="AY258" s="89"/>
      <c r="AZ258" s="89"/>
      <c r="BA258" s="89"/>
    </row>
    <row r="259" spans="3:53"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  <c r="BA259" s="89"/>
    </row>
    <row r="260" spans="3:53"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  <c r="AX260" s="89"/>
      <c r="AY260" s="89"/>
      <c r="AZ260" s="89"/>
      <c r="BA260" s="89"/>
    </row>
    <row r="261" spans="3:53"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  <c r="BA261" s="89"/>
    </row>
    <row r="262" spans="3:53"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  <c r="AX262" s="89"/>
      <c r="AY262" s="89"/>
      <c r="AZ262" s="89"/>
      <c r="BA262" s="89"/>
    </row>
    <row r="263" spans="3:53"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89"/>
      <c r="AZ263" s="89"/>
      <c r="BA263" s="89"/>
    </row>
    <row r="264" spans="3:53"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  <c r="AX264" s="89"/>
      <c r="AY264" s="89"/>
      <c r="AZ264" s="89"/>
      <c r="BA264" s="89"/>
    </row>
    <row r="265" spans="3:53"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  <c r="AX265" s="89"/>
      <c r="AY265" s="89"/>
      <c r="AZ265" s="89"/>
      <c r="BA265" s="89"/>
    </row>
    <row r="266" spans="3:53"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89"/>
      <c r="AX266" s="89"/>
      <c r="AY266" s="89"/>
      <c r="AZ266" s="89"/>
      <c r="BA266" s="89"/>
    </row>
    <row r="267" spans="3:53"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89"/>
      <c r="AX267" s="89"/>
      <c r="AY267" s="89"/>
      <c r="AZ267" s="89"/>
      <c r="BA267" s="89"/>
    </row>
    <row r="268" spans="3:53"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89"/>
      <c r="AX268" s="89"/>
      <c r="AY268" s="89"/>
      <c r="AZ268" s="89"/>
      <c r="BA268" s="89"/>
    </row>
    <row r="269" spans="3:53"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89"/>
      <c r="AX269" s="89"/>
      <c r="AY269" s="89"/>
      <c r="AZ269" s="89"/>
      <c r="BA269" s="89"/>
    </row>
    <row r="270" spans="3:53"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89"/>
      <c r="AX270" s="89"/>
      <c r="AY270" s="89"/>
      <c r="AZ270" s="89"/>
      <c r="BA270" s="89"/>
    </row>
    <row r="271" spans="3:53"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89"/>
      <c r="BA271" s="89"/>
    </row>
    <row r="272" spans="3:53"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89"/>
      <c r="AX272" s="89"/>
      <c r="AY272" s="89"/>
      <c r="AZ272" s="89"/>
      <c r="BA272" s="89"/>
    </row>
    <row r="273" spans="3:53"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89"/>
      <c r="AX273" s="89"/>
      <c r="AY273" s="89"/>
      <c r="AZ273" s="89"/>
      <c r="BA273" s="89"/>
    </row>
    <row r="274" spans="3:53"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89"/>
      <c r="AX274" s="89"/>
      <c r="AY274" s="89"/>
      <c r="AZ274" s="89"/>
      <c r="BA274" s="89"/>
    </row>
    <row r="275" spans="3:53"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89"/>
      <c r="AX275" s="89"/>
      <c r="AY275" s="89"/>
      <c r="AZ275" s="89"/>
      <c r="BA275" s="89"/>
    </row>
    <row r="276" spans="3:53"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  <c r="BA276" s="89"/>
    </row>
    <row r="277" spans="3:53"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  <c r="BA277" s="89"/>
    </row>
    <row r="278" spans="3:53"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  <c r="BA278" s="89"/>
    </row>
    <row r="279" spans="3:53"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  <c r="BA279" s="89"/>
    </row>
    <row r="280" spans="3:53"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  <c r="BA280" s="89"/>
    </row>
    <row r="281" spans="3:53"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  <c r="BA281" s="89"/>
    </row>
    <row r="282" spans="3:53"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89"/>
      <c r="AX282" s="89"/>
      <c r="AY282" s="89"/>
      <c r="AZ282" s="89"/>
      <c r="BA282" s="89"/>
    </row>
    <row r="283" spans="3:53"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  <c r="BA283" s="89"/>
    </row>
    <row r="284" spans="3:53"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89"/>
      <c r="AX284" s="89"/>
      <c r="AY284" s="89"/>
      <c r="AZ284" s="89"/>
      <c r="BA284" s="89"/>
    </row>
    <row r="285" spans="3:53"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89"/>
      <c r="AX285" s="89"/>
      <c r="AY285" s="89"/>
      <c r="AZ285" s="89"/>
      <c r="BA285" s="89"/>
    </row>
    <row r="286" spans="3:53"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  <c r="AV286" s="89"/>
      <c r="AW286" s="89"/>
      <c r="AX286" s="89"/>
      <c r="AY286" s="89"/>
      <c r="AZ286" s="89"/>
      <c r="BA286" s="89"/>
    </row>
    <row r="287" spans="3:53"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89"/>
      <c r="AZ287" s="89"/>
      <c r="BA287" s="89"/>
    </row>
    <row r="288" spans="3:53"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  <c r="BA288" s="89"/>
    </row>
    <row r="289" spans="3:53"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  <c r="BA289" s="89"/>
    </row>
    <row r="290" spans="3:53"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  <c r="AV290" s="89"/>
      <c r="AW290" s="89"/>
      <c r="AX290" s="89"/>
      <c r="AY290" s="89"/>
      <c r="AZ290" s="89"/>
      <c r="BA290" s="89"/>
    </row>
    <row r="291" spans="3:53"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  <c r="AV291" s="89"/>
      <c r="AW291" s="89"/>
      <c r="AX291" s="89"/>
      <c r="AY291" s="89"/>
      <c r="AZ291" s="89"/>
      <c r="BA291" s="89"/>
    </row>
    <row r="292" spans="3:53"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  <c r="AV292" s="89"/>
      <c r="AW292" s="89"/>
      <c r="AX292" s="89"/>
      <c r="AY292" s="89"/>
      <c r="AZ292" s="89"/>
      <c r="BA292" s="89"/>
    </row>
    <row r="293" spans="3:53"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  <c r="AV293" s="89"/>
      <c r="AW293" s="89"/>
      <c r="AX293" s="89"/>
      <c r="AY293" s="89"/>
      <c r="AZ293" s="89"/>
      <c r="BA293" s="89"/>
    </row>
    <row r="294" spans="3:53"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  <c r="AV294" s="89"/>
      <c r="AW294" s="89"/>
      <c r="AX294" s="89"/>
      <c r="AY294" s="89"/>
      <c r="AZ294" s="89"/>
      <c r="BA294" s="89"/>
    </row>
    <row r="295" spans="3:53"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  <c r="AV295" s="89"/>
      <c r="AW295" s="89"/>
      <c r="AX295" s="89"/>
      <c r="AY295" s="89"/>
      <c r="AZ295" s="89"/>
      <c r="BA295" s="89"/>
    </row>
    <row r="296" spans="3:53"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  <c r="AV296" s="89"/>
      <c r="AW296" s="89"/>
      <c r="AX296" s="89"/>
      <c r="AY296" s="89"/>
      <c r="AZ296" s="89"/>
      <c r="BA296" s="89"/>
    </row>
    <row r="297" spans="3:53"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  <c r="AV297" s="89"/>
      <c r="AW297" s="89"/>
      <c r="AX297" s="89"/>
      <c r="AY297" s="89"/>
      <c r="AZ297" s="89"/>
      <c r="BA297" s="89"/>
    </row>
    <row r="298" spans="3:53"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  <c r="AV298" s="89"/>
      <c r="AW298" s="89"/>
      <c r="AX298" s="89"/>
      <c r="AY298" s="89"/>
      <c r="AZ298" s="89"/>
      <c r="BA298" s="89"/>
    </row>
    <row r="299" spans="3:53"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  <c r="AV299" s="89"/>
      <c r="AW299" s="89"/>
      <c r="AX299" s="89"/>
      <c r="AY299" s="89"/>
      <c r="AZ299" s="89"/>
      <c r="BA299" s="89"/>
    </row>
    <row r="300" spans="3:53"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  <c r="AV300" s="89"/>
      <c r="AW300" s="89"/>
      <c r="AX300" s="89"/>
      <c r="AY300" s="89"/>
      <c r="AZ300" s="89"/>
      <c r="BA300" s="89"/>
    </row>
    <row r="301" spans="3:53"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  <c r="AV301" s="89"/>
      <c r="AW301" s="89"/>
      <c r="AX301" s="89"/>
      <c r="AY301" s="89"/>
      <c r="AZ301" s="89"/>
      <c r="BA301" s="89"/>
    </row>
    <row r="302" spans="3:53"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  <c r="AV302" s="89"/>
      <c r="AW302" s="89"/>
      <c r="AX302" s="89"/>
      <c r="AY302" s="89"/>
      <c r="AZ302" s="89"/>
      <c r="BA302" s="89"/>
    </row>
    <row r="303" spans="3:53"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  <c r="AV303" s="89"/>
      <c r="AW303" s="89"/>
      <c r="AX303" s="89"/>
      <c r="AY303" s="89"/>
      <c r="AZ303" s="89"/>
      <c r="BA303" s="89"/>
    </row>
    <row r="304" spans="3:53"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  <c r="BA304" s="89"/>
    </row>
    <row r="305" spans="3:53"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  <c r="BA305" s="89"/>
    </row>
    <row r="306" spans="3:53"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  <c r="BA306" s="89"/>
    </row>
    <row r="307" spans="3:53"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  <c r="BA307" s="89"/>
    </row>
    <row r="308" spans="3:53"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  <c r="BA308" s="89"/>
    </row>
    <row r="309" spans="3:53"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  <c r="BA309" s="89"/>
    </row>
    <row r="310" spans="3:53"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89"/>
      <c r="AX310" s="89"/>
      <c r="AY310" s="89"/>
      <c r="AZ310" s="89"/>
      <c r="BA310" s="89"/>
    </row>
    <row r="311" spans="3:53"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89"/>
      <c r="AX311" s="89"/>
      <c r="AY311" s="89"/>
      <c r="AZ311" s="89"/>
      <c r="BA311" s="89"/>
    </row>
    <row r="312" spans="3:53"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89"/>
      <c r="AX312" s="89"/>
      <c r="AY312" s="89"/>
      <c r="AZ312" s="89"/>
      <c r="BA312" s="89"/>
    </row>
    <row r="313" spans="3:53"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89"/>
      <c r="AX313" s="89"/>
      <c r="AY313" s="89"/>
      <c r="AZ313" s="89"/>
      <c r="BA313" s="89"/>
    </row>
    <row r="314" spans="3:53"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89"/>
      <c r="AX314" s="89"/>
      <c r="AY314" s="89"/>
      <c r="AZ314" s="89"/>
      <c r="BA314" s="89"/>
    </row>
    <row r="315" spans="3:53"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89"/>
      <c r="AX315" s="89"/>
      <c r="AY315" s="89"/>
      <c r="AZ315" s="89"/>
      <c r="BA315" s="89"/>
    </row>
    <row r="316" spans="3:53"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89"/>
      <c r="AX316" s="89"/>
      <c r="AY316" s="89"/>
      <c r="AZ316" s="89"/>
      <c r="BA316" s="89"/>
    </row>
    <row r="317" spans="3:53"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  <c r="AV317" s="89"/>
      <c r="AW317" s="89"/>
      <c r="AX317" s="89"/>
      <c r="AY317" s="89"/>
      <c r="AZ317" s="89"/>
      <c r="BA317" s="89"/>
    </row>
    <row r="318" spans="3:53"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  <c r="AV318" s="89"/>
      <c r="AW318" s="89"/>
      <c r="AX318" s="89"/>
      <c r="AY318" s="89"/>
      <c r="AZ318" s="89"/>
      <c r="BA318" s="89"/>
    </row>
    <row r="319" spans="3:53"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  <c r="AV319" s="89"/>
      <c r="AW319" s="89"/>
      <c r="AX319" s="89"/>
      <c r="AY319" s="89"/>
      <c r="AZ319" s="89"/>
      <c r="BA319" s="89"/>
    </row>
    <row r="320" spans="3:53"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  <c r="AV320" s="89"/>
      <c r="AW320" s="89"/>
      <c r="AX320" s="89"/>
      <c r="AY320" s="89"/>
      <c r="AZ320" s="89"/>
      <c r="BA320" s="89"/>
    </row>
    <row r="321" spans="3:53"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  <c r="AV321" s="89"/>
      <c r="AW321" s="89"/>
      <c r="AX321" s="89"/>
      <c r="AY321" s="89"/>
      <c r="AZ321" s="89"/>
      <c r="BA321" s="89"/>
    </row>
    <row r="322" spans="3:53"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  <c r="AV322" s="89"/>
      <c r="AW322" s="89"/>
      <c r="AX322" s="89"/>
      <c r="AY322" s="89"/>
      <c r="AZ322" s="89"/>
      <c r="BA322" s="89"/>
    </row>
    <row r="323" spans="3:53"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  <c r="AV323" s="89"/>
      <c r="AW323" s="89"/>
      <c r="AX323" s="89"/>
      <c r="AY323" s="89"/>
      <c r="AZ323" s="89"/>
      <c r="BA323" s="89"/>
    </row>
    <row r="324" spans="3:53"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  <c r="AV324" s="89"/>
      <c r="AW324" s="89"/>
      <c r="AX324" s="89"/>
      <c r="AY324" s="89"/>
      <c r="AZ324" s="89"/>
      <c r="BA324" s="89"/>
    </row>
    <row r="325" spans="3:53"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  <c r="AV325" s="89"/>
      <c r="AW325" s="89"/>
      <c r="AX325" s="89"/>
      <c r="AY325" s="89"/>
      <c r="AZ325" s="89"/>
      <c r="BA325" s="89"/>
    </row>
    <row r="326" spans="3:53"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  <c r="AV326" s="89"/>
      <c r="AW326" s="89"/>
      <c r="AX326" s="89"/>
      <c r="AY326" s="89"/>
      <c r="AZ326" s="89"/>
      <c r="BA326" s="89"/>
    </row>
    <row r="327" spans="3:53"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  <c r="AV327" s="89"/>
      <c r="AW327" s="89"/>
      <c r="AX327" s="89"/>
      <c r="AY327" s="89"/>
      <c r="AZ327" s="89"/>
      <c r="BA327" s="89"/>
    </row>
    <row r="328" spans="3:53"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  <c r="AV328" s="89"/>
      <c r="AW328" s="89"/>
      <c r="AX328" s="89"/>
      <c r="AY328" s="89"/>
      <c r="AZ328" s="89"/>
      <c r="BA328" s="89"/>
    </row>
    <row r="329" spans="3:53"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  <c r="AV329" s="89"/>
      <c r="AW329" s="89"/>
      <c r="AX329" s="89"/>
      <c r="AY329" s="89"/>
      <c r="AZ329" s="89"/>
      <c r="BA329" s="89"/>
    </row>
    <row r="330" spans="3:53"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  <c r="AV330" s="89"/>
      <c r="AW330" s="89"/>
      <c r="AX330" s="89"/>
      <c r="AY330" s="89"/>
      <c r="AZ330" s="89"/>
      <c r="BA330" s="89"/>
    </row>
    <row r="331" spans="3:53"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  <c r="AV331" s="89"/>
      <c r="AW331" s="89"/>
      <c r="AX331" s="89"/>
      <c r="AY331" s="89"/>
      <c r="AZ331" s="89"/>
      <c r="BA331" s="89"/>
    </row>
    <row r="332" spans="3:53"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  <c r="AV332" s="89"/>
      <c r="AW332" s="89"/>
      <c r="AX332" s="89"/>
      <c r="AY332" s="89"/>
      <c r="AZ332" s="89"/>
      <c r="BA332" s="89"/>
    </row>
    <row r="333" spans="3:53"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  <c r="AV333" s="89"/>
      <c r="AW333" s="89"/>
      <c r="AX333" s="89"/>
      <c r="AY333" s="89"/>
      <c r="AZ333" s="89"/>
      <c r="BA333" s="89"/>
    </row>
    <row r="334" spans="3:53"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89"/>
      <c r="AX334" s="89"/>
      <c r="AY334" s="89"/>
      <c r="AZ334" s="89"/>
      <c r="BA334" s="89"/>
    </row>
    <row r="335" spans="3:53"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  <c r="AV335" s="89"/>
      <c r="AW335" s="89"/>
      <c r="AX335" s="89"/>
      <c r="AY335" s="89"/>
      <c r="AZ335" s="89"/>
      <c r="BA335" s="89"/>
    </row>
    <row r="336" spans="3:53"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89"/>
      <c r="AX336" s="89"/>
      <c r="AY336" s="89"/>
      <c r="AZ336" s="89"/>
      <c r="BA336" s="89"/>
    </row>
    <row r="337" spans="3:53"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  <c r="AV337" s="89"/>
      <c r="AW337" s="89"/>
      <c r="AX337" s="89"/>
      <c r="AY337" s="89"/>
      <c r="AZ337" s="89"/>
      <c r="BA337" s="89"/>
    </row>
    <row r="338" spans="3:53"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89"/>
      <c r="AX338" s="89"/>
      <c r="AY338" s="89"/>
      <c r="AZ338" s="89"/>
      <c r="BA338" s="89"/>
    </row>
    <row r="339" spans="3:53"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  <c r="AV339" s="89"/>
      <c r="AW339" s="89"/>
      <c r="AX339" s="89"/>
      <c r="AY339" s="89"/>
      <c r="AZ339" s="89"/>
      <c r="BA339" s="89"/>
    </row>
    <row r="340" spans="3:53"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  <c r="AV340" s="89"/>
      <c r="AW340" s="89"/>
      <c r="AX340" s="89"/>
      <c r="AY340" s="89"/>
      <c r="AZ340" s="89"/>
      <c r="BA340" s="89"/>
    </row>
    <row r="341" spans="3:53"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  <c r="AV341" s="89"/>
      <c r="AW341" s="89"/>
      <c r="AX341" s="89"/>
      <c r="AY341" s="89"/>
      <c r="AZ341" s="89"/>
      <c r="BA341" s="89"/>
    </row>
    <row r="342" spans="3:53"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  <c r="AV342" s="89"/>
      <c r="AW342" s="89"/>
      <c r="AX342" s="89"/>
      <c r="AY342" s="89"/>
      <c r="AZ342" s="89"/>
      <c r="BA342" s="89"/>
    </row>
    <row r="343" spans="3:53"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  <c r="AV343" s="89"/>
      <c r="AW343" s="89"/>
      <c r="AX343" s="89"/>
      <c r="AY343" s="89"/>
      <c r="AZ343" s="89"/>
      <c r="BA343" s="89"/>
    </row>
    <row r="344" spans="3:53"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  <c r="AV344" s="89"/>
      <c r="AW344" s="89"/>
      <c r="AX344" s="89"/>
      <c r="AY344" s="89"/>
      <c r="AZ344" s="89"/>
      <c r="BA344" s="89"/>
    </row>
    <row r="345" spans="3:53"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  <c r="AV345" s="89"/>
      <c r="AW345" s="89"/>
      <c r="AX345" s="89"/>
      <c r="AY345" s="89"/>
      <c r="AZ345" s="89"/>
      <c r="BA345" s="89"/>
    </row>
    <row r="346" spans="3:53"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  <c r="AV346" s="89"/>
      <c r="AW346" s="89"/>
      <c r="AX346" s="89"/>
      <c r="AY346" s="89"/>
      <c r="AZ346" s="89"/>
      <c r="BA346" s="89"/>
    </row>
    <row r="347" spans="3:53"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  <c r="AV347" s="89"/>
      <c r="AW347" s="89"/>
      <c r="AX347" s="89"/>
      <c r="AY347" s="89"/>
      <c r="AZ347" s="89"/>
      <c r="BA347" s="89"/>
    </row>
    <row r="348" spans="3:53"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  <c r="AV348" s="89"/>
      <c r="AW348" s="89"/>
      <c r="AX348" s="89"/>
      <c r="AY348" s="89"/>
      <c r="AZ348" s="89"/>
      <c r="BA348" s="89"/>
    </row>
    <row r="349" spans="3:53"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  <c r="AV349" s="89"/>
      <c r="AW349" s="89"/>
      <c r="AX349" s="89"/>
      <c r="AY349" s="89"/>
      <c r="AZ349" s="89"/>
      <c r="BA349" s="89"/>
    </row>
    <row r="350" spans="3:53"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89"/>
      <c r="AX350" s="89"/>
      <c r="AY350" s="89"/>
      <c r="AZ350" s="89"/>
      <c r="BA350" s="89"/>
    </row>
    <row r="351" spans="3:53"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  <c r="AV351" s="89"/>
      <c r="AW351" s="89"/>
      <c r="AX351" s="89"/>
      <c r="AY351" s="89"/>
      <c r="AZ351" s="89"/>
      <c r="BA351" s="89"/>
    </row>
    <row r="352" spans="3:53"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89"/>
      <c r="AX352" s="89"/>
      <c r="AY352" s="89"/>
      <c r="AZ352" s="89"/>
      <c r="BA352" s="89"/>
    </row>
    <row r="353" spans="3:53"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  <c r="AV353" s="89"/>
      <c r="AW353" s="89"/>
      <c r="AX353" s="89"/>
      <c r="AY353" s="89"/>
      <c r="AZ353" s="89"/>
      <c r="BA353" s="89"/>
    </row>
    <row r="354" spans="3:53"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  <c r="AV354" s="89"/>
      <c r="AW354" s="89"/>
      <c r="AX354" s="89"/>
      <c r="AY354" s="89"/>
      <c r="AZ354" s="89"/>
      <c r="BA354" s="89"/>
    </row>
    <row r="355" spans="3:53"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  <c r="AV355" s="89"/>
      <c r="AW355" s="89"/>
      <c r="AX355" s="89"/>
      <c r="AY355" s="89"/>
      <c r="AZ355" s="89"/>
      <c r="BA355" s="89"/>
    </row>
    <row r="356" spans="3:53"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  <c r="AV356" s="89"/>
      <c r="AW356" s="89"/>
      <c r="AX356" s="89"/>
      <c r="AY356" s="89"/>
      <c r="AZ356" s="89"/>
      <c r="BA356" s="89"/>
    </row>
    <row r="357" spans="3:53"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  <c r="AV357" s="89"/>
      <c r="AW357" s="89"/>
      <c r="AX357" s="89"/>
      <c r="AY357" s="89"/>
      <c r="AZ357" s="89"/>
      <c r="BA357" s="89"/>
    </row>
    <row r="358" spans="3:53"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  <c r="AV358" s="89"/>
      <c r="AW358" s="89"/>
      <c r="AX358" s="89"/>
      <c r="AY358" s="89"/>
      <c r="AZ358" s="89"/>
      <c r="BA358" s="89"/>
    </row>
    <row r="359" spans="3:53"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  <c r="AV359" s="89"/>
      <c r="AW359" s="89"/>
      <c r="AX359" s="89"/>
      <c r="AY359" s="89"/>
      <c r="AZ359" s="89"/>
      <c r="BA359" s="89"/>
    </row>
    <row r="360" spans="3:53"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  <c r="AV360" s="89"/>
      <c r="AW360" s="89"/>
      <c r="AX360" s="89"/>
      <c r="AY360" s="89"/>
      <c r="AZ360" s="89"/>
      <c r="BA360" s="89"/>
    </row>
    <row r="361" spans="3:53"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  <c r="AV361" s="89"/>
      <c r="AW361" s="89"/>
      <c r="AX361" s="89"/>
      <c r="AY361" s="89"/>
      <c r="AZ361" s="89"/>
      <c r="BA361" s="89"/>
    </row>
    <row r="362" spans="3:53"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  <c r="AV362" s="89"/>
      <c r="AW362" s="89"/>
      <c r="AX362" s="89"/>
      <c r="AY362" s="89"/>
      <c r="AZ362" s="89"/>
      <c r="BA362" s="89"/>
    </row>
    <row r="363" spans="3:53"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  <c r="AV363" s="89"/>
      <c r="AW363" s="89"/>
      <c r="AX363" s="89"/>
      <c r="AY363" s="89"/>
      <c r="AZ363" s="89"/>
      <c r="BA363" s="89"/>
    </row>
    <row r="364" spans="3:53"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  <c r="AV364" s="89"/>
      <c r="AW364" s="89"/>
      <c r="AX364" s="89"/>
      <c r="AY364" s="89"/>
      <c r="AZ364" s="89"/>
      <c r="BA364" s="89"/>
    </row>
    <row r="365" spans="3:53"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  <c r="BA365" s="89"/>
    </row>
    <row r="366" spans="3:53"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  <c r="AV366" s="89"/>
      <c r="AW366" s="89"/>
      <c r="AX366" s="89"/>
      <c r="AY366" s="89"/>
      <c r="AZ366" s="89"/>
      <c r="BA366" s="89"/>
    </row>
    <row r="367" spans="3:53"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  <c r="AV367" s="89"/>
      <c r="AW367" s="89"/>
      <c r="AX367" s="89"/>
      <c r="AY367" s="89"/>
      <c r="AZ367" s="89"/>
      <c r="BA367" s="89"/>
    </row>
    <row r="368" spans="3:53"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89"/>
      <c r="AY368" s="89"/>
      <c r="AZ368" s="89"/>
      <c r="BA368" s="89"/>
    </row>
    <row r="369" spans="3:53"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  <c r="AV369" s="89"/>
      <c r="AW369" s="89"/>
      <c r="AX369" s="89"/>
      <c r="AY369" s="89"/>
      <c r="AZ369" s="89"/>
      <c r="BA369" s="89"/>
    </row>
    <row r="370" spans="3:53"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  <c r="AV370" s="89"/>
      <c r="AW370" s="89"/>
      <c r="AX370" s="89"/>
      <c r="AY370" s="89"/>
      <c r="AZ370" s="89"/>
      <c r="BA370" s="89"/>
    </row>
    <row r="371" spans="3:53"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  <c r="AV371" s="89"/>
      <c r="AW371" s="89"/>
      <c r="AX371" s="89"/>
      <c r="AY371" s="89"/>
      <c r="AZ371" s="89"/>
      <c r="BA371" s="89"/>
    </row>
    <row r="372" spans="3:53"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  <c r="AV372" s="89"/>
      <c r="AW372" s="89"/>
      <c r="AX372" s="89"/>
      <c r="AY372" s="89"/>
      <c r="AZ372" s="89"/>
      <c r="BA372" s="89"/>
    </row>
    <row r="373" spans="3:53"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  <c r="AV373" s="89"/>
      <c r="AW373" s="89"/>
      <c r="AX373" s="89"/>
      <c r="AY373" s="89"/>
      <c r="AZ373" s="89"/>
      <c r="BA373" s="89"/>
    </row>
    <row r="374" spans="3:53"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  <c r="AV374" s="89"/>
      <c r="AW374" s="89"/>
      <c r="AX374" s="89"/>
      <c r="AY374" s="89"/>
      <c r="AZ374" s="89"/>
      <c r="BA374" s="89"/>
    </row>
    <row r="375" spans="3:53"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  <c r="AV375" s="89"/>
      <c r="AW375" s="89"/>
      <c r="AX375" s="89"/>
      <c r="AY375" s="89"/>
      <c r="AZ375" s="89"/>
      <c r="BA375" s="89"/>
    </row>
    <row r="376" spans="3:53"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  <c r="AV376" s="89"/>
      <c r="AW376" s="89"/>
      <c r="AX376" s="89"/>
      <c r="AY376" s="89"/>
      <c r="AZ376" s="89"/>
      <c r="BA376" s="89"/>
    </row>
    <row r="377" spans="3:53"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  <c r="AV377" s="89"/>
      <c r="AW377" s="89"/>
      <c r="AX377" s="89"/>
      <c r="AY377" s="89"/>
      <c r="AZ377" s="89"/>
      <c r="BA377" s="89"/>
    </row>
    <row r="378" spans="3:53"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  <c r="AV378" s="89"/>
      <c r="AW378" s="89"/>
      <c r="AX378" s="89"/>
      <c r="AY378" s="89"/>
      <c r="AZ378" s="89"/>
      <c r="BA378" s="89"/>
    </row>
    <row r="379" spans="3:53"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  <c r="AV379" s="89"/>
      <c r="AW379" s="89"/>
      <c r="AX379" s="89"/>
      <c r="AY379" s="89"/>
      <c r="AZ379" s="89"/>
      <c r="BA379" s="89"/>
    </row>
    <row r="380" spans="3:53"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  <c r="AV380" s="89"/>
      <c r="AW380" s="89"/>
      <c r="AX380" s="89"/>
      <c r="AY380" s="89"/>
      <c r="AZ380" s="89"/>
      <c r="BA380" s="89"/>
    </row>
    <row r="381" spans="3:53"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  <c r="AV381" s="89"/>
      <c r="AW381" s="89"/>
      <c r="AX381" s="89"/>
      <c r="AY381" s="89"/>
      <c r="AZ381" s="89"/>
      <c r="BA381" s="89"/>
    </row>
    <row r="382" spans="3:53"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  <c r="AW382" s="89"/>
      <c r="AX382" s="89"/>
      <c r="AY382" s="89"/>
      <c r="AZ382" s="89"/>
      <c r="BA382" s="89"/>
    </row>
    <row r="383" spans="3:53"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  <c r="AV383" s="89"/>
      <c r="AW383" s="89"/>
      <c r="AX383" s="89"/>
      <c r="AY383" s="89"/>
      <c r="AZ383" s="89"/>
      <c r="BA383" s="89"/>
    </row>
    <row r="384" spans="3:53"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  <c r="AV384" s="89"/>
      <c r="AW384" s="89"/>
      <c r="AX384" s="89"/>
      <c r="AY384" s="89"/>
      <c r="AZ384" s="89"/>
      <c r="BA384" s="89"/>
    </row>
    <row r="385" spans="3:53"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  <c r="AV385" s="89"/>
      <c r="AW385" s="89"/>
      <c r="AX385" s="89"/>
      <c r="AY385" s="89"/>
      <c r="AZ385" s="89"/>
      <c r="BA385" s="89"/>
    </row>
    <row r="386" spans="3:53"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  <c r="AV386" s="89"/>
      <c r="AW386" s="89"/>
      <c r="AX386" s="89"/>
      <c r="AY386" s="89"/>
      <c r="AZ386" s="89"/>
      <c r="BA386" s="89"/>
    </row>
    <row r="387" spans="3:53"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  <c r="AV387" s="89"/>
      <c r="AW387" s="89"/>
      <c r="AX387" s="89"/>
      <c r="AY387" s="89"/>
      <c r="AZ387" s="89"/>
      <c r="BA387" s="89"/>
    </row>
    <row r="388" spans="3:53"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  <c r="AV388" s="89"/>
      <c r="AW388" s="89"/>
      <c r="AX388" s="89"/>
      <c r="AY388" s="89"/>
      <c r="AZ388" s="89"/>
      <c r="BA388" s="89"/>
    </row>
    <row r="389" spans="3:53"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  <c r="AV389" s="89"/>
      <c r="AW389" s="89"/>
      <c r="AX389" s="89"/>
      <c r="AY389" s="89"/>
      <c r="AZ389" s="89"/>
      <c r="BA389" s="89"/>
    </row>
    <row r="390" spans="3:53"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  <c r="AV390" s="89"/>
      <c r="AW390" s="89"/>
      <c r="AX390" s="89"/>
      <c r="AY390" s="89"/>
      <c r="AZ390" s="89"/>
      <c r="BA390" s="89"/>
    </row>
    <row r="391" spans="3:53"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  <c r="AV391" s="89"/>
      <c r="AW391" s="89"/>
      <c r="AX391" s="89"/>
      <c r="AY391" s="89"/>
      <c r="AZ391" s="89"/>
      <c r="BA391" s="89"/>
    </row>
    <row r="392" spans="3:53"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  <c r="AV392" s="89"/>
      <c r="AW392" s="89"/>
      <c r="AX392" s="89"/>
      <c r="AY392" s="89"/>
      <c r="AZ392" s="89"/>
      <c r="BA392" s="89"/>
    </row>
    <row r="393" spans="3:53"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  <c r="AV393" s="89"/>
      <c r="AW393" s="89"/>
      <c r="AX393" s="89"/>
      <c r="AY393" s="89"/>
      <c r="AZ393" s="89"/>
      <c r="BA393" s="89"/>
    </row>
    <row r="394" spans="3:53"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  <c r="AV394" s="89"/>
      <c r="AW394" s="89"/>
      <c r="AX394" s="89"/>
      <c r="AY394" s="89"/>
      <c r="AZ394" s="89"/>
      <c r="BA394" s="89"/>
    </row>
    <row r="395" spans="3:53"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  <c r="AV395" s="89"/>
      <c r="AW395" s="89"/>
      <c r="AX395" s="89"/>
      <c r="AY395" s="89"/>
      <c r="AZ395" s="89"/>
      <c r="BA395" s="89"/>
    </row>
    <row r="396" spans="3:53"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  <c r="AV396" s="89"/>
      <c r="AW396" s="89"/>
      <c r="AX396" s="89"/>
      <c r="AY396" s="89"/>
      <c r="AZ396" s="89"/>
      <c r="BA396" s="89"/>
    </row>
    <row r="397" spans="3:53"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  <c r="AV397" s="89"/>
      <c r="AW397" s="89"/>
      <c r="AX397" s="89"/>
      <c r="AY397" s="89"/>
      <c r="AZ397" s="89"/>
      <c r="BA397" s="89"/>
    </row>
    <row r="398" spans="3:53"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  <c r="AV398" s="89"/>
      <c r="AW398" s="89"/>
      <c r="AX398" s="89"/>
      <c r="AY398" s="89"/>
      <c r="AZ398" s="89"/>
      <c r="BA398" s="89"/>
    </row>
    <row r="399" spans="3:53"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  <c r="AV399" s="89"/>
      <c r="AW399" s="89"/>
      <c r="AX399" s="89"/>
      <c r="AY399" s="89"/>
      <c r="AZ399" s="89"/>
      <c r="BA399" s="89"/>
    </row>
    <row r="400" spans="3:53"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  <c r="AV400" s="89"/>
      <c r="AW400" s="89"/>
      <c r="AX400" s="89"/>
      <c r="AY400" s="89"/>
      <c r="AZ400" s="89"/>
      <c r="BA400" s="89"/>
    </row>
    <row r="401" spans="3:53"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  <c r="AV401" s="89"/>
      <c r="AW401" s="89"/>
      <c r="AX401" s="89"/>
      <c r="AY401" s="89"/>
      <c r="AZ401" s="89"/>
      <c r="BA401" s="89"/>
    </row>
    <row r="402" spans="3:53"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  <c r="AV402" s="89"/>
      <c r="AW402" s="89"/>
      <c r="AX402" s="89"/>
      <c r="AY402" s="89"/>
      <c r="AZ402" s="89"/>
      <c r="BA402" s="89"/>
    </row>
    <row r="403" spans="3:53"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  <c r="AV403" s="89"/>
      <c r="AW403" s="89"/>
      <c r="AX403" s="89"/>
      <c r="AY403" s="89"/>
      <c r="AZ403" s="89"/>
      <c r="BA403" s="89"/>
    </row>
    <row r="404" spans="3:53"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  <c r="AV404" s="89"/>
      <c r="AW404" s="89"/>
      <c r="AX404" s="89"/>
      <c r="AY404" s="89"/>
      <c r="AZ404" s="89"/>
      <c r="BA404" s="89"/>
    </row>
    <row r="405" spans="3:53"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  <c r="AV405" s="89"/>
      <c r="AW405" s="89"/>
      <c r="AX405" s="89"/>
      <c r="AY405" s="89"/>
      <c r="AZ405" s="89"/>
      <c r="BA405" s="89"/>
    </row>
    <row r="406" spans="3:53"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  <c r="AV406" s="89"/>
      <c r="AW406" s="89"/>
      <c r="AX406" s="89"/>
      <c r="AY406" s="89"/>
      <c r="AZ406" s="89"/>
      <c r="BA406" s="89"/>
    </row>
    <row r="407" spans="3:53"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  <c r="AV407" s="89"/>
      <c r="AW407" s="89"/>
      <c r="AX407" s="89"/>
      <c r="AY407" s="89"/>
      <c r="AZ407" s="89"/>
      <c r="BA407" s="89"/>
    </row>
    <row r="408" spans="3:53"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  <c r="AV408" s="89"/>
      <c r="AW408" s="89"/>
      <c r="AX408" s="89"/>
      <c r="AY408" s="89"/>
      <c r="AZ408" s="89"/>
      <c r="BA408" s="89"/>
    </row>
    <row r="409" spans="3:53"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  <c r="AV409" s="89"/>
      <c r="AW409" s="89"/>
      <c r="AX409" s="89"/>
      <c r="AY409" s="89"/>
      <c r="AZ409" s="89"/>
      <c r="BA409" s="89"/>
    </row>
    <row r="410" spans="3:53"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  <c r="AV410" s="89"/>
      <c r="AW410" s="89"/>
      <c r="AX410" s="89"/>
      <c r="AY410" s="89"/>
      <c r="AZ410" s="89"/>
      <c r="BA410" s="89"/>
    </row>
    <row r="411" spans="3:53"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  <c r="AV411" s="89"/>
      <c r="AW411" s="89"/>
      <c r="AX411" s="89"/>
      <c r="AY411" s="89"/>
      <c r="AZ411" s="89"/>
      <c r="BA411" s="89"/>
    </row>
    <row r="412" spans="3:53"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  <c r="AV412" s="89"/>
      <c r="AW412" s="89"/>
      <c r="AX412" s="89"/>
      <c r="AY412" s="89"/>
      <c r="AZ412" s="89"/>
      <c r="BA412" s="89"/>
    </row>
    <row r="413" spans="3:53"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  <c r="AV413" s="89"/>
      <c r="AW413" s="89"/>
      <c r="AX413" s="89"/>
      <c r="AY413" s="89"/>
      <c r="AZ413" s="89"/>
      <c r="BA413" s="89"/>
    </row>
    <row r="414" spans="3:53"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  <c r="AV414" s="89"/>
      <c r="AW414" s="89"/>
      <c r="AX414" s="89"/>
      <c r="AY414" s="89"/>
      <c r="AZ414" s="89"/>
      <c r="BA414" s="89"/>
    </row>
    <row r="415" spans="3:53"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  <c r="AV415" s="89"/>
      <c r="AW415" s="89"/>
      <c r="AX415" s="89"/>
      <c r="AY415" s="89"/>
      <c r="AZ415" s="89"/>
      <c r="BA415" s="89"/>
    </row>
    <row r="416" spans="3:53"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  <c r="AV416" s="89"/>
      <c r="AW416" s="89"/>
      <c r="AX416" s="89"/>
      <c r="AY416" s="89"/>
      <c r="AZ416" s="89"/>
      <c r="BA416" s="89"/>
    </row>
    <row r="417" spans="3:53"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  <c r="AV417" s="89"/>
      <c r="AW417" s="89"/>
      <c r="AX417" s="89"/>
      <c r="AY417" s="89"/>
      <c r="AZ417" s="89"/>
      <c r="BA417" s="89"/>
    </row>
    <row r="418" spans="3:53"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  <c r="AV418" s="89"/>
      <c r="AW418" s="89"/>
      <c r="AX418" s="89"/>
      <c r="AY418" s="89"/>
      <c r="AZ418" s="89"/>
      <c r="BA418" s="89"/>
    </row>
    <row r="419" spans="3:53"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  <c r="AV419" s="89"/>
      <c r="AW419" s="89"/>
      <c r="AX419" s="89"/>
      <c r="AY419" s="89"/>
      <c r="AZ419" s="89"/>
      <c r="BA419" s="89"/>
    </row>
    <row r="420" spans="3:53"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  <c r="AV420" s="89"/>
      <c r="AW420" s="89"/>
      <c r="AX420" s="89"/>
      <c r="AY420" s="89"/>
      <c r="AZ420" s="89"/>
      <c r="BA420" s="89"/>
    </row>
    <row r="421" spans="3:53"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  <c r="AV421" s="89"/>
      <c r="AW421" s="89"/>
      <c r="AX421" s="89"/>
      <c r="AY421" s="89"/>
      <c r="AZ421" s="89"/>
      <c r="BA421" s="89"/>
    </row>
    <row r="422" spans="3:53"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  <c r="AV422" s="89"/>
      <c r="AW422" s="89"/>
      <c r="AX422" s="89"/>
      <c r="AY422" s="89"/>
      <c r="AZ422" s="89"/>
      <c r="BA422" s="89"/>
    </row>
    <row r="423" spans="3:53"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  <c r="AV423" s="89"/>
      <c r="AW423" s="89"/>
      <c r="AX423" s="89"/>
      <c r="AY423" s="89"/>
      <c r="AZ423" s="89"/>
      <c r="BA423" s="89"/>
    </row>
    <row r="424" spans="3:53"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  <c r="AV424" s="89"/>
      <c r="AW424" s="89"/>
      <c r="AX424" s="89"/>
      <c r="AY424" s="89"/>
      <c r="AZ424" s="89"/>
      <c r="BA424" s="89"/>
    </row>
    <row r="425" spans="3:53"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  <c r="AV425" s="89"/>
      <c r="AW425" s="89"/>
      <c r="AX425" s="89"/>
      <c r="AY425" s="89"/>
      <c r="AZ425" s="89"/>
      <c r="BA425" s="89"/>
    </row>
    <row r="426" spans="3:53"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  <c r="AV426" s="89"/>
      <c r="AW426" s="89"/>
      <c r="AX426" s="89"/>
      <c r="AY426" s="89"/>
      <c r="AZ426" s="89"/>
      <c r="BA426" s="89"/>
    </row>
    <row r="427" spans="3:53"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  <c r="AV427" s="89"/>
      <c r="AW427" s="89"/>
      <c r="AX427" s="89"/>
      <c r="AY427" s="89"/>
      <c r="AZ427" s="89"/>
      <c r="BA427" s="89"/>
    </row>
    <row r="428" spans="3:53"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  <c r="AV428" s="89"/>
      <c r="AW428" s="89"/>
      <c r="AX428" s="89"/>
      <c r="AY428" s="89"/>
      <c r="AZ428" s="89"/>
      <c r="BA428" s="89"/>
    </row>
    <row r="429" spans="3:53"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  <c r="AV429" s="89"/>
      <c r="AW429" s="89"/>
      <c r="AX429" s="89"/>
      <c r="AY429" s="89"/>
      <c r="AZ429" s="89"/>
      <c r="BA429" s="89"/>
    </row>
    <row r="430" spans="3:53"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  <c r="AV430" s="89"/>
      <c r="AW430" s="89"/>
      <c r="AX430" s="89"/>
      <c r="AY430" s="89"/>
      <c r="AZ430" s="89"/>
      <c r="BA430" s="89"/>
    </row>
    <row r="431" spans="3:53"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  <c r="AV431" s="89"/>
      <c r="AW431" s="89"/>
      <c r="AX431" s="89"/>
      <c r="AY431" s="89"/>
      <c r="AZ431" s="89"/>
      <c r="BA431" s="89"/>
    </row>
    <row r="432" spans="3:53"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  <c r="AV432" s="89"/>
      <c r="AW432" s="89"/>
      <c r="AX432" s="89"/>
      <c r="AY432" s="89"/>
      <c r="AZ432" s="89"/>
      <c r="BA432" s="89"/>
    </row>
    <row r="433" spans="3:53"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  <c r="AV433" s="89"/>
      <c r="AW433" s="89"/>
      <c r="AX433" s="89"/>
      <c r="AY433" s="89"/>
      <c r="AZ433" s="89"/>
      <c r="BA433" s="89"/>
    </row>
    <row r="434" spans="3:53"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  <c r="AV434" s="89"/>
      <c r="AW434" s="89"/>
      <c r="AX434" s="89"/>
      <c r="AY434" s="89"/>
      <c r="AZ434" s="89"/>
      <c r="BA434" s="89"/>
    </row>
    <row r="435" spans="3:53"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  <c r="AV435" s="89"/>
      <c r="AW435" s="89"/>
      <c r="AX435" s="89"/>
      <c r="AY435" s="89"/>
      <c r="AZ435" s="89"/>
      <c r="BA435" s="89"/>
    </row>
    <row r="436" spans="3:53"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  <c r="AV436" s="89"/>
      <c r="AW436" s="89"/>
      <c r="AX436" s="89"/>
      <c r="AY436" s="89"/>
      <c r="AZ436" s="89"/>
      <c r="BA436" s="89"/>
    </row>
    <row r="437" spans="3:53"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  <c r="AV437" s="89"/>
      <c r="AW437" s="89"/>
      <c r="AX437" s="89"/>
      <c r="AY437" s="89"/>
      <c r="AZ437" s="89"/>
      <c r="BA437" s="89"/>
    </row>
    <row r="438" spans="3:53"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  <c r="AV438" s="89"/>
      <c r="AW438" s="89"/>
      <c r="AX438" s="89"/>
      <c r="AY438" s="89"/>
      <c r="AZ438" s="89"/>
      <c r="BA438" s="89"/>
    </row>
    <row r="439" spans="3:53"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  <c r="AV439" s="89"/>
      <c r="AW439" s="89"/>
      <c r="AX439" s="89"/>
      <c r="AY439" s="89"/>
      <c r="AZ439" s="89"/>
      <c r="BA439" s="89"/>
    </row>
    <row r="440" spans="3:53"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  <c r="AV440" s="89"/>
      <c r="AW440" s="89"/>
      <c r="AX440" s="89"/>
      <c r="AY440" s="89"/>
      <c r="AZ440" s="89"/>
      <c r="BA440" s="89"/>
    </row>
    <row r="441" spans="3:53"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  <c r="AV441" s="89"/>
      <c r="AW441" s="89"/>
      <c r="AX441" s="89"/>
      <c r="AY441" s="89"/>
      <c r="AZ441" s="89"/>
      <c r="BA441" s="89"/>
    </row>
    <row r="442" spans="3:53"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  <c r="AV442" s="89"/>
      <c r="AW442" s="89"/>
      <c r="AX442" s="89"/>
      <c r="AY442" s="89"/>
      <c r="AZ442" s="89"/>
      <c r="BA442" s="89"/>
    </row>
    <row r="443" spans="3:53"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  <c r="AV443" s="89"/>
      <c r="AW443" s="89"/>
      <c r="AX443" s="89"/>
      <c r="AY443" s="89"/>
      <c r="AZ443" s="89"/>
      <c r="BA443" s="89"/>
    </row>
    <row r="444" spans="3:53"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  <c r="AV444" s="89"/>
      <c r="AW444" s="89"/>
      <c r="AX444" s="89"/>
      <c r="AY444" s="89"/>
      <c r="AZ444" s="89"/>
      <c r="BA444" s="89"/>
    </row>
    <row r="445" spans="3:53"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  <c r="AV445" s="89"/>
      <c r="AW445" s="89"/>
      <c r="AX445" s="89"/>
      <c r="AY445" s="89"/>
      <c r="AZ445" s="89"/>
      <c r="BA445" s="89"/>
    </row>
    <row r="446" spans="3:53"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  <c r="AV446" s="89"/>
      <c r="AW446" s="89"/>
      <c r="AX446" s="89"/>
      <c r="AY446" s="89"/>
      <c r="AZ446" s="89"/>
      <c r="BA446" s="89"/>
    </row>
    <row r="447" spans="3:53"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  <c r="AV447" s="89"/>
      <c r="AW447" s="89"/>
      <c r="AX447" s="89"/>
      <c r="AY447" s="89"/>
      <c r="AZ447" s="89"/>
      <c r="BA447" s="89"/>
    </row>
    <row r="448" spans="3:53"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  <c r="AV448" s="89"/>
      <c r="AW448" s="89"/>
      <c r="AX448" s="89"/>
      <c r="AY448" s="89"/>
      <c r="AZ448" s="89"/>
      <c r="BA448" s="89"/>
    </row>
    <row r="449" spans="3:53"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  <c r="AV449" s="89"/>
      <c r="AW449" s="89"/>
      <c r="AX449" s="89"/>
      <c r="AY449" s="89"/>
      <c r="AZ449" s="89"/>
      <c r="BA449" s="89"/>
    </row>
    <row r="450" spans="3:53"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  <c r="AV450" s="89"/>
      <c r="AW450" s="89"/>
      <c r="AX450" s="89"/>
      <c r="AY450" s="89"/>
      <c r="AZ450" s="89"/>
      <c r="BA450" s="89"/>
    </row>
    <row r="451" spans="3:53"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  <c r="AV451" s="89"/>
      <c r="AW451" s="89"/>
      <c r="AX451" s="89"/>
      <c r="AY451" s="89"/>
      <c r="AZ451" s="89"/>
      <c r="BA451" s="89"/>
    </row>
    <row r="452" spans="3:53"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  <c r="AV452" s="89"/>
      <c r="AW452" s="89"/>
      <c r="AX452" s="89"/>
      <c r="AY452" s="89"/>
      <c r="AZ452" s="89"/>
      <c r="BA452" s="89"/>
    </row>
    <row r="453" spans="3:53"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  <c r="AV453" s="89"/>
      <c r="AW453" s="89"/>
      <c r="AX453" s="89"/>
      <c r="AY453" s="89"/>
      <c r="AZ453" s="89"/>
      <c r="BA453" s="89"/>
    </row>
    <row r="454" spans="3:53"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  <c r="AV454" s="89"/>
      <c r="AW454" s="89"/>
      <c r="AX454" s="89"/>
      <c r="AY454" s="89"/>
      <c r="AZ454" s="89"/>
      <c r="BA454" s="89"/>
    </row>
    <row r="455" spans="3:53"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  <c r="AV455" s="89"/>
      <c r="AW455" s="89"/>
      <c r="AX455" s="89"/>
      <c r="AY455" s="89"/>
      <c r="AZ455" s="89"/>
      <c r="BA455" s="89"/>
    </row>
    <row r="456" spans="3:53"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  <c r="AV456" s="89"/>
      <c r="AW456" s="89"/>
      <c r="AX456" s="89"/>
      <c r="AY456" s="89"/>
      <c r="AZ456" s="89"/>
      <c r="BA456" s="89"/>
    </row>
    <row r="457" spans="3:53"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  <c r="AV457" s="89"/>
      <c r="AW457" s="89"/>
      <c r="AX457" s="89"/>
      <c r="AY457" s="89"/>
      <c r="AZ457" s="89"/>
      <c r="BA457" s="89"/>
    </row>
    <row r="458" spans="3:53"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  <c r="AV458" s="89"/>
      <c r="AW458" s="89"/>
      <c r="AX458" s="89"/>
      <c r="AY458" s="89"/>
      <c r="AZ458" s="89"/>
      <c r="BA458" s="89"/>
    </row>
    <row r="459" spans="3:53"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  <c r="AV459" s="89"/>
      <c r="AW459" s="89"/>
      <c r="AX459" s="89"/>
      <c r="AY459" s="89"/>
      <c r="AZ459" s="89"/>
      <c r="BA459" s="89"/>
    </row>
    <row r="460" spans="3:53"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  <c r="AV460" s="89"/>
      <c r="AW460" s="89"/>
      <c r="AX460" s="89"/>
      <c r="AY460" s="89"/>
      <c r="AZ460" s="89"/>
      <c r="BA460" s="89"/>
    </row>
    <row r="461" spans="3:53"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  <c r="AV461" s="89"/>
      <c r="AW461" s="89"/>
      <c r="AX461" s="89"/>
      <c r="AY461" s="89"/>
      <c r="AZ461" s="89"/>
      <c r="BA461" s="89"/>
    </row>
    <row r="462" spans="3:53"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  <c r="AV462" s="89"/>
      <c r="AW462" s="89"/>
      <c r="AX462" s="89"/>
      <c r="AY462" s="89"/>
      <c r="AZ462" s="89"/>
      <c r="BA462" s="89"/>
    </row>
    <row r="463" spans="3:53"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  <c r="AV463" s="89"/>
      <c r="AW463" s="89"/>
      <c r="AX463" s="89"/>
      <c r="AY463" s="89"/>
      <c r="AZ463" s="89"/>
      <c r="BA463" s="89"/>
    </row>
    <row r="464" spans="3:53"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  <c r="AV464" s="89"/>
      <c r="AW464" s="89"/>
      <c r="AX464" s="89"/>
      <c r="AY464" s="89"/>
      <c r="AZ464" s="89"/>
      <c r="BA464" s="89"/>
    </row>
    <row r="465" spans="3:53"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  <c r="AV465" s="89"/>
      <c r="AW465" s="89"/>
      <c r="AX465" s="89"/>
      <c r="AY465" s="89"/>
      <c r="AZ465" s="89"/>
      <c r="BA465" s="89"/>
    </row>
    <row r="466" spans="3:53"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  <c r="AV466" s="89"/>
      <c r="AW466" s="89"/>
      <c r="AX466" s="89"/>
      <c r="AY466" s="89"/>
      <c r="AZ466" s="89"/>
      <c r="BA466" s="89"/>
    </row>
    <row r="467" spans="3:53"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  <c r="AV467" s="89"/>
      <c r="AW467" s="89"/>
      <c r="AX467" s="89"/>
      <c r="AY467" s="89"/>
      <c r="AZ467" s="89"/>
      <c r="BA467" s="89"/>
    </row>
    <row r="468" spans="3:53"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  <c r="AV468" s="89"/>
      <c r="AW468" s="89"/>
      <c r="AX468" s="89"/>
      <c r="AY468" s="89"/>
      <c r="AZ468" s="89"/>
      <c r="BA468" s="89"/>
    </row>
    <row r="469" spans="3:53"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  <c r="AV469" s="89"/>
      <c r="AW469" s="89"/>
      <c r="AX469" s="89"/>
      <c r="AY469" s="89"/>
      <c r="AZ469" s="89"/>
      <c r="BA469" s="89"/>
    </row>
    <row r="470" spans="3:53"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  <c r="AV470" s="89"/>
      <c r="AW470" s="89"/>
      <c r="AX470" s="89"/>
      <c r="AY470" s="89"/>
      <c r="AZ470" s="89"/>
      <c r="BA470" s="89"/>
    </row>
    <row r="471" spans="3:53"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  <c r="AV471" s="89"/>
      <c r="AW471" s="89"/>
      <c r="AX471" s="89"/>
      <c r="AY471" s="89"/>
      <c r="AZ471" s="89"/>
      <c r="BA471" s="89"/>
    </row>
    <row r="472" spans="3:53"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  <c r="AV472" s="89"/>
      <c r="AW472" s="89"/>
      <c r="AX472" s="89"/>
      <c r="AY472" s="89"/>
      <c r="AZ472" s="89"/>
      <c r="BA472" s="89"/>
    </row>
    <row r="473" spans="3:53"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  <c r="AV473" s="89"/>
      <c r="AW473" s="89"/>
      <c r="AX473" s="89"/>
      <c r="AY473" s="89"/>
      <c r="AZ473" s="89"/>
      <c r="BA473" s="89"/>
    </row>
    <row r="474" spans="3:53"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  <c r="AV474" s="89"/>
      <c r="AW474" s="89"/>
      <c r="AX474" s="89"/>
      <c r="AY474" s="89"/>
      <c r="AZ474" s="89"/>
      <c r="BA474" s="89"/>
    </row>
    <row r="475" spans="3:53"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  <c r="AV475" s="89"/>
      <c r="AW475" s="89"/>
      <c r="AX475" s="89"/>
      <c r="AY475" s="89"/>
      <c r="AZ475" s="89"/>
      <c r="BA475" s="89"/>
    </row>
    <row r="476" spans="3:53"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  <c r="AV476" s="89"/>
      <c r="AW476" s="89"/>
      <c r="AX476" s="89"/>
      <c r="AY476" s="89"/>
      <c r="AZ476" s="89"/>
      <c r="BA476" s="89"/>
    </row>
    <row r="477" spans="3:53"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  <c r="AV477" s="89"/>
      <c r="AW477" s="89"/>
      <c r="AX477" s="89"/>
      <c r="AY477" s="89"/>
      <c r="AZ477" s="89"/>
      <c r="BA477" s="89"/>
    </row>
    <row r="478" spans="3:53"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  <c r="AV478" s="89"/>
      <c r="AW478" s="89"/>
      <c r="AX478" s="89"/>
      <c r="AY478" s="89"/>
      <c r="AZ478" s="89"/>
      <c r="BA478" s="89"/>
    </row>
    <row r="479" spans="3:53"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  <c r="AV479" s="89"/>
      <c r="AW479" s="89"/>
      <c r="AX479" s="89"/>
      <c r="AY479" s="89"/>
      <c r="AZ479" s="89"/>
      <c r="BA479" s="89"/>
    </row>
    <row r="480" spans="3:53"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  <c r="AV480" s="89"/>
      <c r="AW480" s="89"/>
      <c r="AX480" s="89"/>
      <c r="AY480" s="89"/>
      <c r="AZ480" s="89"/>
      <c r="BA480" s="89"/>
    </row>
    <row r="481" spans="3:53"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  <c r="AV481" s="89"/>
      <c r="AW481" s="89"/>
      <c r="AX481" s="89"/>
      <c r="AY481" s="89"/>
      <c r="AZ481" s="89"/>
      <c r="BA481" s="89"/>
    </row>
    <row r="482" spans="3:53"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  <c r="AV482" s="89"/>
      <c r="AW482" s="89"/>
      <c r="AX482" s="89"/>
      <c r="AY482" s="89"/>
      <c r="AZ482" s="89"/>
      <c r="BA482" s="89"/>
    </row>
    <row r="483" spans="3:53"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  <c r="AV483" s="89"/>
      <c r="AW483" s="89"/>
      <c r="AX483" s="89"/>
      <c r="AY483" s="89"/>
      <c r="AZ483" s="89"/>
      <c r="BA483" s="89"/>
    </row>
    <row r="484" spans="3:53"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  <c r="AV484" s="89"/>
      <c r="AW484" s="89"/>
      <c r="AX484" s="89"/>
      <c r="AY484" s="89"/>
      <c r="AZ484" s="89"/>
      <c r="BA484" s="89"/>
    </row>
    <row r="485" spans="3:53"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  <c r="AV485" s="89"/>
      <c r="AW485" s="89"/>
      <c r="AX485" s="89"/>
      <c r="AY485" s="89"/>
      <c r="AZ485" s="89"/>
      <c r="BA485" s="89"/>
    </row>
    <row r="486" spans="3:53"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  <c r="AV486" s="89"/>
      <c r="AW486" s="89"/>
      <c r="AX486" s="89"/>
      <c r="AY486" s="89"/>
      <c r="AZ486" s="89"/>
      <c r="BA486" s="89"/>
    </row>
    <row r="487" spans="3:53"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  <c r="AV487" s="89"/>
      <c r="AW487" s="89"/>
      <c r="AX487" s="89"/>
      <c r="AY487" s="89"/>
      <c r="AZ487" s="89"/>
      <c r="BA487" s="89"/>
    </row>
    <row r="488" spans="3:53"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  <c r="AV488" s="89"/>
      <c r="AW488" s="89"/>
      <c r="AX488" s="89"/>
      <c r="AY488" s="89"/>
      <c r="AZ488" s="89"/>
      <c r="BA488" s="89"/>
    </row>
    <row r="489" spans="3:53"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89"/>
      <c r="AX489" s="89"/>
      <c r="AY489" s="89"/>
      <c r="AZ489" s="89"/>
      <c r="BA489" s="89"/>
    </row>
    <row r="490" spans="3:53"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  <c r="AV490" s="89"/>
      <c r="AW490" s="89"/>
      <c r="AX490" s="89"/>
      <c r="AY490" s="89"/>
      <c r="AZ490" s="89"/>
      <c r="BA490" s="89"/>
    </row>
    <row r="491" spans="3:53"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  <c r="AV491" s="89"/>
      <c r="AW491" s="89"/>
      <c r="AX491" s="89"/>
      <c r="AY491" s="89"/>
      <c r="AZ491" s="89"/>
      <c r="BA491" s="89"/>
    </row>
    <row r="492" spans="3:53"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  <c r="AV492" s="89"/>
      <c r="AW492" s="89"/>
      <c r="AX492" s="89"/>
      <c r="AY492" s="89"/>
      <c r="AZ492" s="89"/>
      <c r="BA492" s="89"/>
    </row>
    <row r="493" spans="3:53"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  <c r="BA493" s="89"/>
    </row>
    <row r="494" spans="3:53"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  <c r="AV494" s="89"/>
      <c r="AW494" s="89"/>
      <c r="AX494" s="89"/>
      <c r="AY494" s="89"/>
      <c r="AZ494" s="89"/>
      <c r="BA494" s="89"/>
    </row>
    <row r="495" spans="3:53"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  <c r="AV495" s="89"/>
      <c r="AW495" s="89"/>
      <c r="AX495" s="89"/>
      <c r="AY495" s="89"/>
      <c r="AZ495" s="89"/>
      <c r="BA495" s="89"/>
    </row>
    <row r="496" spans="3:53"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  <c r="AV496" s="89"/>
      <c r="AW496" s="89"/>
      <c r="AX496" s="89"/>
      <c r="AY496" s="89"/>
      <c r="AZ496" s="89"/>
      <c r="BA496" s="89"/>
    </row>
    <row r="497" spans="3:53"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  <c r="AV497" s="89"/>
      <c r="AW497" s="89"/>
      <c r="AX497" s="89"/>
      <c r="AY497" s="89"/>
      <c r="AZ497" s="89"/>
      <c r="BA497" s="89"/>
    </row>
    <row r="498" spans="3:53"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  <c r="AV498" s="89"/>
      <c r="AW498" s="89"/>
      <c r="AX498" s="89"/>
      <c r="AY498" s="89"/>
      <c r="AZ498" s="89"/>
      <c r="BA498" s="89"/>
    </row>
    <row r="499" spans="3:53"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  <c r="AV499" s="89"/>
      <c r="AW499" s="89"/>
      <c r="AX499" s="89"/>
      <c r="AY499" s="89"/>
      <c r="AZ499" s="89"/>
      <c r="BA499" s="89"/>
    </row>
    <row r="500" spans="3:53"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  <c r="AV500" s="89"/>
      <c r="AW500" s="89"/>
      <c r="AX500" s="89"/>
      <c r="AY500" s="89"/>
      <c r="AZ500" s="89"/>
      <c r="BA500" s="89"/>
    </row>
    <row r="501" spans="3:53"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  <c r="AV501" s="89"/>
      <c r="AW501" s="89"/>
      <c r="AX501" s="89"/>
      <c r="AY501" s="89"/>
      <c r="AZ501" s="89"/>
      <c r="BA501" s="89"/>
    </row>
    <row r="502" spans="3:53"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  <c r="AV502" s="89"/>
      <c r="AW502" s="89"/>
      <c r="AX502" s="89"/>
      <c r="AY502" s="89"/>
      <c r="AZ502" s="89"/>
      <c r="BA502" s="89"/>
    </row>
    <row r="503" spans="3:53"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  <c r="AV503" s="89"/>
      <c r="AW503" s="89"/>
      <c r="AX503" s="89"/>
      <c r="AY503" s="89"/>
      <c r="AZ503" s="89"/>
      <c r="BA503" s="89"/>
    </row>
    <row r="504" spans="3:53"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  <c r="AV504" s="89"/>
      <c r="AW504" s="89"/>
      <c r="AX504" s="89"/>
      <c r="AY504" s="89"/>
      <c r="AZ504" s="89"/>
      <c r="BA504" s="89"/>
    </row>
    <row r="505" spans="3:53"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  <c r="AV505" s="89"/>
      <c r="AW505" s="89"/>
      <c r="AX505" s="89"/>
      <c r="AY505" s="89"/>
      <c r="AZ505" s="89"/>
      <c r="BA505" s="89"/>
    </row>
    <row r="506" spans="3:53"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  <c r="AV506" s="89"/>
      <c r="AW506" s="89"/>
      <c r="AX506" s="89"/>
      <c r="AY506" s="89"/>
      <c r="AZ506" s="89"/>
      <c r="BA506" s="89"/>
    </row>
    <row r="507" spans="3:53"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  <c r="AV507" s="89"/>
      <c r="AW507" s="89"/>
      <c r="AX507" s="89"/>
      <c r="AY507" s="89"/>
      <c r="AZ507" s="89"/>
      <c r="BA507" s="89"/>
    </row>
    <row r="508" spans="3:53"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  <c r="AV508" s="89"/>
      <c r="AW508" s="89"/>
      <c r="AX508" s="89"/>
      <c r="AY508" s="89"/>
      <c r="AZ508" s="89"/>
      <c r="BA508" s="89"/>
    </row>
    <row r="509" spans="3:53"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  <c r="AV509" s="89"/>
      <c r="AW509" s="89"/>
      <c r="AX509" s="89"/>
      <c r="AY509" s="89"/>
      <c r="AZ509" s="89"/>
      <c r="BA509" s="89"/>
    </row>
    <row r="510" spans="3:53"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  <c r="AV510" s="89"/>
      <c r="AW510" s="89"/>
      <c r="AX510" s="89"/>
      <c r="AY510" s="89"/>
      <c r="AZ510" s="89"/>
      <c r="BA510" s="89"/>
    </row>
    <row r="511" spans="3:53"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  <c r="AV511" s="89"/>
      <c r="AW511" s="89"/>
      <c r="AX511" s="89"/>
      <c r="AY511" s="89"/>
      <c r="AZ511" s="89"/>
      <c r="BA511" s="89"/>
    </row>
    <row r="512" spans="3:53"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  <c r="AV512" s="89"/>
      <c r="AW512" s="89"/>
      <c r="AX512" s="89"/>
      <c r="AY512" s="89"/>
      <c r="AZ512" s="89"/>
      <c r="BA512" s="89"/>
    </row>
    <row r="513" spans="3:53"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  <c r="AV513" s="89"/>
      <c r="AW513" s="89"/>
      <c r="AX513" s="89"/>
      <c r="AY513" s="89"/>
      <c r="AZ513" s="89"/>
      <c r="BA513" s="89"/>
    </row>
    <row r="514" spans="3:53"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  <c r="AV514" s="89"/>
      <c r="AW514" s="89"/>
      <c r="AX514" s="89"/>
      <c r="AY514" s="89"/>
      <c r="AZ514" s="89"/>
      <c r="BA514" s="89"/>
    </row>
    <row r="515" spans="3:53"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  <c r="AV515" s="89"/>
      <c r="AW515" s="89"/>
      <c r="AX515" s="89"/>
      <c r="AY515" s="89"/>
      <c r="AZ515" s="89"/>
      <c r="BA515" s="89"/>
    </row>
    <row r="516" spans="3:53"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  <c r="AV516" s="89"/>
      <c r="AW516" s="89"/>
      <c r="AX516" s="89"/>
      <c r="AY516" s="89"/>
      <c r="AZ516" s="89"/>
      <c r="BA516" s="89"/>
    </row>
    <row r="517" spans="3:53"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  <c r="AV517" s="89"/>
      <c r="AW517" s="89"/>
      <c r="AX517" s="89"/>
      <c r="AY517" s="89"/>
      <c r="AZ517" s="89"/>
      <c r="BA517" s="89"/>
    </row>
    <row r="518" spans="3:53"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  <c r="AV518" s="89"/>
      <c r="AW518" s="89"/>
      <c r="AX518" s="89"/>
      <c r="AY518" s="89"/>
      <c r="AZ518" s="89"/>
      <c r="BA518" s="89"/>
    </row>
    <row r="519" spans="3:53"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  <c r="AV519" s="89"/>
      <c r="AW519" s="89"/>
      <c r="AX519" s="89"/>
      <c r="AY519" s="89"/>
      <c r="AZ519" s="89"/>
      <c r="BA519" s="89"/>
    </row>
    <row r="520" spans="3:53"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  <c r="AV520" s="89"/>
      <c r="AW520" s="89"/>
      <c r="AX520" s="89"/>
      <c r="AY520" s="89"/>
      <c r="AZ520" s="89"/>
      <c r="BA520" s="89"/>
    </row>
    <row r="521" spans="3:53"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  <c r="AV521" s="89"/>
      <c r="AW521" s="89"/>
      <c r="AX521" s="89"/>
      <c r="AY521" s="89"/>
      <c r="AZ521" s="89"/>
      <c r="BA521" s="89"/>
    </row>
    <row r="522" spans="3:53"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  <c r="AV522" s="89"/>
      <c r="AW522" s="89"/>
      <c r="AX522" s="89"/>
      <c r="AY522" s="89"/>
      <c r="AZ522" s="89"/>
      <c r="BA522" s="89"/>
    </row>
    <row r="523" spans="3:53"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  <c r="AV523" s="89"/>
      <c r="AW523" s="89"/>
      <c r="AX523" s="89"/>
      <c r="AY523" s="89"/>
      <c r="AZ523" s="89"/>
      <c r="BA523" s="89"/>
    </row>
    <row r="524" spans="3:53"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  <c r="AV524" s="89"/>
      <c r="AW524" s="89"/>
      <c r="AX524" s="89"/>
      <c r="AY524" s="89"/>
      <c r="AZ524" s="89"/>
      <c r="BA524" s="89"/>
    </row>
    <row r="525" spans="3:53"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  <c r="AV525" s="89"/>
      <c r="AW525" s="89"/>
      <c r="AX525" s="89"/>
      <c r="AY525" s="89"/>
      <c r="AZ525" s="89"/>
      <c r="BA525" s="89"/>
    </row>
    <row r="526" spans="3:53"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  <c r="AV526" s="89"/>
      <c r="AW526" s="89"/>
      <c r="AX526" s="89"/>
      <c r="AY526" s="89"/>
      <c r="AZ526" s="89"/>
      <c r="BA526" s="89"/>
    </row>
    <row r="527" spans="3:53"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  <c r="AV527" s="89"/>
      <c r="AW527" s="89"/>
      <c r="AX527" s="89"/>
      <c r="AY527" s="89"/>
      <c r="AZ527" s="89"/>
      <c r="BA527" s="89"/>
    </row>
    <row r="528" spans="3:53"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  <c r="AV528" s="89"/>
      <c r="AW528" s="89"/>
      <c r="AX528" s="89"/>
      <c r="AY528" s="89"/>
      <c r="AZ528" s="89"/>
      <c r="BA528" s="89"/>
    </row>
    <row r="529" spans="3:53"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  <c r="AV529" s="89"/>
      <c r="AW529" s="89"/>
      <c r="AX529" s="89"/>
      <c r="AY529" s="89"/>
      <c r="AZ529" s="89"/>
      <c r="BA529" s="89"/>
    </row>
    <row r="530" spans="3:53"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  <c r="AV530" s="89"/>
      <c r="AW530" s="89"/>
      <c r="AX530" s="89"/>
      <c r="AY530" s="89"/>
      <c r="AZ530" s="89"/>
      <c r="BA530" s="89"/>
    </row>
    <row r="531" spans="3:53"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  <c r="AV531" s="89"/>
      <c r="AW531" s="89"/>
      <c r="AX531" s="89"/>
      <c r="AY531" s="89"/>
      <c r="AZ531" s="89"/>
      <c r="BA531" s="89"/>
    </row>
    <row r="532" spans="3:53"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  <c r="AV532" s="89"/>
      <c r="AW532" s="89"/>
      <c r="AX532" s="89"/>
      <c r="AY532" s="89"/>
      <c r="AZ532" s="89"/>
      <c r="BA532" s="89"/>
    </row>
    <row r="533" spans="3:53"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  <c r="AV533" s="89"/>
      <c r="AW533" s="89"/>
      <c r="AX533" s="89"/>
      <c r="AY533" s="89"/>
      <c r="AZ533" s="89"/>
      <c r="BA533" s="89"/>
    </row>
    <row r="534" spans="3:53"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  <c r="AV534" s="89"/>
      <c r="AW534" s="89"/>
      <c r="AX534" s="89"/>
      <c r="AY534" s="89"/>
      <c r="AZ534" s="89"/>
      <c r="BA534" s="89"/>
    </row>
    <row r="535" spans="3:53"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  <c r="AV535" s="89"/>
      <c r="AW535" s="89"/>
      <c r="AX535" s="89"/>
      <c r="AY535" s="89"/>
      <c r="AZ535" s="89"/>
      <c r="BA535" s="89"/>
    </row>
    <row r="536" spans="3:53"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  <c r="AV536" s="89"/>
      <c r="AW536" s="89"/>
      <c r="AX536" s="89"/>
      <c r="AY536" s="89"/>
      <c r="AZ536" s="89"/>
      <c r="BA536" s="89"/>
    </row>
    <row r="537" spans="3:53"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  <c r="AV537" s="89"/>
      <c r="AW537" s="89"/>
      <c r="AX537" s="89"/>
      <c r="AY537" s="89"/>
      <c r="AZ537" s="89"/>
      <c r="BA537" s="89"/>
    </row>
    <row r="538" spans="3:53"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  <c r="AV538" s="89"/>
      <c r="AW538" s="89"/>
      <c r="AX538" s="89"/>
      <c r="AY538" s="89"/>
      <c r="AZ538" s="89"/>
      <c r="BA538" s="89"/>
    </row>
    <row r="539" spans="3:53"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  <c r="AV539" s="89"/>
      <c r="AW539" s="89"/>
      <c r="AX539" s="89"/>
      <c r="AY539" s="89"/>
      <c r="AZ539" s="89"/>
      <c r="BA539" s="89"/>
    </row>
    <row r="540" spans="3:53"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  <c r="AV540" s="89"/>
      <c r="AW540" s="89"/>
      <c r="AX540" s="89"/>
      <c r="AY540" s="89"/>
      <c r="AZ540" s="89"/>
      <c r="BA540" s="89"/>
    </row>
    <row r="541" spans="3:53"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  <c r="AV541" s="89"/>
      <c r="AW541" s="89"/>
      <c r="AX541" s="89"/>
      <c r="AY541" s="89"/>
      <c r="AZ541" s="89"/>
      <c r="BA541" s="89"/>
    </row>
    <row r="542" spans="3:53"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  <c r="AV542" s="89"/>
      <c r="AW542" s="89"/>
      <c r="AX542" s="89"/>
      <c r="AY542" s="89"/>
      <c r="AZ542" s="89"/>
      <c r="BA542" s="89"/>
    </row>
    <row r="543" spans="3:53"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  <c r="AV543" s="89"/>
      <c r="AW543" s="89"/>
      <c r="AX543" s="89"/>
      <c r="AY543" s="89"/>
      <c r="AZ543" s="89"/>
      <c r="BA543" s="89"/>
    </row>
    <row r="544" spans="3:53"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  <c r="AV544" s="89"/>
      <c r="AW544" s="89"/>
      <c r="AX544" s="89"/>
      <c r="AY544" s="89"/>
      <c r="AZ544" s="89"/>
      <c r="BA544" s="89"/>
    </row>
    <row r="545" spans="3:53"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  <c r="AV545" s="89"/>
      <c r="AW545" s="89"/>
      <c r="AX545" s="89"/>
      <c r="AY545" s="89"/>
      <c r="AZ545" s="89"/>
      <c r="BA545" s="89"/>
    </row>
    <row r="546" spans="3:53"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  <c r="AV546" s="89"/>
      <c r="AW546" s="89"/>
      <c r="AX546" s="89"/>
      <c r="AY546" s="89"/>
      <c r="AZ546" s="89"/>
      <c r="BA546" s="89"/>
    </row>
    <row r="547" spans="3:53"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  <c r="AV547" s="89"/>
      <c r="AW547" s="89"/>
      <c r="AX547" s="89"/>
      <c r="AY547" s="89"/>
      <c r="AZ547" s="89"/>
      <c r="BA547" s="89"/>
    </row>
    <row r="548" spans="3:53"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  <c r="AV548" s="89"/>
      <c r="AW548" s="89"/>
      <c r="AX548" s="89"/>
      <c r="AY548" s="89"/>
      <c r="AZ548" s="89"/>
      <c r="BA548" s="89"/>
    </row>
    <row r="549" spans="3:53"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  <c r="AV549" s="89"/>
      <c r="AW549" s="89"/>
      <c r="AX549" s="89"/>
      <c r="AY549" s="89"/>
      <c r="AZ549" s="89"/>
      <c r="BA549" s="89"/>
    </row>
    <row r="550" spans="3:53"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  <c r="AV550" s="89"/>
      <c r="AW550" s="89"/>
      <c r="AX550" s="89"/>
      <c r="AY550" s="89"/>
      <c r="AZ550" s="89"/>
      <c r="BA550" s="89"/>
    </row>
    <row r="551" spans="3:53"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  <c r="AV551" s="89"/>
      <c r="AW551" s="89"/>
      <c r="AX551" s="89"/>
      <c r="AY551" s="89"/>
      <c r="AZ551" s="89"/>
      <c r="BA551" s="89"/>
    </row>
    <row r="552" spans="3:53"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  <c r="AV552" s="89"/>
      <c r="AW552" s="89"/>
      <c r="AX552" s="89"/>
      <c r="AY552" s="89"/>
      <c r="AZ552" s="89"/>
      <c r="BA552" s="89"/>
    </row>
    <row r="553" spans="3:53"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  <c r="AV553" s="89"/>
      <c r="AW553" s="89"/>
      <c r="AX553" s="89"/>
      <c r="AY553" s="89"/>
      <c r="AZ553" s="89"/>
      <c r="BA553" s="89"/>
    </row>
    <row r="554" spans="3:53"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  <c r="AV554" s="89"/>
      <c r="AW554" s="89"/>
      <c r="AX554" s="89"/>
      <c r="AY554" s="89"/>
      <c r="AZ554" s="89"/>
      <c r="BA554" s="89"/>
    </row>
    <row r="555" spans="3:53"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  <c r="AV555" s="89"/>
      <c r="AW555" s="89"/>
      <c r="AX555" s="89"/>
      <c r="AY555" s="89"/>
      <c r="AZ555" s="89"/>
      <c r="BA555" s="89"/>
    </row>
    <row r="556" spans="3:53"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  <c r="AV556" s="89"/>
      <c r="AW556" s="89"/>
      <c r="AX556" s="89"/>
      <c r="AY556" s="89"/>
      <c r="AZ556" s="89"/>
      <c r="BA556" s="89"/>
    </row>
    <row r="557" spans="3:53"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  <c r="AV557" s="89"/>
      <c r="AW557" s="89"/>
      <c r="AX557" s="89"/>
      <c r="AY557" s="89"/>
      <c r="AZ557" s="89"/>
      <c r="BA557" s="89"/>
    </row>
    <row r="558" spans="3:53"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  <c r="AV558" s="89"/>
      <c r="AW558" s="89"/>
      <c r="AX558" s="89"/>
      <c r="AY558" s="89"/>
      <c r="AZ558" s="89"/>
      <c r="BA558" s="89"/>
    </row>
    <row r="559" spans="3:53"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89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  <c r="AV559" s="89"/>
      <c r="AW559" s="89"/>
      <c r="AX559" s="89"/>
      <c r="AY559" s="89"/>
      <c r="AZ559" s="89"/>
      <c r="BA559" s="89"/>
    </row>
    <row r="560" spans="3:53"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89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  <c r="AV560" s="89"/>
      <c r="AW560" s="89"/>
      <c r="AX560" s="89"/>
      <c r="AY560" s="89"/>
      <c r="AZ560" s="89"/>
      <c r="BA560" s="89"/>
    </row>
    <row r="561" spans="3:53"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89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  <c r="AV561" s="89"/>
      <c r="AW561" s="89"/>
      <c r="AX561" s="89"/>
      <c r="AY561" s="89"/>
      <c r="AZ561" s="89"/>
      <c r="BA561" s="89"/>
    </row>
    <row r="562" spans="3:53"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89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  <c r="AV562" s="89"/>
      <c r="AW562" s="89"/>
      <c r="AX562" s="89"/>
      <c r="AY562" s="89"/>
      <c r="AZ562" s="89"/>
      <c r="BA562" s="89"/>
    </row>
    <row r="563" spans="3:53"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  <c r="AV563" s="89"/>
      <c r="AW563" s="89"/>
      <c r="AX563" s="89"/>
      <c r="AY563" s="89"/>
      <c r="AZ563" s="89"/>
      <c r="BA563" s="89"/>
    </row>
    <row r="564" spans="3:53"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89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  <c r="AV564" s="89"/>
      <c r="AW564" s="89"/>
      <c r="AX564" s="89"/>
      <c r="AY564" s="89"/>
      <c r="AZ564" s="89"/>
      <c r="BA564" s="89"/>
    </row>
    <row r="565" spans="3:53"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89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  <c r="AV565" s="89"/>
      <c r="AW565" s="89"/>
      <c r="AX565" s="89"/>
      <c r="AY565" s="89"/>
      <c r="AZ565" s="89"/>
      <c r="BA565" s="89"/>
    </row>
    <row r="566" spans="3:53"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  <c r="AV566" s="89"/>
      <c r="AW566" s="89"/>
      <c r="AX566" s="89"/>
      <c r="AY566" s="89"/>
      <c r="AZ566" s="89"/>
      <c r="BA566" s="89"/>
    </row>
    <row r="567" spans="3:53"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89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  <c r="AV567" s="89"/>
      <c r="AW567" s="89"/>
      <c r="AX567" s="89"/>
      <c r="AY567" s="89"/>
      <c r="AZ567" s="89"/>
      <c r="BA567" s="89"/>
    </row>
    <row r="568" spans="3:53"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89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  <c r="AV568" s="89"/>
      <c r="AW568" s="89"/>
      <c r="AX568" s="89"/>
      <c r="AY568" s="89"/>
      <c r="AZ568" s="89"/>
      <c r="BA568" s="89"/>
    </row>
    <row r="569" spans="3:53"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89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  <c r="AV569" s="89"/>
      <c r="AW569" s="89"/>
      <c r="AX569" s="89"/>
      <c r="AY569" s="89"/>
      <c r="AZ569" s="89"/>
      <c r="BA569" s="89"/>
    </row>
    <row r="570" spans="3:53"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89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  <c r="AV570" s="89"/>
      <c r="AW570" s="89"/>
      <c r="AX570" s="89"/>
      <c r="AY570" s="89"/>
      <c r="AZ570" s="89"/>
      <c r="BA570" s="89"/>
    </row>
    <row r="571" spans="3:53"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89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  <c r="AV571" s="89"/>
      <c r="AW571" s="89"/>
      <c r="AX571" s="89"/>
      <c r="AY571" s="89"/>
      <c r="AZ571" s="89"/>
      <c r="BA571" s="89"/>
    </row>
    <row r="572" spans="3:53"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89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  <c r="AV572" s="89"/>
      <c r="AW572" s="89"/>
      <c r="AX572" s="89"/>
      <c r="AY572" s="89"/>
      <c r="AZ572" s="89"/>
      <c r="BA572" s="89"/>
    </row>
    <row r="573" spans="3:53"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89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  <c r="AV573" s="89"/>
      <c r="AW573" s="89"/>
      <c r="AX573" s="89"/>
      <c r="AY573" s="89"/>
      <c r="AZ573" s="89"/>
      <c r="BA573" s="89"/>
    </row>
    <row r="574" spans="3:53"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  <c r="AV574" s="89"/>
      <c r="AW574" s="89"/>
      <c r="AX574" s="89"/>
      <c r="AY574" s="89"/>
      <c r="AZ574" s="89"/>
      <c r="BA574" s="89"/>
    </row>
    <row r="575" spans="3:53"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  <c r="AV575" s="89"/>
      <c r="AW575" s="89"/>
      <c r="AX575" s="89"/>
      <c r="AY575" s="89"/>
      <c r="AZ575" s="89"/>
      <c r="BA575" s="89"/>
    </row>
    <row r="576" spans="3:53"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89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  <c r="AV576" s="89"/>
      <c r="AW576" s="89"/>
      <c r="AX576" s="89"/>
      <c r="AY576" s="89"/>
      <c r="AZ576" s="89"/>
      <c r="BA576" s="89"/>
    </row>
    <row r="577" spans="3:53"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  <c r="AV577" s="89"/>
      <c r="AW577" s="89"/>
      <c r="AX577" s="89"/>
      <c r="AY577" s="89"/>
      <c r="AZ577" s="89"/>
      <c r="BA577" s="89"/>
    </row>
    <row r="578" spans="3:53"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  <c r="AV578" s="89"/>
      <c r="AW578" s="89"/>
      <c r="AX578" s="89"/>
      <c r="AY578" s="89"/>
      <c r="AZ578" s="89"/>
      <c r="BA578" s="89"/>
    </row>
    <row r="579" spans="3:53"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89"/>
      <c r="AX579" s="89"/>
      <c r="AY579" s="89"/>
      <c r="AZ579" s="89"/>
      <c r="BA579" s="89"/>
    </row>
    <row r="580" spans="3:53"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89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  <c r="AV580" s="89"/>
      <c r="AW580" s="89"/>
      <c r="AX580" s="89"/>
      <c r="AY580" s="89"/>
      <c r="AZ580" s="89"/>
      <c r="BA580" s="89"/>
    </row>
    <row r="581" spans="3:53"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  <c r="AV581" s="89"/>
      <c r="AW581" s="89"/>
      <c r="AX581" s="89"/>
      <c r="AY581" s="89"/>
      <c r="AZ581" s="89"/>
      <c r="BA581" s="89"/>
    </row>
    <row r="582" spans="3:53"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  <c r="AV582" s="89"/>
      <c r="AW582" s="89"/>
      <c r="AX582" s="89"/>
      <c r="AY582" s="89"/>
      <c r="AZ582" s="89"/>
      <c r="BA582" s="89"/>
    </row>
    <row r="583" spans="3:53"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  <c r="AV583" s="89"/>
      <c r="AW583" s="89"/>
      <c r="AX583" s="89"/>
      <c r="AY583" s="89"/>
      <c r="AZ583" s="89"/>
      <c r="BA583" s="89"/>
    </row>
    <row r="584" spans="3:53"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89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  <c r="AV584" s="89"/>
      <c r="AW584" s="89"/>
      <c r="AX584" s="89"/>
      <c r="AY584" s="89"/>
      <c r="AZ584" s="89"/>
      <c r="BA584" s="89"/>
    </row>
    <row r="585" spans="3:53"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89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  <c r="AV585" s="89"/>
      <c r="AW585" s="89"/>
      <c r="AX585" s="89"/>
      <c r="AY585" s="89"/>
      <c r="AZ585" s="89"/>
      <c r="BA585" s="89"/>
    </row>
    <row r="586" spans="3:53"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89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  <c r="AV586" s="89"/>
      <c r="AW586" s="89"/>
      <c r="AX586" s="89"/>
      <c r="AY586" s="89"/>
      <c r="AZ586" s="89"/>
      <c r="BA586" s="89"/>
    </row>
    <row r="587" spans="3:53"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89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  <c r="AV587" s="89"/>
      <c r="AW587" s="89"/>
      <c r="AX587" s="89"/>
      <c r="AY587" s="89"/>
      <c r="AZ587" s="89"/>
      <c r="BA587" s="89"/>
    </row>
    <row r="588" spans="3:53"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  <c r="AV588" s="89"/>
      <c r="AW588" s="89"/>
      <c r="AX588" s="89"/>
      <c r="AY588" s="89"/>
      <c r="AZ588" s="89"/>
      <c r="BA588" s="89"/>
    </row>
    <row r="589" spans="3:53"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  <c r="AV589" s="89"/>
      <c r="AW589" s="89"/>
      <c r="AX589" s="89"/>
      <c r="AY589" s="89"/>
      <c r="AZ589" s="89"/>
      <c r="BA589" s="89"/>
    </row>
    <row r="590" spans="3:53"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89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  <c r="AV590" s="89"/>
      <c r="AW590" s="89"/>
      <c r="AX590" s="89"/>
      <c r="AY590" s="89"/>
      <c r="AZ590" s="89"/>
      <c r="BA590" s="89"/>
    </row>
    <row r="591" spans="3:53"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89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  <c r="AV591" s="89"/>
      <c r="AW591" s="89"/>
      <c r="AX591" s="89"/>
      <c r="AY591" s="89"/>
      <c r="AZ591" s="89"/>
      <c r="BA591" s="89"/>
    </row>
    <row r="592" spans="3:53"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89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  <c r="AV592" s="89"/>
      <c r="AW592" s="89"/>
      <c r="AX592" s="89"/>
      <c r="AY592" s="89"/>
      <c r="AZ592" s="89"/>
      <c r="BA592" s="89"/>
    </row>
    <row r="593" spans="3:53"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89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  <c r="AV593" s="89"/>
      <c r="AW593" s="89"/>
      <c r="AX593" s="89"/>
      <c r="AY593" s="89"/>
      <c r="AZ593" s="89"/>
      <c r="BA593" s="89"/>
    </row>
    <row r="594" spans="3:53"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89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  <c r="AV594" s="89"/>
      <c r="AW594" s="89"/>
      <c r="AX594" s="89"/>
      <c r="AY594" s="89"/>
      <c r="AZ594" s="89"/>
      <c r="BA594" s="89"/>
    </row>
    <row r="595" spans="3:53"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89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  <c r="AV595" s="89"/>
      <c r="AW595" s="89"/>
      <c r="AX595" s="89"/>
      <c r="AY595" s="89"/>
      <c r="AZ595" s="89"/>
      <c r="BA595" s="89"/>
    </row>
    <row r="596" spans="3:53"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89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  <c r="AV596" s="89"/>
      <c r="AW596" s="89"/>
      <c r="AX596" s="89"/>
      <c r="AY596" s="89"/>
      <c r="AZ596" s="89"/>
      <c r="BA596" s="89"/>
    </row>
    <row r="597" spans="3:53"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89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  <c r="AV597" s="89"/>
      <c r="AW597" s="89"/>
      <c r="AX597" s="89"/>
      <c r="AY597" s="89"/>
      <c r="AZ597" s="89"/>
      <c r="BA597" s="89"/>
    </row>
    <row r="598" spans="3:53"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89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  <c r="AV598" s="89"/>
      <c r="AW598" s="89"/>
      <c r="AX598" s="89"/>
      <c r="AY598" s="89"/>
      <c r="AZ598" s="89"/>
      <c r="BA598" s="89"/>
    </row>
    <row r="599" spans="3:53"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89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  <c r="AV599" s="89"/>
      <c r="AW599" s="89"/>
      <c r="AX599" s="89"/>
      <c r="AY599" s="89"/>
      <c r="AZ599" s="89"/>
      <c r="BA599" s="89"/>
    </row>
    <row r="600" spans="3:53"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89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  <c r="AV600" s="89"/>
      <c r="AW600" s="89"/>
      <c r="AX600" s="89"/>
      <c r="AY600" s="89"/>
      <c r="AZ600" s="89"/>
      <c r="BA600" s="89"/>
    </row>
    <row r="601" spans="3:53"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89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  <c r="AV601" s="89"/>
      <c r="AW601" s="89"/>
      <c r="AX601" s="89"/>
      <c r="AY601" s="89"/>
      <c r="AZ601" s="89"/>
      <c r="BA601" s="89"/>
    </row>
    <row r="602" spans="3:53"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89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  <c r="AV602" s="89"/>
      <c r="AW602" s="89"/>
      <c r="AX602" s="89"/>
      <c r="AY602" s="89"/>
      <c r="AZ602" s="89"/>
      <c r="BA602" s="89"/>
    </row>
    <row r="603" spans="3:53"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89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  <c r="AV603" s="89"/>
      <c r="AW603" s="89"/>
      <c r="AX603" s="89"/>
      <c r="AY603" s="89"/>
      <c r="AZ603" s="89"/>
      <c r="BA603" s="89"/>
    </row>
    <row r="604" spans="3:53"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89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  <c r="AV604" s="89"/>
      <c r="AW604" s="89"/>
      <c r="AX604" s="89"/>
      <c r="AY604" s="89"/>
      <c r="AZ604" s="89"/>
      <c r="BA604" s="89"/>
    </row>
    <row r="605" spans="3:53"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89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  <c r="AV605" s="89"/>
      <c r="AW605" s="89"/>
      <c r="AX605" s="89"/>
      <c r="AY605" s="89"/>
      <c r="AZ605" s="89"/>
      <c r="BA605" s="89"/>
    </row>
    <row r="606" spans="3:53"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89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  <c r="AV606" s="89"/>
      <c r="AW606" s="89"/>
      <c r="AX606" s="89"/>
      <c r="AY606" s="89"/>
      <c r="AZ606" s="89"/>
      <c r="BA606" s="89"/>
    </row>
    <row r="607" spans="3:53"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89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  <c r="AV607" s="89"/>
      <c r="AW607" s="89"/>
      <c r="AX607" s="89"/>
      <c r="AY607" s="89"/>
      <c r="AZ607" s="89"/>
      <c r="BA607" s="89"/>
    </row>
    <row r="608" spans="3:53"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89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  <c r="AV608" s="89"/>
      <c r="AW608" s="89"/>
      <c r="AX608" s="89"/>
      <c r="AY608" s="89"/>
      <c r="AZ608" s="89"/>
      <c r="BA608" s="89"/>
    </row>
    <row r="609" spans="3:53"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89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  <c r="AV609" s="89"/>
      <c r="AW609" s="89"/>
      <c r="AX609" s="89"/>
      <c r="AY609" s="89"/>
      <c r="AZ609" s="89"/>
      <c r="BA609" s="89"/>
    </row>
    <row r="610" spans="3:53"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  <c r="AV610" s="89"/>
      <c r="AW610" s="89"/>
      <c r="AX610" s="89"/>
      <c r="AY610" s="89"/>
      <c r="AZ610" s="89"/>
      <c r="BA610" s="89"/>
    </row>
    <row r="611" spans="3:53"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89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  <c r="AV611" s="89"/>
      <c r="AW611" s="89"/>
      <c r="AX611" s="89"/>
      <c r="AY611" s="89"/>
      <c r="AZ611" s="89"/>
      <c r="BA611" s="89"/>
    </row>
    <row r="612" spans="3:53"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89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  <c r="AV612" s="89"/>
      <c r="AW612" s="89"/>
      <c r="AX612" s="89"/>
      <c r="AY612" s="89"/>
      <c r="AZ612" s="89"/>
      <c r="BA612" s="89"/>
    </row>
    <row r="613" spans="3:53"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89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  <c r="AV613" s="89"/>
      <c r="AW613" s="89"/>
      <c r="AX613" s="89"/>
      <c r="AY613" s="89"/>
      <c r="AZ613" s="89"/>
      <c r="BA613" s="89"/>
    </row>
    <row r="614" spans="3:53"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89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  <c r="AV614" s="89"/>
      <c r="AW614" s="89"/>
      <c r="AX614" s="89"/>
      <c r="AY614" s="89"/>
      <c r="AZ614" s="89"/>
      <c r="BA614" s="89"/>
    </row>
    <row r="615" spans="3:53"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  <c r="AV615" s="89"/>
      <c r="AW615" s="89"/>
      <c r="AX615" s="89"/>
      <c r="AY615" s="89"/>
      <c r="AZ615" s="89"/>
      <c r="BA615" s="89"/>
    </row>
    <row r="616" spans="3:53"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89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  <c r="AV616" s="89"/>
      <c r="AW616" s="89"/>
      <c r="AX616" s="89"/>
      <c r="AY616" s="89"/>
      <c r="AZ616" s="89"/>
      <c r="BA616" s="89"/>
    </row>
    <row r="617" spans="3:53"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  <c r="AV617" s="89"/>
      <c r="AW617" s="89"/>
      <c r="AX617" s="89"/>
      <c r="AY617" s="89"/>
      <c r="AZ617" s="89"/>
      <c r="BA617" s="89"/>
    </row>
    <row r="618" spans="3:53"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89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  <c r="AV618" s="89"/>
      <c r="AW618" s="89"/>
      <c r="AX618" s="89"/>
      <c r="AY618" s="89"/>
      <c r="AZ618" s="89"/>
      <c r="BA618" s="89"/>
    </row>
    <row r="619" spans="3:53"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  <c r="AV619" s="89"/>
      <c r="AW619" s="89"/>
      <c r="AX619" s="89"/>
      <c r="AY619" s="89"/>
      <c r="AZ619" s="89"/>
      <c r="BA619" s="89"/>
    </row>
    <row r="620" spans="3:53"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89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  <c r="AV620" s="89"/>
      <c r="AW620" s="89"/>
      <c r="AX620" s="89"/>
      <c r="AY620" s="89"/>
      <c r="AZ620" s="89"/>
      <c r="BA620" s="89"/>
    </row>
    <row r="621" spans="3:53"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89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  <c r="AV621" s="89"/>
      <c r="AW621" s="89"/>
      <c r="AX621" s="89"/>
      <c r="AY621" s="89"/>
      <c r="AZ621" s="89"/>
      <c r="BA621" s="89"/>
    </row>
    <row r="622" spans="3:53"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89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  <c r="AV622" s="89"/>
      <c r="AW622" s="89"/>
      <c r="AX622" s="89"/>
      <c r="AY622" s="89"/>
      <c r="AZ622" s="89"/>
      <c r="BA622" s="89"/>
    </row>
    <row r="623" spans="3:53"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89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  <c r="AV623" s="89"/>
      <c r="AW623" s="89"/>
      <c r="AX623" s="89"/>
      <c r="AY623" s="89"/>
      <c r="AZ623" s="89"/>
      <c r="BA623" s="89"/>
    </row>
    <row r="624" spans="3:53"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89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  <c r="AV624" s="89"/>
      <c r="AW624" s="89"/>
      <c r="AX624" s="89"/>
      <c r="AY624" s="89"/>
      <c r="AZ624" s="89"/>
      <c r="BA624" s="89"/>
    </row>
    <row r="625" spans="3:53"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89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  <c r="AV625" s="89"/>
      <c r="AW625" s="89"/>
      <c r="AX625" s="89"/>
      <c r="AY625" s="89"/>
      <c r="AZ625" s="89"/>
      <c r="BA625" s="89"/>
    </row>
    <row r="626" spans="3:53"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89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  <c r="AV626" s="89"/>
      <c r="AW626" s="89"/>
      <c r="AX626" s="89"/>
      <c r="AY626" s="89"/>
      <c r="AZ626" s="89"/>
      <c r="BA626" s="89"/>
    </row>
    <row r="627" spans="3:53"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89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  <c r="AV627" s="89"/>
      <c r="AW627" s="89"/>
      <c r="AX627" s="89"/>
      <c r="AY627" s="89"/>
      <c r="AZ627" s="89"/>
      <c r="BA627" s="89"/>
    </row>
    <row r="628" spans="3:53"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89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  <c r="AV628" s="89"/>
      <c r="AW628" s="89"/>
      <c r="AX628" s="89"/>
      <c r="AY628" s="89"/>
      <c r="AZ628" s="89"/>
      <c r="BA628" s="89"/>
    </row>
    <row r="629" spans="3:53"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89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  <c r="AV629" s="89"/>
      <c r="AW629" s="89"/>
      <c r="AX629" s="89"/>
      <c r="AY629" s="89"/>
      <c r="AZ629" s="89"/>
      <c r="BA629" s="89"/>
    </row>
    <row r="630" spans="3:53"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89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  <c r="AV630" s="89"/>
      <c r="AW630" s="89"/>
      <c r="AX630" s="89"/>
      <c r="AY630" s="89"/>
      <c r="AZ630" s="89"/>
      <c r="BA630" s="89"/>
    </row>
    <row r="631" spans="3:53"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89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  <c r="AV631" s="89"/>
      <c r="AW631" s="89"/>
      <c r="AX631" s="89"/>
      <c r="AY631" s="89"/>
      <c r="AZ631" s="89"/>
      <c r="BA631" s="89"/>
    </row>
    <row r="632" spans="3:53"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89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  <c r="AV632" s="89"/>
      <c r="AW632" s="89"/>
      <c r="AX632" s="89"/>
      <c r="AY632" s="89"/>
      <c r="AZ632" s="89"/>
      <c r="BA632" s="89"/>
    </row>
    <row r="633" spans="3:53"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89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  <c r="AV633" s="89"/>
      <c r="AW633" s="89"/>
      <c r="AX633" s="89"/>
      <c r="AY633" s="89"/>
      <c r="AZ633" s="89"/>
      <c r="BA633" s="89"/>
    </row>
    <row r="634" spans="3:53"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89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  <c r="AV634" s="89"/>
      <c r="AW634" s="89"/>
      <c r="AX634" s="89"/>
      <c r="AY634" s="89"/>
      <c r="AZ634" s="89"/>
      <c r="BA634" s="89"/>
    </row>
    <row r="635" spans="3:53"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89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  <c r="AV635" s="89"/>
      <c r="AW635" s="89"/>
      <c r="AX635" s="89"/>
      <c r="AY635" s="89"/>
      <c r="AZ635" s="89"/>
      <c r="BA635" s="89"/>
    </row>
    <row r="636" spans="3:53"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89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  <c r="AV636" s="89"/>
      <c r="AW636" s="89"/>
      <c r="AX636" s="89"/>
      <c r="AY636" s="89"/>
      <c r="AZ636" s="89"/>
      <c r="BA636" s="89"/>
    </row>
    <row r="637" spans="3:53"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89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  <c r="AV637" s="89"/>
      <c r="AW637" s="89"/>
      <c r="AX637" s="89"/>
      <c r="AY637" s="89"/>
      <c r="AZ637" s="89"/>
      <c r="BA637" s="89"/>
    </row>
    <row r="638" spans="3:53"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89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  <c r="AV638" s="89"/>
      <c r="AW638" s="89"/>
      <c r="AX638" s="89"/>
      <c r="AY638" s="89"/>
      <c r="AZ638" s="89"/>
      <c r="BA638" s="89"/>
    </row>
    <row r="639" spans="3:53"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89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  <c r="AV639" s="89"/>
      <c r="AW639" s="89"/>
      <c r="AX639" s="89"/>
      <c r="AY639" s="89"/>
      <c r="AZ639" s="89"/>
      <c r="BA639" s="89"/>
    </row>
    <row r="640" spans="3:53"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89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  <c r="AV640" s="89"/>
      <c r="AW640" s="89"/>
      <c r="AX640" s="89"/>
      <c r="AY640" s="89"/>
      <c r="AZ640" s="89"/>
      <c r="BA640" s="89"/>
    </row>
    <row r="641" spans="3:53"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89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  <c r="AV641" s="89"/>
      <c r="AW641" s="89"/>
      <c r="AX641" s="89"/>
      <c r="AY641" s="89"/>
      <c r="AZ641" s="89"/>
      <c r="BA641" s="89"/>
    </row>
    <row r="642" spans="3:53"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89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  <c r="AV642" s="89"/>
      <c r="AW642" s="89"/>
      <c r="AX642" s="89"/>
      <c r="AY642" s="89"/>
      <c r="AZ642" s="89"/>
      <c r="BA642" s="89"/>
    </row>
    <row r="643" spans="3:53"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89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  <c r="AV643" s="89"/>
      <c r="AW643" s="89"/>
      <c r="AX643" s="89"/>
      <c r="AY643" s="89"/>
      <c r="AZ643" s="89"/>
      <c r="BA643" s="89"/>
    </row>
    <row r="644" spans="3:53"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89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  <c r="AV644" s="89"/>
      <c r="AW644" s="89"/>
      <c r="AX644" s="89"/>
      <c r="AY644" s="89"/>
      <c r="AZ644" s="89"/>
      <c r="BA644" s="89"/>
    </row>
    <row r="645" spans="3:53"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89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  <c r="AV645" s="89"/>
      <c r="AW645" s="89"/>
      <c r="AX645" s="89"/>
      <c r="AY645" s="89"/>
      <c r="AZ645" s="89"/>
      <c r="BA645" s="89"/>
    </row>
    <row r="646" spans="3:53"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89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  <c r="AV646" s="89"/>
      <c r="AW646" s="89"/>
      <c r="AX646" s="89"/>
      <c r="AY646" s="89"/>
      <c r="AZ646" s="89"/>
      <c r="BA646" s="89"/>
    </row>
    <row r="647" spans="3:53"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  <c r="AV647" s="89"/>
      <c r="AW647" s="89"/>
      <c r="AX647" s="89"/>
      <c r="AY647" s="89"/>
      <c r="AZ647" s="89"/>
      <c r="BA647" s="89"/>
    </row>
    <row r="648" spans="3:53"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  <c r="AV648" s="89"/>
      <c r="AW648" s="89"/>
      <c r="AX648" s="89"/>
      <c r="AY648" s="89"/>
      <c r="AZ648" s="89"/>
      <c r="BA648" s="89"/>
    </row>
    <row r="649" spans="3:53"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  <c r="AV649" s="89"/>
      <c r="AW649" s="89"/>
      <c r="AX649" s="89"/>
      <c r="AY649" s="89"/>
      <c r="AZ649" s="89"/>
      <c r="BA649" s="89"/>
    </row>
    <row r="650" spans="3:53"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  <c r="AV650" s="89"/>
      <c r="AW650" s="89"/>
      <c r="AX650" s="89"/>
      <c r="AY650" s="89"/>
      <c r="AZ650" s="89"/>
      <c r="BA650" s="89"/>
    </row>
    <row r="651" spans="3:53"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  <c r="AV651" s="89"/>
      <c r="AW651" s="89"/>
      <c r="AX651" s="89"/>
      <c r="AY651" s="89"/>
      <c r="AZ651" s="89"/>
      <c r="BA651" s="89"/>
    </row>
    <row r="652" spans="3:53"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  <c r="AV652" s="89"/>
      <c r="AW652" s="89"/>
      <c r="AX652" s="89"/>
      <c r="AY652" s="89"/>
      <c r="AZ652" s="89"/>
      <c r="BA652" s="89"/>
    </row>
    <row r="653" spans="3:53"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  <c r="AV653" s="89"/>
      <c r="AW653" s="89"/>
      <c r="AX653" s="89"/>
      <c r="AY653" s="89"/>
      <c r="AZ653" s="89"/>
      <c r="BA653" s="89"/>
    </row>
    <row r="654" spans="3:53"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  <c r="AV654" s="89"/>
      <c r="AW654" s="89"/>
      <c r="AX654" s="89"/>
      <c r="AY654" s="89"/>
      <c r="AZ654" s="89"/>
      <c r="BA654" s="89"/>
    </row>
    <row r="655" spans="3:53"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  <c r="AV655" s="89"/>
      <c r="AW655" s="89"/>
      <c r="AX655" s="89"/>
      <c r="AY655" s="89"/>
      <c r="AZ655" s="89"/>
      <c r="BA655" s="89"/>
    </row>
    <row r="656" spans="3:53"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  <c r="AV656" s="89"/>
      <c r="AW656" s="89"/>
      <c r="AX656" s="89"/>
      <c r="AY656" s="89"/>
      <c r="AZ656" s="89"/>
      <c r="BA656" s="89"/>
    </row>
    <row r="657" spans="3:53"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  <c r="AV657" s="89"/>
      <c r="AW657" s="89"/>
      <c r="AX657" s="89"/>
      <c r="AY657" s="89"/>
      <c r="AZ657" s="89"/>
      <c r="BA657" s="89"/>
    </row>
    <row r="658" spans="3:53"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89"/>
      <c r="AX658" s="89"/>
      <c r="AY658" s="89"/>
      <c r="AZ658" s="89"/>
      <c r="BA658" s="89"/>
    </row>
    <row r="659" spans="3:53"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  <c r="AV659" s="89"/>
      <c r="AW659" s="89"/>
      <c r="AX659" s="89"/>
      <c r="AY659" s="89"/>
      <c r="AZ659" s="89"/>
      <c r="BA659" s="89"/>
    </row>
    <row r="660" spans="3:53"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89"/>
      <c r="AX660" s="89"/>
      <c r="AY660" s="89"/>
      <c r="AZ660" s="89"/>
      <c r="BA660" s="89"/>
    </row>
    <row r="661" spans="3:53"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  <c r="AV661" s="89"/>
      <c r="AW661" s="89"/>
      <c r="AX661" s="89"/>
      <c r="AY661" s="89"/>
      <c r="AZ661" s="89"/>
      <c r="BA661" s="89"/>
    </row>
    <row r="662" spans="3:53"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89"/>
      <c r="AX662" s="89"/>
      <c r="AY662" s="89"/>
      <c r="AZ662" s="89"/>
      <c r="BA662" s="89"/>
    </row>
    <row r="663" spans="3:53"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  <c r="AV663" s="89"/>
      <c r="AW663" s="89"/>
      <c r="AX663" s="89"/>
      <c r="AY663" s="89"/>
      <c r="AZ663" s="89"/>
      <c r="BA663" s="89"/>
    </row>
    <row r="664" spans="3:53"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  <c r="AV664" s="89"/>
      <c r="AW664" s="89"/>
      <c r="AX664" s="89"/>
      <c r="AY664" s="89"/>
      <c r="AZ664" s="89"/>
      <c r="BA664" s="89"/>
    </row>
    <row r="665" spans="3:53"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  <c r="AV665" s="89"/>
      <c r="AW665" s="89"/>
      <c r="AX665" s="89"/>
      <c r="AY665" s="89"/>
      <c r="AZ665" s="89"/>
      <c r="BA665" s="89"/>
    </row>
    <row r="666" spans="3:53"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  <c r="AV666" s="89"/>
      <c r="AW666" s="89"/>
      <c r="AX666" s="89"/>
      <c r="AY666" s="89"/>
      <c r="AZ666" s="89"/>
      <c r="BA666" s="89"/>
    </row>
    <row r="667" spans="3:53"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  <c r="AV667" s="89"/>
      <c r="AW667" s="89"/>
      <c r="AX667" s="89"/>
      <c r="AY667" s="89"/>
      <c r="AZ667" s="89"/>
      <c r="BA667" s="89"/>
    </row>
    <row r="668" spans="3:53"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  <c r="AV668" s="89"/>
      <c r="AW668" s="89"/>
      <c r="AX668" s="89"/>
      <c r="AY668" s="89"/>
      <c r="AZ668" s="89"/>
      <c r="BA668" s="89"/>
    </row>
    <row r="669" spans="3:53"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  <c r="AV669" s="89"/>
      <c r="AW669" s="89"/>
      <c r="AX669" s="89"/>
      <c r="AY669" s="89"/>
      <c r="AZ669" s="89"/>
      <c r="BA669" s="89"/>
    </row>
    <row r="670" spans="3:53"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  <c r="AV670" s="89"/>
      <c r="AW670" s="89"/>
      <c r="AX670" s="89"/>
      <c r="AY670" s="89"/>
      <c r="AZ670" s="89"/>
      <c r="BA670" s="89"/>
    </row>
    <row r="671" spans="3:53"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  <c r="AV671" s="89"/>
      <c r="AW671" s="89"/>
      <c r="AX671" s="89"/>
      <c r="AY671" s="89"/>
      <c r="AZ671" s="89"/>
      <c r="BA671" s="89"/>
    </row>
    <row r="672" spans="3:53"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  <c r="AV672" s="89"/>
      <c r="AW672" s="89"/>
      <c r="AX672" s="89"/>
      <c r="AY672" s="89"/>
      <c r="AZ672" s="89"/>
      <c r="BA672" s="89"/>
    </row>
    <row r="673" spans="3:53"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  <c r="AV673" s="89"/>
      <c r="AW673" s="89"/>
      <c r="AX673" s="89"/>
      <c r="AY673" s="89"/>
      <c r="AZ673" s="89"/>
      <c r="BA673" s="89"/>
    </row>
    <row r="674" spans="3:53"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  <c r="AV674" s="89"/>
      <c r="AW674" s="89"/>
      <c r="AX674" s="89"/>
      <c r="AY674" s="89"/>
      <c r="AZ674" s="89"/>
      <c r="BA674" s="89"/>
    </row>
    <row r="675" spans="3:53"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  <c r="AV675" s="89"/>
      <c r="AW675" s="89"/>
      <c r="AX675" s="89"/>
      <c r="AY675" s="89"/>
      <c r="AZ675" s="89"/>
      <c r="BA675" s="89"/>
    </row>
    <row r="676" spans="3:53"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  <c r="AV676" s="89"/>
      <c r="AW676" s="89"/>
      <c r="AX676" s="89"/>
      <c r="AY676" s="89"/>
      <c r="AZ676" s="89"/>
      <c r="BA676" s="89"/>
    </row>
    <row r="677" spans="3:53"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  <c r="AV677" s="89"/>
      <c r="AW677" s="89"/>
      <c r="AX677" s="89"/>
      <c r="AY677" s="89"/>
      <c r="AZ677" s="89"/>
      <c r="BA677" s="89"/>
    </row>
  </sheetData>
  <mergeCells count="2">
    <mergeCell ref="B4:Q4"/>
    <mergeCell ref="B3:Q3"/>
  </mergeCells>
  <phoneticPr fontId="24" type="noConversion"/>
  <printOptions horizontalCentered="1"/>
  <pageMargins left="0.2" right="0.2" top="0.28000000000000003" bottom="0.4" header="0.26" footer="0.22"/>
  <pageSetup scale="84" orientation="landscape" r:id="rId1"/>
  <headerFooter alignWithMargins="0">
    <oddFooter>&amp;C&amp;A&amp;R&amp;8&amp;F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>
      <selection activeCell="F32" sqref="F32"/>
    </sheetView>
  </sheetViews>
  <sheetFormatPr defaultColWidth="11.42578125" defaultRowHeight="13.2"/>
  <cols>
    <col min="1" max="1" width="8.28515625" style="5" customWidth="1"/>
    <col min="2" max="2" width="46" style="5" customWidth="1"/>
    <col min="3" max="3" width="17.140625" style="5" customWidth="1"/>
    <col min="4" max="4" width="11.42578125" style="5" customWidth="1"/>
    <col min="5" max="5" width="14.28515625" style="5" customWidth="1"/>
    <col min="6" max="6" width="13.42578125" style="5" customWidth="1"/>
    <col min="7" max="7" width="12.85546875" style="5" customWidth="1"/>
    <col min="8" max="8" width="11.85546875" style="5" customWidth="1"/>
    <col min="9" max="253" width="8.85546875" style="5" customWidth="1"/>
    <col min="254" max="16384" width="11.42578125" style="5"/>
  </cols>
  <sheetData>
    <row r="1" spans="1:8">
      <c r="A1" s="3" t="s">
        <v>2</v>
      </c>
      <c r="B1" s="4"/>
      <c r="C1" s="4"/>
      <c r="D1" s="4"/>
      <c r="E1" s="4"/>
      <c r="F1" s="4"/>
      <c r="G1" s="4"/>
      <c r="H1" s="4"/>
    </row>
    <row r="2" spans="1:8" ht="16.2">
      <c r="A2" s="33"/>
      <c r="B2" s="327" t="s">
        <v>25</v>
      </c>
      <c r="C2" s="198"/>
      <c r="D2" s="198"/>
      <c r="E2" s="198"/>
      <c r="F2" s="198"/>
    </row>
    <row r="3" spans="1:8" ht="16.2">
      <c r="A3" s="33"/>
      <c r="B3" s="327" t="s">
        <v>37</v>
      </c>
      <c r="C3" s="198"/>
      <c r="D3" s="198"/>
      <c r="E3" s="198"/>
      <c r="F3" s="198"/>
    </row>
    <row r="4" spans="1:8" ht="15.75" customHeight="1">
      <c r="B4" s="328" t="str">
        <f>'New Format'!B5</f>
        <v>For The 12 Months Ending December 31, 2019</v>
      </c>
      <c r="C4" s="199"/>
      <c r="D4" s="199"/>
      <c r="E4" s="199"/>
      <c r="F4" s="199"/>
    </row>
    <row r="5" spans="1:8" ht="12.75" customHeight="1">
      <c r="B5" s="6"/>
      <c r="C5" s="6"/>
      <c r="D5" s="7"/>
      <c r="E5" s="7"/>
      <c r="F5" s="7"/>
    </row>
    <row r="6" spans="1:8">
      <c r="A6" s="3" t="s">
        <v>2</v>
      </c>
    </row>
    <row r="7" spans="1:8">
      <c r="A7" s="3" t="s">
        <v>2</v>
      </c>
      <c r="C7" s="5" t="s">
        <v>2</v>
      </c>
    </row>
    <row r="8" spans="1:8">
      <c r="A8" s="3">
        <v>1</v>
      </c>
      <c r="B8" s="68" t="s">
        <v>5</v>
      </c>
      <c r="C8" s="68" t="s">
        <v>27</v>
      </c>
      <c r="D8" s="68" t="s">
        <v>52</v>
      </c>
      <c r="E8" s="68" t="s">
        <v>64</v>
      </c>
      <c r="F8" s="68" t="s">
        <v>65</v>
      </c>
      <c r="G8" s="66"/>
    </row>
    <row r="9" spans="1:8">
      <c r="A9" s="3">
        <f t="shared" ref="A9:A28" si="0">A8+1</f>
        <v>2</v>
      </c>
      <c r="B9" s="67"/>
      <c r="C9" s="68"/>
      <c r="D9" s="67"/>
      <c r="E9" s="67"/>
      <c r="F9" s="67"/>
      <c r="G9" s="66"/>
    </row>
    <row r="10" spans="1:8">
      <c r="A10" s="3">
        <f t="shared" si="0"/>
        <v>3</v>
      </c>
      <c r="B10" s="67"/>
      <c r="C10" s="68" t="s">
        <v>53</v>
      </c>
      <c r="D10" s="68" t="s">
        <v>38</v>
      </c>
      <c r="E10" s="68" t="s">
        <v>18</v>
      </c>
      <c r="F10" s="68" t="s">
        <v>11</v>
      </c>
      <c r="G10" s="66"/>
    </row>
    <row r="11" spans="1:8">
      <c r="A11" s="3">
        <f t="shared" si="0"/>
        <v>4</v>
      </c>
      <c r="B11" s="69" t="s">
        <v>9</v>
      </c>
      <c r="C11" s="69" t="s">
        <v>78</v>
      </c>
      <c r="D11" s="69" t="s">
        <v>19</v>
      </c>
      <c r="E11" s="69" t="s">
        <v>20</v>
      </c>
      <c r="F11" s="69" t="s">
        <v>19</v>
      </c>
      <c r="G11" s="66"/>
    </row>
    <row r="12" spans="1:8">
      <c r="A12" s="3">
        <f t="shared" si="0"/>
        <v>5</v>
      </c>
      <c r="B12" s="70"/>
      <c r="C12" s="71"/>
      <c r="D12" s="71"/>
      <c r="E12" s="72"/>
      <c r="F12" s="71"/>
      <c r="G12" s="66"/>
    </row>
    <row r="13" spans="1:8">
      <c r="A13" s="3">
        <f t="shared" si="0"/>
        <v>6</v>
      </c>
      <c r="B13" s="70" t="s">
        <v>36</v>
      </c>
      <c r="C13" s="75">
        <f>'Pg 4 STD OS &amp; Comm Fees'!C11</f>
        <v>335946320.56</v>
      </c>
      <c r="D13" s="208">
        <f>IF(E13=0,"NA",(E13/C13))</f>
        <v>2.7046967845498943E-2</v>
      </c>
      <c r="E13" s="75">
        <f>'Pg 4 STD OS &amp; Comm Fees'!D11</f>
        <v>9086329.3300000001</v>
      </c>
      <c r="F13" s="73"/>
      <c r="G13" s="74"/>
    </row>
    <row r="14" spans="1:8">
      <c r="A14" s="3">
        <f t="shared" si="0"/>
        <v>7</v>
      </c>
      <c r="B14" s="66" t="s">
        <v>109</v>
      </c>
      <c r="C14" s="84">
        <f>'Pg 4 STD OS &amp; Comm Fees'!C12</f>
        <v>0</v>
      </c>
      <c r="D14" s="208" t="str">
        <f>IF(E14=0,"NA",(E14/C14))</f>
        <v>NA</v>
      </c>
      <c r="E14" s="75">
        <f>'Pg 4 STD OS &amp; Comm Fees'!D12</f>
        <v>0</v>
      </c>
      <c r="F14" s="73"/>
      <c r="G14" s="74"/>
    </row>
    <row r="15" spans="1:8">
      <c r="A15" s="3">
        <v>10</v>
      </c>
      <c r="B15" s="66" t="s">
        <v>177</v>
      </c>
      <c r="C15" s="84">
        <f>'Pg 4 STD OS &amp; Comm Fees'!C13</f>
        <v>0</v>
      </c>
      <c r="D15" s="208" t="str">
        <f>IF(E15=0,"NA",(E15/C15))</f>
        <v>NA</v>
      </c>
      <c r="E15" s="75">
        <f>'Pg 4 STD OS &amp; Comm Fees'!D13</f>
        <v>0</v>
      </c>
      <c r="F15" s="73"/>
      <c r="G15" s="74"/>
    </row>
    <row r="16" spans="1:8">
      <c r="A16" s="3">
        <f>A15+1</f>
        <v>11</v>
      </c>
      <c r="B16" s="66" t="s">
        <v>200</v>
      </c>
      <c r="C16" s="84">
        <f>'Pg 4 STD OS &amp; Comm Fees'!C14</f>
        <v>0</v>
      </c>
      <c r="D16" s="208" t="str">
        <f>IF(E16=0,"NA",(E16/C16))</f>
        <v>NA</v>
      </c>
      <c r="E16" s="75">
        <f>'Pg 4 STD OS &amp; Comm Fees'!D14</f>
        <v>0</v>
      </c>
    </row>
    <row r="17" spans="1:7">
      <c r="A17" s="3">
        <f t="shared" si="0"/>
        <v>12</v>
      </c>
      <c r="B17" s="321" t="s">
        <v>147</v>
      </c>
      <c r="C17" s="323">
        <f>SUM(C13:C16)</f>
        <v>335946320.56</v>
      </c>
      <c r="D17" s="324">
        <f>IF(E17=0,"NA",(E17/C17))</f>
        <v>2.7046967845498943E-2</v>
      </c>
      <c r="E17" s="322">
        <f>SUM(E13:E16)</f>
        <v>9086329.3300000001</v>
      </c>
      <c r="F17" s="73">
        <f>E17/C23</f>
        <v>2.7046967845498943E-2</v>
      </c>
      <c r="G17" s="74"/>
    </row>
    <row r="18" spans="1:7">
      <c r="A18" s="3">
        <f t="shared" si="0"/>
        <v>13</v>
      </c>
      <c r="B18" s="66"/>
      <c r="C18" s="85"/>
      <c r="D18" s="209"/>
      <c r="E18" s="76"/>
      <c r="F18" s="66"/>
      <c r="G18" s="74"/>
    </row>
    <row r="19" spans="1:7">
      <c r="A19" s="3">
        <f t="shared" si="0"/>
        <v>14</v>
      </c>
      <c r="B19" s="70" t="s">
        <v>54</v>
      </c>
      <c r="C19" s="86"/>
      <c r="D19" s="87"/>
      <c r="E19" s="340">
        <f>'Pg 4 STD OS &amp; Comm Fees'!F16</f>
        <v>1448904.4807888889</v>
      </c>
      <c r="F19" s="416">
        <f>E19/C23</f>
        <v>4.3129047473229121E-3</v>
      </c>
      <c r="G19" s="188" t="s">
        <v>77</v>
      </c>
    </row>
    <row r="20" spans="1:7">
      <c r="A20" s="3">
        <f t="shared" si="0"/>
        <v>15</v>
      </c>
      <c r="B20" s="70"/>
      <c r="C20" s="77"/>
      <c r="D20" s="78"/>
      <c r="E20" s="82"/>
      <c r="F20" s="73"/>
      <c r="G20" s="74"/>
    </row>
    <row r="21" spans="1:7">
      <c r="A21" s="3">
        <f t="shared" si="0"/>
        <v>16</v>
      </c>
      <c r="B21" s="70" t="s">
        <v>55</v>
      </c>
      <c r="C21" s="77"/>
      <c r="D21" s="78"/>
      <c r="E21" s="340">
        <f>-'Pg 5 STD Amort'!G27</f>
        <v>715621.25000000012</v>
      </c>
      <c r="F21" s="416">
        <f>E21/C23</f>
        <v>2.130165464551323E-3</v>
      </c>
      <c r="G21" s="188" t="s">
        <v>92</v>
      </c>
    </row>
    <row r="22" spans="1:7" ht="13.8" thickBot="1">
      <c r="A22" s="3">
        <f t="shared" si="0"/>
        <v>17</v>
      </c>
      <c r="B22" s="66"/>
      <c r="C22" s="76"/>
      <c r="D22" s="75"/>
      <c r="E22" s="83"/>
      <c r="G22" s="66"/>
    </row>
    <row r="23" spans="1:7" ht="13.8" thickBot="1">
      <c r="A23" s="3">
        <f t="shared" si="0"/>
        <v>18</v>
      </c>
      <c r="B23" s="79" t="s">
        <v>39</v>
      </c>
      <c r="C23" s="80">
        <f>C17</f>
        <v>335946320.56</v>
      </c>
      <c r="D23" s="81"/>
      <c r="E23" s="80">
        <f>SUM(E17:E22)</f>
        <v>11250855.060788888</v>
      </c>
      <c r="F23" s="213">
        <f>E23/C23</f>
        <v>3.3490038057373175E-2</v>
      </c>
      <c r="G23" s="74"/>
    </row>
    <row r="24" spans="1:7">
      <c r="A24" s="3">
        <f t="shared" si="0"/>
        <v>19</v>
      </c>
      <c r="B24" s="66"/>
      <c r="C24" s="66"/>
      <c r="D24" s="66"/>
      <c r="E24" s="66"/>
      <c r="F24" s="66"/>
      <c r="G24" s="74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130" t="s">
        <v>162</v>
      </c>
      <c r="C26" s="131"/>
      <c r="D26" s="131"/>
      <c r="E26" s="131"/>
      <c r="F26" s="70"/>
      <c r="G26" s="10"/>
    </row>
    <row r="27" spans="1:7">
      <c r="A27" s="3">
        <f t="shared" si="0"/>
        <v>22</v>
      </c>
      <c r="B27" s="130" t="s">
        <v>140</v>
      </c>
      <c r="C27" s="131"/>
      <c r="D27" s="131"/>
      <c r="E27" s="131"/>
      <c r="F27" s="70"/>
      <c r="G27" s="10"/>
    </row>
    <row r="28" spans="1:7">
      <c r="A28" s="3">
        <f t="shared" si="0"/>
        <v>23</v>
      </c>
      <c r="B28" s="130" t="s">
        <v>161</v>
      </c>
      <c r="C28" s="70"/>
      <c r="D28" s="70"/>
      <c r="E28" s="70"/>
      <c r="F28" s="70"/>
      <c r="G28" s="10"/>
    </row>
    <row r="29" spans="1:7">
      <c r="A29" s="3"/>
      <c r="B29" s="130"/>
    </row>
    <row r="30" spans="1:7">
      <c r="A30" s="3"/>
      <c r="B30" s="8"/>
    </row>
    <row r="31" spans="1:7">
      <c r="A31" s="3"/>
      <c r="B31" s="8"/>
    </row>
    <row r="32" spans="1:7">
      <c r="A32" s="3" t="s">
        <v>2</v>
      </c>
    </row>
    <row r="33" spans="1:7" ht="12.75" customHeight="1">
      <c r="A33" s="11"/>
    </row>
    <row r="34" spans="1:7">
      <c r="A34" s="3" t="s">
        <v>2</v>
      </c>
      <c r="E34" s="10"/>
      <c r="F34" s="9"/>
      <c r="G34" s="10"/>
    </row>
    <row r="35" spans="1:7">
      <c r="A35" s="3" t="s">
        <v>2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phoneticPr fontId="24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S36"/>
  <sheetViews>
    <sheetView topLeftCell="A4" zoomScaleNormal="100" workbookViewId="0">
      <selection activeCell="F32" sqref="F32"/>
    </sheetView>
  </sheetViews>
  <sheetFormatPr defaultRowHeight="10.199999999999999"/>
  <cols>
    <col min="1" max="1" width="5.7109375" bestFit="1" customWidth="1"/>
    <col min="2" max="2" width="24.7109375" customWidth="1"/>
    <col min="3" max="3" width="16.140625" customWidth="1"/>
    <col min="4" max="4" width="15.140625" customWidth="1"/>
    <col min="5" max="5" width="11.85546875" customWidth="1"/>
    <col min="6" max="6" width="17.140625" customWidth="1"/>
    <col min="7" max="7" width="15" customWidth="1"/>
    <col min="8" max="8" width="14.85546875" bestFit="1" customWidth="1"/>
    <col min="9" max="9" width="12.85546875" customWidth="1"/>
    <col min="10" max="10" width="12.140625" bestFit="1" customWidth="1"/>
    <col min="11" max="11" width="5.85546875" customWidth="1"/>
    <col min="12" max="12" width="8.42578125" customWidth="1"/>
    <col min="13" max="13" width="16" customWidth="1"/>
    <col min="14" max="14" width="11.140625" customWidth="1"/>
    <col min="15" max="15" width="11.42578125" customWidth="1"/>
  </cols>
  <sheetData>
    <row r="1" spans="1:15" ht="12">
      <c r="A1" s="34"/>
      <c r="B1" s="35" t="s">
        <v>46</v>
      </c>
      <c r="C1" s="35"/>
      <c r="D1" s="34"/>
      <c r="E1" s="34"/>
      <c r="F1" s="34"/>
      <c r="G1" s="35"/>
      <c r="H1" s="35"/>
      <c r="I1" s="35"/>
      <c r="J1" s="35"/>
      <c r="K1" s="34"/>
      <c r="L1" s="34"/>
      <c r="M1" s="34"/>
      <c r="N1" s="34"/>
      <c r="O1" s="34"/>
    </row>
    <row r="2" spans="1:15" ht="12">
      <c r="A2" s="34"/>
      <c r="B2" s="35" t="s">
        <v>47</v>
      </c>
      <c r="C2" s="35"/>
      <c r="D2" s="34"/>
      <c r="E2" s="34"/>
      <c r="F2" s="34"/>
      <c r="G2" s="35"/>
      <c r="H2" s="35"/>
      <c r="I2" s="35"/>
      <c r="J2" s="35"/>
      <c r="K2" s="36"/>
      <c r="L2" s="34"/>
      <c r="N2" s="34"/>
      <c r="O2" s="34"/>
    </row>
    <row r="3" spans="1:15" ht="13.2">
      <c r="A3" s="34"/>
      <c r="B3" s="262" t="str">
        <f>'New Format'!B5</f>
        <v>For The 12 Months Ending December 31, 2019</v>
      </c>
      <c r="C3" s="253"/>
      <c r="D3" s="254"/>
      <c r="E3" s="254"/>
      <c r="F3" s="254"/>
      <c r="G3" s="255"/>
      <c r="H3" s="255"/>
      <c r="I3" s="255"/>
      <c r="J3" s="255"/>
      <c r="K3" s="34"/>
      <c r="L3" s="34"/>
      <c r="N3" s="34"/>
      <c r="O3" s="34"/>
    </row>
    <row r="4" spans="1:15" ht="12">
      <c r="A4" s="34"/>
      <c r="B4" s="35"/>
      <c r="C4" s="42"/>
      <c r="D4" s="34"/>
      <c r="E4" s="34"/>
      <c r="F4" s="34"/>
      <c r="G4" s="34"/>
      <c r="H4" s="34"/>
      <c r="I4" s="34"/>
      <c r="J4" s="34"/>
      <c r="K4" s="34"/>
      <c r="L4" s="34"/>
      <c r="N4" s="34"/>
      <c r="O4" s="34"/>
    </row>
    <row r="5" spans="1:15" ht="13.8" thickBot="1">
      <c r="A5" s="189">
        <v>1</v>
      </c>
      <c r="B5" s="342" t="s">
        <v>5</v>
      </c>
      <c r="C5" s="342" t="s">
        <v>27</v>
      </c>
      <c r="D5" s="342" t="s">
        <v>52</v>
      </c>
      <c r="E5" s="342" t="s">
        <v>64</v>
      </c>
      <c r="F5" s="342" t="s">
        <v>65</v>
      </c>
      <c r="G5" s="342" t="s">
        <v>66</v>
      </c>
      <c r="H5" s="342" t="s">
        <v>67</v>
      </c>
      <c r="I5" s="342" t="s">
        <v>68</v>
      </c>
      <c r="J5" s="342" t="s">
        <v>69</v>
      </c>
      <c r="K5" s="68"/>
      <c r="L5" s="68"/>
      <c r="N5" s="34"/>
      <c r="O5" s="34"/>
    </row>
    <row r="6" spans="1:15" ht="12">
      <c r="A6" s="189">
        <f>+A5+1</f>
        <v>2</v>
      </c>
      <c r="B6" s="343" t="s">
        <v>115</v>
      </c>
      <c r="C6" s="344"/>
      <c r="D6" s="344"/>
      <c r="E6" s="344"/>
      <c r="F6" s="344"/>
      <c r="G6" s="344"/>
      <c r="H6" s="149"/>
      <c r="I6" s="149"/>
      <c r="J6" s="149"/>
      <c r="K6" s="345"/>
      <c r="M6" s="34"/>
      <c r="N6" s="34"/>
      <c r="O6" s="34"/>
    </row>
    <row r="7" spans="1:15" ht="11.4">
      <c r="A7" s="189">
        <f>+A6+1</f>
        <v>3</v>
      </c>
      <c r="B7" s="202"/>
      <c r="C7" s="203"/>
      <c r="D7" s="203"/>
      <c r="E7" s="203"/>
      <c r="F7" s="203" t="s">
        <v>2</v>
      </c>
      <c r="G7" s="37" t="s">
        <v>2</v>
      </c>
      <c r="H7" s="37"/>
      <c r="I7" s="37"/>
      <c r="J7" s="37"/>
      <c r="K7" s="346" t="s">
        <v>2</v>
      </c>
      <c r="L7" s="34"/>
      <c r="M7" s="270"/>
      <c r="N7" s="34"/>
      <c r="O7" s="34"/>
    </row>
    <row r="8" spans="1:15" ht="11.4">
      <c r="A8" s="189">
        <f>A7+1</f>
        <v>4</v>
      </c>
      <c r="B8" s="202"/>
      <c r="C8" s="210" t="s">
        <v>50</v>
      </c>
      <c r="D8" s="210" t="s">
        <v>108</v>
      </c>
      <c r="E8" s="210" t="s">
        <v>50</v>
      </c>
      <c r="F8" s="210" t="s">
        <v>124</v>
      </c>
      <c r="G8" s="37"/>
      <c r="H8" s="37"/>
      <c r="I8" s="37"/>
      <c r="J8" s="37"/>
      <c r="K8" s="346"/>
      <c r="L8" s="201"/>
      <c r="M8" s="34"/>
      <c r="N8" s="34"/>
      <c r="O8" s="34"/>
    </row>
    <row r="9" spans="1:15" ht="11.4">
      <c r="A9" s="189">
        <f>A8+1</f>
        <v>5</v>
      </c>
      <c r="B9" s="202"/>
      <c r="C9" s="211" t="s">
        <v>142</v>
      </c>
      <c r="D9" s="211" t="s">
        <v>38</v>
      </c>
      <c r="E9" s="211" t="s">
        <v>93</v>
      </c>
      <c r="F9" s="211" t="s">
        <v>143</v>
      </c>
      <c r="G9" s="39"/>
      <c r="H9" s="39"/>
      <c r="I9" s="37"/>
      <c r="J9" s="37"/>
      <c r="K9" s="346"/>
      <c r="L9" s="201"/>
      <c r="M9" s="236"/>
      <c r="N9" s="34"/>
      <c r="O9" s="34"/>
    </row>
    <row r="10" spans="1:15" ht="11.4">
      <c r="A10" s="189">
        <f>A9+1</f>
        <v>6</v>
      </c>
      <c r="B10" s="202"/>
      <c r="C10" s="88"/>
      <c r="D10" s="88"/>
      <c r="E10" s="88"/>
      <c r="F10" s="320"/>
      <c r="G10" s="37"/>
      <c r="H10" s="37"/>
      <c r="I10" s="37"/>
      <c r="J10" s="37"/>
      <c r="K10" s="346"/>
      <c r="L10" s="34"/>
      <c r="M10" s="34"/>
      <c r="O10" s="34"/>
    </row>
    <row r="11" spans="1:15" ht="11.4">
      <c r="A11" s="189">
        <f t="shared" ref="A11:A36" si="0">A10+1</f>
        <v>7</v>
      </c>
      <c r="B11" s="202" t="s">
        <v>36</v>
      </c>
      <c r="C11" s="315">
        <v>335946320.56</v>
      </c>
      <c r="D11" s="315">
        <v>9086329.3300000001</v>
      </c>
      <c r="E11" s="264">
        <f>IF(C11=0,"NA",(D11/C11))</f>
        <v>2.7046967845498943E-2</v>
      </c>
      <c r="F11" s="369">
        <v>0</v>
      </c>
      <c r="G11" s="337"/>
      <c r="I11" s="37"/>
      <c r="J11" s="37"/>
      <c r="K11" s="346"/>
      <c r="L11" s="34"/>
      <c r="M11" s="358"/>
      <c r="O11" s="34"/>
    </row>
    <row r="12" spans="1:15" ht="11.4">
      <c r="A12" s="189">
        <f t="shared" si="0"/>
        <v>8</v>
      </c>
      <c r="B12" s="202" t="s">
        <v>109</v>
      </c>
      <c r="C12" s="315">
        <v>0</v>
      </c>
      <c r="D12" s="315">
        <v>0</v>
      </c>
      <c r="E12" s="264" t="str">
        <f>IF(C12=0,"NA",(D12/C12))</f>
        <v>NA</v>
      </c>
      <c r="F12" s="369">
        <v>0</v>
      </c>
      <c r="G12" s="337"/>
      <c r="H12" s="316"/>
      <c r="I12" s="37"/>
      <c r="J12" s="37"/>
      <c r="K12" s="346"/>
      <c r="L12" s="34"/>
      <c r="M12" s="358"/>
      <c r="O12" s="34"/>
    </row>
    <row r="13" spans="1:15" ht="11.4" hidden="1">
      <c r="A13" s="189">
        <v>9</v>
      </c>
      <c r="B13" s="202" t="s">
        <v>177</v>
      </c>
      <c r="C13" s="315">
        <v>0</v>
      </c>
      <c r="D13" s="315">
        <v>0</v>
      </c>
      <c r="E13" s="264" t="str">
        <f>IF(C13=0,"NA",(D13/C13))</f>
        <v>NA</v>
      </c>
      <c r="F13" s="207">
        <f>J26</f>
        <v>0</v>
      </c>
      <c r="G13" s="337"/>
      <c r="H13" s="357"/>
      <c r="I13" s="37"/>
      <c r="J13" s="37"/>
      <c r="K13" s="346"/>
      <c r="L13" s="34"/>
      <c r="M13" s="358"/>
      <c r="O13" s="34"/>
    </row>
    <row r="14" spans="1:15" ht="11.4">
      <c r="A14" s="189">
        <f>A13+1</f>
        <v>10</v>
      </c>
      <c r="B14" s="202" t="s">
        <v>200</v>
      </c>
      <c r="C14" s="315">
        <v>0</v>
      </c>
      <c r="D14" s="315">
        <v>0</v>
      </c>
      <c r="E14" s="264" t="str">
        <f>IF(C14=0,"NA",(D14/C14))</f>
        <v>NA</v>
      </c>
      <c r="F14" s="207">
        <f>J27</f>
        <v>1419444.4443999999</v>
      </c>
      <c r="G14" s="337"/>
      <c r="H14" s="316"/>
      <c r="I14" s="37"/>
      <c r="J14" s="37"/>
      <c r="K14" s="346"/>
      <c r="L14" s="34"/>
      <c r="M14" s="200"/>
      <c r="N14" s="34"/>
      <c r="O14" s="34"/>
    </row>
    <row r="15" spans="1:15" ht="11.4">
      <c r="A15" s="189">
        <f t="shared" si="0"/>
        <v>11</v>
      </c>
      <c r="B15" s="202" t="s">
        <v>149</v>
      </c>
      <c r="C15" s="315">
        <v>0</v>
      </c>
      <c r="D15" s="315">
        <v>0</v>
      </c>
      <c r="E15" s="264" t="str">
        <f>IF(C15=0,"NA",(D15/C15))</f>
        <v>NA</v>
      </c>
      <c r="F15" s="207">
        <f>J32</f>
        <v>29460.03638888889</v>
      </c>
      <c r="G15" s="37"/>
      <c r="H15" s="37"/>
      <c r="I15" s="37"/>
      <c r="J15" s="37"/>
      <c r="K15" s="346"/>
      <c r="L15" s="34"/>
      <c r="M15" s="34"/>
      <c r="N15" s="34"/>
      <c r="O15" s="34"/>
    </row>
    <row r="16" spans="1:15" ht="12.6" thickBot="1">
      <c r="A16" s="189">
        <f t="shared" si="0"/>
        <v>12</v>
      </c>
      <c r="B16" s="326" t="s">
        <v>153</v>
      </c>
      <c r="C16" s="361">
        <f>SUM(C10:C15)</f>
        <v>335946320.56</v>
      </c>
      <c r="D16" s="363">
        <f>SUM(D10:D15)</f>
        <v>9086329.3300000001</v>
      </c>
      <c r="E16" s="362">
        <f>D16/C16</f>
        <v>2.7046967845498943E-2</v>
      </c>
      <c r="F16" s="363">
        <f>SUM(F10:F15)</f>
        <v>1448904.4807888889</v>
      </c>
      <c r="G16" s="37"/>
      <c r="H16" s="37"/>
      <c r="I16" s="37"/>
      <c r="J16" s="37"/>
      <c r="K16" s="346"/>
      <c r="L16" s="34"/>
      <c r="M16" s="34"/>
      <c r="N16" s="34"/>
      <c r="O16" s="34"/>
    </row>
    <row r="17" spans="1:15" ht="12.6" thickTop="1">
      <c r="A17" s="189"/>
      <c r="B17" s="326"/>
      <c r="C17" s="408"/>
      <c r="D17" s="435"/>
      <c r="E17" s="436"/>
      <c r="F17" s="435"/>
      <c r="G17" s="37"/>
      <c r="H17" s="37"/>
      <c r="I17" s="37"/>
      <c r="J17" s="37"/>
      <c r="K17" s="346"/>
      <c r="L17" s="34"/>
      <c r="M17" s="34"/>
      <c r="N17" s="34"/>
      <c r="O17" s="34"/>
    </row>
    <row r="18" spans="1:15" ht="12">
      <c r="A18" s="189"/>
      <c r="B18" s="426" t="s">
        <v>194</v>
      </c>
      <c r="C18" s="204"/>
      <c r="D18" s="205"/>
      <c r="E18" s="203"/>
      <c r="F18" s="425">
        <f>'New Format'!C30</f>
        <v>8410342420</v>
      </c>
      <c r="G18" s="37"/>
      <c r="H18" s="37"/>
      <c r="I18" s="37"/>
      <c r="J18" s="37"/>
      <c r="K18" s="346"/>
      <c r="L18" s="34"/>
      <c r="M18" s="34"/>
      <c r="N18" s="34"/>
      <c r="O18" s="34"/>
    </row>
    <row r="19" spans="1:15" ht="11.4">
      <c r="A19" s="189"/>
      <c r="B19" s="202"/>
      <c r="C19" s="204"/>
      <c r="D19" s="205"/>
      <c r="E19" s="203"/>
      <c r="F19" s="204"/>
      <c r="G19" s="37"/>
      <c r="H19" s="37"/>
      <c r="I19" s="37"/>
      <c r="J19" s="37"/>
      <c r="K19" s="346"/>
      <c r="L19" s="34"/>
      <c r="M19" s="34"/>
      <c r="N19" s="34"/>
      <c r="O19" s="34"/>
    </row>
    <row r="20" spans="1:15" ht="12">
      <c r="A20" s="189"/>
      <c r="B20" s="426" t="s">
        <v>196</v>
      </c>
      <c r="C20" s="204"/>
      <c r="D20" s="205"/>
      <c r="E20" s="203"/>
      <c r="F20" s="421">
        <f>ROUND(F16/F18,4)</f>
        <v>2.0000000000000001E-4</v>
      </c>
      <c r="G20" s="37"/>
      <c r="H20" s="37"/>
      <c r="I20" s="37"/>
      <c r="J20" s="37"/>
      <c r="K20" s="346"/>
      <c r="L20" s="34"/>
      <c r="M20" s="34"/>
      <c r="N20" s="34"/>
      <c r="O20" s="34"/>
    </row>
    <row r="21" spans="1:15" ht="12" thickBot="1">
      <c r="A21" s="189">
        <f>A16+1</f>
        <v>13</v>
      </c>
      <c r="B21" s="339"/>
      <c r="C21" s="206"/>
      <c r="D21" s="206"/>
      <c r="E21" s="206"/>
      <c r="F21" s="206"/>
      <c r="G21" s="347"/>
      <c r="H21" s="347"/>
      <c r="I21" s="347"/>
      <c r="J21" s="347"/>
      <c r="K21" s="348"/>
      <c r="L21" s="37"/>
      <c r="M21" s="34"/>
      <c r="N21" s="34"/>
      <c r="O21" s="34"/>
    </row>
    <row r="22" spans="1:15" ht="12">
      <c r="A22" s="189">
        <f t="shared" si="0"/>
        <v>14</v>
      </c>
      <c r="B22" s="470" t="s">
        <v>91</v>
      </c>
      <c r="C22" s="471"/>
      <c r="D22" s="149"/>
      <c r="E22" s="149"/>
      <c r="F22" s="149"/>
      <c r="G22" s="149"/>
      <c r="H22" s="181"/>
      <c r="I22" s="181"/>
      <c r="J22" s="181"/>
      <c r="K22" s="146"/>
      <c r="L22" s="37" t="s">
        <v>2</v>
      </c>
      <c r="M22" s="34"/>
      <c r="N22" s="34"/>
      <c r="O22" s="34"/>
    </row>
    <row r="23" spans="1:15" ht="12">
      <c r="A23" s="189">
        <f t="shared" si="0"/>
        <v>15</v>
      </c>
      <c r="B23" s="468" t="s">
        <v>100</v>
      </c>
      <c r="C23" s="469"/>
      <c r="D23" s="37"/>
      <c r="E23" s="37"/>
      <c r="F23" s="37"/>
      <c r="G23" s="216" t="s">
        <v>178</v>
      </c>
      <c r="H23" s="216" t="s">
        <v>178</v>
      </c>
      <c r="I23" s="41"/>
      <c r="J23" s="41"/>
      <c r="K23" s="151"/>
      <c r="L23" s="37"/>
      <c r="M23" s="34"/>
      <c r="N23" s="34"/>
      <c r="O23" s="34"/>
    </row>
    <row r="24" spans="1:15" ht="12">
      <c r="A24" s="189">
        <f t="shared" si="0"/>
        <v>16</v>
      </c>
      <c r="B24" s="182"/>
      <c r="C24" s="180"/>
      <c r="D24" s="37"/>
      <c r="E24" s="37"/>
      <c r="F24" s="37"/>
      <c r="G24" s="216" t="s">
        <v>145</v>
      </c>
      <c r="H24" s="216" t="s">
        <v>146</v>
      </c>
      <c r="I24" s="41"/>
      <c r="J24" s="41"/>
      <c r="K24" s="151"/>
      <c r="L24" s="37"/>
      <c r="M24" s="34"/>
      <c r="N24" s="34"/>
      <c r="O24" s="34"/>
    </row>
    <row r="25" spans="1:15" ht="11.4">
      <c r="A25" s="189">
        <f t="shared" si="0"/>
        <v>17</v>
      </c>
      <c r="B25" s="150"/>
      <c r="C25" s="38" t="s">
        <v>48</v>
      </c>
      <c r="D25" s="38" t="s">
        <v>49</v>
      </c>
      <c r="E25" s="39" t="s">
        <v>51</v>
      </c>
      <c r="F25" s="39" t="s">
        <v>124</v>
      </c>
      <c r="G25" s="39" t="s">
        <v>144</v>
      </c>
      <c r="H25" s="39" t="s">
        <v>124</v>
      </c>
      <c r="I25" s="39" t="s">
        <v>60</v>
      </c>
      <c r="J25" s="39" t="s">
        <v>61</v>
      </c>
      <c r="K25" s="183"/>
      <c r="L25" s="37"/>
      <c r="M25" s="34"/>
      <c r="N25" s="34"/>
      <c r="O25" s="34"/>
    </row>
    <row r="26" spans="1:15" ht="11.4" hidden="1">
      <c r="A26" s="189">
        <v>18</v>
      </c>
      <c r="B26" s="202" t="s">
        <v>177</v>
      </c>
      <c r="C26" s="316"/>
      <c r="D26" s="316"/>
      <c r="E26" s="338">
        <f>D26-C26</f>
        <v>0</v>
      </c>
      <c r="F26" s="359">
        <v>650000000</v>
      </c>
      <c r="G26" s="256">
        <f>C13+H32</f>
        <v>0</v>
      </c>
      <c r="H26" s="256">
        <f>F26-G26</f>
        <v>650000000</v>
      </c>
      <c r="I26" s="370">
        <v>1.75E-3</v>
      </c>
      <c r="J26" s="207">
        <f>ROUND(H26*I26*E26/360,4)</f>
        <v>0</v>
      </c>
      <c r="K26" s="151"/>
      <c r="L26" s="37"/>
      <c r="M26" s="34"/>
      <c r="N26" s="34"/>
      <c r="O26" s="34"/>
    </row>
    <row r="27" spans="1:15" ht="11.4">
      <c r="A27" s="189">
        <f>A26+1</f>
        <v>19</v>
      </c>
      <c r="B27" s="202" t="s">
        <v>200</v>
      </c>
      <c r="C27" s="316">
        <v>43466</v>
      </c>
      <c r="D27" s="316">
        <v>43830</v>
      </c>
      <c r="E27" s="338">
        <f>D27-C27+1</f>
        <v>365</v>
      </c>
      <c r="F27" s="359">
        <v>800000000</v>
      </c>
      <c r="G27" s="256">
        <f>C14+H33</f>
        <v>0</v>
      </c>
      <c r="H27" s="256">
        <f>F27-G27</f>
        <v>800000000</v>
      </c>
      <c r="I27" s="370">
        <v>1.75E-3</v>
      </c>
      <c r="J27" s="207">
        <f>ROUND(H27*I27*E27/360,4)</f>
        <v>1419444.4443999999</v>
      </c>
      <c r="K27" s="184"/>
      <c r="L27" s="37"/>
      <c r="M27" s="34"/>
      <c r="N27" s="34"/>
      <c r="O27" s="34"/>
    </row>
    <row r="28" spans="1:15" ht="12" thickBot="1">
      <c r="A28" s="189">
        <f t="shared" si="0"/>
        <v>20</v>
      </c>
      <c r="B28" s="260" t="s">
        <v>123</v>
      </c>
      <c r="C28" s="40"/>
      <c r="D28" s="272"/>
      <c r="E28" s="319"/>
      <c r="F28" s="273"/>
      <c r="G28" s="431"/>
      <c r="H28" s="431"/>
      <c r="I28" s="274"/>
      <c r="J28" s="434">
        <f>+J26+J27</f>
        <v>1419444.4443999999</v>
      </c>
      <c r="K28" s="184"/>
      <c r="L28" s="37"/>
      <c r="M28" s="34"/>
      <c r="N28" s="34"/>
      <c r="O28" s="34"/>
    </row>
    <row r="29" spans="1:15" ht="12" thickTop="1">
      <c r="A29" s="189">
        <f t="shared" si="0"/>
        <v>21</v>
      </c>
      <c r="B29" s="239"/>
      <c r="C29" s="40"/>
      <c r="D29" s="272"/>
      <c r="E29" s="319"/>
      <c r="F29" s="319"/>
      <c r="G29" s="272"/>
      <c r="H29" s="275"/>
      <c r="I29" s="275"/>
      <c r="J29" s="275"/>
      <c r="K29" s="184"/>
      <c r="L29" s="37"/>
      <c r="M29" s="34"/>
      <c r="N29" s="34"/>
      <c r="O29" s="34"/>
    </row>
    <row r="30" spans="1:15" ht="12">
      <c r="A30" s="189">
        <f t="shared" si="0"/>
        <v>22</v>
      </c>
      <c r="B30" s="259" t="s">
        <v>125</v>
      </c>
      <c r="C30" s="276"/>
      <c r="D30" s="88"/>
      <c r="E30" s="88"/>
      <c r="F30" s="39" t="s">
        <v>163</v>
      </c>
      <c r="G30" s="39" t="s">
        <v>51</v>
      </c>
      <c r="H30" s="39" t="s">
        <v>150</v>
      </c>
      <c r="I30" s="272"/>
      <c r="J30" s="275"/>
      <c r="K30" s="184"/>
      <c r="L30" s="37"/>
      <c r="M30" s="34"/>
      <c r="N30" s="34"/>
      <c r="O30" s="34"/>
    </row>
    <row r="31" spans="1:15" ht="11.4">
      <c r="A31" s="189">
        <f t="shared" si="0"/>
        <v>23</v>
      </c>
      <c r="B31" s="260" t="s">
        <v>151</v>
      </c>
      <c r="C31" s="431"/>
      <c r="D31" s="88"/>
      <c r="E31" s="88"/>
      <c r="F31" s="432" t="s">
        <v>165</v>
      </c>
      <c r="G31" s="394">
        <v>365</v>
      </c>
      <c r="H31" s="315">
        <v>2887894</v>
      </c>
      <c r="I31" s="370">
        <v>0.01</v>
      </c>
      <c r="J31" s="256">
        <f>(I31*H31)*(G31/360)+(15*12)</f>
        <v>29460.03638888889</v>
      </c>
      <c r="K31" s="184"/>
      <c r="L31" s="37"/>
      <c r="M31" s="34"/>
      <c r="N31" s="34"/>
      <c r="O31" s="34"/>
    </row>
    <row r="32" spans="1:15" ht="12.75" customHeight="1" thickBot="1">
      <c r="A32" s="189">
        <f>A31+1</f>
        <v>24</v>
      </c>
      <c r="B32" s="260"/>
      <c r="C32" s="431"/>
      <c r="D32" s="88"/>
      <c r="E32" s="88"/>
      <c r="F32" s="432"/>
      <c r="G32" s="394"/>
      <c r="H32" s="315"/>
      <c r="I32" s="370"/>
      <c r="J32" s="360">
        <f>SUM(J31)</f>
        <v>29460.03638888889</v>
      </c>
      <c r="K32" s="151"/>
      <c r="L32" s="37"/>
      <c r="M32" s="34"/>
      <c r="N32" s="34"/>
      <c r="O32" s="34"/>
    </row>
    <row r="33" spans="1:19" ht="12.75" customHeight="1" thickTop="1">
      <c r="A33" s="189">
        <f t="shared" si="0"/>
        <v>25</v>
      </c>
      <c r="B33" s="325" t="s">
        <v>152</v>
      </c>
      <c r="C33" s="431"/>
      <c r="D33" s="431"/>
      <c r="E33" s="433"/>
      <c r="F33" s="359"/>
      <c r="G33" s="338"/>
      <c r="H33" s="41"/>
      <c r="I33" s="41"/>
      <c r="K33" s="151"/>
      <c r="L33" s="37"/>
      <c r="M33" s="34"/>
      <c r="N33" s="34"/>
      <c r="O33" s="34"/>
    </row>
    <row r="34" spans="1:19" ht="12.75" customHeight="1">
      <c r="A34" s="189">
        <f t="shared" si="0"/>
        <v>26</v>
      </c>
      <c r="B34" s="260"/>
      <c r="C34" s="431"/>
      <c r="D34" s="431"/>
      <c r="E34" s="431"/>
      <c r="F34" s="317"/>
      <c r="G34" s="318"/>
      <c r="H34" s="41"/>
      <c r="I34" s="41"/>
      <c r="J34" s="41"/>
      <c r="K34" s="151"/>
      <c r="L34" s="37"/>
      <c r="M34" s="34"/>
      <c r="N34" s="34"/>
      <c r="O34" s="34"/>
    </row>
    <row r="35" spans="1:19" ht="12">
      <c r="A35" s="189">
        <f t="shared" si="0"/>
        <v>27</v>
      </c>
      <c r="B35" s="182"/>
      <c r="C35" s="180"/>
      <c r="D35" s="180"/>
      <c r="E35" s="88"/>
      <c r="F35" s="88"/>
      <c r="G35" s="88"/>
      <c r="H35" s="147"/>
      <c r="I35" s="147"/>
      <c r="J35" s="147"/>
      <c r="K35" s="151"/>
    </row>
    <row r="36" spans="1:19" ht="12.6" thickBot="1">
      <c r="A36" s="189">
        <f t="shared" si="0"/>
        <v>28</v>
      </c>
      <c r="B36" s="125" t="s">
        <v>83</v>
      </c>
      <c r="C36" s="186"/>
      <c r="D36" s="186"/>
      <c r="E36" s="152"/>
      <c r="F36" s="152"/>
      <c r="G36" s="152"/>
      <c r="H36" s="187"/>
      <c r="I36" s="187"/>
      <c r="J36" s="187"/>
      <c r="K36" s="185"/>
      <c r="S36" s="124"/>
    </row>
  </sheetData>
  <mergeCells count="2">
    <mergeCell ref="B23:C23"/>
    <mergeCell ref="B22:C22"/>
  </mergeCells>
  <phoneticPr fontId="24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7" zoomScaleNormal="100" workbookViewId="0">
      <selection activeCell="F32" sqref="F32"/>
    </sheetView>
  </sheetViews>
  <sheetFormatPr defaultRowHeight="10.199999999999999"/>
  <cols>
    <col min="1" max="1" width="4.85546875" customWidth="1"/>
    <col min="2" max="2" width="52.7109375" bestFit="1" customWidth="1"/>
    <col min="3" max="6" width="21.7109375" customWidth="1"/>
    <col min="7" max="7" width="15.85546875" customWidth="1"/>
    <col min="8" max="9" width="12" style="124" customWidth="1"/>
  </cols>
  <sheetData>
    <row r="1" spans="1:9" ht="12">
      <c r="B1" s="35" t="s">
        <v>46</v>
      </c>
    </row>
    <row r="2" spans="1:9" ht="12">
      <c r="A2" s="88"/>
      <c r="B2" s="126" t="s">
        <v>99</v>
      </c>
    </row>
    <row r="3" spans="1:9" ht="12">
      <c r="A3" s="88"/>
      <c r="B3" s="412" t="str">
        <f>'New Format'!B5</f>
        <v>For The 12 Months Ending December 31, 2019</v>
      </c>
    </row>
    <row r="4" spans="1:9" ht="12">
      <c r="A4" s="37"/>
      <c r="B4" s="35"/>
      <c r="C4" s="371"/>
      <c r="D4" s="371"/>
      <c r="E4" s="371"/>
      <c r="F4" s="371"/>
      <c r="G4" s="371"/>
    </row>
    <row r="5" spans="1:9" ht="12">
      <c r="A5" s="372" t="s">
        <v>5</v>
      </c>
      <c r="B5" s="372" t="s">
        <v>27</v>
      </c>
      <c r="C5" s="372" t="s">
        <v>64</v>
      </c>
      <c r="D5" s="372" t="s">
        <v>65</v>
      </c>
      <c r="E5" s="372" t="s">
        <v>66</v>
      </c>
      <c r="F5" s="372" t="s">
        <v>67</v>
      </c>
      <c r="G5" s="372" t="s">
        <v>68</v>
      </c>
    </row>
    <row r="6" spans="1:9" ht="11.25" customHeight="1">
      <c r="A6" s="371"/>
      <c r="B6" s="373"/>
      <c r="C6" s="373"/>
      <c r="D6" s="373"/>
      <c r="E6" s="373"/>
      <c r="F6" s="373"/>
      <c r="G6" s="373"/>
    </row>
    <row r="7" spans="1:9" ht="11.25" customHeight="1">
      <c r="A7" s="189"/>
      <c r="B7" s="161"/>
      <c r="C7" s="329"/>
      <c r="D7" s="329"/>
      <c r="E7" s="329"/>
      <c r="F7" s="329"/>
    </row>
    <row r="8" spans="1:9" ht="11.25" customHeight="1">
      <c r="A8" s="189">
        <v>1</v>
      </c>
      <c r="B8" s="374" t="s">
        <v>9</v>
      </c>
      <c r="C8" s="375" t="s">
        <v>179</v>
      </c>
      <c r="D8" s="375" t="s">
        <v>179</v>
      </c>
      <c r="E8" s="375" t="s">
        <v>199</v>
      </c>
      <c r="F8" s="375" t="s">
        <v>179</v>
      </c>
      <c r="G8" s="371"/>
    </row>
    <row r="9" spans="1:9" ht="11.25" customHeight="1">
      <c r="A9" s="189">
        <f>A8+1</f>
        <v>2</v>
      </c>
      <c r="B9" s="374"/>
      <c r="C9" s="376" t="s">
        <v>180</v>
      </c>
      <c r="D9" s="376" t="s">
        <v>184</v>
      </c>
      <c r="E9" s="376" t="s">
        <v>180</v>
      </c>
      <c r="F9" s="376" t="s">
        <v>184</v>
      </c>
      <c r="G9" s="377" t="s">
        <v>156</v>
      </c>
    </row>
    <row r="10" spans="1:9" ht="11.25" customHeight="1">
      <c r="A10" s="189">
        <f t="shared" ref="A10:A35" si="0">A9+1</f>
        <v>3</v>
      </c>
      <c r="B10" s="126" t="s">
        <v>141</v>
      </c>
      <c r="C10" s="378">
        <v>18100673</v>
      </c>
      <c r="D10" s="378">
        <v>18900443</v>
      </c>
      <c r="E10" s="378">
        <v>18100683</v>
      </c>
      <c r="F10" s="378">
        <v>18900473</v>
      </c>
      <c r="G10" s="378" t="s">
        <v>157</v>
      </c>
    </row>
    <row r="11" spans="1:9" ht="11.25" customHeight="1">
      <c r="A11" s="189">
        <f t="shared" si="0"/>
        <v>4</v>
      </c>
      <c r="B11" s="126"/>
      <c r="C11" s="371"/>
      <c r="D11" s="371"/>
      <c r="E11" s="371"/>
      <c r="G11" s="371"/>
    </row>
    <row r="12" spans="1:9" ht="11.4">
      <c r="A12" s="189">
        <f t="shared" si="0"/>
        <v>5</v>
      </c>
      <c r="B12" s="379" t="s">
        <v>62</v>
      </c>
      <c r="C12" s="371"/>
      <c r="D12" s="371"/>
      <c r="E12" s="371"/>
      <c r="F12" s="371"/>
      <c r="G12" s="380"/>
    </row>
    <row r="13" spans="1:9" ht="11.4">
      <c r="A13" s="189">
        <f t="shared" si="0"/>
        <v>6</v>
      </c>
      <c r="B13" s="419" t="s">
        <v>206</v>
      </c>
      <c r="C13" s="417">
        <v>472148.49</v>
      </c>
      <c r="D13" s="417">
        <v>9140.27</v>
      </c>
      <c r="E13" s="417">
        <v>2160272.7000000002</v>
      </c>
      <c r="F13" s="417">
        <v>72682.78</v>
      </c>
      <c r="G13" s="382"/>
      <c r="I13" s="124" t="s">
        <v>183</v>
      </c>
    </row>
    <row r="14" spans="1:9" ht="11.4">
      <c r="A14" s="189">
        <f t="shared" si="0"/>
        <v>7</v>
      </c>
      <c r="B14" s="34"/>
      <c r="C14" s="383"/>
      <c r="D14" s="383"/>
      <c r="E14" s="383"/>
      <c r="F14" s="383"/>
      <c r="G14" s="382"/>
    </row>
    <row r="15" spans="1:9" ht="11.4">
      <c r="A15" s="189">
        <f t="shared" si="0"/>
        <v>8</v>
      </c>
      <c r="B15" s="393">
        <v>43466</v>
      </c>
      <c r="C15" s="383">
        <v>-10211.44</v>
      </c>
      <c r="D15" s="383">
        <v>-2285.1</v>
      </c>
      <c r="E15" s="383">
        <v>-46962.45</v>
      </c>
      <c r="F15" s="383">
        <v>-1580.06</v>
      </c>
      <c r="G15" s="382"/>
    </row>
    <row r="16" spans="1:9" ht="11.4">
      <c r="A16" s="189">
        <f t="shared" si="0"/>
        <v>9</v>
      </c>
      <c r="B16" s="393">
        <v>43497</v>
      </c>
      <c r="C16" s="383">
        <v>-10211.44</v>
      </c>
      <c r="D16" s="383">
        <v>-2285.1</v>
      </c>
      <c r="E16" s="383">
        <v>-46962.45</v>
      </c>
      <c r="F16" s="383">
        <v>-1580.06</v>
      </c>
      <c r="G16" s="382"/>
    </row>
    <row r="17" spans="1:8" ht="11.4">
      <c r="A17" s="189">
        <f t="shared" si="0"/>
        <v>10</v>
      </c>
      <c r="B17" s="393">
        <v>43525</v>
      </c>
      <c r="C17" s="383">
        <v>-10211.44</v>
      </c>
      <c r="D17" s="383">
        <v>-2285.1</v>
      </c>
      <c r="E17" s="383">
        <v>-46962.45</v>
      </c>
      <c r="F17" s="383">
        <v>-1580.06</v>
      </c>
      <c r="G17" s="382"/>
    </row>
    <row r="18" spans="1:8" ht="11.4">
      <c r="A18" s="189">
        <f>A17+1</f>
        <v>11</v>
      </c>
      <c r="B18" s="393">
        <v>43556</v>
      </c>
      <c r="C18" s="383">
        <v>-10211.44</v>
      </c>
      <c r="D18" s="383">
        <v>-2285.1</v>
      </c>
      <c r="E18" s="383">
        <v>-46962.45</v>
      </c>
      <c r="F18" s="383">
        <v>-1580.06</v>
      </c>
      <c r="G18" s="382"/>
    </row>
    <row r="19" spans="1:8" ht="11.4">
      <c r="A19" s="189">
        <f t="shared" si="0"/>
        <v>12</v>
      </c>
      <c r="B19" s="393">
        <v>43586</v>
      </c>
      <c r="C19" s="383">
        <v>-10211.44</v>
      </c>
      <c r="D19" s="383">
        <v>0</v>
      </c>
      <c r="E19" s="383">
        <v>-46962.45</v>
      </c>
      <c r="F19" s="383">
        <v>-1580.06</v>
      </c>
      <c r="G19" s="381"/>
      <c r="H19" s="356"/>
    </row>
    <row r="20" spans="1:8" ht="11.4">
      <c r="A20" s="189">
        <f t="shared" si="0"/>
        <v>13</v>
      </c>
      <c r="B20" s="393">
        <v>43617</v>
      </c>
      <c r="C20" s="383">
        <v>-10211.44</v>
      </c>
      <c r="D20" s="383">
        <v>0</v>
      </c>
      <c r="E20" s="383">
        <v>-46962.45</v>
      </c>
      <c r="F20" s="383">
        <v>-1580.06</v>
      </c>
      <c r="G20" s="382"/>
    </row>
    <row r="21" spans="1:8" ht="11.4">
      <c r="A21" s="189">
        <f t="shared" si="0"/>
        <v>14</v>
      </c>
      <c r="B21" s="393">
        <v>43647</v>
      </c>
      <c r="C21" s="383">
        <v>-10211.44</v>
      </c>
      <c r="D21" s="383">
        <v>0</v>
      </c>
      <c r="E21" s="383">
        <v>-46962.45</v>
      </c>
      <c r="F21" s="383">
        <v>-1580.06</v>
      </c>
      <c r="G21" s="382"/>
    </row>
    <row r="22" spans="1:8" ht="11.4">
      <c r="A22" s="189">
        <f t="shared" si="0"/>
        <v>15</v>
      </c>
      <c r="B22" s="393">
        <v>43678</v>
      </c>
      <c r="C22" s="383">
        <v>-10211.44</v>
      </c>
      <c r="D22" s="383">
        <v>0</v>
      </c>
      <c r="E22" s="383">
        <v>-46962.45</v>
      </c>
      <c r="F22" s="383">
        <v>-1580.06</v>
      </c>
      <c r="G22" s="382"/>
    </row>
    <row r="23" spans="1:8" ht="11.4">
      <c r="A23" s="189">
        <f t="shared" si="0"/>
        <v>16</v>
      </c>
      <c r="B23" s="393">
        <v>43709</v>
      </c>
      <c r="C23" s="383">
        <v>-10211.44</v>
      </c>
      <c r="D23" s="383">
        <v>0</v>
      </c>
      <c r="E23" s="383">
        <f>-46691.46</f>
        <v>-46691.46</v>
      </c>
      <c r="F23" s="383">
        <v>-1580.06</v>
      </c>
      <c r="G23" s="382"/>
    </row>
    <row r="24" spans="1:8" ht="11.4">
      <c r="A24" s="189">
        <f t="shared" si="0"/>
        <v>17</v>
      </c>
      <c r="B24" s="393">
        <v>43739</v>
      </c>
      <c r="C24" s="383">
        <v>-10211.44</v>
      </c>
      <c r="D24" s="383">
        <v>0</v>
      </c>
      <c r="E24" s="383">
        <f>-47507.89</f>
        <v>-47507.89</v>
      </c>
      <c r="F24" s="383">
        <v>-1580.06</v>
      </c>
      <c r="G24" s="382"/>
    </row>
    <row r="25" spans="1:8" ht="11.4">
      <c r="A25" s="189">
        <v>18</v>
      </c>
      <c r="B25" s="393">
        <v>43770</v>
      </c>
      <c r="C25" s="383">
        <v>-10211.44</v>
      </c>
      <c r="D25" s="383">
        <v>0</v>
      </c>
      <c r="E25" s="383">
        <f>-47507.89</f>
        <v>-47507.89</v>
      </c>
      <c r="F25" s="383">
        <v>-1580.06</v>
      </c>
      <c r="G25" s="382"/>
    </row>
    <row r="26" spans="1:8" ht="12" thickBot="1">
      <c r="A26" s="189">
        <v>19</v>
      </c>
      <c r="B26" s="393">
        <v>43800</v>
      </c>
      <c r="C26" s="383">
        <v>-10211.44</v>
      </c>
      <c r="D26" s="383">
        <v>0</v>
      </c>
      <c r="E26" s="383">
        <f>-47576.01</f>
        <v>-47576.01</v>
      </c>
      <c r="F26" s="383">
        <v>-1580.06</v>
      </c>
      <c r="G26" s="382"/>
    </row>
    <row r="27" spans="1:8" ht="12.6" thickBot="1">
      <c r="A27" s="189">
        <f>A26+1</f>
        <v>20</v>
      </c>
      <c r="B27" s="384" t="s">
        <v>205</v>
      </c>
      <c r="C27" s="390">
        <f>SUM(C15:C26)</f>
        <v>-122537.28000000001</v>
      </c>
      <c r="D27" s="390">
        <f t="shared" ref="D27:F27" si="1">SUM(D15:D26)</f>
        <v>-9140.4</v>
      </c>
      <c r="E27" s="390">
        <f t="shared" si="1"/>
        <v>-564982.85000000009</v>
      </c>
      <c r="F27" s="390">
        <f t="shared" si="1"/>
        <v>-18960.719999999998</v>
      </c>
      <c r="G27" s="391">
        <f>SUM(C27:F27)</f>
        <v>-715621.25000000012</v>
      </c>
    </row>
    <row r="28" spans="1:8" ht="11.4">
      <c r="A28" s="189">
        <f t="shared" si="0"/>
        <v>21</v>
      </c>
      <c r="B28" s="379"/>
      <c r="C28" s="385"/>
      <c r="D28" s="385"/>
      <c r="E28" s="385"/>
      <c r="F28" s="385"/>
      <c r="G28" s="380"/>
    </row>
    <row r="29" spans="1:8" ht="11.4">
      <c r="A29" s="189">
        <f t="shared" si="0"/>
        <v>22</v>
      </c>
      <c r="B29" s="386" t="s">
        <v>154</v>
      </c>
      <c r="C29" s="383"/>
      <c r="D29" s="383"/>
      <c r="E29" s="383">
        <f>550000+40005+3201.51</f>
        <v>593206.51</v>
      </c>
      <c r="F29" s="383"/>
      <c r="G29" s="382"/>
    </row>
    <row r="30" spans="1:8" ht="11.4">
      <c r="A30" s="189">
        <f t="shared" si="0"/>
        <v>23</v>
      </c>
      <c r="B30" s="387" t="s">
        <v>155</v>
      </c>
      <c r="D30" s="383"/>
      <c r="E30" s="383"/>
      <c r="F30" s="383"/>
      <c r="G30" s="382"/>
    </row>
    <row r="31" spans="1:8" ht="12" thickBot="1">
      <c r="A31" s="189">
        <f t="shared" si="0"/>
        <v>24</v>
      </c>
      <c r="B31" s="203" t="s">
        <v>63</v>
      </c>
      <c r="C31" s="392">
        <f t="shared" ref="C31:F31" si="2">C13+C27+C29+C30</f>
        <v>349611.20999999996</v>
      </c>
      <c r="D31" s="392">
        <f t="shared" si="2"/>
        <v>-0.12999999999919964</v>
      </c>
      <c r="E31" s="392">
        <f t="shared" si="2"/>
        <v>2188496.3600000003</v>
      </c>
      <c r="F31" s="392">
        <f t="shared" si="2"/>
        <v>53722.06</v>
      </c>
      <c r="G31" s="382"/>
    </row>
    <row r="32" spans="1:8" ht="12.6" thickTop="1">
      <c r="A32" s="189">
        <f t="shared" si="0"/>
        <v>25</v>
      </c>
      <c r="B32" s="388"/>
      <c r="C32" s="371"/>
      <c r="D32" s="371"/>
      <c r="E32" s="371"/>
      <c r="F32" s="371"/>
      <c r="G32" s="371"/>
    </row>
    <row r="33" spans="1:8" ht="12">
      <c r="A33" s="189">
        <f t="shared" si="0"/>
        <v>26</v>
      </c>
      <c r="B33" s="35" t="s">
        <v>194</v>
      </c>
      <c r="C33" s="381"/>
      <c r="D33" s="381"/>
      <c r="E33" s="381"/>
      <c r="F33" s="381"/>
      <c r="G33" s="34">
        <f>'New Format'!C30</f>
        <v>8410342420</v>
      </c>
    </row>
    <row r="34" spans="1:8" ht="11.4">
      <c r="A34" s="189">
        <f t="shared" si="0"/>
        <v>27</v>
      </c>
      <c r="B34" s="34"/>
      <c r="C34" s="389"/>
      <c r="D34" s="389"/>
      <c r="E34" s="389"/>
      <c r="F34" s="389"/>
      <c r="G34" s="34"/>
    </row>
    <row r="35" spans="1:8" ht="12">
      <c r="A35" s="189">
        <f t="shared" si="0"/>
        <v>28</v>
      </c>
      <c r="B35" s="35" t="s">
        <v>195</v>
      </c>
      <c r="C35" s="34"/>
      <c r="D35" s="34"/>
      <c r="E35" s="34"/>
      <c r="F35" s="34"/>
      <c r="G35" s="422">
        <f>ROUND(-G27/G33,4)</f>
        <v>1E-4</v>
      </c>
      <c r="H35" s="438"/>
    </row>
    <row r="36" spans="1:8">
      <c r="A36" s="189"/>
    </row>
    <row r="37" spans="1:8">
      <c r="A37" s="189"/>
    </row>
    <row r="38" spans="1:8">
      <c r="A38" s="189"/>
      <c r="B38" s="218"/>
    </row>
    <row r="39" spans="1:8">
      <c r="A39" s="189"/>
    </row>
    <row r="40" spans="1:8">
      <c r="A40" s="189"/>
    </row>
    <row r="41" spans="1:8">
      <c r="A41" s="189"/>
    </row>
    <row r="42" spans="1:8">
      <c r="A42" s="189"/>
    </row>
    <row r="43" spans="1:8">
      <c r="A43" s="189"/>
      <c r="B43" s="159"/>
    </row>
    <row r="44" spans="1:8">
      <c r="A44" s="189"/>
    </row>
    <row r="45" spans="1:8">
      <c r="A45" s="189"/>
    </row>
    <row r="46" spans="1:8">
      <c r="A46" s="189"/>
      <c r="B46" s="220"/>
    </row>
    <row r="47" spans="1:8">
      <c r="A47" s="189"/>
    </row>
    <row r="48" spans="1:8">
      <c r="A48" s="189"/>
    </row>
    <row r="49" spans="1:2">
      <c r="A49" s="189"/>
    </row>
    <row r="50" spans="1:2">
      <c r="A50" s="189"/>
    </row>
    <row r="51" spans="1:2">
      <c r="A51" s="189"/>
    </row>
    <row r="52" spans="1:2">
      <c r="A52" s="189"/>
    </row>
    <row r="53" spans="1:2">
      <c r="A53" s="189"/>
      <c r="B53" s="160"/>
    </row>
    <row r="54" spans="1:2">
      <c r="A54" s="189"/>
      <c r="B54" s="160"/>
    </row>
    <row r="55" spans="1:2">
      <c r="A55" s="189"/>
      <c r="B55" s="220"/>
    </row>
  </sheetData>
  <phoneticPr fontId="24" type="noConversion"/>
  <pageMargins left="0.79" right="0.67" top="0.44" bottom="0.44" header="0.23" footer="0.17"/>
  <pageSetup scale="96" orientation="landscape" r:id="rId1"/>
  <headerFooter alignWithMargins="0">
    <oddFooter>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C165"/>
  <sheetViews>
    <sheetView zoomScaleNormal="100" workbookViewId="0">
      <pane xSplit="5" ySplit="5" topLeftCell="F18" activePane="bottomRight" state="frozen"/>
      <selection activeCell="F32" sqref="F32"/>
      <selection pane="topRight" activeCell="F32" sqref="F32"/>
      <selection pane="bottomLeft" activeCell="F32" sqref="F32"/>
      <selection pane="bottomRight" activeCell="I28" sqref="I28"/>
    </sheetView>
  </sheetViews>
  <sheetFormatPr defaultColWidth="8.85546875" defaultRowHeight="13.2" outlineLevelCol="1"/>
  <cols>
    <col min="1" max="1" width="5.7109375" style="25" bestFit="1" customWidth="1"/>
    <col min="2" max="2" width="7" style="23" customWidth="1"/>
    <col min="3" max="3" width="8.28515625" style="23" customWidth="1"/>
    <col min="4" max="5" width="7.140625" style="23" customWidth="1"/>
    <col min="6" max="6" width="10" style="26" customWidth="1"/>
    <col min="7" max="7" width="9.85546875" style="23" customWidth="1"/>
    <col min="8" max="8" width="8" style="23" customWidth="1"/>
    <col min="9" max="9" width="7.85546875" style="26" customWidth="1"/>
    <col min="10" max="11" width="9.140625" style="23" customWidth="1"/>
    <col min="12" max="12" width="9.85546875" style="23" customWidth="1"/>
    <col min="13" max="13" width="9.140625" style="23" customWidth="1"/>
    <col min="14" max="14" width="9.85546875" style="23" customWidth="1"/>
    <col min="15" max="23" width="8.85546875" style="23" customWidth="1"/>
    <col min="24" max="24" width="8.85546875" style="23" customWidth="1" outlineLevel="1"/>
    <col min="25" max="25" width="12.28515625" style="23" customWidth="1" outlineLevel="1"/>
    <col min="26" max="26" width="14.7109375" style="23" customWidth="1" outlineLevel="1"/>
    <col min="27" max="27" width="12.7109375" style="23" customWidth="1"/>
    <col min="28" max="28" width="8.85546875" style="23"/>
    <col min="29" max="30" width="10.85546875" style="23" bestFit="1" customWidth="1"/>
    <col min="31" max="16384" width="8.85546875" style="23"/>
  </cols>
  <sheetData>
    <row r="1" spans="1:25" ht="12.75" customHeight="1">
      <c r="A1" s="230" t="s">
        <v>90</v>
      </c>
      <c r="B1" s="154"/>
      <c r="C1" s="154"/>
      <c r="D1" s="153"/>
      <c r="E1" s="155"/>
      <c r="F1" s="153"/>
      <c r="G1" s="154"/>
      <c r="H1" s="154"/>
      <c r="I1" s="154"/>
    </row>
    <row r="2" spans="1:25" s="56" customFormat="1" ht="12.75" customHeight="1">
      <c r="A2" s="263" t="str">
        <f>'New Format'!B5</f>
        <v>For The 12 Months Ending December 31, 2019</v>
      </c>
      <c r="B2" s="156"/>
      <c r="C2" s="156"/>
      <c r="D2" s="156"/>
      <c r="E2" s="157"/>
      <c r="F2" s="156"/>
      <c r="G2" s="158"/>
      <c r="H2" s="157"/>
      <c r="I2" s="156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</row>
    <row r="3" spans="1:25" s="56" customFormat="1" ht="12.75" customHeight="1">
      <c r="A3" s="263"/>
      <c r="B3" s="156"/>
      <c r="C3" s="156"/>
      <c r="D3" s="156"/>
      <c r="E3" s="157"/>
      <c r="F3" s="156"/>
      <c r="G3" s="158"/>
      <c r="H3" s="157"/>
      <c r="I3" s="156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</row>
    <row r="4" spans="1:25" ht="11.1" customHeight="1">
      <c r="A4" s="176" t="s">
        <v>5</v>
      </c>
      <c r="B4" s="176" t="s">
        <v>27</v>
      </c>
      <c r="C4" s="176" t="s">
        <v>52</v>
      </c>
      <c r="D4" s="176" t="s">
        <v>64</v>
      </c>
      <c r="E4" s="176" t="s">
        <v>65</v>
      </c>
      <c r="F4" s="176" t="s">
        <v>66</v>
      </c>
      <c r="G4" s="176" t="s">
        <v>67</v>
      </c>
      <c r="H4" s="176" t="s">
        <v>68</v>
      </c>
      <c r="I4" s="176" t="s">
        <v>69</v>
      </c>
      <c r="J4" s="176" t="s">
        <v>68</v>
      </c>
      <c r="K4" s="176" t="s">
        <v>69</v>
      </c>
      <c r="L4" s="176" t="s">
        <v>68</v>
      </c>
      <c r="M4" s="176" t="s">
        <v>69</v>
      </c>
      <c r="N4" s="176" t="s">
        <v>68</v>
      </c>
      <c r="O4" s="176" t="s">
        <v>69</v>
      </c>
      <c r="P4" s="176" t="s">
        <v>68</v>
      </c>
      <c r="Q4" s="176" t="s">
        <v>69</v>
      </c>
      <c r="R4" s="176" t="s">
        <v>68</v>
      </c>
      <c r="S4" s="176" t="s">
        <v>69</v>
      </c>
      <c r="T4" s="176" t="s">
        <v>68</v>
      </c>
      <c r="U4" s="176" t="s">
        <v>69</v>
      </c>
      <c r="V4" s="176" t="s">
        <v>68</v>
      </c>
      <c r="W4" s="176"/>
      <c r="X4" s="395" t="s">
        <v>166</v>
      </c>
    </row>
    <row r="5" spans="1:25" ht="31.2">
      <c r="A5" s="351">
        <v>1</v>
      </c>
      <c r="B5" s="352" t="s">
        <v>120</v>
      </c>
      <c r="C5" s="352" t="s">
        <v>94</v>
      </c>
      <c r="D5" s="352" t="s">
        <v>57</v>
      </c>
      <c r="E5" s="352" t="s">
        <v>98</v>
      </c>
      <c r="F5" s="352" t="s">
        <v>111</v>
      </c>
      <c r="G5" s="352" t="s">
        <v>84</v>
      </c>
      <c r="H5" s="352" t="s">
        <v>88</v>
      </c>
      <c r="I5" s="352" t="s">
        <v>80</v>
      </c>
      <c r="J5" s="353">
        <f>'Pg 2 CapStructure'!C6</f>
        <v>43465</v>
      </c>
      <c r="K5" s="353">
        <f>'Pg 2 CapStructure'!D6</f>
        <v>43496</v>
      </c>
      <c r="L5" s="353">
        <f>'Pg 2 CapStructure'!E6</f>
        <v>43524</v>
      </c>
      <c r="M5" s="353">
        <f>'Pg 2 CapStructure'!F6</f>
        <v>43555</v>
      </c>
      <c r="N5" s="353">
        <f>'Pg 2 CapStructure'!G6</f>
        <v>43585</v>
      </c>
      <c r="O5" s="353">
        <f>'Pg 2 CapStructure'!H6</f>
        <v>43616</v>
      </c>
      <c r="P5" s="353">
        <f>'Pg 2 CapStructure'!I6</f>
        <v>43646</v>
      </c>
      <c r="Q5" s="353">
        <f>'Pg 2 CapStructure'!J6</f>
        <v>43677</v>
      </c>
      <c r="R5" s="353">
        <f>'Pg 2 CapStructure'!K6</f>
        <v>43708</v>
      </c>
      <c r="S5" s="353">
        <f>'Pg 2 CapStructure'!L6</f>
        <v>43738</v>
      </c>
      <c r="T5" s="353">
        <f>'Pg 2 CapStructure'!M6</f>
        <v>43769</v>
      </c>
      <c r="U5" s="353">
        <f>'Pg 2 CapStructure'!N6</f>
        <v>43799</v>
      </c>
      <c r="V5" s="353">
        <f>'Pg 2 CapStructure'!O6</f>
        <v>43830</v>
      </c>
      <c r="W5" s="353"/>
      <c r="X5" s="396" t="s">
        <v>38</v>
      </c>
      <c r="Y5" s="396" t="s">
        <v>167</v>
      </c>
    </row>
    <row r="6" spans="1:25" s="27" customFormat="1">
      <c r="A6" s="454">
        <v>2</v>
      </c>
      <c r="B6" s="290" t="s">
        <v>23</v>
      </c>
      <c r="C6" s="442">
        <v>7.1499999999999994E-2</v>
      </c>
      <c r="D6" s="443">
        <v>35053</v>
      </c>
      <c r="E6" s="443">
        <v>46010</v>
      </c>
      <c r="F6" s="268">
        <f t="shared" ref="F6:F21" si="0">ROUND(((J6+V6)+(SUM(K6:U6)*2))/24,0)</f>
        <v>15000000</v>
      </c>
      <c r="G6" s="279">
        <v>99.211911999999998</v>
      </c>
      <c r="H6" s="444">
        <f t="shared" ref="H6:H9" si="1">ROUND(YIELD(D6,E6,C6,G6,100,2,2),4)</f>
        <v>7.2099999999999997E-2</v>
      </c>
      <c r="I6" s="268">
        <f t="shared" ref="I6:I9" si="2">ROUND(+H6*F6,0)</f>
        <v>1081500</v>
      </c>
      <c r="J6" s="268">
        <v>15000000</v>
      </c>
      <c r="K6" s="268">
        <v>15000000</v>
      </c>
      <c r="L6" s="268">
        <v>15000000</v>
      </c>
      <c r="M6" s="268">
        <v>15000000</v>
      </c>
      <c r="N6" s="268">
        <v>15000000</v>
      </c>
      <c r="O6" s="268">
        <v>15000000</v>
      </c>
      <c r="P6" s="268">
        <v>15000000</v>
      </c>
      <c r="Q6" s="268">
        <v>15000000</v>
      </c>
      <c r="R6" s="268">
        <v>15000000</v>
      </c>
      <c r="S6" s="268">
        <v>15000000</v>
      </c>
      <c r="T6" s="268">
        <v>15000000</v>
      </c>
      <c r="U6" s="268">
        <v>15000000</v>
      </c>
      <c r="V6" s="268">
        <v>15000000</v>
      </c>
      <c r="W6" s="268"/>
      <c r="X6" s="268">
        <f>H6*V6</f>
        <v>1081500</v>
      </c>
    </row>
    <row r="7" spans="1:25" s="27" customFormat="1">
      <c r="A7" s="441">
        <v>3</v>
      </c>
      <c r="B7" s="290" t="s">
        <v>23</v>
      </c>
      <c r="C7" s="442">
        <v>7.1999999999999995E-2</v>
      </c>
      <c r="D7" s="443">
        <v>35054</v>
      </c>
      <c r="E7" s="443">
        <v>46013</v>
      </c>
      <c r="F7" s="268">
        <f t="shared" si="0"/>
        <v>2000000</v>
      </c>
      <c r="G7" s="279">
        <v>99.211600000000004</v>
      </c>
      <c r="H7" s="444">
        <f t="shared" si="1"/>
        <v>7.2599999999999998E-2</v>
      </c>
      <c r="I7" s="268">
        <f t="shared" si="2"/>
        <v>145200</v>
      </c>
      <c r="J7" s="268">
        <v>2000000</v>
      </c>
      <c r="K7" s="268">
        <v>2000000</v>
      </c>
      <c r="L7" s="268">
        <v>2000000</v>
      </c>
      <c r="M7" s="268">
        <v>2000000</v>
      </c>
      <c r="N7" s="268">
        <v>2000000</v>
      </c>
      <c r="O7" s="268">
        <v>2000000</v>
      </c>
      <c r="P7" s="268">
        <v>2000000</v>
      </c>
      <c r="Q7" s="268">
        <v>2000000</v>
      </c>
      <c r="R7" s="268">
        <v>2000000</v>
      </c>
      <c r="S7" s="268">
        <v>2000000</v>
      </c>
      <c r="T7" s="268">
        <v>2000000</v>
      </c>
      <c r="U7" s="268">
        <v>2000000</v>
      </c>
      <c r="V7" s="268">
        <v>2000000</v>
      </c>
      <c r="W7" s="268"/>
      <c r="X7" s="268">
        <f t="shared" ref="X7:X23" si="3">H7*V7</f>
        <v>145200</v>
      </c>
    </row>
    <row r="8" spans="1:25" s="27" customFormat="1">
      <c r="A8" s="454">
        <v>4</v>
      </c>
      <c r="B8" s="290" t="s">
        <v>21</v>
      </c>
      <c r="C8" s="442">
        <v>7.0199999999999999E-2</v>
      </c>
      <c r="D8" s="443">
        <v>35786</v>
      </c>
      <c r="E8" s="443">
        <v>46722</v>
      </c>
      <c r="F8" s="268">
        <f t="shared" si="0"/>
        <v>300000000</v>
      </c>
      <c r="G8" s="279">
        <v>98.985735776666658</v>
      </c>
      <c r="H8" s="444">
        <f t="shared" si="1"/>
        <v>7.0999999999999994E-2</v>
      </c>
      <c r="I8" s="268">
        <f t="shared" si="2"/>
        <v>21300000</v>
      </c>
      <c r="J8" s="268">
        <v>300000000</v>
      </c>
      <c r="K8" s="268">
        <v>300000000</v>
      </c>
      <c r="L8" s="268">
        <v>300000000</v>
      </c>
      <c r="M8" s="268">
        <v>300000000</v>
      </c>
      <c r="N8" s="268">
        <v>300000000</v>
      </c>
      <c r="O8" s="268">
        <v>300000000</v>
      </c>
      <c r="P8" s="268">
        <v>300000000</v>
      </c>
      <c r="Q8" s="268">
        <v>300000000</v>
      </c>
      <c r="R8" s="268">
        <v>300000000</v>
      </c>
      <c r="S8" s="268">
        <v>300000000</v>
      </c>
      <c r="T8" s="268">
        <v>300000000</v>
      </c>
      <c r="U8" s="268">
        <v>300000000</v>
      </c>
      <c r="V8" s="268">
        <v>300000000</v>
      </c>
      <c r="W8" s="268"/>
      <c r="X8" s="268">
        <f t="shared" si="3"/>
        <v>21299999.999999996</v>
      </c>
    </row>
    <row r="9" spans="1:25" s="289" customFormat="1">
      <c r="A9" s="441">
        <v>5</v>
      </c>
      <c r="B9" s="290" t="s">
        <v>22</v>
      </c>
      <c r="C9" s="442">
        <v>7.0000000000000007E-2</v>
      </c>
      <c r="D9" s="443">
        <v>36228</v>
      </c>
      <c r="E9" s="443">
        <v>47186</v>
      </c>
      <c r="F9" s="268">
        <f t="shared" si="0"/>
        <v>100000000</v>
      </c>
      <c r="G9" s="279">
        <v>99.042870549999989</v>
      </c>
      <c r="H9" s="444">
        <f t="shared" si="1"/>
        <v>7.0800000000000002E-2</v>
      </c>
      <c r="I9" s="268">
        <f t="shared" si="2"/>
        <v>7080000</v>
      </c>
      <c r="J9" s="268">
        <v>100000000</v>
      </c>
      <c r="K9" s="268">
        <v>100000000</v>
      </c>
      <c r="L9" s="268">
        <v>100000000</v>
      </c>
      <c r="M9" s="268">
        <v>100000000</v>
      </c>
      <c r="N9" s="268">
        <v>100000000</v>
      </c>
      <c r="O9" s="268">
        <v>100000000</v>
      </c>
      <c r="P9" s="268">
        <v>100000000</v>
      </c>
      <c r="Q9" s="268">
        <v>100000000</v>
      </c>
      <c r="R9" s="268">
        <v>100000000</v>
      </c>
      <c r="S9" s="268">
        <v>100000000</v>
      </c>
      <c r="T9" s="268">
        <v>100000000</v>
      </c>
      <c r="U9" s="268">
        <v>100000000</v>
      </c>
      <c r="V9" s="268">
        <v>100000000</v>
      </c>
      <c r="W9" s="268"/>
      <c r="X9" s="268">
        <f t="shared" si="3"/>
        <v>7080000</v>
      </c>
      <c r="Y9" s="27"/>
    </row>
    <row r="10" spans="1:25" s="289" customFormat="1">
      <c r="A10" s="454">
        <v>6</v>
      </c>
      <c r="B10" s="455" t="s">
        <v>24</v>
      </c>
      <c r="C10" s="442">
        <v>3.9E-2</v>
      </c>
      <c r="D10" s="456">
        <v>41417</v>
      </c>
      <c r="E10" s="457">
        <v>47908</v>
      </c>
      <c r="F10" s="268">
        <f t="shared" si="0"/>
        <v>138460000</v>
      </c>
      <c r="G10" s="279">
        <v>98.939099999999996</v>
      </c>
      <c r="H10" s="444">
        <f t="shared" ref="H10:H22" si="4">ROUND(YIELD(D10,E10,C10,G10,100,2,2),4)</f>
        <v>3.9800000000000002E-2</v>
      </c>
      <c r="I10" s="268">
        <f t="shared" ref="I10:I23" si="5">ROUND(+H10*F10,0)</f>
        <v>5510708</v>
      </c>
      <c r="J10" s="268">
        <v>138460000</v>
      </c>
      <c r="K10" s="268">
        <v>138460000</v>
      </c>
      <c r="L10" s="268">
        <v>138460000</v>
      </c>
      <c r="M10" s="268">
        <v>138460000</v>
      </c>
      <c r="N10" s="268">
        <v>138460000</v>
      </c>
      <c r="O10" s="268">
        <v>138460000</v>
      </c>
      <c r="P10" s="268">
        <v>138460000</v>
      </c>
      <c r="Q10" s="268">
        <v>138460000</v>
      </c>
      <c r="R10" s="268">
        <v>138460000</v>
      </c>
      <c r="S10" s="268">
        <v>138460000</v>
      </c>
      <c r="T10" s="268">
        <v>138460000</v>
      </c>
      <c r="U10" s="268">
        <v>138460000</v>
      </c>
      <c r="V10" s="268">
        <v>138460000</v>
      </c>
      <c r="W10" s="268"/>
      <c r="X10" s="268">
        <f t="shared" si="3"/>
        <v>5510708</v>
      </c>
    </row>
    <row r="11" spans="1:25" s="289" customFormat="1">
      <c r="A11" s="441">
        <v>7</v>
      </c>
      <c r="B11" s="455" t="s">
        <v>24</v>
      </c>
      <c r="C11" s="442">
        <v>0.04</v>
      </c>
      <c r="D11" s="456">
        <v>41417</v>
      </c>
      <c r="E11" s="457">
        <v>47908</v>
      </c>
      <c r="F11" s="268">
        <f t="shared" si="0"/>
        <v>23400000</v>
      </c>
      <c r="G11" s="279">
        <v>98.939099999999996</v>
      </c>
      <c r="H11" s="444">
        <f t="shared" si="4"/>
        <v>4.0800000000000003E-2</v>
      </c>
      <c r="I11" s="268">
        <f t="shared" si="5"/>
        <v>954720</v>
      </c>
      <c r="J11" s="268">
        <v>23400000</v>
      </c>
      <c r="K11" s="268">
        <v>23400000</v>
      </c>
      <c r="L11" s="268">
        <v>23400000</v>
      </c>
      <c r="M11" s="268">
        <v>23400000</v>
      </c>
      <c r="N11" s="268">
        <v>23400000</v>
      </c>
      <c r="O11" s="268">
        <v>23400000</v>
      </c>
      <c r="P11" s="268">
        <v>23400000</v>
      </c>
      <c r="Q11" s="268">
        <v>23400000</v>
      </c>
      <c r="R11" s="268">
        <v>23400000</v>
      </c>
      <c r="S11" s="268">
        <v>23400000</v>
      </c>
      <c r="T11" s="268">
        <v>23400000</v>
      </c>
      <c r="U11" s="268">
        <v>23400000</v>
      </c>
      <c r="V11" s="268">
        <v>23400000</v>
      </c>
      <c r="W11" s="268"/>
      <c r="X11" s="268">
        <f t="shared" si="3"/>
        <v>954720.00000000012</v>
      </c>
    </row>
    <row r="12" spans="1:25" s="289" customFormat="1">
      <c r="A12" s="454">
        <v>8</v>
      </c>
      <c r="B12" s="290" t="s">
        <v>89</v>
      </c>
      <c r="C12" s="442">
        <v>5.4829999999999997E-2</v>
      </c>
      <c r="D12" s="443">
        <v>38499</v>
      </c>
      <c r="E12" s="443">
        <v>49461</v>
      </c>
      <c r="F12" s="268">
        <f t="shared" si="0"/>
        <v>250000000</v>
      </c>
      <c r="G12" s="279">
        <v>84.886606835999999</v>
      </c>
      <c r="H12" s="444">
        <f t="shared" si="4"/>
        <v>6.6500000000000004E-2</v>
      </c>
      <c r="I12" s="271">
        <f t="shared" si="5"/>
        <v>16625000</v>
      </c>
      <c r="J12" s="271">
        <v>250000000</v>
      </c>
      <c r="K12" s="271">
        <v>250000000</v>
      </c>
      <c r="L12" s="271">
        <v>250000000</v>
      </c>
      <c r="M12" s="271">
        <v>250000000</v>
      </c>
      <c r="N12" s="271">
        <v>250000000</v>
      </c>
      <c r="O12" s="271">
        <v>250000000</v>
      </c>
      <c r="P12" s="271">
        <v>250000000</v>
      </c>
      <c r="Q12" s="271">
        <v>250000000</v>
      </c>
      <c r="R12" s="271">
        <v>250000000</v>
      </c>
      <c r="S12" s="271">
        <v>250000000</v>
      </c>
      <c r="T12" s="271">
        <v>250000000</v>
      </c>
      <c r="U12" s="271">
        <v>250000000</v>
      </c>
      <c r="V12" s="271">
        <v>250000000</v>
      </c>
      <c r="W12" s="271"/>
      <c r="X12" s="268">
        <f t="shared" si="3"/>
        <v>16625000</v>
      </c>
    </row>
    <row r="13" spans="1:25" s="289" customFormat="1">
      <c r="A13" s="441">
        <v>9</v>
      </c>
      <c r="B13" s="290" t="s">
        <v>89</v>
      </c>
      <c r="C13" s="442">
        <v>6.7239999999999994E-2</v>
      </c>
      <c r="D13" s="443">
        <v>38898</v>
      </c>
      <c r="E13" s="443">
        <v>49841</v>
      </c>
      <c r="F13" s="268">
        <f t="shared" si="0"/>
        <v>250000000</v>
      </c>
      <c r="G13" s="279">
        <v>107.515271756</v>
      </c>
      <c r="H13" s="444">
        <f t="shared" si="4"/>
        <v>6.1699999999999998E-2</v>
      </c>
      <c r="I13" s="271">
        <f t="shared" si="5"/>
        <v>15425000</v>
      </c>
      <c r="J13" s="271">
        <v>250000000</v>
      </c>
      <c r="K13" s="271">
        <v>250000000</v>
      </c>
      <c r="L13" s="271">
        <v>250000000</v>
      </c>
      <c r="M13" s="271">
        <v>250000000</v>
      </c>
      <c r="N13" s="271">
        <v>250000000</v>
      </c>
      <c r="O13" s="271">
        <v>250000000</v>
      </c>
      <c r="P13" s="271">
        <v>250000000</v>
      </c>
      <c r="Q13" s="271">
        <v>250000000</v>
      </c>
      <c r="R13" s="271">
        <v>250000000</v>
      </c>
      <c r="S13" s="271">
        <v>250000000</v>
      </c>
      <c r="T13" s="271">
        <v>250000000</v>
      </c>
      <c r="U13" s="271">
        <v>250000000</v>
      </c>
      <c r="V13" s="271">
        <v>250000000</v>
      </c>
      <c r="W13" s="271"/>
      <c r="X13" s="268">
        <f t="shared" si="3"/>
        <v>15425000</v>
      </c>
    </row>
    <row r="14" spans="1:25" s="289" customFormat="1">
      <c r="A14" s="454">
        <v>10</v>
      </c>
      <c r="B14" s="290" t="s">
        <v>89</v>
      </c>
      <c r="C14" s="442">
        <v>6.2740000000000004E-2</v>
      </c>
      <c r="D14" s="443">
        <v>38978</v>
      </c>
      <c r="E14" s="443">
        <v>50114</v>
      </c>
      <c r="F14" s="268">
        <f t="shared" si="0"/>
        <v>300000000</v>
      </c>
      <c r="G14" s="279">
        <v>98.812700000000007</v>
      </c>
      <c r="H14" s="444">
        <f t="shared" si="4"/>
        <v>6.3600000000000004E-2</v>
      </c>
      <c r="I14" s="271">
        <f t="shared" si="5"/>
        <v>19080000</v>
      </c>
      <c r="J14" s="271">
        <v>300000000</v>
      </c>
      <c r="K14" s="271">
        <v>300000000</v>
      </c>
      <c r="L14" s="271">
        <v>300000000</v>
      </c>
      <c r="M14" s="271">
        <v>300000000</v>
      </c>
      <c r="N14" s="271">
        <v>300000000</v>
      </c>
      <c r="O14" s="271">
        <v>300000000</v>
      </c>
      <c r="P14" s="271">
        <v>300000000</v>
      </c>
      <c r="Q14" s="271">
        <v>300000000</v>
      </c>
      <c r="R14" s="271">
        <v>300000000</v>
      </c>
      <c r="S14" s="271">
        <v>300000000</v>
      </c>
      <c r="T14" s="271">
        <v>300000000</v>
      </c>
      <c r="U14" s="271">
        <v>300000000</v>
      </c>
      <c r="V14" s="271">
        <v>300000000</v>
      </c>
      <c r="W14" s="271"/>
      <c r="X14" s="268">
        <f t="shared" si="3"/>
        <v>19080000</v>
      </c>
    </row>
    <row r="15" spans="1:25" s="289" customFormat="1">
      <c r="A15" s="441">
        <v>11</v>
      </c>
      <c r="B15" s="290" t="s">
        <v>89</v>
      </c>
      <c r="C15" s="442">
        <v>5.7570000000000003E-2</v>
      </c>
      <c r="D15" s="443">
        <v>40067</v>
      </c>
      <c r="E15" s="443">
        <v>51058</v>
      </c>
      <c r="F15" s="268">
        <f t="shared" si="0"/>
        <v>350000000</v>
      </c>
      <c r="G15" s="279">
        <v>98.983599999999996</v>
      </c>
      <c r="H15" s="444">
        <f t="shared" si="4"/>
        <v>5.8299999999999998E-2</v>
      </c>
      <c r="I15" s="271">
        <f t="shared" si="5"/>
        <v>20405000</v>
      </c>
      <c r="J15" s="271">
        <v>350000000</v>
      </c>
      <c r="K15" s="271">
        <v>350000000</v>
      </c>
      <c r="L15" s="271">
        <v>350000000</v>
      </c>
      <c r="M15" s="271">
        <v>350000000</v>
      </c>
      <c r="N15" s="271">
        <v>350000000</v>
      </c>
      <c r="O15" s="271">
        <v>350000000</v>
      </c>
      <c r="P15" s="271">
        <v>350000000</v>
      </c>
      <c r="Q15" s="271">
        <v>350000000</v>
      </c>
      <c r="R15" s="271">
        <v>350000000</v>
      </c>
      <c r="S15" s="271">
        <v>350000000</v>
      </c>
      <c r="T15" s="271">
        <v>350000000</v>
      </c>
      <c r="U15" s="271">
        <v>350000000</v>
      </c>
      <c r="V15" s="271">
        <v>350000000</v>
      </c>
      <c r="W15" s="271"/>
      <c r="X15" s="268">
        <f t="shared" si="3"/>
        <v>20405000</v>
      </c>
    </row>
    <row r="16" spans="1:25" s="289" customFormat="1">
      <c r="A16" s="454">
        <v>12</v>
      </c>
      <c r="B16" s="290" t="s">
        <v>89</v>
      </c>
      <c r="C16" s="442">
        <v>5.7950000000000002E-2</v>
      </c>
      <c r="D16" s="443">
        <v>40245</v>
      </c>
      <c r="E16" s="443">
        <v>51210</v>
      </c>
      <c r="F16" s="268">
        <f t="shared" si="0"/>
        <v>325000000</v>
      </c>
      <c r="G16" s="279">
        <v>98.958799999999997</v>
      </c>
      <c r="H16" s="444">
        <f t="shared" si="4"/>
        <v>5.8700000000000002E-2</v>
      </c>
      <c r="I16" s="271">
        <f t="shared" si="5"/>
        <v>19077500</v>
      </c>
      <c r="J16" s="271">
        <v>325000000</v>
      </c>
      <c r="K16" s="271">
        <v>325000000</v>
      </c>
      <c r="L16" s="271">
        <v>325000000</v>
      </c>
      <c r="M16" s="271">
        <v>325000000</v>
      </c>
      <c r="N16" s="271">
        <v>325000000</v>
      </c>
      <c r="O16" s="271">
        <v>325000000</v>
      </c>
      <c r="P16" s="271">
        <v>325000000</v>
      </c>
      <c r="Q16" s="271">
        <v>325000000</v>
      </c>
      <c r="R16" s="271">
        <v>325000000</v>
      </c>
      <c r="S16" s="271">
        <v>325000000</v>
      </c>
      <c r="T16" s="271">
        <v>325000000</v>
      </c>
      <c r="U16" s="271">
        <v>325000000</v>
      </c>
      <c r="V16" s="271">
        <v>325000000</v>
      </c>
      <c r="W16" s="271"/>
      <c r="X16" s="268">
        <f t="shared" si="3"/>
        <v>19077500</v>
      </c>
    </row>
    <row r="17" spans="1:25" s="289" customFormat="1">
      <c r="A17" s="441">
        <v>13</v>
      </c>
      <c r="B17" s="290" t="s">
        <v>89</v>
      </c>
      <c r="C17" s="442">
        <v>5.7639999999999997E-2</v>
      </c>
      <c r="D17" s="443">
        <v>40358</v>
      </c>
      <c r="E17" s="443">
        <v>51332</v>
      </c>
      <c r="F17" s="268">
        <f t="shared" si="0"/>
        <v>250000000</v>
      </c>
      <c r="G17" s="279">
        <v>98.965199999999996</v>
      </c>
      <c r="H17" s="444">
        <f t="shared" si="4"/>
        <v>5.8400000000000001E-2</v>
      </c>
      <c r="I17" s="271">
        <f t="shared" si="5"/>
        <v>14600000</v>
      </c>
      <c r="J17" s="271">
        <v>250000000</v>
      </c>
      <c r="K17" s="271">
        <v>250000000</v>
      </c>
      <c r="L17" s="271">
        <v>250000000</v>
      </c>
      <c r="M17" s="271">
        <v>250000000</v>
      </c>
      <c r="N17" s="271">
        <v>250000000</v>
      </c>
      <c r="O17" s="271">
        <v>250000000</v>
      </c>
      <c r="P17" s="271">
        <v>250000000</v>
      </c>
      <c r="Q17" s="271">
        <v>250000000</v>
      </c>
      <c r="R17" s="271">
        <v>250000000</v>
      </c>
      <c r="S17" s="271">
        <v>250000000</v>
      </c>
      <c r="T17" s="271">
        <v>250000000</v>
      </c>
      <c r="U17" s="271">
        <v>250000000</v>
      </c>
      <c r="V17" s="271">
        <v>250000000</v>
      </c>
      <c r="W17" s="271"/>
      <c r="X17" s="268">
        <f t="shared" si="3"/>
        <v>14600000</v>
      </c>
    </row>
    <row r="18" spans="1:25" s="289" customFormat="1">
      <c r="A18" s="454">
        <v>14</v>
      </c>
      <c r="B18" s="290" t="s">
        <v>89</v>
      </c>
      <c r="C18" s="442">
        <v>5.638E-2</v>
      </c>
      <c r="D18" s="443">
        <v>40627</v>
      </c>
      <c r="E18" s="443">
        <v>51606</v>
      </c>
      <c r="F18" s="268">
        <f t="shared" si="0"/>
        <v>300000000</v>
      </c>
      <c r="G18" s="279">
        <v>98.971000000000004</v>
      </c>
      <c r="H18" s="444">
        <f t="shared" si="4"/>
        <v>5.7099999999999998E-2</v>
      </c>
      <c r="I18" s="271">
        <f t="shared" si="5"/>
        <v>17130000</v>
      </c>
      <c r="J18" s="271">
        <v>300000000</v>
      </c>
      <c r="K18" s="271">
        <v>300000000</v>
      </c>
      <c r="L18" s="271">
        <v>300000000</v>
      </c>
      <c r="M18" s="271">
        <v>300000000</v>
      </c>
      <c r="N18" s="271">
        <v>300000000</v>
      </c>
      <c r="O18" s="271">
        <v>300000000</v>
      </c>
      <c r="P18" s="271">
        <v>300000000</v>
      </c>
      <c r="Q18" s="271">
        <v>300000000</v>
      </c>
      <c r="R18" s="271">
        <v>300000000</v>
      </c>
      <c r="S18" s="271">
        <v>300000000</v>
      </c>
      <c r="T18" s="271">
        <v>300000000</v>
      </c>
      <c r="U18" s="271">
        <v>300000000</v>
      </c>
      <c r="V18" s="271">
        <v>300000000</v>
      </c>
      <c r="W18" s="271"/>
      <c r="X18" s="268">
        <f t="shared" si="3"/>
        <v>17130000</v>
      </c>
    </row>
    <row r="19" spans="1:25" s="289" customFormat="1">
      <c r="A19" s="441">
        <v>15</v>
      </c>
      <c r="B19" s="290" t="s">
        <v>89</v>
      </c>
      <c r="C19" s="442">
        <v>4.4339999999999997E-2</v>
      </c>
      <c r="D19" s="443">
        <v>40863</v>
      </c>
      <c r="E19" s="443">
        <v>51820</v>
      </c>
      <c r="F19" s="268">
        <f t="shared" si="0"/>
        <v>250000000</v>
      </c>
      <c r="G19" s="279">
        <v>98.962999999999994</v>
      </c>
      <c r="H19" s="444">
        <f t="shared" si="4"/>
        <v>4.4999999999999998E-2</v>
      </c>
      <c r="I19" s="271">
        <f t="shared" si="5"/>
        <v>11250000</v>
      </c>
      <c r="J19" s="271">
        <v>250000000</v>
      </c>
      <c r="K19" s="271">
        <v>250000000</v>
      </c>
      <c r="L19" s="271">
        <v>250000000</v>
      </c>
      <c r="M19" s="271">
        <v>250000000</v>
      </c>
      <c r="N19" s="271">
        <v>250000000</v>
      </c>
      <c r="O19" s="271">
        <v>250000000</v>
      </c>
      <c r="P19" s="271">
        <v>250000000</v>
      </c>
      <c r="Q19" s="271">
        <v>250000000</v>
      </c>
      <c r="R19" s="271">
        <v>250000000</v>
      </c>
      <c r="S19" s="271">
        <v>250000000</v>
      </c>
      <c r="T19" s="271">
        <v>250000000</v>
      </c>
      <c r="U19" s="271">
        <v>250000000</v>
      </c>
      <c r="V19" s="271">
        <v>250000000</v>
      </c>
      <c r="W19" s="271"/>
      <c r="X19" s="268">
        <f t="shared" si="3"/>
        <v>11250000</v>
      </c>
    </row>
    <row r="20" spans="1:25" s="289" customFormat="1">
      <c r="A20" s="454">
        <v>16</v>
      </c>
      <c r="B20" s="290" t="s">
        <v>89</v>
      </c>
      <c r="C20" s="442">
        <v>4.7E-2</v>
      </c>
      <c r="D20" s="443">
        <v>40869</v>
      </c>
      <c r="E20" s="443">
        <v>55472</v>
      </c>
      <c r="F20" s="268">
        <f t="shared" si="0"/>
        <v>45000000</v>
      </c>
      <c r="G20" s="279">
        <v>98.863900000000001</v>
      </c>
      <c r="H20" s="444">
        <f t="shared" si="4"/>
        <v>4.7600000000000003E-2</v>
      </c>
      <c r="I20" s="271">
        <f t="shared" si="5"/>
        <v>2142000</v>
      </c>
      <c r="J20" s="271">
        <v>45000000</v>
      </c>
      <c r="K20" s="271">
        <v>45000000</v>
      </c>
      <c r="L20" s="271">
        <v>45000000</v>
      </c>
      <c r="M20" s="271">
        <v>45000000</v>
      </c>
      <c r="N20" s="271">
        <v>45000000</v>
      </c>
      <c r="O20" s="271">
        <v>45000000</v>
      </c>
      <c r="P20" s="271">
        <v>45000000</v>
      </c>
      <c r="Q20" s="271">
        <v>45000000</v>
      </c>
      <c r="R20" s="271">
        <v>45000000</v>
      </c>
      <c r="S20" s="271">
        <v>45000000</v>
      </c>
      <c r="T20" s="271">
        <v>45000000</v>
      </c>
      <c r="U20" s="271">
        <v>45000000</v>
      </c>
      <c r="V20" s="271">
        <v>45000000</v>
      </c>
      <c r="W20" s="271"/>
      <c r="X20" s="268">
        <f t="shared" si="3"/>
        <v>2142000</v>
      </c>
    </row>
    <row r="21" spans="1:25" s="289" customFormat="1">
      <c r="A21" s="441">
        <v>17</v>
      </c>
      <c r="B21" s="290" t="s">
        <v>89</v>
      </c>
      <c r="C21" s="442">
        <v>4.2999999999999997E-2</v>
      </c>
      <c r="D21" s="443">
        <v>42150</v>
      </c>
      <c r="E21" s="443">
        <v>53102</v>
      </c>
      <c r="F21" s="268">
        <f t="shared" si="0"/>
        <v>425000000</v>
      </c>
      <c r="G21" s="279">
        <v>98.483019762352939</v>
      </c>
      <c r="H21" s="444">
        <f t="shared" si="4"/>
        <v>4.3900000000000002E-2</v>
      </c>
      <c r="I21" s="271">
        <f t="shared" si="5"/>
        <v>18657500</v>
      </c>
      <c r="J21" s="268">
        <v>425000000</v>
      </c>
      <c r="K21" s="268">
        <v>425000000</v>
      </c>
      <c r="L21" s="268">
        <v>425000000</v>
      </c>
      <c r="M21" s="268">
        <v>425000000</v>
      </c>
      <c r="N21" s="268">
        <v>425000000</v>
      </c>
      <c r="O21" s="268">
        <v>425000000</v>
      </c>
      <c r="P21" s="268">
        <v>425000000</v>
      </c>
      <c r="Q21" s="268">
        <v>425000000</v>
      </c>
      <c r="R21" s="268">
        <v>425000000</v>
      </c>
      <c r="S21" s="268">
        <v>425000000</v>
      </c>
      <c r="T21" s="268">
        <v>425000000</v>
      </c>
      <c r="U21" s="268">
        <v>425000000</v>
      </c>
      <c r="V21" s="268">
        <v>425000000</v>
      </c>
      <c r="W21" s="268"/>
      <c r="X21" s="268">
        <f t="shared" si="3"/>
        <v>18657500</v>
      </c>
    </row>
    <row r="22" spans="1:25" s="289" customFormat="1">
      <c r="A22" s="454">
        <v>18</v>
      </c>
      <c r="B22" s="290" t="s">
        <v>89</v>
      </c>
      <c r="C22" s="442">
        <v>4.2229999999999997E-2</v>
      </c>
      <c r="D22" s="443">
        <v>43265</v>
      </c>
      <c r="E22" s="443">
        <v>54224</v>
      </c>
      <c r="F22" s="268">
        <f>ROUND(((J22+V22)+(SUM(K22:U22)*2))/24,0)</f>
        <v>600000000</v>
      </c>
      <c r="G22" s="279">
        <v>98.886799999999994</v>
      </c>
      <c r="H22" s="444">
        <f t="shared" si="4"/>
        <v>4.2900000000000001E-2</v>
      </c>
      <c r="I22" s="271">
        <f t="shared" si="5"/>
        <v>25740000</v>
      </c>
      <c r="J22" s="268">
        <v>600000000</v>
      </c>
      <c r="K22" s="268">
        <v>600000000</v>
      </c>
      <c r="L22" s="268">
        <v>600000000</v>
      </c>
      <c r="M22" s="268">
        <v>600000000</v>
      </c>
      <c r="N22" s="268">
        <v>600000000</v>
      </c>
      <c r="O22" s="268">
        <v>600000000</v>
      </c>
      <c r="P22" s="268">
        <v>600000000</v>
      </c>
      <c r="Q22" s="268">
        <v>600000000</v>
      </c>
      <c r="R22" s="268">
        <v>600000000</v>
      </c>
      <c r="S22" s="268">
        <v>600000000</v>
      </c>
      <c r="T22" s="268">
        <v>600000000</v>
      </c>
      <c r="U22" s="268">
        <v>600000000</v>
      </c>
      <c r="V22" s="268">
        <v>600000000</v>
      </c>
      <c r="W22" s="268"/>
      <c r="X22" s="271">
        <f t="shared" si="3"/>
        <v>25740000</v>
      </c>
    </row>
    <row r="23" spans="1:25">
      <c r="A23" s="441">
        <v>19</v>
      </c>
      <c r="B23" s="420" t="s">
        <v>89</v>
      </c>
      <c r="C23" s="277">
        <v>3.2500000000000001E-2</v>
      </c>
      <c r="D23" s="278">
        <v>43707</v>
      </c>
      <c r="E23" s="278">
        <v>54681</v>
      </c>
      <c r="F23" s="268">
        <f>ROUND(((J23+V23)+(SUM(K23:U23)*2))/24,0)</f>
        <v>168750000</v>
      </c>
      <c r="G23" s="279">
        <v>99.114699999999999</v>
      </c>
      <c r="H23" s="444">
        <f>ROUND(YIELD(D23,E23,C23,G23,100,2,2),4)</f>
        <v>3.3000000000000002E-2</v>
      </c>
      <c r="I23" s="271">
        <f t="shared" si="5"/>
        <v>5568750</v>
      </c>
      <c r="J23" s="268"/>
      <c r="K23" s="268"/>
      <c r="L23" s="268"/>
      <c r="M23" s="268"/>
      <c r="N23" s="268"/>
      <c r="O23" s="268"/>
      <c r="P23" s="268"/>
      <c r="Q23" s="268"/>
      <c r="R23" s="268">
        <v>450000000</v>
      </c>
      <c r="S23" s="268">
        <v>450000000</v>
      </c>
      <c r="T23" s="268">
        <v>450000000</v>
      </c>
      <c r="U23" s="268">
        <v>450000000</v>
      </c>
      <c r="V23" s="268">
        <v>450000000</v>
      </c>
      <c r="W23" s="268"/>
      <c r="X23" s="271">
        <f t="shared" si="3"/>
        <v>14850000</v>
      </c>
    </row>
    <row r="24" spans="1:25">
      <c r="A24" s="454">
        <v>20</v>
      </c>
      <c r="B24" s="136"/>
      <c r="C24" s="277"/>
      <c r="D24" s="278"/>
      <c r="E24" s="278"/>
      <c r="F24" s="268"/>
      <c r="G24" s="284"/>
      <c r="H24" s="179"/>
      <c r="I24" s="271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397">
        <f>SUM(X6:X23)</f>
        <v>231054128</v>
      </c>
    </row>
    <row r="25" spans="1:25" ht="13.8" thickBot="1">
      <c r="A25" s="441">
        <v>21</v>
      </c>
      <c r="B25" s="136"/>
      <c r="C25" s="138" t="s">
        <v>110</v>
      </c>
      <c r="D25" s="278"/>
      <c r="E25" s="278"/>
      <c r="F25" s="268"/>
      <c r="G25" s="280"/>
      <c r="H25" s="179"/>
      <c r="I25" s="281">
        <f>'Pg 7 Reacquired Debt'!I31</f>
        <v>2157708.2400000002</v>
      </c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71"/>
      <c r="X25" s="397">
        <f>I25</f>
        <v>2157708.2400000002</v>
      </c>
    </row>
    <row r="26" spans="1:25" ht="13.8" thickBot="1">
      <c r="A26" s="454">
        <v>22</v>
      </c>
      <c r="B26" s="138" t="s">
        <v>122</v>
      </c>
      <c r="C26" s="277"/>
      <c r="D26" s="278"/>
      <c r="E26" s="278"/>
      <c r="F26" s="281">
        <f>SUM(F6:F25)</f>
        <v>4092610000</v>
      </c>
      <c r="G26" s="282"/>
      <c r="H26" s="212">
        <f>ROUND(+I26/F26,4)</f>
        <v>5.4699999999999999E-2</v>
      </c>
      <c r="I26" s="285">
        <f t="shared" ref="I26:V26" si="6">SUM(I6:I25)</f>
        <v>223930586.24000001</v>
      </c>
      <c r="J26" s="285">
        <f t="shared" si="6"/>
        <v>3923860000</v>
      </c>
      <c r="K26" s="285">
        <f t="shared" si="6"/>
        <v>3923860000</v>
      </c>
      <c r="L26" s="285">
        <f t="shared" si="6"/>
        <v>3923860000</v>
      </c>
      <c r="M26" s="285">
        <f t="shared" si="6"/>
        <v>3923860000</v>
      </c>
      <c r="N26" s="285">
        <f t="shared" si="6"/>
        <v>3923860000</v>
      </c>
      <c r="O26" s="285">
        <f t="shared" si="6"/>
        <v>3923860000</v>
      </c>
      <c r="P26" s="285">
        <f t="shared" si="6"/>
        <v>3923860000</v>
      </c>
      <c r="Q26" s="285">
        <f t="shared" si="6"/>
        <v>3923860000</v>
      </c>
      <c r="R26" s="285">
        <f t="shared" si="6"/>
        <v>4373860000</v>
      </c>
      <c r="S26" s="285">
        <f t="shared" si="6"/>
        <v>4373860000</v>
      </c>
      <c r="T26" s="285">
        <f t="shared" si="6"/>
        <v>4373860000</v>
      </c>
      <c r="U26" s="285">
        <f t="shared" si="6"/>
        <v>4373860000</v>
      </c>
      <c r="V26" s="285">
        <f t="shared" si="6"/>
        <v>4373860000</v>
      </c>
      <c r="W26" s="283"/>
      <c r="X26" s="285">
        <f>SUM(X24:X25)</f>
        <v>233211836.24000001</v>
      </c>
      <c r="Y26" s="398">
        <f>X26/V26</f>
        <v>5.3319456095988441E-2</v>
      </c>
    </row>
    <row r="27" spans="1:25" ht="13.8" thickBot="1">
      <c r="A27" s="441">
        <v>23</v>
      </c>
      <c r="B27" s="136"/>
      <c r="C27" s="277"/>
      <c r="D27" s="278"/>
      <c r="E27" s="278"/>
      <c r="F27" s="283"/>
      <c r="G27" s="280"/>
      <c r="H27" s="241"/>
      <c r="I27" s="283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269">
        <f>H27*S27</f>
        <v>0</v>
      </c>
    </row>
    <row r="28" spans="1:25" ht="13.8" thickBot="1">
      <c r="A28" s="454">
        <v>24</v>
      </c>
      <c r="B28" s="138" t="s">
        <v>198</v>
      </c>
      <c r="C28" s="277"/>
      <c r="D28" s="278"/>
      <c r="E28" s="278"/>
      <c r="F28" s="283">
        <f>F26-I25</f>
        <v>4090452291.7600002</v>
      </c>
      <c r="G28" s="280"/>
      <c r="H28" s="212">
        <f>ROUND(+I28/F28,4)</f>
        <v>5.4199999999999998E-2</v>
      </c>
      <c r="I28" s="283">
        <f>SUM(I6:I23)</f>
        <v>221772878</v>
      </c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269"/>
    </row>
    <row r="29" spans="1:25">
      <c r="A29" s="441">
        <v>25</v>
      </c>
      <c r="B29" s="136"/>
      <c r="C29" s="277"/>
      <c r="D29" s="278"/>
      <c r="E29" s="278"/>
      <c r="F29" s="283"/>
      <c r="G29" s="280"/>
      <c r="H29" s="241"/>
      <c r="I29" s="283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269"/>
    </row>
    <row r="30" spans="1:25">
      <c r="A30" s="454">
        <v>26</v>
      </c>
      <c r="B30" s="420" t="s">
        <v>188</v>
      </c>
      <c r="C30" s="277"/>
      <c r="D30" s="278"/>
      <c r="E30" s="278"/>
      <c r="F30" s="283">
        <f>'Pg 3 STD Cost Rate'!C17</f>
        <v>335946320.56</v>
      </c>
      <c r="G30" s="280"/>
      <c r="H30" s="427">
        <f>ROUND(I30/F30,4)</f>
        <v>2.7E-2</v>
      </c>
      <c r="I30" s="283">
        <f>'Pg 3 STD Cost Rate'!E17</f>
        <v>9086329.3300000001</v>
      </c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269"/>
    </row>
    <row r="31" spans="1:25">
      <c r="A31" s="441">
        <v>27</v>
      </c>
      <c r="B31" s="136"/>
      <c r="C31" s="277"/>
      <c r="D31" s="278"/>
      <c r="E31" s="278"/>
      <c r="F31" s="283"/>
      <c r="G31" s="280"/>
      <c r="H31" s="241"/>
      <c r="I31" s="283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269"/>
    </row>
    <row r="32" spans="1:25">
      <c r="A32" s="454">
        <v>28</v>
      </c>
      <c r="B32" s="428" t="s">
        <v>189</v>
      </c>
      <c r="C32" s="277"/>
      <c r="D32" s="278"/>
      <c r="E32" s="278"/>
      <c r="F32" s="283">
        <f>F30+F26</f>
        <v>4428556320.5600004</v>
      </c>
      <c r="G32" s="280"/>
      <c r="H32" s="427">
        <f>ROUND(I32/F32,4)</f>
        <v>5.21E-2</v>
      </c>
      <c r="I32" s="283">
        <f>I30+I28</f>
        <v>230859207.33000001</v>
      </c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269"/>
    </row>
    <row r="33" spans="1:55">
      <c r="A33" s="441">
        <v>29</v>
      </c>
      <c r="B33" s="136"/>
      <c r="C33" s="277"/>
      <c r="D33" s="278"/>
      <c r="E33" s="278"/>
      <c r="F33" s="283"/>
      <c r="G33" s="280"/>
      <c r="H33" s="241"/>
      <c r="I33" s="283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269"/>
    </row>
    <row r="34" spans="1:55">
      <c r="A34" s="454">
        <v>30</v>
      </c>
      <c r="B34" s="134" t="s">
        <v>85</v>
      </c>
      <c r="C34" s="135"/>
      <c r="D34" s="135"/>
      <c r="E34" s="135"/>
      <c r="F34" s="135"/>
      <c r="G34" s="135"/>
      <c r="H34" s="135"/>
      <c r="I34" s="135"/>
      <c r="X34" s="283"/>
      <c r="Y34" s="241"/>
    </row>
    <row r="35" spans="1:55">
      <c r="A35" s="441">
        <v>31</v>
      </c>
      <c r="B35" s="134" t="s">
        <v>87</v>
      </c>
      <c r="C35" s="135"/>
      <c r="D35" s="135"/>
      <c r="E35" s="135"/>
      <c r="F35" s="135"/>
      <c r="G35" s="137"/>
      <c r="H35" s="135"/>
      <c r="I35" s="135"/>
    </row>
    <row r="36" spans="1:55">
      <c r="A36" s="132"/>
      <c r="B36" s="134"/>
      <c r="C36" s="135"/>
      <c r="D36" s="135"/>
      <c r="E36" s="135"/>
      <c r="F36" s="135"/>
      <c r="G36" s="137"/>
      <c r="H36" s="135"/>
      <c r="I36" s="135"/>
    </row>
    <row r="37" spans="1:55">
      <c r="A37" s="132"/>
      <c r="B37" s="134"/>
      <c r="C37" s="135"/>
      <c r="D37" s="135"/>
      <c r="E37" s="135"/>
      <c r="F37" s="135"/>
      <c r="G37" s="137"/>
      <c r="H37" s="135"/>
      <c r="I37" s="135"/>
    </row>
    <row r="38" spans="1:55">
      <c r="A38" s="132"/>
      <c r="B38" s="133"/>
      <c r="C38" s="133"/>
      <c r="D38" s="133"/>
      <c r="E38" s="314"/>
      <c r="G38" s="133"/>
      <c r="H38" s="286"/>
      <c r="I38" s="287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</row>
    <row r="39" spans="1:55">
      <c r="A39" s="43"/>
      <c r="B39" s="289"/>
      <c r="C39" s="289"/>
      <c r="D39" s="289"/>
      <c r="E39" s="289"/>
      <c r="F39" s="267"/>
      <c r="G39" s="289"/>
      <c r="H39" s="135"/>
      <c r="I39" s="175"/>
      <c r="J39" s="290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</row>
    <row r="40" spans="1:55">
      <c r="A40" s="43"/>
      <c r="B40" s="289"/>
      <c r="C40" s="289"/>
      <c r="D40" s="289"/>
      <c r="E40" s="289"/>
      <c r="F40" s="266"/>
      <c r="G40" s="289"/>
      <c r="H40" s="133"/>
      <c r="I40" s="287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</row>
    <row r="41" spans="1:55">
      <c r="A41" s="43"/>
      <c r="B41" s="27"/>
      <c r="C41" s="27"/>
      <c r="D41" s="27"/>
      <c r="E41" s="27"/>
      <c r="F41" s="267"/>
      <c r="G41" s="27"/>
      <c r="H41" s="27"/>
      <c r="I41" s="44"/>
      <c r="J41" s="217" t="str">
        <f t="shared" ref="J41:S41" si="7">IF(J40&lt;&gt;0,"ERROR","")</f>
        <v/>
      </c>
      <c r="K41" s="217" t="str">
        <f t="shared" si="7"/>
        <v/>
      </c>
      <c r="L41" s="217" t="str">
        <f t="shared" si="7"/>
        <v/>
      </c>
      <c r="M41" s="217" t="str">
        <f t="shared" si="7"/>
        <v/>
      </c>
      <c r="N41" s="217" t="str">
        <f t="shared" si="7"/>
        <v/>
      </c>
      <c r="O41" s="217" t="str">
        <f t="shared" si="7"/>
        <v/>
      </c>
      <c r="P41" s="217" t="str">
        <f t="shared" si="7"/>
        <v/>
      </c>
      <c r="Q41" s="217" t="str">
        <f t="shared" si="7"/>
        <v/>
      </c>
      <c r="R41" s="217" t="str">
        <f t="shared" si="7"/>
        <v/>
      </c>
      <c r="S41" s="43" t="str">
        <f t="shared" si="7"/>
        <v/>
      </c>
      <c r="T41" s="43"/>
      <c r="U41" s="43"/>
      <c r="V41" s="43"/>
      <c r="W41" s="43"/>
    </row>
    <row r="42" spans="1:55">
      <c r="A42" s="43"/>
      <c r="B42" s="27"/>
      <c r="C42" s="27"/>
      <c r="D42" s="27"/>
      <c r="E42" s="27"/>
      <c r="F42" s="44"/>
      <c r="G42" s="27"/>
      <c r="H42" s="179"/>
      <c r="Y42" s="446"/>
    </row>
    <row r="43" spans="1:55">
      <c r="A43" s="45"/>
      <c r="B43" s="46"/>
      <c r="C43" s="47"/>
      <c r="D43" s="48"/>
      <c r="E43" s="48"/>
      <c r="F43" s="257"/>
      <c r="G43" s="50"/>
      <c r="H43" s="179"/>
      <c r="I43" s="96"/>
      <c r="Y43" s="446"/>
    </row>
    <row r="44" spans="1:55">
      <c r="A44" s="45"/>
      <c r="B44" s="46"/>
      <c r="C44" s="47"/>
      <c r="D44" s="48"/>
      <c r="E44" s="48"/>
      <c r="F44" s="49"/>
      <c r="G44" s="50"/>
      <c r="H44" s="51"/>
      <c r="I44" s="52"/>
      <c r="Y44" s="446"/>
    </row>
    <row r="45" spans="1:55">
      <c r="A45" s="45"/>
      <c r="B45" s="46"/>
      <c r="C45" s="47"/>
      <c r="D45" s="48"/>
      <c r="E45" s="48"/>
      <c r="F45" s="49"/>
      <c r="G45" s="50"/>
      <c r="H45" s="51"/>
      <c r="I45" s="52"/>
      <c r="Y45" s="446"/>
    </row>
    <row r="46" spans="1:55" hidden="1">
      <c r="A46" s="53"/>
      <c r="B46" s="27"/>
      <c r="C46" s="27"/>
      <c r="D46" s="27"/>
      <c r="E46" s="27"/>
      <c r="F46" s="44"/>
      <c r="G46" s="27"/>
      <c r="H46" s="54"/>
      <c r="I46" s="44"/>
      <c r="Y46" s="446"/>
    </row>
    <row r="47" spans="1:55" hidden="1">
      <c r="A47" s="53"/>
      <c r="B47" s="27"/>
      <c r="C47" s="27"/>
      <c r="D47" s="27"/>
      <c r="E47" s="27"/>
      <c r="F47" s="44"/>
      <c r="G47" s="27"/>
      <c r="H47" s="55"/>
      <c r="I47" s="44"/>
      <c r="Y47" s="446"/>
    </row>
    <row r="48" spans="1:55" hidden="1">
      <c r="A48" s="53"/>
      <c r="B48" s="27"/>
      <c r="C48" s="27"/>
      <c r="D48" s="27"/>
      <c r="E48" s="27"/>
      <c r="F48" s="44"/>
      <c r="G48" s="27"/>
      <c r="H48" s="27"/>
      <c r="I48" s="44"/>
      <c r="Y48" s="446"/>
    </row>
    <row r="49" spans="1:25">
      <c r="A49" s="45"/>
      <c r="B49" s="46"/>
      <c r="C49" s="47"/>
      <c r="D49" s="48"/>
      <c r="E49" s="48"/>
      <c r="F49" s="49"/>
      <c r="G49" s="50"/>
      <c r="H49" s="51"/>
      <c r="I49" s="52"/>
      <c r="Y49" s="446"/>
    </row>
    <row r="50" spans="1:25">
      <c r="A50" s="45"/>
      <c r="B50" s="46"/>
      <c r="C50" s="47"/>
      <c r="D50" s="48"/>
      <c r="E50" s="48"/>
      <c r="F50" s="49"/>
      <c r="G50" s="50"/>
      <c r="H50" s="51"/>
      <c r="I50" s="52"/>
      <c r="Y50" s="446"/>
    </row>
    <row r="51" spans="1:25">
      <c r="A51" s="53"/>
      <c r="B51" s="27"/>
      <c r="C51" s="27"/>
      <c r="D51" s="27"/>
      <c r="E51" s="27"/>
      <c r="F51" s="44"/>
      <c r="G51" s="27"/>
      <c r="H51" s="27"/>
      <c r="I51" s="44"/>
      <c r="Y51" s="446"/>
    </row>
    <row r="52" spans="1:25">
      <c r="A52" s="53"/>
      <c r="B52" s="27"/>
      <c r="C52" s="27"/>
      <c r="D52" s="27"/>
      <c r="E52" s="27"/>
      <c r="F52" s="44"/>
      <c r="G52" s="27"/>
      <c r="H52" s="27"/>
      <c r="I52" s="44"/>
      <c r="Y52" s="446"/>
    </row>
    <row r="53" spans="1:25">
      <c r="A53" s="53"/>
      <c r="B53" s="27"/>
      <c r="C53" s="27"/>
      <c r="D53" s="27"/>
      <c r="E53" s="27"/>
      <c r="F53" s="44"/>
      <c r="G53" s="27"/>
      <c r="H53" s="27"/>
      <c r="I53" s="44"/>
      <c r="Y53" s="446"/>
    </row>
    <row r="54" spans="1:25">
      <c r="A54" s="53"/>
      <c r="B54" s="27"/>
      <c r="C54" s="27"/>
      <c r="D54" s="27"/>
      <c r="E54" s="27"/>
      <c r="F54" s="44"/>
      <c r="G54" s="27"/>
      <c r="H54" s="27"/>
      <c r="I54" s="44"/>
      <c r="Y54" s="446"/>
    </row>
    <row r="55" spans="1:25">
      <c r="A55" s="53"/>
      <c r="B55" s="27"/>
      <c r="C55" s="27"/>
      <c r="D55" s="27"/>
      <c r="E55" s="27"/>
      <c r="F55" s="44"/>
      <c r="G55" s="27"/>
      <c r="H55" s="27"/>
      <c r="I55" s="44"/>
      <c r="Y55" s="446"/>
    </row>
    <row r="56" spans="1:25">
      <c r="A56" s="53"/>
      <c r="B56" s="27"/>
      <c r="C56" s="27"/>
      <c r="D56" s="27"/>
      <c r="E56" s="27"/>
      <c r="F56" s="44"/>
      <c r="G56" s="27"/>
      <c r="H56" s="27"/>
      <c r="I56" s="44"/>
      <c r="Y56" s="446"/>
    </row>
    <row r="57" spans="1:25">
      <c r="A57" s="53"/>
      <c r="B57" s="27"/>
      <c r="C57" s="27"/>
      <c r="D57" s="27"/>
      <c r="E57" s="27"/>
      <c r="F57" s="44"/>
      <c r="G57" s="27"/>
      <c r="H57" s="27"/>
      <c r="I57" s="44"/>
      <c r="Y57" s="446"/>
    </row>
    <row r="58" spans="1:25">
      <c r="A58" s="53"/>
      <c r="B58" s="27"/>
      <c r="C58" s="27"/>
      <c r="D58" s="27"/>
      <c r="E58" s="27"/>
      <c r="F58" s="44"/>
      <c r="G58" s="27"/>
      <c r="H58" s="27"/>
      <c r="I58" s="44"/>
      <c r="Y58" s="446"/>
    </row>
    <row r="59" spans="1:25">
      <c r="A59" s="53"/>
      <c r="B59" s="27"/>
      <c r="C59" s="27"/>
      <c r="D59" s="27"/>
      <c r="E59" s="27"/>
      <c r="F59" s="44"/>
      <c r="G59" s="27"/>
      <c r="H59" s="27"/>
      <c r="I59" s="44"/>
      <c r="Y59" s="446"/>
    </row>
    <row r="60" spans="1:25">
      <c r="A60" s="43"/>
      <c r="B60" s="27"/>
      <c r="C60" s="46"/>
      <c r="D60" s="27"/>
      <c r="E60" s="27"/>
      <c r="F60" s="44"/>
      <c r="G60" s="27"/>
      <c r="H60" s="27"/>
      <c r="I60" s="44"/>
      <c r="Y60" s="446"/>
    </row>
    <row r="61" spans="1:25">
      <c r="C61" s="24"/>
      <c r="E61" s="29"/>
      <c r="Y61" s="446"/>
    </row>
    <row r="62" spans="1:25">
      <c r="C62" s="28"/>
      <c r="Y62" s="446"/>
    </row>
    <row r="63" spans="1:25">
      <c r="Y63" s="446"/>
    </row>
    <row r="64" spans="1:25">
      <c r="Y64" s="446"/>
    </row>
    <row r="65" spans="25:25">
      <c r="Y65" s="446"/>
    </row>
    <row r="66" spans="25:25">
      <c r="Y66" s="446"/>
    </row>
    <row r="67" spans="25:25">
      <c r="Y67" s="446"/>
    </row>
    <row r="68" spans="25:25">
      <c r="Y68" s="446"/>
    </row>
    <row r="69" spans="25:25">
      <c r="Y69" s="446"/>
    </row>
    <row r="70" spans="25:25">
      <c r="Y70" s="446"/>
    </row>
    <row r="71" spans="25:25">
      <c r="Y71" s="446"/>
    </row>
    <row r="72" spans="25:25">
      <c r="Y72" s="446"/>
    </row>
    <row r="73" spans="25:25">
      <c r="Y73" s="446"/>
    </row>
    <row r="74" spans="25:25">
      <c r="Y74" s="446"/>
    </row>
    <row r="75" spans="25:25">
      <c r="Y75" s="446"/>
    </row>
    <row r="76" spans="25:25">
      <c r="Y76" s="446"/>
    </row>
    <row r="77" spans="25:25">
      <c r="Y77" s="446"/>
    </row>
    <row r="78" spans="25:25">
      <c r="Y78" s="446"/>
    </row>
    <row r="79" spans="25:25">
      <c r="Y79" s="446"/>
    </row>
    <row r="80" spans="25:25">
      <c r="Y80" s="446"/>
    </row>
    <row r="81" spans="25:25">
      <c r="Y81" s="446"/>
    </row>
    <row r="82" spans="25:25">
      <c r="Y82" s="446"/>
    </row>
    <row r="83" spans="25:25">
      <c r="Y83" s="446"/>
    </row>
    <row r="84" spans="25:25">
      <c r="Y84" s="446"/>
    </row>
    <row r="85" spans="25:25">
      <c r="Y85" s="446"/>
    </row>
    <row r="86" spans="25:25">
      <c r="Y86" s="446"/>
    </row>
    <row r="87" spans="25:25">
      <c r="Y87" s="446"/>
    </row>
    <row r="88" spans="25:25">
      <c r="Y88" s="446"/>
    </row>
    <row r="89" spans="25:25">
      <c r="Y89" s="446"/>
    </row>
    <row r="90" spans="25:25">
      <c r="Y90" s="446"/>
    </row>
    <row r="91" spans="25:25">
      <c r="Y91" s="446"/>
    </row>
    <row r="92" spans="25:25">
      <c r="Y92" s="446"/>
    </row>
    <row r="93" spans="25:25">
      <c r="Y93" s="446"/>
    </row>
    <row r="94" spans="25:25">
      <c r="Y94" s="446"/>
    </row>
    <row r="95" spans="25:25">
      <c r="Y95" s="446"/>
    </row>
    <row r="96" spans="25:25">
      <c r="Y96" s="446"/>
    </row>
    <row r="97" spans="25:25">
      <c r="Y97" s="446"/>
    </row>
    <row r="98" spans="25:25">
      <c r="Y98" s="446"/>
    </row>
    <row r="99" spans="25:25">
      <c r="Y99" s="446"/>
    </row>
    <row r="100" spans="25:25">
      <c r="Y100" s="446"/>
    </row>
    <row r="101" spans="25:25">
      <c r="Y101" s="446"/>
    </row>
    <row r="102" spans="25:25">
      <c r="Y102" s="446"/>
    </row>
    <row r="105" spans="25:25">
      <c r="Y105" s="446"/>
    </row>
    <row r="106" spans="25:25">
      <c r="Y106" s="446"/>
    </row>
    <row r="107" spans="25:25">
      <c r="Y107" s="446"/>
    </row>
    <row r="108" spans="25:25">
      <c r="Y108" s="446"/>
    </row>
    <row r="109" spans="25:25">
      <c r="Y109" s="446"/>
    </row>
    <row r="110" spans="25:25">
      <c r="Y110" s="446"/>
    </row>
    <row r="111" spans="25:25">
      <c r="Y111" s="446"/>
    </row>
    <row r="112" spans="25:25">
      <c r="Y112" s="446"/>
    </row>
    <row r="113" spans="25:25">
      <c r="Y113" s="446"/>
    </row>
    <row r="114" spans="25:25">
      <c r="Y114" s="446"/>
    </row>
    <row r="115" spans="25:25">
      <c r="Y115" s="446"/>
    </row>
    <row r="116" spans="25:25">
      <c r="Y116" s="446"/>
    </row>
    <row r="117" spans="25:25">
      <c r="Y117" s="446"/>
    </row>
    <row r="118" spans="25:25">
      <c r="Y118" s="446"/>
    </row>
    <row r="119" spans="25:25">
      <c r="Y119" s="446"/>
    </row>
    <row r="120" spans="25:25">
      <c r="Y120" s="446"/>
    </row>
    <row r="121" spans="25:25">
      <c r="Y121" s="446"/>
    </row>
    <row r="122" spans="25:25">
      <c r="Y122" s="446"/>
    </row>
    <row r="123" spans="25:25">
      <c r="Y123" s="446"/>
    </row>
    <row r="124" spans="25:25">
      <c r="Y124" s="446"/>
    </row>
    <row r="125" spans="25:25">
      <c r="Y125" s="446"/>
    </row>
    <row r="126" spans="25:25">
      <c r="Y126" s="446"/>
    </row>
    <row r="127" spans="25:25">
      <c r="Y127" s="446"/>
    </row>
    <row r="128" spans="25:25">
      <c r="Y128" s="446"/>
    </row>
    <row r="129" spans="25:25">
      <c r="Y129" s="446"/>
    </row>
    <row r="130" spans="25:25">
      <c r="Y130" s="446"/>
    </row>
    <row r="131" spans="25:25">
      <c r="Y131" s="446"/>
    </row>
    <row r="132" spans="25:25">
      <c r="Y132" s="446"/>
    </row>
    <row r="133" spans="25:25">
      <c r="Y133" s="446"/>
    </row>
    <row r="134" spans="25:25">
      <c r="Y134" s="446"/>
    </row>
    <row r="136" spans="25:25">
      <c r="Y136" s="446"/>
    </row>
    <row r="137" spans="25:25">
      <c r="Y137" s="446"/>
    </row>
    <row r="138" spans="25:25">
      <c r="Y138" s="446"/>
    </row>
    <row r="139" spans="25:25">
      <c r="Y139" s="446"/>
    </row>
    <row r="140" spans="25:25">
      <c r="Y140" s="446"/>
    </row>
    <row r="141" spans="25:25">
      <c r="Y141" s="446"/>
    </row>
    <row r="142" spans="25:25">
      <c r="Y142" s="446"/>
    </row>
    <row r="143" spans="25:25">
      <c r="Y143" s="446"/>
    </row>
    <row r="144" spans="25:25">
      <c r="Y144" s="446"/>
    </row>
    <row r="145" spans="25:25">
      <c r="Y145" s="446"/>
    </row>
    <row r="146" spans="25:25">
      <c r="Y146" s="446"/>
    </row>
    <row r="147" spans="25:25">
      <c r="Y147" s="446"/>
    </row>
    <row r="148" spans="25:25">
      <c r="Y148" s="446"/>
    </row>
    <row r="149" spans="25:25">
      <c r="Y149" s="446"/>
    </row>
    <row r="150" spans="25:25">
      <c r="Y150" s="446"/>
    </row>
    <row r="151" spans="25:25">
      <c r="Y151" s="446"/>
    </row>
    <row r="152" spans="25:25">
      <c r="Y152" s="446"/>
    </row>
    <row r="153" spans="25:25">
      <c r="Y153" s="446"/>
    </row>
    <row r="154" spans="25:25">
      <c r="Y154" s="446"/>
    </row>
    <row r="155" spans="25:25">
      <c r="Y155" s="446"/>
    </row>
    <row r="156" spans="25:25">
      <c r="Y156" s="446"/>
    </row>
    <row r="157" spans="25:25">
      <c r="Y157" s="446"/>
    </row>
    <row r="158" spans="25:25">
      <c r="Y158" s="446"/>
    </row>
    <row r="159" spans="25:25">
      <c r="Y159" s="446"/>
    </row>
    <row r="160" spans="25:25">
      <c r="Y160" s="446"/>
    </row>
    <row r="161" spans="25:25">
      <c r="Y161" s="446"/>
    </row>
    <row r="162" spans="25:25">
      <c r="Y162" s="446"/>
    </row>
    <row r="163" spans="25:25">
      <c r="Y163" s="446"/>
    </row>
    <row r="164" spans="25:25">
      <c r="Y164" s="446"/>
    </row>
    <row r="165" spans="25:25">
      <c r="Y165" s="446"/>
    </row>
  </sheetData>
  <phoneticPr fontId="24" type="noConversion"/>
  <printOptions horizontalCentered="1"/>
  <pageMargins left="0.2" right="0.2" top="0.41" bottom="0.35" header="0.17" footer="0.17"/>
  <pageSetup scale="90" orientation="landscape" r:id="rId1"/>
  <headerFooter alignWithMargins="0">
    <oddFooter>&amp;C&amp;A&amp;R&amp;8&amp;F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U83"/>
  <sheetViews>
    <sheetView zoomScaleNormal="100" workbookViewId="0">
      <pane xSplit="2" ySplit="7" topLeftCell="C23" activePane="bottomRight" state="frozen"/>
      <selection activeCell="F32" sqref="F32"/>
      <selection pane="topRight" activeCell="F32" sqref="F32"/>
      <selection pane="bottomLeft" activeCell="F32" sqref="F32"/>
      <selection pane="bottomRight" activeCell="I31" sqref="I31"/>
    </sheetView>
  </sheetViews>
  <sheetFormatPr defaultColWidth="8.85546875" defaultRowHeight="15" outlineLevelCol="1"/>
  <cols>
    <col min="1" max="1" width="4.7109375" style="30" customWidth="1"/>
    <col min="2" max="2" width="46" style="30" customWidth="1"/>
    <col min="3" max="3" width="10.85546875" style="30" customWidth="1"/>
    <col min="4" max="4" width="11.85546875" style="30" customWidth="1"/>
    <col min="5" max="5" width="12.85546875" style="30" customWidth="1"/>
    <col min="6" max="6" width="15.85546875" style="30" customWidth="1"/>
    <col min="7" max="7" width="13" style="30" customWidth="1"/>
    <col min="8" max="8" width="13.85546875" style="30" customWidth="1"/>
    <col min="9" max="9" width="18" style="30" customWidth="1"/>
    <col min="10" max="10" width="12.140625" style="30" customWidth="1"/>
    <col min="11" max="11" width="6.28515625" style="30" customWidth="1"/>
    <col min="12" max="12" width="12" style="30" hidden="1" customWidth="1" outlineLevel="1"/>
    <col min="13" max="13" width="14.7109375" style="30" hidden="1" customWidth="1" outlineLevel="1"/>
    <col min="14" max="14" width="15.140625" style="30" hidden="1" customWidth="1" outlineLevel="1"/>
    <col min="15" max="15" width="12.140625" style="30" hidden="1" customWidth="1" outlineLevel="1"/>
    <col min="16" max="16" width="9.7109375" style="30" hidden="1" customWidth="1" outlineLevel="1"/>
    <col min="17" max="17" width="13.42578125" style="30" bestFit="1" customWidth="1" collapsed="1"/>
    <col min="18" max="18" width="13.42578125" style="30" bestFit="1" customWidth="1"/>
    <col min="19" max="19" width="12.85546875" style="30" customWidth="1"/>
    <col min="20" max="16384" width="8.85546875" style="30"/>
  </cols>
  <sheetData>
    <row r="1" spans="1:21" ht="12.75" customHeight="1">
      <c r="B1" s="65" t="s">
        <v>25</v>
      </c>
      <c r="C1" s="58"/>
      <c r="D1" s="58"/>
      <c r="E1" s="58"/>
      <c r="F1" s="58"/>
      <c r="G1" s="58"/>
      <c r="H1" s="58"/>
      <c r="I1" s="58"/>
      <c r="J1" s="59"/>
      <c r="K1" s="57"/>
      <c r="L1" s="57"/>
      <c r="M1" s="57"/>
      <c r="N1" s="57"/>
      <c r="O1" s="57"/>
      <c r="P1" s="57"/>
    </row>
    <row r="2" spans="1:21" s="31" customFormat="1" ht="12.75" customHeight="1">
      <c r="B2" s="65" t="s">
        <v>26</v>
      </c>
      <c r="C2" s="58"/>
      <c r="D2" s="58"/>
      <c r="E2" s="58"/>
      <c r="F2" s="58"/>
      <c r="G2" s="58"/>
      <c r="H2" s="58"/>
      <c r="I2" s="58"/>
      <c r="J2" s="61"/>
      <c r="K2" s="57"/>
      <c r="L2" s="57"/>
      <c r="M2" s="57"/>
      <c r="N2" s="57"/>
      <c r="O2" s="57"/>
      <c r="P2" s="57"/>
    </row>
    <row r="3" spans="1:21" s="31" customFormat="1" ht="12.75" customHeight="1">
      <c r="B3" s="472" t="str">
        <f>'New Format'!B5</f>
        <v>For The 12 Months Ending December 31, 2019</v>
      </c>
      <c r="C3" s="472"/>
      <c r="D3" s="472"/>
      <c r="E3" s="58"/>
      <c r="F3" s="58"/>
      <c r="G3" s="58"/>
      <c r="H3" s="58"/>
      <c r="I3" s="58"/>
      <c r="J3" s="59"/>
      <c r="K3" s="57"/>
      <c r="L3" s="57"/>
      <c r="M3" s="57"/>
      <c r="N3" s="57"/>
      <c r="O3" s="57"/>
      <c r="P3" s="57"/>
    </row>
    <row r="4" spans="1:21" s="31" customFormat="1" ht="12.75" customHeight="1">
      <c r="B4" s="123"/>
      <c r="C4" s="123"/>
      <c r="D4" s="123"/>
      <c r="E4" s="58"/>
      <c r="F4" s="58"/>
      <c r="G4" s="58"/>
      <c r="H4" s="58"/>
      <c r="I4" s="58"/>
      <c r="J4" s="59"/>
      <c r="K4" s="57"/>
      <c r="L4" s="407" t="s">
        <v>174</v>
      </c>
      <c r="M4" s="57"/>
      <c r="N4" s="57"/>
      <c r="O4" s="57"/>
      <c r="P4" s="57"/>
    </row>
    <row r="5" spans="1:21" s="31" customFormat="1" ht="12.75" customHeight="1">
      <c r="A5" s="233">
        <v>1</v>
      </c>
      <c r="B5" s="127" t="s">
        <v>5</v>
      </c>
      <c r="C5" s="127" t="s">
        <v>27</v>
      </c>
      <c r="D5" s="127" t="s">
        <v>52</v>
      </c>
      <c r="E5" s="127" t="s">
        <v>64</v>
      </c>
      <c r="F5" s="127" t="s">
        <v>65</v>
      </c>
      <c r="G5" s="258" t="s">
        <v>66</v>
      </c>
      <c r="H5" s="127" t="s">
        <v>67</v>
      </c>
      <c r="I5" s="127" t="s">
        <v>68</v>
      </c>
      <c r="J5" s="127" t="s">
        <v>69</v>
      </c>
      <c r="K5" s="57"/>
      <c r="L5" s="57"/>
      <c r="M5" s="57"/>
      <c r="N5" s="57"/>
      <c r="O5" s="57"/>
      <c r="P5" s="57"/>
    </row>
    <row r="6" spans="1:21" s="31" customFormat="1" ht="12.75" customHeight="1">
      <c r="A6" s="233">
        <f t="shared" ref="A6:A40" si="0">A5+1</f>
        <v>2</v>
      </c>
      <c r="B6" s="60" t="s">
        <v>2</v>
      </c>
      <c r="C6" s="244" t="s">
        <v>17</v>
      </c>
      <c r="D6" s="245" t="s">
        <v>101</v>
      </c>
      <c r="E6" s="219" t="s">
        <v>136</v>
      </c>
      <c r="F6" s="219" t="s">
        <v>137</v>
      </c>
      <c r="G6" s="219" t="s">
        <v>137</v>
      </c>
      <c r="H6" s="219" t="s">
        <v>70</v>
      </c>
      <c r="I6" s="245" t="s">
        <v>18</v>
      </c>
      <c r="J6" s="59"/>
      <c r="K6" s="57"/>
      <c r="L6" s="406" t="s">
        <v>171</v>
      </c>
      <c r="M6" s="57"/>
      <c r="N6" s="57"/>
      <c r="O6" s="57"/>
      <c r="P6" s="57"/>
    </row>
    <row r="7" spans="1:21" s="31" customFormat="1" ht="12.75" customHeight="1">
      <c r="A7" s="233">
        <f t="shared" si="0"/>
        <v>3</v>
      </c>
      <c r="B7" s="113" t="s">
        <v>17</v>
      </c>
      <c r="C7" s="62" t="s">
        <v>102</v>
      </c>
      <c r="D7" s="62" t="s">
        <v>102</v>
      </c>
      <c r="E7" s="62" t="s">
        <v>102</v>
      </c>
      <c r="F7" s="62" t="s">
        <v>17</v>
      </c>
      <c r="G7" s="62" t="s">
        <v>102</v>
      </c>
      <c r="H7" s="62" t="s">
        <v>138</v>
      </c>
      <c r="I7" s="62" t="s">
        <v>135</v>
      </c>
      <c r="J7" s="63" t="s">
        <v>56</v>
      </c>
      <c r="K7" s="57"/>
      <c r="L7" s="406" t="s">
        <v>172</v>
      </c>
      <c r="M7" s="57"/>
      <c r="N7" s="57"/>
      <c r="O7" s="402">
        <v>40543</v>
      </c>
      <c r="P7" s="57"/>
    </row>
    <row r="8" spans="1:21" s="31" customFormat="1" ht="12.75" customHeight="1">
      <c r="A8" s="233">
        <f t="shared" si="0"/>
        <v>4</v>
      </c>
      <c r="B8" s="114"/>
      <c r="C8" s="115"/>
      <c r="D8" s="115"/>
      <c r="E8" s="115"/>
      <c r="F8" s="115"/>
      <c r="G8" s="115"/>
      <c r="H8" s="291"/>
      <c r="I8" s="64"/>
      <c r="J8" s="116"/>
      <c r="L8" s="403">
        <v>40543</v>
      </c>
      <c r="M8" s="401" t="s">
        <v>168</v>
      </c>
      <c r="N8" s="401" t="s">
        <v>169</v>
      </c>
      <c r="O8" s="401" t="s">
        <v>173</v>
      </c>
      <c r="P8" s="401" t="s">
        <v>170</v>
      </c>
    </row>
    <row r="9" spans="1:21" s="31" customFormat="1" ht="12.75" customHeight="1">
      <c r="A9" s="233">
        <f>A8+1</f>
        <v>5</v>
      </c>
      <c r="B9" s="114">
        <v>0.10249999999999999</v>
      </c>
      <c r="C9" s="115">
        <v>32140</v>
      </c>
      <c r="D9" s="115">
        <v>35779</v>
      </c>
      <c r="E9" s="115">
        <v>35048</v>
      </c>
      <c r="F9" s="115"/>
      <c r="G9" s="115"/>
      <c r="H9" s="291">
        <v>42684</v>
      </c>
      <c r="I9" s="292">
        <v>0</v>
      </c>
      <c r="J9" s="116">
        <v>18900013</v>
      </c>
      <c r="L9" s="400"/>
      <c r="M9" s="405"/>
      <c r="N9" s="405"/>
      <c r="O9" s="404"/>
      <c r="P9" s="405"/>
      <c r="Q9" s="292"/>
      <c r="R9" s="292"/>
      <c r="S9" s="413"/>
    </row>
    <row r="10" spans="1:21" s="31" customFormat="1" ht="12.75" customHeight="1">
      <c r="A10" s="233">
        <f t="shared" si="0"/>
        <v>6</v>
      </c>
      <c r="B10" s="114" t="s">
        <v>118</v>
      </c>
      <c r="C10" s="115">
        <v>35587</v>
      </c>
      <c r="D10" s="115">
        <v>46539</v>
      </c>
      <c r="E10" s="115">
        <v>39234</v>
      </c>
      <c r="F10" s="115" t="s">
        <v>126</v>
      </c>
      <c r="G10" s="115">
        <v>39237</v>
      </c>
      <c r="H10" s="291">
        <v>42887</v>
      </c>
      <c r="I10" s="292">
        <v>0</v>
      </c>
      <c r="J10" s="116">
        <v>18900383</v>
      </c>
      <c r="L10" s="400"/>
      <c r="M10" s="405"/>
      <c r="N10" s="405"/>
      <c r="O10" s="404"/>
      <c r="P10" s="405"/>
      <c r="Q10" s="430"/>
      <c r="R10" s="429"/>
      <c r="S10" s="413"/>
    </row>
    <row r="11" spans="1:21" s="31" customFormat="1" ht="12.75" customHeight="1">
      <c r="A11" s="233">
        <f t="shared" si="0"/>
        <v>7</v>
      </c>
      <c r="B11" s="114" t="s">
        <v>131</v>
      </c>
      <c r="C11" s="115">
        <v>33410</v>
      </c>
      <c r="D11" s="115">
        <v>37063</v>
      </c>
      <c r="E11" s="115">
        <v>35961</v>
      </c>
      <c r="F11" s="115" t="s">
        <v>127</v>
      </c>
      <c r="G11" s="115">
        <v>35961</v>
      </c>
      <c r="H11" s="291">
        <v>43266</v>
      </c>
      <c r="I11" s="292">
        <v>0</v>
      </c>
      <c r="J11" s="116">
        <v>18900243</v>
      </c>
      <c r="L11" s="400"/>
      <c r="M11" s="405"/>
      <c r="N11" s="405"/>
      <c r="O11" s="404"/>
      <c r="P11" s="405"/>
      <c r="Q11" s="292"/>
      <c r="R11" s="429"/>
      <c r="S11" s="413"/>
    </row>
    <row r="12" spans="1:21" s="232" customFormat="1" ht="12.75" customHeight="1">
      <c r="A12" s="233">
        <f t="shared" si="0"/>
        <v>8</v>
      </c>
      <c r="B12" s="293" t="s">
        <v>44</v>
      </c>
      <c r="C12" s="115">
        <v>33616</v>
      </c>
      <c r="D12" s="115">
        <f>DATE(2022,1,12)</f>
        <v>44573</v>
      </c>
      <c r="E12" s="294">
        <v>37701</v>
      </c>
      <c r="F12" s="294"/>
      <c r="G12" s="294"/>
      <c r="H12" s="291">
        <f>DATE(2022,1,12)</f>
        <v>44573</v>
      </c>
      <c r="I12" s="292">
        <v>1141.08</v>
      </c>
      <c r="J12" s="116">
        <v>18900293</v>
      </c>
      <c r="L12" s="400"/>
      <c r="M12" s="458"/>
      <c r="N12" s="458"/>
      <c r="O12" s="459"/>
      <c r="P12" s="458"/>
      <c r="Q12" s="292"/>
      <c r="R12" s="292" t="s">
        <v>201</v>
      </c>
      <c r="S12" s="292"/>
      <c r="T12" s="413"/>
      <c r="U12" s="31"/>
    </row>
    <row r="13" spans="1:21" s="232" customFormat="1" ht="12.75" customHeight="1">
      <c r="A13" s="233">
        <f t="shared" si="0"/>
        <v>9</v>
      </c>
      <c r="B13" s="293" t="s">
        <v>45</v>
      </c>
      <c r="C13" s="115">
        <v>33616</v>
      </c>
      <c r="D13" s="115">
        <f>DATE(2022,1,13)</f>
        <v>44574</v>
      </c>
      <c r="E13" s="294">
        <v>37701</v>
      </c>
      <c r="F13" s="294"/>
      <c r="G13" s="294"/>
      <c r="H13" s="291">
        <f>DATE(2022,1,13)</f>
        <v>44574</v>
      </c>
      <c r="I13" s="292">
        <v>2662.56</v>
      </c>
      <c r="J13" s="116">
        <v>18900303</v>
      </c>
      <c r="K13" s="400"/>
      <c r="L13" s="460"/>
      <c r="M13" s="458"/>
      <c r="N13" s="458"/>
      <c r="O13" s="459"/>
      <c r="P13" s="458"/>
      <c r="Q13" s="292"/>
      <c r="R13" s="430" t="s">
        <v>202</v>
      </c>
      <c r="S13" s="429">
        <v>18900403</v>
      </c>
      <c r="T13" s="413"/>
      <c r="U13" s="31"/>
    </row>
    <row r="14" spans="1:21" s="232" customFormat="1" ht="12.75" customHeight="1">
      <c r="A14" s="233">
        <f t="shared" si="0"/>
        <v>10</v>
      </c>
      <c r="B14" s="293" t="s">
        <v>119</v>
      </c>
      <c r="C14" s="115">
        <v>33828</v>
      </c>
      <c r="D14" s="115">
        <v>44785</v>
      </c>
      <c r="E14" s="294">
        <v>37770</v>
      </c>
      <c r="F14" s="294"/>
      <c r="G14" s="294"/>
      <c r="H14" s="291">
        <v>44785</v>
      </c>
      <c r="I14" s="292">
        <v>62485.68</v>
      </c>
      <c r="J14" s="116">
        <v>18900323</v>
      </c>
      <c r="L14" s="460"/>
      <c r="M14" s="458"/>
      <c r="N14" s="458"/>
      <c r="O14" s="459"/>
      <c r="P14" s="458"/>
      <c r="Q14" s="292"/>
      <c r="R14" s="292"/>
      <c r="S14" s="429">
        <v>18900413</v>
      </c>
      <c r="T14" s="413"/>
      <c r="U14" s="31"/>
    </row>
    <row r="15" spans="1:21" s="232" customFormat="1" ht="12.75" customHeight="1">
      <c r="A15" s="233">
        <f t="shared" si="0"/>
        <v>11</v>
      </c>
      <c r="B15" s="293" t="s">
        <v>139</v>
      </c>
      <c r="C15" s="115">
        <v>34199</v>
      </c>
      <c r="D15" s="115">
        <v>45156</v>
      </c>
      <c r="E15" s="294">
        <v>37851</v>
      </c>
      <c r="H15" s="291">
        <v>45156</v>
      </c>
      <c r="I15" s="292">
        <v>10655.88</v>
      </c>
      <c r="J15" s="116">
        <v>18900353</v>
      </c>
      <c r="K15" s="400"/>
      <c r="L15" s="460"/>
      <c r="M15" s="458"/>
      <c r="N15" s="458"/>
      <c r="O15" s="459"/>
      <c r="P15" s="458"/>
      <c r="Q15" s="292"/>
      <c r="R15" s="292"/>
      <c r="S15" s="429">
        <v>18900423</v>
      </c>
      <c r="T15" s="413"/>
      <c r="U15" s="31"/>
    </row>
    <row r="16" spans="1:21" s="232" customFormat="1" ht="12.75" customHeight="1">
      <c r="A16" s="233">
        <f t="shared" si="0"/>
        <v>12</v>
      </c>
      <c r="B16" s="114" t="s">
        <v>132</v>
      </c>
      <c r="C16" s="115">
        <v>33161</v>
      </c>
      <c r="D16" s="115">
        <v>35718</v>
      </c>
      <c r="E16" s="115">
        <v>34372</v>
      </c>
      <c r="F16" s="115" t="s">
        <v>128</v>
      </c>
      <c r="G16" s="115">
        <v>34366</v>
      </c>
      <c r="H16" s="291">
        <v>45323</v>
      </c>
      <c r="I16" s="292">
        <v>168880.08</v>
      </c>
      <c r="J16" s="116">
        <v>18900173</v>
      </c>
      <c r="L16" s="400"/>
      <c r="M16" s="458"/>
      <c r="N16" s="458"/>
      <c r="O16" s="459"/>
      <c r="P16" s="458"/>
      <c r="Q16" s="292"/>
      <c r="R16" s="292"/>
      <c r="S16" s="429">
        <v>18900443</v>
      </c>
      <c r="T16" s="31"/>
      <c r="U16" s="31"/>
    </row>
    <row r="17" spans="1:21" s="232" customFormat="1" ht="12.75" customHeight="1">
      <c r="A17" s="233">
        <f t="shared" si="0"/>
        <v>13</v>
      </c>
      <c r="B17" s="114" t="s">
        <v>117</v>
      </c>
      <c r="C17" s="115">
        <v>35587</v>
      </c>
      <c r="D17" s="115">
        <v>46539</v>
      </c>
      <c r="E17" s="115">
        <v>38504</v>
      </c>
      <c r="F17" s="115"/>
      <c r="G17" s="115"/>
      <c r="H17" s="291">
        <v>46539</v>
      </c>
      <c r="I17" s="292">
        <v>229804.2</v>
      </c>
      <c r="J17" s="116">
        <v>18900193</v>
      </c>
      <c r="L17" s="400"/>
      <c r="M17" s="458"/>
      <c r="N17" s="458"/>
      <c r="O17" s="459"/>
      <c r="P17" s="458"/>
      <c r="Q17" s="292"/>
      <c r="R17" s="292"/>
      <c r="S17" s="429">
        <v>18900451</v>
      </c>
      <c r="T17" s="31"/>
      <c r="U17" s="31"/>
    </row>
    <row r="18" spans="1:21" s="232" customFormat="1" ht="12.75" customHeight="1">
      <c r="A18" s="233">
        <f t="shared" si="0"/>
        <v>14</v>
      </c>
      <c r="B18" s="293" t="s">
        <v>40</v>
      </c>
      <c r="C18" s="115">
        <v>33457</v>
      </c>
      <c r="D18" s="115">
        <f>DATE(2021,8,1)</f>
        <v>44409</v>
      </c>
      <c r="E18" s="294">
        <v>37691</v>
      </c>
      <c r="F18" s="294" t="s">
        <v>129</v>
      </c>
      <c r="G18" s="294">
        <v>37691</v>
      </c>
      <c r="H18" s="291">
        <v>47908</v>
      </c>
      <c r="I18" s="292">
        <v>45480.480000000003</v>
      </c>
      <c r="J18" s="116">
        <v>18900253</v>
      </c>
      <c r="L18" s="400"/>
      <c r="M18" s="458"/>
      <c r="N18" s="458"/>
      <c r="O18" s="459"/>
      <c r="P18" s="458"/>
      <c r="Q18" s="292"/>
      <c r="R18" s="292"/>
      <c r="S18" s="429">
        <v>18900452</v>
      </c>
      <c r="T18" s="31"/>
      <c r="U18" s="31"/>
    </row>
    <row r="19" spans="1:21" s="232" customFormat="1" ht="12.75" customHeight="1">
      <c r="A19" s="233">
        <f t="shared" si="0"/>
        <v>15</v>
      </c>
      <c r="B19" s="293" t="s">
        <v>41</v>
      </c>
      <c r="C19" s="115">
        <v>33457</v>
      </c>
      <c r="D19" s="115">
        <f>DATE(2021,8,1)</f>
        <v>44409</v>
      </c>
      <c r="E19" s="294">
        <v>37691</v>
      </c>
      <c r="F19" s="294" t="s">
        <v>129</v>
      </c>
      <c r="G19" s="294">
        <v>37691</v>
      </c>
      <c r="H19" s="291">
        <v>47908</v>
      </c>
      <c r="I19" s="292">
        <v>34561.440000000002</v>
      </c>
      <c r="J19" s="116">
        <v>18900263</v>
      </c>
      <c r="L19" s="400"/>
      <c r="M19" s="458"/>
      <c r="N19" s="458"/>
      <c r="O19" s="459"/>
      <c r="P19" s="458"/>
      <c r="Q19" s="292"/>
      <c r="R19" s="292"/>
      <c r="S19" s="429">
        <v>18900473</v>
      </c>
      <c r="T19" s="31"/>
      <c r="U19" s="31"/>
    </row>
    <row r="20" spans="1:21" s="232" customFormat="1" ht="12.75" customHeight="1">
      <c r="A20" s="233">
        <f t="shared" si="0"/>
        <v>16</v>
      </c>
      <c r="B20" s="293" t="s">
        <v>42</v>
      </c>
      <c r="C20" s="115">
        <v>33664</v>
      </c>
      <c r="D20" s="115">
        <f>DATE(2022,3,1)</f>
        <v>44621</v>
      </c>
      <c r="E20" s="294">
        <v>37691</v>
      </c>
      <c r="F20" s="294" t="s">
        <v>129</v>
      </c>
      <c r="G20" s="294">
        <v>37691</v>
      </c>
      <c r="H20" s="291">
        <v>47908</v>
      </c>
      <c r="I20" s="292">
        <v>105825.48</v>
      </c>
      <c r="J20" s="116">
        <v>18900273</v>
      </c>
      <c r="L20" s="400"/>
      <c r="M20" s="458"/>
      <c r="N20" s="458"/>
      <c r="O20" s="459"/>
      <c r="P20" s="458"/>
      <c r="Q20" s="292"/>
      <c r="R20" s="292"/>
      <c r="S20" s="429">
        <v>18900463</v>
      </c>
      <c r="T20" s="31"/>
      <c r="U20" s="31"/>
    </row>
    <row r="21" spans="1:21" s="232" customFormat="1" ht="12.75" customHeight="1">
      <c r="A21" s="233">
        <f t="shared" si="0"/>
        <v>17</v>
      </c>
      <c r="B21" s="293" t="s">
        <v>43</v>
      </c>
      <c r="C21" s="115">
        <v>33664</v>
      </c>
      <c r="D21" s="115">
        <f>DATE(2022,3,1)</f>
        <v>44621</v>
      </c>
      <c r="E21" s="294">
        <v>37691</v>
      </c>
      <c r="F21" s="294" t="s">
        <v>129</v>
      </c>
      <c r="G21" s="294">
        <v>37691</v>
      </c>
      <c r="H21" s="291">
        <v>47908</v>
      </c>
      <c r="I21" s="292">
        <v>32297.759999999998</v>
      </c>
      <c r="J21" s="116">
        <v>18900283</v>
      </c>
      <c r="L21" s="400"/>
      <c r="M21" s="458"/>
      <c r="N21" s="458"/>
      <c r="O21" s="459"/>
      <c r="P21" s="458"/>
      <c r="Q21" s="292"/>
      <c r="R21" s="292"/>
    </row>
    <row r="22" spans="1:21" s="232" customFormat="1" ht="12.75" customHeight="1">
      <c r="A22" s="233">
        <f t="shared" si="0"/>
        <v>18</v>
      </c>
      <c r="B22" s="293" t="s">
        <v>181</v>
      </c>
      <c r="C22" s="115">
        <v>37691</v>
      </c>
      <c r="D22" s="115">
        <v>47908</v>
      </c>
      <c r="E22" s="294">
        <v>41449</v>
      </c>
      <c r="F22" s="294" t="s">
        <v>182</v>
      </c>
      <c r="G22" s="294">
        <v>41417</v>
      </c>
      <c r="H22" s="291">
        <v>47908</v>
      </c>
      <c r="I22" s="292">
        <v>299128.68</v>
      </c>
      <c r="J22" s="116">
        <v>18900433</v>
      </c>
      <c r="L22" s="400"/>
      <c r="M22" s="458"/>
      <c r="N22" s="458"/>
      <c r="O22" s="459"/>
      <c r="P22" s="458"/>
      <c r="Q22" s="292"/>
      <c r="R22" s="292"/>
    </row>
    <row r="23" spans="1:21" s="232" customFormat="1" ht="12.75" customHeight="1">
      <c r="A23" s="233">
        <f t="shared" si="0"/>
        <v>19</v>
      </c>
      <c r="B23" s="293" t="s">
        <v>181</v>
      </c>
      <c r="C23" s="115">
        <v>37691</v>
      </c>
      <c r="D23" s="115">
        <v>47908</v>
      </c>
      <c r="E23" s="294">
        <v>41449</v>
      </c>
      <c r="F23" s="294" t="s">
        <v>182</v>
      </c>
      <c r="G23" s="294">
        <v>41417</v>
      </c>
      <c r="H23" s="291">
        <v>47908</v>
      </c>
      <c r="I23" s="292">
        <v>50553.24</v>
      </c>
      <c r="J23" s="116">
        <v>18900533</v>
      </c>
      <c r="L23" s="400"/>
      <c r="M23" s="458"/>
      <c r="N23" s="458"/>
      <c r="O23" s="459"/>
      <c r="P23" s="458"/>
      <c r="Q23" s="292"/>
      <c r="R23" s="292"/>
    </row>
    <row r="24" spans="1:21" s="232" customFormat="1" ht="12.75" customHeight="1">
      <c r="A24" s="233">
        <f>A23+1</f>
        <v>20</v>
      </c>
      <c r="B24" s="114" t="s">
        <v>95</v>
      </c>
      <c r="C24" s="115">
        <v>38183</v>
      </c>
      <c r="D24" s="115">
        <v>38913</v>
      </c>
      <c r="E24" s="115">
        <v>38499</v>
      </c>
      <c r="F24" s="115" t="s">
        <v>96</v>
      </c>
      <c r="G24" s="115">
        <v>38499</v>
      </c>
      <c r="H24" s="291">
        <v>49456</v>
      </c>
      <c r="I24" s="292">
        <f>17086.56</f>
        <v>17086.560000000001</v>
      </c>
      <c r="J24" s="116">
        <v>18900183</v>
      </c>
      <c r="L24" s="400"/>
      <c r="M24" s="458"/>
      <c r="N24" s="458"/>
      <c r="O24" s="459"/>
      <c r="P24" s="458"/>
      <c r="Q24" s="292"/>
      <c r="R24" s="292"/>
    </row>
    <row r="25" spans="1:21" s="232" customFormat="1" ht="12.75" customHeight="1">
      <c r="A25" s="233">
        <f t="shared" si="0"/>
        <v>21</v>
      </c>
      <c r="B25" s="114" t="s">
        <v>29</v>
      </c>
      <c r="C25" s="115">
        <v>37035</v>
      </c>
      <c r="D25" s="115">
        <v>51682</v>
      </c>
      <c r="E25" s="115">
        <v>38898</v>
      </c>
      <c r="F25" s="115" t="s">
        <v>130</v>
      </c>
      <c r="G25" s="115">
        <v>38898</v>
      </c>
      <c r="H25" s="291">
        <v>49841</v>
      </c>
      <c r="I25" s="292">
        <f>(16418.45*12)</f>
        <v>197021.40000000002</v>
      </c>
      <c r="J25" s="116">
        <v>18900373</v>
      </c>
      <c r="L25" s="400"/>
      <c r="M25" s="458"/>
      <c r="N25" s="458"/>
      <c r="O25" s="459"/>
      <c r="P25" s="458"/>
      <c r="Q25" s="292"/>
      <c r="R25" s="292"/>
    </row>
    <row r="26" spans="1:21" s="232" customFormat="1" ht="12.75" customHeight="1">
      <c r="A26" s="233">
        <f t="shared" si="0"/>
        <v>22</v>
      </c>
      <c r="B26" s="114" t="s">
        <v>175</v>
      </c>
      <c r="C26" s="115">
        <v>33117</v>
      </c>
      <c r="D26" s="115">
        <v>44075</v>
      </c>
      <c r="E26" s="115">
        <v>40900</v>
      </c>
      <c r="F26" s="115" t="s">
        <v>176</v>
      </c>
      <c r="G26" s="115">
        <v>40869</v>
      </c>
      <c r="H26" s="291">
        <v>55472</v>
      </c>
      <c r="I26" s="292">
        <v>400518.84</v>
      </c>
      <c r="J26" s="116">
        <v>18900393</v>
      </c>
      <c r="L26" s="400"/>
      <c r="M26" s="459"/>
      <c r="N26" s="459"/>
      <c r="O26" s="459"/>
      <c r="P26" s="459"/>
      <c r="Q26" s="292"/>
      <c r="R26" s="292"/>
    </row>
    <row r="27" spans="1:21" s="232" customFormat="1" ht="12.75" customHeight="1">
      <c r="A27" s="233">
        <f t="shared" si="0"/>
        <v>23</v>
      </c>
      <c r="B27" s="114" t="s">
        <v>185</v>
      </c>
      <c r="C27" s="115">
        <v>38637</v>
      </c>
      <c r="D27" s="115">
        <v>42278</v>
      </c>
      <c r="E27" s="115">
        <v>42160</v>
      </c>
      <c r="F27" s="115" t="s">
        <v>187</v>
      </c>
      <c r="G27" s="115">
        <v>42150</v>
      </c>
      <c r="H27" s="291">
        <v>53102</v>
      </c>
      <c r="I27" s="292">
        <v>82302.48</v>
      </c>
      <c r="J27" s="116">
        <v>18900203</v>
      </c>
      <c r="L27" s="400"/>
      <c r="M27" s="459"/>
      <c r="N27" s="459"/>
      <c r="O27" s="459"/>
      <c r="P27" s="459"/>
      <c r="Q27" s="292"/>
      <c r="R27" s="292"/>
    </row>
    <row r="28" spans="1:21" s="232" customFormat="1" ht="12.75" customHeight="1">
      <c r="A28" s="233">
        <f t="shared" si="0"/>
        <v>24</v>
      </c>
      <c r="B28" s="114" t="s">
        <v>186</v>
      </c>
      <c r="C28" s="115">
        <v>39836</v>
      </c>
      <c r="D28" s="115">
        <v>42384</v>
      </c>
      <c r="E28" s="115">
        <v>42160</v>
      </c>
      <c r="F28" s="115" t="s">
        <v>187</v>
      </c>
      <c r="G28" s="115">
        <v>42150</v>
      </c>
      <c r="H28" s="291">
        <v>53102</v>
      </c>
      <c r="I28" s="292">
        <v>316649.76</v>
      </c>
      <c r="J28" s="116">
        <v>18900213</v>
      </c>
      <c r="L28" s="400"/>
      <c r="M28" s="459"/>
      <c r="N28" s="459"/>
      <c r="O28" s="459"/>
      <c r="P28" s="459"/>
      <c r="Q28" s="292"/>
      <c r="R28" s="292"/>
    </row>
    <row r="29" spans="1:21" s="232" customFormat="1" ht="12.75" customHeight="1">
      <c r="A29" s="233">
        <f t="shared" si="0"/>
        <v>25</v>
      </c>
      <c r="B29" s="114" t="s">
        <v>116</v>
      </c>
      <c r="C29" s="115">
        <v>39237</v>
      </c>
      <c r="D29" s="115">
        <v>24624</v>
      </c>
      <c r="E29" s="115">
        <v>43217</v>
      </c>
      <c r="F29" s="115"/>
      <c r="G29" s="115"/>
      <c r="H29" s="291">
        <v>61149</v>
      </c>
      <c r="I29" s="292">
        <v>100652.64</v>
      </c>
      <c r="J29" s="116">
        <v>18900233</v>
      </c>
      <c r="L29" s="400"/>
      <c r="M29" s="459"/>
      <c r="N29" s="459"/>
      <c r="O29" s="459"/>
      <c r="P29" s="459"/>
      <c r="Q29" s="292"/>
      <c r="R29" s="292"/>
    </row>
    <row r="30" spans="1:21" s="31" customFormat="1" ht="12.75" customHeight="1">
      <c r="A30" s="233">
        <f t="shared" si="0"/>
        <v>26</v>
      </c>
      <c r="B30" s="114"/>
      <c r="C30" s="115"/>
      <c r="D30" s="115"/>
      <c r="E30" s="115"/>
      <c r="F30" s="115"/>
      <c r="G30" s="115"/>
      <c r="H30" s="291"/>
      <c r="I30" s="295"/>
      <c r="J30" s="296"/>
    </row>
    <row r="31" spans="1:21" s="31" customFormat="1" ht="15" customHeight="1" thickBot="1">
      <c r="A31" s="233">
        <f t="shared" si="0"/>
        <v>27</v>
      </c>
      <c r="B31" s="112" t="s">
        <v>28</v>
      </c>
      <c r="C31" s="117"/>
      <c r="D31" s="117"/>
      <c r="E31" s="117"/>
      <c r="F31" s="117"/>
      <c r="G31" s="117"/>
      <c r="H31" s="117"/>
      <c r="I31" s="297">
        <f>SUM(I8:I30)</f>
        <v>2157708.2400000002</v>
      </c>
      <c r="J31" s="119"/>
    </row>
    <row r="32" spans="1:21" s="31" customFormat="1" ht="12.75" customHeight="1" thickTop="1">
      <c r="A32" s="233">
        <f t="shared" si="0"/>
        <v>28</v>
      </c>
      <c r="B32" s="120"/>
      <c r="C32" s="121"/>
      <c r="D32" s="121"/>
      <c r="E32" s="121"/>
      <c r="F32" s="121"/>
      <c r="G32" s="121"/>
      <c r="H32" s="121"/>
      <c r="I32" s="64"/>
      <c r="J32" s="118"/>
    </row>
    <row r="33" spans="1:10" s="31" customFormat="1" ht="12.75" customHeight="1">
      <c r="A33" s="233">
        <f t="shared" si="0"/>
        <v>29</v>
      </c>
      <c r="B33" s="120" t="s">
        <v>194</v>
      </c>
      <c r="C33" s="121"/>
      <c r="D33" s="121"/>
      <c r="E33" s="121"/>
      <c r="F33" s="121"/>
      <c r="G33" s="121"/>
      <c r="H33" s="121"/>
      <c r="I33" s="292">
        <f>'New Format'!C30</f>
        <v>8410342420</v>
      </c>
      <c r="J33" s="118"/>
    </row>
    <row r="34" spans="1:10" s="31" customFormat="1" ht="12.75" customHeight="1">
      <c r="A34" s="233">
        <f t="shared" si="0"/>
        <v>30</v>
      </c>
      <c r="B34" s="120"/>
      <c r="C34" s="121"/>
      <c r="D34" s="121"/>
      <c r="E34" s="121"/>
      <c r="F34" s="121"/>
      <c r="G34" s="121"/>
      <c r="H34" s="121"/>
      <c r="I34" s="64"/>
      <c r="J34" s="118"/>
    </row>
    <row r="35" spans="1:10" s="31" customFormat="1" ht="12.75" customHeight="1">
      <c r="A35" s="233">
        <f t="shared" si="0"/>
        <v>31</v>
      </c>
      <c r="B35" s="120" t="s">
        <v>197</v>
      </c>
      <c r="C35" s="121"/>
      <c r="D35" s="121"/>
      <c r="E35" s="121"/>
      <c r="F35" s="121"/>
      <c r="G35" s="121"/>
      <c r="H35" s="121"/>
      <c r="I35" s="423">
        <f>ROUND(I31/I33,4)</f>
        <v>2.9999999999999997E-4</v>
      </c>
      <c r="J35" s="439"/>
    </row>
    <row r="36" spans="1:10" s="31" customFormat="1" ht="12.75" customHeight="1">
      <c r="A36" s="233">
        <f t="shared" si="0"/>
        <v>32</v>
      </c>
      <c r="B36" s="120"/>
      <c r="C36" s="121"/>
      <c r="D36" s="121"/>
      <c r="E36" s="121"/>
      <c r="F36" s="121"/>
      <c r="G36" s="121"/>
      <c r="H36" s="121"/>
      <c r="I36" s="64"/>
      <c r="J36" s="118"/>
    </row>
    <row r="37" spans="1:10" s="31" customFormat="1" ht="12.75" customHeight="1">
      <c r="A37" s="233">
        <f t="shared" si="0"/>
        <v>33</v>
      </c>
      <c r="C37" s="57"/>
      <c r="D37" s="57"/>
      <c r="E37" s="57"/>
      <c r="F37" s="57"/>
      <c r="G37" s="57"/>
      <c r="H37" s="148"/>
      <c r="I37" s="64"/>
      <c r="J37" s="118"/>
    </row>
    <row r="38" spans="1:10" s="31" customFormat="1" ht="12.75" customHeight="1">
      <c r="A38" s="233">
        <f t="shared" si="0"/>
        <v>34</v>
      </c>
      <c r="B38" s="231"/>
      <c r="C38" s="232"/>
      <c r="D38" s="232"/>
      <c r="E38" s="232"/>
      <c r="F38" s="232"/>
      <c r="H38" s="32"/>
      <c r="I38" s="64"/>
    </row>
    <row r="39" spans="1:10" s="31" customFormat="1" ht="12.75" customHeight="1">
      <c r="A39" s="233">
        <f t="shared" si="0"/>
        <v>35</v>
      </c>
      <c r="B39" s="57" t="s">
        <v>134</v>
      </c>
      <c r="H39" s="32"/>
      <c r="I39" s="64"/>
      <c r="J39" s="116"/>
    </row>
    <row r="40" spans="1:10" s="31" customFormat="1" ht="12.75" customHeight="1">
      <c r="A40" s="233">
        <f t="shared" si="0"/>
        <v>36</v>
      </c>
      <c r="B40" s="261" t="s">
        <v>133</v>
      </c>
      <c r="H40" s="32"/>
      <c r="I40" s="32"/>
    </row>
    <row r="41" spans="1:10" s="31" customFormat="1" ht="12.75" customHeight="1">
      <c r="A41" s="234"/>
      <c r="H41" s="32"/>
      <c r="I41" s="32"/>
    </row>
    <row r="42" spans="1:10" s="31" customFormat="1" ht="12.75" customHeight="1">
      <c r="H42" s="32"/>
      <c r="I42" s="32"/>
    </row>
    <row r="43" spans="1:10" s="31" customFormat="1" ht="12.75" customHeight="1">
      <c r="H43" s="32"/>
      <c r="I43" s="221"/>
    </row>
    <row r="44" spans="1:10" s="31" customFormat="1" ht="12.75" customHeight="1">
      <c r="H44" s="32"/>
      <c r="I44" s="32"/>
    </row>
    <row r="45" spans="1:10" s="31" customFormat="1" ht="12.75" customHeight="1">
      <c r="H45" s="32"/>
      <c r="I45" s="32"/>
    </row>
    <row r="46" spans="1:10" s="31" customFormat="1" ht="12.75" customHeight="1">
      <c r="H46" s="32"/>
      <c r="I46" s="32"/>
    </row>
    <row r="47" spans="1:10" s="31" customFormat="1" ht="12.75" customHeight="1">
      <c r="H47" s="32"/>
      <c r="I47" s="32"/>
    </row>
    <row r="48" spans="1:10" s="31" customFormat="1" ht="12.75" customHeight="1">
      <c r="H48" s="32"/>
      <c r="I48" s="32"/>
    </row>
    <row r="49" spans="8:9" s="31" customFormat="1" ht="12.75" customHeight="1">
      <c r="H49" s="32"/>
      <c r="I49" s="32"/>
    </row>
    <row r="50" spans="8:9" s="31" customFormat="1" ht="12.75" customHeight="1">
      <c r="H50" s="32"/>
      <c r="I50" s="32"/>
    </row>
    <row r="51" spans="8:9" s="31" customFormat="1" ht="12.75" customHeight="1">
      <c r="H51" s="32"/>
      <c r="I51" s="32"/>
    </row>
    <row r="52" spans="8:9" s="31" customFormat="1" ht="12.75" customHeight="1"/>
    <row r="53" spans="8:9" s="31" customFormat="1" ht="12.75" customHeight="1"/>
    <row r="54" spans="8:9" s="31" customFormat="1" ht="12.75" customHeight="1"/>
    <row r="55" spans="8:9" s="31" customFormat="1" ht="12.75" customHeight="1"/>
    <row r="56" spans="8:9" s="31" customFormat="1" ht="12.75" customHeight="1"/>
    <row r="57" spans="8:9" s="31" customFormat="1" ht="12.75" customHeight="1"/>
    <row r="58" spans="8:9" s="31" customFormat="1" ht="12.75" customHeight="1"/>
    <row r="59" spans="8:9" s="31" customFormat="1" ht="15.6"/>
    <row r="60" spans="8:9" s="31" customFormat="1" ht="15.6"/>
    <row r="61" spans="8:9" s="31" customFormat="1" ht="15.6"/>
    <row r="62" spans="8:9" s="31" customFormat="1" ht="15.6"/>
    <row r="63" spans="8:9" s="31" customFormat="1" ht="15.6"/>
    <row r="64" spans="8:9" s="31" customFormat="1" ht="15.6"/>
    <row r="65" s="31" customFormat="1" ht="15.6"/>
    <row r="66" s="31" customFormat="1" ht="15.6"/>
    <row r="67" s="31" customFormat="1" ht="15.6"/>
    <row r="68" s="31" customFormat="1" ht="15.6"/>
    <row r="69" s="31" customFormat="1" ht="15.6"/>
    <row r="70" s="31" customFormat="1" ht="15.6"/>
    <row r="71" s="31" customFormat="1" ht="15.6"/>
    <row r="72" s="31" customFormat="1" ht="15.6"/>
    <row r="73" s="31" customFormat="1" ht="15.6"/>
    <row r="74" s="31" customFormat="1" ht="15.6"/>
    <row r="75" s="31" customFormat="1" ht="15.6"/>
    <row r="76" s="31" customFormat="1" ht="15.6"/>
    <row r="77" s="31" customFormat="1" ht="15.6"/>
    <row r="78" s="31" customFormat="1" ht="15.6"/>
    <row r="79" s="31" customFormat="1" ht="15.6"/>
    <row r="80" s="31" customFormat="1" ht="15.6"/>
    <row r="81" s="31" customFormat="1" ht="15.6"/>
    <row r="82" s="31" customFormat="1" ht="15.6"/>
    <row r="83" s="31" customFormat="1" ht="15.6"/>
  </sheetData>
  <mergeCells count="1">
    <mergeCell ref="B3:D3"/>
  </mergeCells>
  <phoneticPr fontId="24" type="noConversion"/>
  <printOptions horizontalCentered="1"/>
  <pageMargins left="0.2" right="0.2" top="0.75" bottom="0.4" header="0.36" footer="0.17"/>
  <pageSetup orientation="landscape" r:id="rId1"/>
  <headerFooter alignWithMargins="0">
    <oddFooter>&amp;C&amp;A&amp;R&amp;7&amp;F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8898F9-35B8-490C-9AA0-29604EB078A5}"/>
</file>

<file path=customXml/itemProps2.xml><?xml version="1.0" encoding="utf-8"?>
<ds:datastoreItem xmlns:ds="http://schemas.openxmlformats.org/officeDocument/2006/customXml" ds:itemID="{53B6543B-5368-4398-AE4B-78544D9BFEAA}"/>
</file>

<file path=customXml/itemProps3.xml><?xml version="1.0" encoding="utf-8"?>
<ds:datastoreItem xmlns:ds="http://schemas.openxmlformats.org/officeDocument/2006/customXml" ds:itemID="{CC2BB425-A9B0-4BD1-A437-4385C95B5880}"/>
</file>

<file path=customXml/itemProps4.xml><?xml version="1.0" encoding="utf-8"?>
<ds:datastoreItem xmlns:ds="http://schemas.openxmlformats.org/officeDocument/2006/customXml" ds:itemID="{DBDF5E13-845D-432C-A765-ED94A08C1E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'New Format'!Print_Area</vt:lpstr>
      <vt:lpstr>'Pg 2 CapStructure'!Print_Area</vt:lpstr>
      <vt:lpstr>'Pg 3 STD Cost Rate'!Print_Area</vt:lpstr>
      <vt:lpstr>'Pg 4 STD OS &amp; Comm Fees'!Print_Area</vt:lpstr>
      <vt:lpstr>'Pg 5 STD Amort'!Print_Area</vt:lpstr>
      <vt:lpstr>'Pg 6 LTD Cost '!Print_Area</vt:lpstr>
      <vt:lpstr>'Pg 7 Reacquired Debt'!Print_Area</vt:lpstr>
      <vt:lpstr>'Pg 7 Reacquired Debt'!Print_Titles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Marvelous Marina</cp:lastModifiedBy>
  <cp:lastPrinted>2020-03-02T22:51:15Z</cp:lastPrinted>
  <dcterms:created xsi:type="dcterms:W3CDTF">2001-12-28T16:42:36Z</dcterms:created>
  <dcterms:modified xsi:type="dcterms:W3CDTF">2020-03-30T15:24:02Z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0x0101006E56B4D1795A2E4DB2F0B01679ED314A00D2BC56AE2A887B4284B2CA7506F74CC7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