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 Conservation Rate\2020\Filed 3-1-20\"/>
    </mc:Choice>
  </mc:AlternateContent>
  <bookViews>
    <workbookView xWindow="-230" yWindow="-80" windowWidth="26310" windowHeight="11530"/>
  </bookViews>
  <sheets>
    <sheet name="Rates" sheetId="4" r:id="rId1"/>
    <sheet name="Allocation" sheetId="3" r:id="rId2"/>
    <sheet name="Rate Impacts--&gt;" sheetId="21" r:id="rId3"/>
    <sheet name="Rate Impacts Sch120" sheetId="26" r:id="rId4"/>
    <sheet name="Typical Res Bill Sch120" sheetId="27" r:id="rId5"/>
    <sheet name="Schedule 120" sheetId="28" r:id="rId6"/>
    <sheet name="Workpapers--&gt;" sheetId="25" r:id="rId7"/>
    <sheet name="Rev Requirement" sheetId="2" r:id="rId8"/>
    <sheet name="Forecasted Volume" sheetId="1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4">0</definedName>
    <definedName name="_Order1">0</definedName>
    <definedName name="_Order2" localSheetId="4">0</definedName>
    <definedName name="_Order2">0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[18]INPUTS!$C$8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'[23]Mix Variance'!$B$1:$N$31</definedName>
    <definedName name="Data.Avg">'[22]Avg Amts'!$A$5:$BP$34</definedName>
    <definedName name="Data.Qtrs.Avg">'[22]Avg Amts'!$A$5:$IV$5</definedName>
    <definedName name="data1">'[24]Mix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[25]Inputs!$D$11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'[26]Assumptions of Purchase'!$B$45</definedName>
    <definedName name="DisFac">'[7]Func Dist Factor Table'!$A$11:$G$25</definedName>
    <definedName name="DocketNumber">'[27]JHS-4'!$AP$2</definedName>
    <definedName name="DP.T">[4]INTERNAL!$A$46:$IV$48</definedName>
    <definedName name="EBFIT.T">[4]INTERNAL!$A$88:$IV$90</definedName>
    <definedName name="EffTax">[4]INPUTS!$F$31</definedName>
    <definedName name="Electric_Prices">'[28]Monthly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[25]Inputs!$D$12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eb04AMA">[1]BS!$AE$7:$AE$3582</definedName>
    <definedName name="Feb09AMA">[2]BS!$AL$7:$AL$1725</definedName>
    <definedName name="Feb10AMA">[2]BS!$AX$7:$AX$1726</definedName>
    <definedName name="Fed_Cap_Tax">[29]Inputs!$E$112</definedName>
    <definedName name="FedTaxRate">[9]Assumptions!$C$33</definedName>
    <definedName name="FERC_Lookup">'[30]Map Table'!$E$2:$F$58</definedName>
    <definedName name="FIT">'[31]ROR &amp; CONV FACTOR'!$J$20</definedName>
    <definedName name="FIT_Tax_Rate">'[12]Assumptions (Input)'!$B$5</definedName>
    <definedName name="FranchiseTax">[11]Variables!$D$26</definedName>
    <definedName name="FTAX">[4]INPUTS!$F$30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 localSheetId="8">{"'Sheet1'!$A$1:$J$121"}</definedName>
    <definedName name="HTML_Control" localSheetId="3">{"'Sheet1'!$A$1:$J$121"}</definedName>
    <definedName name="HTML_Control" localSheetId="4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[32]Inputs!$N$18</definedName>
    <definedName name="JP_Bal">[33]ACCOUNTS!$AG$31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_Docket_Number">'[19]KJB-12 Sum'!$AS$2</definedName>
    <definedName name="k_FITrate">'[19]KJB-3,11 Def'!$L$20</definedName>
    <definedName name="keep_Docket_Number">'[34]KJB-3 Sum'!$AQ$2</definedName>
    <definedName name="keep_FIT">'[34]KJB-7 Def'!$L$20</definedName>
    <definedName name="keep_KJB_3_Rate_Increase">'[34]KJB-7 Def'!$C$3</definedName>
    <definedName name="keep_KJB_4_Electric_Summary">'[34]KJB-3 Sum'!$AQ$3</definedName>
    <definedName name="keep_KJB_8_Common_Adjs">'[34]KJB-5 Cmn Adj'!$L$3</definedName>
    <definedName name="keep_KJB_9_Electric_Only">'[34]KJB-5 El Adj'!$E$3</definedName>
    <definedName name="keep_PSE">'[35]Gas Summary'!$I$5</definedName>
    <definedName name="keep_TESTYEAR">'[35]Gas Detail Pages'!$A$8</definedName>
    <definedName name="kp_DOCKET">'[35]Gas Detail Pages'!$A$9</definedName>
    <definedName name="Last_Row" localSheetId="8">IF('Forecasted Volume'!Values_Entered,Header_Row+'Forecasted Volume'!Number_of_Payments,Header_Row)</definedName>
    <definedName name="Last_Row" localSheetId="3">IF('Rate Impacts Sch120'!Values_Entered,Header_Row+'Rate Impacts Sch120'!Number_of_Payments,Header_Row)</definedName>
    <definedName name="Last_Row" localSheetId="4">IF('Typical Res Bill Sch120'!Values_Entered,Header_Row+'Typical Res Bill Sch120'!Number_of_Payments,Header_Row)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[33]ACCOUNTS!$AG$167</definedName>
    <definedName name="LoadArray">'[36]Load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[37]M9100F4!$A$1:$V$99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 localSheetId="3">[38]!menu1_Button5_Click</definedName>
    <definedName name="menu1_Button5_Click" localSheetId="4">[38]!menu1_Button5_Click</definedName>
    <definedName name="menu1_Button5_Click">[38]!menu1_Button5_Click</definedName>
    <definedName name="menu1_Button6_Click" localSheetId="3">[38]!menu1_Button6_Click</definedName>
    <definedName name="menu1_Button6_Click" localSheetId="4">[38]!menu1_Button6_Click</definedName>
    <definedName name="menu1_Button6_Click">[38]!menu1_Button6_Click</definedName>
    <definedName name="MERGER_COST">[39]Sheet1!$AF$3:$AJ$28</definedName>
    <definedName name="METER">[4]EXTERNAL!$A$34:$IV$36</definedName>
    <definedName name="Method">[10]Inputs!$C$6</definedName>
    <definedName name="monthlist">[40]Table!$R$2:$S$13</definedName>
    <definedName name="monthtotals">'[40]WA SBC'!$D$40:$O$40</definedName>
    <definedName name="MTD_Format">[41]Mthly!$B$11:$D$11,[41]Mthly!$B$32:$D$32</definedName>
    <definedName name="MTR_YR3">[42]Variables!$E$14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[43]Inputs!$N$18</definedName>
    <definedName name="NRG">[4]CLASSIFIERS!$A$5:$IV$5</definedName>
    <definedName name="Number_of_Payments" localSheetId="8">MATCH(0.01,End_Bal,-1)+1</definedName>
    <definedName name="Number_of_Payments" localSheetId="3">MATCH(0.01,End_Bal,-1)+1</definedName>
    <definedName name="Number_of_Payments" localSheetId="4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'[44]Dist Misc'!$F$120</definedName>
    <definedName name="OthRCF">[18]INPUTS!$F$41</definedName>
    <definedName name="OthUnc">[4]INPUTS!$F$36</definedName>
    <definedName name="outlookdata">'[45]pivoted data'!$D$3:$Q$90</definedName>
    <definedName name="peak_new_table">'[46]2008 Extreme Peaks - 080403'!$E$5:$AD$8</definedName>
    <definedName name="peak_table">'[46]Peaks-F01'!$C$5:$E$243</definedName>
    <definedName name="PeakMethod">[10]Inputs!$T$5</definedName>
    <definedName name="Percent_debt">[29]Inputs!$E$129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'[28]Monthly Price Summary'!$C$4:$H$63</definedName>
    <definedName name="_xlnm.Print_Area" localSheetId="1">Allocation!$A$1:$I$25</definedName>
    <definedName name="_xlnm.Print_Area" localSheetId="8">'Forecasted Volume'!$A$1:$N$30</definedName>
    <definedName name="_xlnm.Print_Area" localSheetId="3">'Rate Impacts Sch120'!$B$1:$U$44</definedName>
    <definedName name="_xlnm.Print_Area" localSheetId="0">Rates!$B$1:$H$25</definedName>
    <definedName name="_xlnm.Print_Area" localSheetId="7">'Rev Requirement'!$A$1:$E$12</definedName>
    <definedName name="_xlnm.Print_Area" localSheetId="4">'Typical Res Bill Sch120'!$B$1:$H$42</definedName>
    <definedName name="Prior_Month">[47]Sch_120!$I$21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[48]Sheet1!$A$1147:$B$1887</definedName>
    <definedName name="Prov_Cap_Tax">[29]Inputs!$E$111</definedName>
    <definedName name="PSE">'[49]4.04'!$A$6</definedName>
    <definedName name="PSE_Pre_Tax_Equity_Rate">'[26]Assumptions of Purchase'!$B$42</definedName>
    <definedName name="PTDGP.T">[4]INTERNAL!$A$64:$IV$66</definedName>
    <definedName name="PTDP.T">[4]INTERNAL!$A$67:$IV$69</definedName>
    <definedName name="QTD_Format">[50]QTD!$B$11:$D$11,[50]QTD!$B$35:$D$35</definedName>
    <definedName name="RATE2">'[20]Transp Data'!$A$8:$I$112</definedName>
    <definedName name="Rates">[51]Codes!$A$1:$C$500</definedName>
    <definedName name="RB.T">[4]INTERNAL!$A$70:$IV$72</definedName>
    <definedName name="RCF">[33]INPUTS!$F$48</definedName>
    <definedName name="Requlated_scenario">'[12]Assumptions (Input)'!$B$12</definedName>
    <definedName name="ResExchCrRate">[47]Sch_194!$M$31</definedName>
    <definedName name="RESID">[4]EXTERNAL!$A$88:$IV$90</definedName>
    <definedName name="resource_lookup">'[52]#REF'!$B$3:$C$112</definedName>
    <definedName name="ResourceSupplier">[11]Variables!$D$28</definedName>
    <definedName name="ResRCF">[18]INPUTS!$F$39</definedName>
    <definedName name="ResUnc">[4]INPUTS!$F$34</definedName>
    <definedName name="RevClass">[51]Codes!$F$2:$G$10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[53]INPUTS!$F$25</definedName>
    <definedName name="ROR">[54]INPUTS!$F$29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[18]INPUTS!$F$40</definedName>
    <definedName name="SbUnc">[4]INPUTS!$F$35</definedName>
    <definedName name="Sch194Rlfwd">'[55]Sch94 Rlfwd'!$B$11</definedName>
    <definedName name="Schedule">[43]Inputs!$N$14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[4]INPUTS!$F$29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'[27]JHS-6'!$A$7</definedName>
    <definedName name="TFR">[4]CLASSIFIERS!$A$11:$IV$11</definedName>
    <definedName name="ThermalBookLife">[9]Assumptions!$C$25</definedName>
    <definedName name="Title">[9]Assumptions!$A$1</definedName>
    <definedName name="Total_Payment" localSheetId="3">Scheduled_Payment+Extra_Payment</definedName>
    <definedName name="Total_Payment" localSheetId="4">Scheduled_Payment+Extra_Payment</definedName>
    <definedName name="Total_Payment">Scheduled_Payment+Extra_Payment</definedName>
    <definedName name="TotalRateBase">'[7]G+T+D+R+M'!$H$58</definedName>
    <definedName name="TP.T">[4]INTERNAL!$A$91:$IV$93</definedName>
    <definedName name="transdb">'[56]Transp Unbilled'!$A$8:$E$174</definedName>
    <definedName name="TRANSM_2">[57]Transm2!$A$1:$M$461:'[57]10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 localSheetId="8">IF(Loan_Amount*Interest_Rate*Loan_Years*Loan_Start&gt;0,1,0)</definedName>
    <definedName name="Values_Entered" localSheetId="3">IF(Loan_Amount*Interest_Rate*Loan_Years*Loan_Start&gt;0,1,0)</definedName>
    <definedName name="Values_Entered" localSheetId="4">IF(Loan_Amount*Interest_Rate*Loan_Years*Loan_Start&gt;0,1,0)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inter">'[58]Input Tab'!$B$11</definedName>
    <definedName name="WinterPeak">'[59]Load Data'!$D$9:$H$12,'[59]Load Data'!$D$20:$H$22</definedName>
    <definedName name="WUTC_Docket_No._UG_11____">'[6]MJS-6'!$F$2</definedName>
    <definedName name="WUTC_FILING_FEE">'[6]MJS-7'!$O$15</definedName>
    <definedName name="Years_evaluated">'[60]Revison Inputs'!$B$6</definedName>
    <definedName name="YEFactors">[8]Factors!$S$3:$AG$99</definedName>
    <definedName name="YTD_Format">[50]YTD!$B$13:$D$13,[50]YTD!$B$36:$D$36</definedName>
  </definedNames>
  <calcPr calcId="162913"/>
</workbook>
</file>

<file path=xl/calcChain.xml><?xml version="1.0" encoding="utf-8"?>
<calcChain xmlns="http://schemas.openxmlformats.org/spreadsheetml/2006/main">
  <c r="F16" i="28" l="1"/>
  <c r="C16" i="28"/>
  <c r="G15" i="28"/>
  <c r="H15" i="28" s="1"/>
  <c r="F15" i="28"/>
  <c r="E15" i="28"/>
  <c r="I14" i="28"/>
  <c r="H14" i="28"/>
  <c r="G14" i="28"/>
  <c r="F14" i="28"/>
  <c r="E14" i="28"/>
  <c r="G13" i="28"/>
  <c r="H13" i="28" s="1"/>
  <c r="F13" i="28"/>
  <c r="E13" i="28"/>
  <c r="I12" i="28"/>
  <c r="H12" i="28"/>
  <c r="G12" i="28"/>
  <c r="F12" i="28"/>
  <c r="E12" i="28"/>
  <c r="G11" i="28"/>
  <c r="H11" i="28" s="1"/>
  <c r="F11" i="28"/>
  <c r="E11" i="28"/>
  <c r="I10" i="28"/>
  <c r="H10" i="28"/>
  <c r="G10" i="28"/>
  <c r="F10" i="28"/>
  <c r="E10" i="28"/>
  <c r="G9" i="28"/>
  <c r="G16" i="28" s="1"/>
  <c r="F9" i="28"/>
  <c r="E9" i="28"/>
  <c r="D40" i="27"/>
  <c r="G33" i="27"/>
  <c r="H33" i="27" s="1"/>
  <c r="E33" i="27"/>
  <c r="D33" i="27"/>
  <c r="D34" i="27" s="1"/>
  <c r="G32" i="27"/>
  <c r="D32" i="27"/>
  <c r="G31" i="27"/>
  <c r="H29" i="27"/>
  <c r="G29" i="27"/>
  <c r="E29" i="27"/>
  <c r="H27" i="27"/>
  <c r="G27" i="27"/>
  <c r="E27" i="27"/>
  <c r="H25" i="27"/>
  <c r="H34" i="27" s="1"/>
  <c r="G25" i="27"/>
  <c r="G40" i="27" s="1"/>
  <c r="E25" i="27"/>
  <c r="E34" i="27" s="1"/>
  <c r="D25" i="27"/>
  <c r="G24" i="27"/>
  <c r="G23" i="27"/>
  <c r="G22" i="27"/>
  <c r="G21" i="27"/>
  <c r="G20" i="27"/>
  <c r="G19" i="27"/>
  <c r="G18" i="27"/>
  <c r="G17" i="27"/>
  <c r="G14" i="27"/>
  <c r="E14" i="27"/>
  <c r="E36" i="27" s="1"/>
  <c r="D14" i="27"/>
  <c r="H13" i="27"/>
  <c r="H14" i="27" s="1"/>
  <c r="G13" i="27"/>
  <c r="E13" i="27"/>
  <c r="H12" i="27"/>
  <c r="G12" i="27"/>
  <c r="E12" i="27"/>
  <c r="H11" i="27"/>
  <c r="G11" i="27"/>
  <c r="E11" i="27"/>
  <c r="T39" i="26"/>
  <c r="E39" i="26"/>
  <c r="T36" i="26"/>
  <c r="E36" i="26"/>
  <c r="D36" i="26"/>
  <c r="E35" i="26"/>
  <c r="D35" i="26"/>
  <c r="E34" i="26"/>
  <c r="D34" i="26"/>
  <c r="E33" i="26"/>
  <c r="D33" i="26"/>
  <c r="E32" i="26"/>
  <c r="D32" i="26"/>
  <c r="E31" i="26"/>
  <c r="E37" i="26" s="1"/>
  <c r="E40" i="26" s="1"/>
  <c r="D31" i="26"/>
  <c r="D37" i="26" s="1"/>
  <c r="D40" i="26" s="1"/>
  <c r="E30" i="26"/>
  <c r="D30" i="26"/>
  <c r="Q26" i="26"/>
  <c r="P26" i="26"/>
  <c r="M26" i="26"/>
  <c r="L26" i="26"/>
  <c r="I26" i="26"/>
  <c r="S25" i="26"/>
  <c r="S39" i="26" s="1"/>
  <c r="H25" i="26"/>
  <c r="H39" i="26" s="1"/>
  <c r="F25" i="26"/>
  <c r="R23" i="26"/>
  <c r="R26" i="26" s="1"/>
  <c r="Q23" i="26"/>
  <c r="P23" i="26"/>
  <c r="O23" i="26"/>
  <c r="O26" i="26" s="1"/>
  <c r="N23" i="26"/>
  <c r="N26" i="26" s="1"/>
  <c r="M23" i="26"/>
  <c r="L23" i="26"/>
  <c r="J23" i="26"/>
  <c r="J26" i="26" s="1"/>
  <c r="I23" i="26"/>
  <c r="G23" i="26"/>
  <c r="E23" i="26"/>
  <c r="F23" i="26" s="1"/>
  <c r="D23" i="26"/>
  <c r="F22" i="26"/>
  <c r="H22" i="26" s="1"/>
  <c r="H21" i="26"/>
  <c r="S21" i="26" s="1"/>
  <c r="U21" i="26" s="1"/>
  <c r="F21" i="26"/>
  <c r="F20" i="26"/>
  <c r="H20" i="26" s="1"/>
  <c r="S20" i="26" s="1"/>
  <c r="U20" i="26" s="1"/>
  <c r="F19" i="26"/>
  <c r="H19" i="26" s="1"/>
  <c r="S19" i="26" s="1"/>
  <c r="U19" i="26" s="1"/>
  <c r="H18" i="26"/>
  <c r="S18" i="26" s="1"/>
  <c r="U18" i="26" s="1"/>
  <c r="F18" i="26"/>
  <c r="F17" i="26"/>
  <c r="H17" i="26" s="1"/>
  <c r="S17" i="26" s="1"/>
  <c r="U17" i="26" s="1"/>
  <c r="K16" i="26"/>
  <c r="H16" i="26"/>
  <c r="S16" i="26" s="1"/>
  <c r="S35" i="26" s="1"/>
  <c r="F16" i="26"/>
  <c r="T15" i="26"/>
  <c r="T34" i="26" s="1"/>
  <c r="K15" i="26"/>
  <c r="F15" i="26"/>
  <c r="H15" i="26" s="1"/>
  <c r="K14" i="26"/>
  <c r="F14" i="26"/>
  <c r="H14" i="26" s="1"/>
  <c r="T13" i="26"/>
  <c r="T32" i="26" s="1"/>
  <c r="K13" i="26"/>
  <c r="H13" i="26"/>
  <c r="H32" i="26" s="1"/>
  <c r="F13" i="26"/>
  <c r="K12" i="26"/>
  <c r="K23" i="26" s="1"/>
  <c r="K26" i="26" s="1"/>
  <c r="F12" i="26"/>
  <c r="H12" i="26" s="1"/>
  <c r="T11" i="26"/>
  <c r="K11" i="26"/>
  <c r="F11" i="26"/>
  <c r="H11" i="26" s="1"/>
  <c r="S11" i="26" s="1"/>
  <c r="U11" i="26" s="1"/>
  <c r="K10" i="26"/>
  <c r="H10" i="26"/>
  <c r="F10" i="26"/>
  <c r="I11" i="28" l="1"/>
  <c r="T12" i="26"/>
  <c r="T16" i="26"/>
  <c r="I15" i="28"/>
  <c r="H30" i="26"/>
  <c r="S14" i="26"/>
  <c r="S33" i="26" s="1"/>
  <c r="H33" i="26"/>
  <c r="H36" i="27"/>
  <c r="H37" i="27" s="1"/>
  <c r="H38" i="27" s="1"/>
  <c r="S12" i="26"/>
  <c r="S31" i="26" s="1"/>
  <c r="H31" i="26"/>
  <c r="H34" i="26"/>
  <c r="S15" i="26"/>
  <c r="H36" i="26"/>
  <c r="S22" i="26"/>
  <c r="U39" i="26"/>
  <c r="I13" i="28"/>
  <c r="T14" i="26"/>
  <c r="G34" i="27"/>
  <c r="H23" i="26"/>
  <c r="H26" i="26" s="1"/>
  <c r="U25" i="26"/>
  <c r="H35" i="26"/>
  <c r="H9" i="28"/>
  <c r="S10" i="26"/>
  <c r="S13" i="26"/>
  <c r="E26" i="26"/>
  <c r="A4" i="2"/>
  <c r="A2" i="2"/>
  <c r="T35" i="26" l="1"/>
  <c r="U35" i="26" s="1"/>
  <c r="U16" i="26"/>
  <c r="T31" i="26"/>
  <c r="U31" i="26" s="1"/>
  <c r="U12" i="26"/>
  <c r="S32" i="26"/>
  <c r="U32" i="26" s="1"/>
  <c r="U13" i="26"/>
  <c r="S30" i="26"/>
  <c r="S23" i="26"/>
  <c r="S26" i="26" s="1"/>
  <c r="T10" i="26"/>
  <c r="H16" i="28"/>
  <c r="I16" i="28" s="1"/>
  <c r="I9" i="28"/>
  <c r="U15" i="26"/>
  <c r="S34" i="26"/>
  <c r="U34" i="26" s="1"/>
  <c r="T33" i="26"/>
  <c r="U33" i="26" s="1"/>
  <c r="U14" i="26"/>
  <c r="S36" i="26"/>
  <c r="U36" i="26" s="1"/>
  <c r="U22" i="26"/>
  <c r="H37" i="26"/>
  <c r="H40" i="26" s="1"/>
  <c r="A2" i="17"/>
  <c r="B4" i="3"/>
  <c r="B2" i="3"/>
  <c r="S37" i="26" l="1"/>
  <c r="S40" i="26" s="1"/>
  <c r="U10" i="26"/>
  <c r="T30" i="26"/>
  <c r="T23" i="26"/>
  <c r="G11" i="4"/>
  <c r="G10" i="4"/>
  <c r="T26" i="26" l="1"/>
  <c r="U26" i="26" s="1"/>
  <c r="U23" i="26"/>
  <c r="T37" i="26"/>
  <c r="U30" i="26"/>
  <c r="M26" i="17"/>
  <c r="L26" i="17"/>
  <c r="K26" i="17"/>
  <c r="J26" i="17"/>
  <c r="I26" i="17"/>
  <c r="H26" i="17"/>
  <c r="G26" i="17"/>
  <c r="F26" i="17"/>
  <c r="E26" i="17"/>
  <c r="D26" i="17"/>
  <c r="C26" i="17"/>
  <c r="B26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M24" i="17"/>
  <c r="L24" i="17"/>
  <c r="K24" i="17"/>
  <c r="J24" i="17"/>
  <c r="I24" i="17"/>
  <c r="H24" i="17"/>
  <c r="H27" i="17" s="1"/>
  <c r="G24" i="17"/>
  <c r="F24" i="17"/>
  <c r="E24" i="17"/>
  <c r="D24" i="17"/>
  <c r="C24" i="17"/>
  <c r="B24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N21" i="17"/>
  <c r="N20" i="17"/>
  <c r="N19" i="17"/>
  <c r="N18" i="17"/>
  <c r="N17" i="17"/>
  <c r="N16" i="17"/>
  <c r="N15" i="17"/>
  <c r="N14" i="17"/>
  <c r="D19" i="3" s="1"/>
  <c r="N13" i="17"/>
  <c r="N12" i="17"/>
  <c r="D15" i="3" s="1"/>
  <c r="N11" i="17"/>
  <c r="N10" i="17"/>
  <c r="D13" i="3" s="1"/>
  <c r="N9" i="17"/>
  <c r="N8" i="17"/>
  <c r="C7" i="17"/>
  <c r="D7" i="17" s="1"/>
  <c r="E7" i="17" s="1"/>
  <c r="F7" i="17" s="1"/>
  <c r="G7" i="17" s="1"/>
  <c r="H7" i="17" s="1"/>
  <c r="I7" i="17" s="1"/>
  <c r="J7" i="17" s="1"/>
  <c r="K7" i="17" s="1"/>
  <c r="L7" i="17" s="1"/>
  <c r="M7" i="17" s="1"/>
  <c r="T40" i="26" l="1"/>
  <c r="U40" i="26" s="1"/>
  <c r="U37" i="26"/>
  <c r="D27" i="17"/>
  <c r="D28" i="17" s="1"/>
  <c r="L27" i="17"/>
  <c r="L28" i="17" s="1"/>
  <c r="I27" i="17"/>
  <c r="E27" i="17"/>
  <c r="E28" i="17" s="1"/>
  <c r="M27" i="17"/>
  <c r="M28" i="17" s="1"/>
  <c r="D20" i="3"/>
  <c r="N25" i="17"/>
  <c r="H17" i="4" s="1"/>
  <c r="D18" i="3"/>
  <c r="D14" i="3"/>
  <c r="D11" i="3"/>
  <c r="N24" i="17"/>
  <c r="H16" i="4" s="1"/>
  <c r="B27" i="17"/>
  <c r="B28" i="17" s="1"/>
  <c r="F27" i="17"/>
  <c r="F28" i="17" s="1"/>
  <c r="J27" i="17"/>
  <c r="J28" i="17" s="1"/>
  <c r="C27" i="17"/>
  <c r="C28" i="17" s="1"/>
  <c r="G27" i="17"/>
  <c r="G28" i="17" s="1"/>
  <c r="K27" i="17"/>
  <c r="K28" i="17" s="1"/>
  <c r="H28" i="17"/>
  <c r="D12" i="3"/>
  <c r="N22" i="17"/>
  <c r="I28" i="17"/>
  <c r="N26" i="17"/>
  <c r="N27" i="17" l="1"/>
  <c r="N28" i="17" s="1"/>
  <c r="G12" i="3" l="1"/>
  <c r="H12" i="3" s="1"/>
  <c r="B10" i="4" l="1"/>
  <c r="B11" i="4" s="1"/>
  <c r="B12" i="4" s="1"/>
  <c r="B13" i="4" s="1"/>
  <c r="B15" i="4" s="1"/>
  <c r="B16" i="4" s="1"/>
  <c r="B17" i="4" s="1"/>
  <c r="B18" i="4" s="1"/>
  <c r="B21" i="4" s="1"/>
  <c r="B22" i="4" s="1"/>
  <c r="B23" i="4" s="1"/>
  <c r="B25" i="4" l="1"/>
  <c r="G13" i="3"/>
  <c r="G20" i="3"/>
  <c r="G19" i="3"/>
  <c r="G18" i="3"/>
  <c r="G15" i="3"/>
  <c r="G14" i="3"/>
  <c r="G11" i="3"/>
  <c r="C12" i="2" l="1"/>
  <c r="F12" i="4" s="1"/>
  <c r="E10" i="2"/>
  <c r="E8" i="2"/>
  <c r="H13" i="3"/>
  <c r="E12" i="2" l="1"/>
  <c r="H12" i="4" s="1"/>
  <c r="H11" i="3"/>
  <c r="H14" i="3"/>
  <c r="H18" i="3"/>
  <c r="H20" i="3"/>
  <c r="H15" i="3"/>
  <c r="H19" i="3"/>
  <c r="D16" i="3" l="1"/>
  <c r="H18" i="4"/>
  <c r="H21" i="3"/>
  <c r="H16" i="3"/>
  <c r="D21" i="3"/>
  <c r="D22" i="3" l="1"/>
  <c r="D23" i="3" s="1"/>
  <c r="H22" i="3"/>
  <c r="I16" i="3" l="1"/>
  <c r="E10" i="4" s="1"/>
  <c r="I21" i="3"/>
  <c r="I22" i="3" l="1"/>
  <c r="F10" i="4"/>
  <c r="E11" i="4"/>
  <c r="E12" i="4" s="1"/>
  <c r="H10" i="4" l="1"/>
  <c r="F11" i="4"/>
  <c r="H11" i="4" s="1"/>
  <c r="H23" i="4" s="1"/>
  <c r="F13" i="4" l="1"/>
  <c r="H22" i="4"/>
  <c r="H13" i="4"/>
  <c r="H25" i="4" l="1"/>
</calcChain>
</file>

<file path=xl/sharedStrings.xml><?xml version="1.0" encoding="utf-8"?>
<sst xmlns="http://schemas.openxmlformats.org/spreadsheetml/2006/main" count="283" uniqueCount="175">
  <si>
    <t>41T</t>
  </si>
  <si>
    <t>85T</t>
  </si>
  <si>
    <t>87T</t>
  </si>
  <si>
    <t>Total</t>
  </si>
  <si>
    <t>Schedule</t>
  </si>
  <si>
    <t>Gas Conservation Revenue Requirement</t>
  </si>
  <si>
    <t xml:space="preserve">Line No. </t>
  </si>
  <si>
    <t>Description</t>
  </si>
  <si>
    <t>Amount</t>
  </si>
  <si>
    <t>Conversion Factor</t>
  </si>
  <si>
    <t>Revenue Requirement</t>
  </si>
  <si>
    <t>Total to be Recovered</t>
  </si>
  <si>
    <t>Puget Sound Energy</t>
  </si>
  <si>
    <t>Current Rates</t>
  </si>
  <si>
    <t>Charges</t>
  </si>
  <si>
    <t>Rates</t>
  </si>
  <si>
    <t>Volume (therms)</t>
  </si>
  <si>
    <t>Customer charge ($/month)</t>
  </si>
  <si>
    <t>Volumetric charges ($/therm)</t>
  </si>
  <si>
    <t>Delivery charge (Schedule 23)</t>
  </si>
  <si>
    <t>Low income charge (Schedule 129)</t>
  </si>
  <si>
    <t>Subtotal</t>
  </si>
  <si>
    <t>Conservation charge (Schedule 120)</t>
  </si>
  <si>
    <t>Merger rate credit (Schedule 132)</t>
  </si>
  <si>
    <t>Cost of gas (Schedule 101)</t>
  </si>
  <si>
    <t>Deferral amortization (Schedule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</si>
  <si>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</si>
  <si>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</si>
  <si>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</si>
  <si>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</si>
  <si>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</si>
  <si>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t>Forecasted</t>
  </si>
  <si>
    <t>Volume</t>
  </si>
  <si>
    <t>Demand</t>
  </si>
  <si>
    <t xml:space="preserve"> Commodity</t>
  </si>
  <si>
    <t>Projected</t>
  </si>
  <si>
    <t>Gas Cost</t>
  </si>
  <si>
    <t>Recovery</t>
  </si>
  <si>
    <t>Total Firm</t>
  </si>
  <si>
    <t>Total Interruptible</t>
  </si>
  <si>
    <t>Residential</t>
  </si>
  <si>
    <t>Residential Propane</t>
  </si>
  <si>
    <t>Commercial &amp; Industrial</t>
  </si>
  <si>
    <t>Interruptible</t>
  </si>
  <si>
    <t>Limited Interruptible</t>
  </si>
  <si>
    <t>Non-exclusive Interruptible</t>
  </si>
  <si>
    <t>Check</t>
  </si>
  <si>
    <t>Percent</t>
  </si>
  <si>
    <t>of</t>
  </si>
  <si>
    <t>Firm Schedules</t>
  </si>
  <si>
    <t>Interruptible Schedules</t>
  </si>
  <si>
    <t>Projected Sales Volume (Therms)</t>
  </si>
  <si>
    <t>Allocation</t>
  </si>
  <si>
    <t>Costs</t>
  </si>
  <si>
    <t>With Revenue</t>
  </si>
  <si>
    <t>Sensitive Items</t>
  </si>
  <si>
    <t>Conversion</t>
  </si>
  <si>
    <t>Factor</t>
  </si>
  <si>
    <t>$/therm</t>
  </si>
  <si>
    <t>Line</t>
  </si>
  <si>
    <t>A</t>
  </si>
  <si>
    <t>B</t>
  </si>
  <si>
    <t>D</t>
  </si>
  <si>
    <t>C</t>
  </si>
  <si>
    <t>Firm Schedules (line 2E / line 7E)</t>
  </si>
  <si>
    <t>Interruptible Schedules (line 3E / line 8E)</t>
  </si>
  <si>
    <t>Calculation of Schedule 120 Rates</t>
  </si>
  <si>
    <t>23,53</t>
  </si>
  <si>
    <t>Residential Gas Lights</t>
  </si>
  <si>
    <t>Large Volume</t>
  </si>
  <si>
    <t>Margin</t>
  </si>
  <si>
    <t>Margin Rate</t>
  </si>
  <si>
    <t>$/Therm</t>
  </si>
  <si>
    <t>Sched 120</t>
  </si>
  <si>
    <t>Revenue</t>
  </si>
  <si>
    <t>Change</t>
  </si>
  <si>
    <t>86T</t>
  </si>
  <si>
    <t>Contracts</t>
  </si>
  <si>
    <t>Large Volume Transportation</t>
  </si>
  <si>
    <t>Interruptible Transportation</t>
  </si>
  <si>
    <t>Limited Interruptible Transportation</t>
  </si>
  <si>
    <t>Non-exclusive Interruptible Transportation</t>
  </si>
  <si>
    <t>Rate</t>
  </si>
  <si>
    <t>Rate Class</t>
  </si>
  <si>
    <t>Proposed</t>
  </si>
  <si>
    <t>H</t>
  </si>
  <si>
    <t>$/mantle</t>
  </si>
  <si>
    <t>Proposed Rates</t>
  </si>
  <si>
    <t>Schedule 16 Gas Lights (line 11E * 19 therms/mantle)</t>
  </si>
  <si>
    <t>Volume (Therms)</t>
  </si>
  <si>
    <t>Basic charge</t>
  </si>
  <si>
    <t>Decoupling charge (Schedule 142)</t>
  </si>
  <si>
    <t>Residential (16,23,53)</t>
  </si>
  <si>
    <r>
      <t>(Therms)</t>
    </r>
    <r>
      <rPr>
        <vertAlign val="superscript"/>
        <sz val="11"/>
        <color theme="1"/>
        <rFont val="Calibri"/>
        <family val="2"/>
      </rPr>
      <t xml:space="preserve"> (1)</t>
    </r>
  </si>
  <si>
    <r>
      <t>Revenue</t>
    </r>
    <r>
      <rPr>
        <vertAlign val="superscript"/>
        <sz val="11"/>
        <color theme="1"/>
        <rFont val="Calibri"/>
        <family val="2"/>
      </rPr>
      <t xml:space="preserve"> (1)</t>
    </r>
  </si>
  <si>
    <t>K</t>
  </si>
  <si>
    <r>
      <t>Schedule 101 Volumetric Rates</t>
    </r>
    <r>
      <rPr>
        <vertAlign val="superscript"/>
        <sz val="11"/>
        <color theme="1"/>
        <rFont val="Calibri"/>
        <family val="2"/>
      </rPr>
      <t xml:space="preserve"> (1)</t>
    </r>
  </si>
  <si>
    <r>
      <t>Rates</t>
    </r>
    <r>
      <rPr>
        <vertAlign val="superscript"/>
        <sz val="11"/>
        <rFont val="Calibri"/>
        <family val="2"/>
      </rPr>
      <t xml:space="preserve"> (1)</t>
    </r>
  </si>
  <si>
    <t>Property tax charge (Schedule 140)</t>
  </si>
  <si>
    <t>31T</t>
  </si>
  <si>
    <t>CRM Charge (Schedule 149)</t>
  </si>
  <si>
    <t>J</t>
  </si>
  <si>
    <t>Sched 149</t>
  </si>
  <si>
    <t>L</t>
  </si>
  <si>
    <t>N</t>
  </si>
  <si>
    <t>Total Transportation</t>
  </si>
  <si>
    <t>Total Delivered</t>
  </si>
  <si>
    <t>Residential Lights</t>
  </si>
  <si>
    <r>
      <t>Rentals</t>
    </r>
    <r>
      <rPr>
        <vertAlign val="superscript"/>
        <sz val="11"/>
        <rFont val="Calibri"/>
        <family val="2"/>
      </rPr>
      <t>(2)</t>
    </r>
  </si>
  <si>
    <t>Non exclusive interruptible (87,87T)</t>
  </si>
  <si>
    <t>Limited interruptible (86,86T)</t>
  </si>
  <si>
    <t>Interruptible (85,85T)</t>
  </si>
  <si>
    <t>Large volume (41,41T)</t>
  </si>
  <si>
    <t>Commercial &amp; industrial (31,31T)</t>
  </si>
  <si>
    <t>By Customer Class</t>
  </si>
  <si>
    <t>Commercial &amp; Industrial Transportation</t>
  </si>
  <si>
    <t xml:space="preserve">S </t>
  </si>
  <si>
    <t xml:space="preserve">R </t>
  </si>
  <si>
    <t>Q</t>
  </si>
  <si>
    <t>P</t>
  </si>
  <si>
    <t>O</t>
  </si>
  <si>
    <t>M</t>
  </si>
  <si>
    <t>I</t>
  </si>
  <si>
    <t xml:space="preserve">G=E*F </t>
  </si>
  <si>
    <t xml:space="preserve">F </t>
  </si>
  <si>
    <t>E=D/C</t>
  </si>
  <si>
    <t>Margin Revenue</t>
  </si>
  <si>
    <t>Sched 140</t>
  </si>
  <si>
    <t>Sched 129</t>
  </si>
  <si>
    <t>Sched 106</t>
  </si>
  <si>
    <t>Sched 101</t>
  </si>
  <si>
    <t>Total Forecasted</t>
  </si>
  <si>
    <t>(a)</t>
  </si>
  <si>
    <t>(b)</t>
  </si>
  <si>
    <t>(c)</t>
  </si>
  <si>
    <t>(d)</t>
  </si>
  <si>
    <t>(e)</t>
  </si>
  <si>
    <t>Development of Firm and Interruptible Allocation Factors</t>
  </si>
  <si>
    <t>No.</t>
  </si>
  <si>
    <t>(f)=(d)+(e)</t>
  </si>
  <si>
    <t>(g)=(c)*(f)</t>
  </si>
  <si>
    <t>(h)</t>
  </si>
  <si>
    <t>Forecasted Therm Volumes</t>
  </si>
  <si>
    <t>Rate Change Impacts by Rate Schedule</t>
  </si>
  <si>
    <t>Sched 142</t>
  </si>
  <si>
    <t>T= S/R</t>
  </si>
  <si>
    <t>Rentals</t>
  </si>
  <si>
    <t>Typical Residential Bill Impacts</t>
  </si>
  <si>
    <t>Schedule 120 Rate Change</t>
  </si>
  <si>
    <r>
      <t>ERF</t>
    </r>
    <r>
      <rPr>
        <sz val="11"/>
        <rFont val="Calibri"/>
        <family val="2"/>
        <scheme val="minor"/>
      </rPr>
      <t xml:space="preserve"> adjusting charge (Schedule 141)</t>
    </r>
  </si>
  <si>
    <t>Estimated Under (Over) Collection from Prior Year</t>
  </si>
  <si>
    <t>UG-180283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</si>
  <si>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Weather normalized volume and margin for 12 months ending September 2016, at approved rates from UG-180283 Tax Reform compliance filing. The rates do not include schedules 140, 141 and 142.</t>
    </r>
  </si>
  <si>
    <t>2020 Gas Schedule 120 Conservation Filing</t>
  </si>
  <si>
    <t>Proposed Effective May 1, 2020</t>
  </si>
  <si>
    <t>May20 - Apr21</t>
  </si>
  <si>
    <t>May 2020 - April 2021</t>
  </si>
  <si>
    <t xml:space="preserve">Source: 2019 Load Forecast Calendar Month Therms (5-23-19)  </t>
  </si>
  <si>
    <t>May 20 - Apr 21</t>
  </si>
  <si>
    <t>12ME Apr 2021</t>
  </si>
  <si>
    <t xml:space="preserve">2020 Conservation Costs (12 Months) </t>
  </si>
  <si>
    <t>Proposed Rates Effective May 1, 2020</t>
  </si>
  <si>
    <t>Sched 141</t>
  </si>
  <si>
    <t>Sched 141X</t>
  </si>
  <si>
    <t>Sched 141Y</t>
  </si>
  <si>
    <t>Revenue (3)</t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</si>
  <si>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Forecasted annual rental counts calculated using actual January 2020 count.</t>
    </r>
  </si>
  <si>
    <r>
      <rPr>
        <vertAlign val="superscript"/>
        <sz val="11"/>
        <color theme="1"/>
        <rFont val="Calibri"/>
        <family val="2"/>
      </rPr>
      <t xml:space="preserve">(3) </t>
    </r>
    <r>
      <rPr>
        <sz val="11"/>
        <color theme="1"/>
        <rFont val="Calibri"/>
        <family val="2"/>
        <scheme val="minor"/>
      </rPr>
      <t>Forecasted revenues at current rates effective November 1, 2019.</t>
    </r>
  </si>
  <si>
    <t>EDIT adjusting charge (Schedule 141X)</t>
  </si>
  <si>
    <t>Tax Reform Credit (Schedule 141Y)</t>
  </si>
  <si>
    <r>
      <rPr>
        <vertAlign val="superscript"/>
        <sz val="11"/>
        <rFont val="Calibri"/>
        <family val="2"/>
      </rPr>
      <t xml:space="preserve">(1) </t>
    </r>
    <r>
      <rPr>
        <sz val="11"/>
        <rFont val="Calibri"/>
        <family val="2"/>
        <scheme val="minor"/>
      </rPr>
      <t>Rates for Schedule 23 customers in effect November 1, 2019</t>
    </r>
  </si>
  <si>
    <t>Gas Schedule 120</t>
  </si>
  <si>
    <t>Conservation Program Tracker</t>
  </si>
  <si>
    <t>Current</t>
  </si>
  <si>
    <r>
      <rPr>
        <vertAlign val="superscript"/>
        <sz val="10"/>
        <color theme="1"/>
        <rFont val="Calibri"/>
        <family val="2"/>
      </rPr>
      <t xml:space="preserve">(1) </t>
    </r>
    <r>
      <rPr>
        <sz val="10"/>
        <color theme="1"/>
        <rFont val="Calibri"/>
        <family val="2"/>
        <scheme val="minor"/>
      </rPr>
      <t>UG-190789, Volumetric Schedule 101 rates effective November 1, 2019 (excluding revenue sensitive items)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</si>
</sst>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  <numFmt numFmtId="165" formatCode="_(&quot;$&quot;* #,##0.00000_);_(&quot;$&quot;* \(#,##0.00000\);_(&quot;$&quot;* &quot;-&quot;?????_);_(@_)"/>
    <numFmt numFmtId="166" formatCode="_(&quot;$&quot;* #,##0.00000_);_(&quot;$&quot;* \(#,##0.00000\);_(&quot;$&quot;* &quot;-&quot;??_);_(@_)"/>
    <numFmt numFmtId="167" formatCode="0.0%"/>
    <numFmt numFmtId="168" formatCode="0.000000"/>
    <numFmt numFmtId="169" formatCode="_(&quot;$&quot;* #,##0.000000_);_(&quot;$&quot;* \(#,##0.000000\);_(&quot;$&quot;* &quot;-&quot;_);_(@_)"/>
    <numFmt numFmtId="170" formatCode="_(&quot;$&quot;* #,##0.0000000_);_(&quot;$&quot;* \(#,##0.0000000\);_(&quot;$&quot;* &quot;-&quot;??_);_(@_)"/>
    <numFmt numFmtId="171" formatCode="_(* #,##0_);_(* \(#,##0\);_(* &quot;-&quot;??_);_(@_)"/>
    <numFmt numFmtId="172" formatCode="_(&quot;$&quot;* #,##0_);_(&quot;$&quot;* \(#,##0\);_(&quot;$&quot;* &quot;-&quot;??_);_(@_)"/>
    <numFmt numFmtId="173" formatCode="_(&quot;$&quot;* #,##0.00_);_(&quot;$&quot;* \(#,##0.00\);_(&quot;$&quot;* &quot;-&quot;?????_);_(@_)"/>
    <numFmt numFmtId="174" formatCode="_(&quot;$&quot;* #,##0_);_(&quot;$&quot;* \(#,##0\);_(&quot;$&quot;* &quot;-&quot;???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vertAlign val="superscript"/>
      <sz val="11"/>
      <name val="Calibri"/>
      <family val="2"/>
    </font>
    <font>
      <vertAlign val="superscript"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8080"/>
      <name val="Calibri"/>
      <family val="2"/>
      <scheme val="minor"/>
    </font>
    <font>
      <sz val="11"/>
      <color indexed="21"/>
      <name val="Calibri"/>
      <family val="2"/>
    </font>
    <font>
      <sz val="10"/>
      <color theme="1"/>
      <name val="Arial"/>
      <family val="2"/>
    </font>
    <font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8080"/>
      <name val="Calibri"/>
      <family val="2"/>
    </font>
    <font>
      <sz val="11"/>
      <color rgb="FF0000FF"/>
      <name val="Calibri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156">
    <xf numFmtId="0" fontId="0" fillId="0" borderId="0" xfId="0"/>
    <xf numFmtId="0" fontId="0" fillId="0" borderId="1" xfId="0" applyBorder="1" applyAlignment="1">
      <alignment horizontal="center"/>
    </xf>
    <xf numFmtId="3" fontId="0" fillId="0" borderId="0" xfId="0" applyNumberFormat="1"/>
    <xf numFmtId="3" fontId="0" fillId="0" borderId="2" xfId="0" applyNumberFormat="1" applyBorder="1"/>
    <xf numFmtId="0" fontId="0" fillId="0" borderId="0" xfId="0" applyAlignment="1">
      <alignment horizontal="left"/>
    </xf>
    <xf numFmtId="42" fontId="0" fillId="0" borderId="0" xfId="0" applyNumberFormat="1"/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164" fontId="2" fillId="0" borderId="0" xfId="0" applyNumberFormat="1" applyFont="1"/>
    <xf numFmtId="0" fontId="3" fillId="0" borderId="0" xfId="0" applyFont="1" applyBorder="1"/>
    <xf numFmtId="44" fontId="3" fillId="0" borderId="0" xfId="0" applyNumberFormat="1" applyFont="1"/>
    <xf numFmtId="44" fontId="3" fillId="0" borderId="0" xfId="0" applyNumberFormat="1" applyFont="1" applyBorder="1"/>
    <xf numFmtId="44" fontId="2" fillId="0" borderId="0" xfId="0" applyNumberFormat="1" applyFont="1"/>
    <xf numFmtId="165" fontId="3" fillId="0" borderId="0" xfId="0" applyNumberFormat="1" applyFont="1" applyBorder="1"/>
    <xf numFmtId="165" fontId="2" fillId="0" borderId="0" xfId="0" applyNumberFormat="1" applyFont="1"/>
    <xf numFmtId="165" fontId="3" fillId="0" borderId="0" xfId="0" applyNumberFormat="1" applyFont="1" applyFill="1"/>
    <xf numFmtId="165" fontId="2" fillId="0" borderId="2" xfId="0" applyNumberFormat="1" applyFont="1" applyBorder="1"/>
    <xf numFmtId="164" fontId="2" fillId="0" borderId="2" xfId="0" applyNumberFormat="1" applyFont="1" applyBorder="1"/>
    <xf numFmtId="165" fontId="2" fillId="0" borderId="0" xfId="0" applyNumberFormat="1" applyFont="1" applyBorder="1"/>
    <xf numFmtId="44" fontId="2" fillId="0" borderId="0" xfId="0" applyNumberFormat="1" applyFont="1" applyBorder="1"/>
    <xf numFmtId="0" fontId="2" fillId="0" borderId="0" xfId="0" applyFont="1" applyFill="1" applyAlignment="1"/>
    <xf numFmtId="0" fontId="2" fillId="0" borderId="0" xfId="0" applyFont="1" applyAlignment="1"/>
    <xf numFmtId="0" fontId="0" fillId="0" borderId="0" xfId="0" applyBorder="1" applyAlignment="1">
      <alignment horizontal="center"/>
    </xf>
    <xf numFmtId="42" fontId="0" fillId="0" borderId="2" xfId="0" applyNumberFormat="1" applyBorder="1"/>
    <xf numFmtId="167" fontId="0" fillId="0" borderId="0" xfId="0" applyNumberFormat="1" applyFont="1"/>
    <xf numFmtId="10" fontId="0" fillId="0" borderId="0" xfId="0" applyNumberFormat="1" applyFont="1"/>
    <xf numFmtId="10" fontId="0" fillId="0" borderId="0" xfId="0" applyNumberFormat="1"/>
    <xf numFmtId="166" fontId="0" fillId="0" borderId="0" xfId="0" applyNumberFormat="1"/>
    <xf numFmtId="3" fontId="0" fillId="0" borderId="0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166" fontId="0" fillId="0" borderId="1" xfId="0" applyNumberFormat="1" applyBorder="1"/>
    <xf numFmtId="42" fontId="4" fillId="0" borderId="0" xfId="0" applyNumberFormat="1" applyFont="1"/>
    <xf numFmtId="172" fontId="0" fillId="0" borderId="0" xfId="0" applyNumberFormat="1"/>
    <xf numFmtId="44" fontId="7" fillId="0" borderId="0" xfId="0" applyNumberFormat="1" applyFont="1"/>
    <xf numFmtId="0" fontId="7" fillId="0" borderId="0" xfId="0" applyFont="1" applyFill="1"/>
    <xf numFmtId="0" fontId="7" fillId="0" borderId="0" xfId="0" applyFont="1" applyBorder="1"/>
    <xf numFmtId="172" fontId="7" fillId="0" borderId="2" xfId="0" applyNumberFormat="1" applyFont="1" applyFill="1" applyBorder="1"/>
    <xf numFmtId="172" fontId="7" fillId="0" borderId="0" xfId="0" applyNumberFormat="1" applyFont="1" applyFill="1" applyBorder="1"/>
    <xf numFmtId="171" fontId="7" fillId="0" borderId="2" xfId="0" applyNumberFormat="1" applyFont="1" applyFill="1" applyBorder="1"/>
    <xf numFmtId="0" fontId="7" fillId="0" borderId="0" xfId="0" applyFont="1" applyAlignment="1">
      <alignment horizontal="left"/>
    </xf>
    <xf numFmtId="172" fontId="7" fillId="0" borderId="0" xfId="0" applyNumberFormat="1" applyFont="1" applyFill="1"/>
    <xf numFmtId="0" fontId="7" fillId="0" borderId="0" xfId="0" applyFont="1" applyFill="1" applyBorder="1"/>
    <xf numFmtId="171" fontId="7" fillId="0" borderId="0" xfId="0" applyNumberFormat="1" applyFont="1" applyFill="1"/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textRotation="180"/>
    </xf>
    <xf numFmtId="42" fontId="7" fillId="0" borderId="0" xfId="0" applyNumberFormat="1" applyFont="1"/>
    <xf numFmtId="42" fontId="7" fillId="0" borderId="0" xfId="0" applyNumberFormat="1" applyFont="1" applyBorder="1"/>
    <xf numFmtId="3" fontId="7" fillId="0" borderId="0" xfId="0" applyNumberFormat="1" applyFont="1" applyBorder="1"/>
    <xf numFmtId="0" fontId="8" fillId="0" borderId="0" xfId="0" applyFont="1" applyAlignment="1">
      <alignment horizontal="left"/>
    </xf>
    <xf numFmtId="10" fontId="7" fillId="0" borderId="0" xfId="0" applyNumberFormat="1" applyFont="1"/>
    <xf numFmtId="42" fontId="7" fillId="0" borderId="2" xfId="0" applyNumberFormat="1" applyFont="1" applyFill="1" applyBorder="1"/>
    <xf numFmtId="42" fontId="7" fillId="0" borderId="0" xfId="0" applyNumberFormat="1" applyFont="1" applyFill="1" applyBorder="1"/>
    <xf numFmtId="37" fontId="7" fillId="0" borderId="0" xfId="0" applyNumberFormat="1" applyFont="1" applyFill="1"/>
    <xf numFmtId="37" fontId="7" fillId="0" borderId="0" xfId="0" applyNumberFormat="1" applyFont="1"/>
    <xf numFmtId="42" fontId="2" fillId="0" borderId="0" xfId="0" applyNumberFormat="1" applyFont="1"/>
    <xf numFmtId="42" fontId="9" fillId="0" borderId="0" xfId="0" applyNumberFormat="1" applyFont="1"/>
    <xf numFmtId="173" fontId="7" fillId="0" borderId="0" xfId="0" applyNumberFormat="1" applyFont="1" applyFill="1" applyBorder="1"/>
    <xf numFmtId="167" fontId="7" fillId="0" borderId="0" xfId="0" applyNumberFormat="1" applyFont="1"/>
    <xf numFmtId="165" fontId="10" fillId="0" borderId="0" xfId="0" applyNumberFormat="1" applyFont="1"/>
    <xf numFmtId="42" fontId="2" fillId="0" borderId="2" xfId="0" applyNumberFormat="1" applyFont="1" applyBorder="1"/>
    <xf numFmtId="0" fontId="7" fillId="0" borderId="0" xfId="0" applyFont="1"/>
    <xf numFmtId="165" fontId="7" fillId="0" borderId="0" xfId="0" applyNumberFormat="1" applyFont="1" applyFill="1" applyBorder="1"/>
    <xf numFmtId="165" fontId="7" fillId="0" borderId="0" xfId="0" applyNumberFormat="1" applyFont="1" applyFill="1"/>
    <xf numFmtId="3" fontId="7" fillId="0" borderId="0" xfId="0" applyNumberFormat="1" applyFont="1" applyFill="1" applyBorder="1"/>
    <xf numFmtId="0" fontId="7" fillId="0" borderId="0" xfId="0" applyFont="1" applyBorder="1" applyAlignment="1">
      <alignment horizontal="left"/>
    </xf>
    <xf numFmtId="167" fontId="0" fillId="0" borderId="2" xfId="0" applyNumberFormat="1" applyFont="1" applyBorder="1"/>
    <xf numFmtId="0" fontId="2" fillId="0" borderId="0" xfId="0" applyFont="1"/>
    <xf numFmtId="0" fontId="2" fillId="0" borderId="0" xfId="0" applyFont="1" applyBorder="1"/>
    <xf numFmtId="167" fontId="2" fillId="0" borderId="0" xfId="0" applyNumberFormat="1" applyFont="1"/>
    <xf numFmtId="167" fontId="2" fillId="0" borderId="0" xfId="0" applyNumberFormat="1" applyFont="1" applyBorder="1"/>
    <xf numFmtId="0" fontId="0" fillId="0" borderId="0" xfId="0" applyFont="1" applyAlignment="1">
      <alignment horizontal="centerContinuous"/>
    </xf>
    <xf numFmtId="43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left"/>
    </xf>
    <xf numFmtId="3" fontId="0" fillId="0" borderId="0" xfId="0" applyNumberFormat="1" applyFont="1"/>
    <xf numFmtId="3" fontId="0" fillId="0" borderId="2" xfId="0" applyNumberFormat="1" applyFont="1" applyBorder="1"/>
    <xf numFmtId="3" fontId="0" fillId="0" borderId="1" xfId="0" applyNumberFormat="1" applyFont="1" applyBorder="1"/>
    <xf numFmtId="10" fontId="0" fillId="0" borderId="2" xfId="0" applyNumberFormat="1" applyFont="1" applyBorder="1"/>
    <xf numFmtId="165" fontId="12" fillId="0" borderId="0" xfId="0" applyNumberFormat="1" applyFont="1"/>
    <xf numFmtId="165" fontId="12" fillId="0" borderId="0" xfId="0" applyNumberFormat="1" applyFont="1" applyFill="1"/>
    <xf numFmtId="165" fontId="13" fillId="0" borderId="0" xfId="0" applyNumberFormat="1" applyFont="1"/>
    <xf numFmtId="165" fontId="9" fillId="0" borderId="0" xfId="0" applyNumberFormat="1" applyFont="1" applyFill="1"/>
    <xf numFmtId="165" fontId="1" fillId="0" borderId="0" xfId="0" applyNumberFormat="1" applyFont="1"/>
    <xf numFmtId="165" fontId="0" fillId="0" borderId="0" xfId="0" applyNumberFormat="1" applyFont="1"/>
    <xf numFmtId="0" fontId="4" fillId="0" borderId="0" xfId="0" applyFont="1" applyBorder="1" applyAlignment="1">
      <alignment horizontal="center"/>
    </xf>
    <xf numFmtId="10" fontId="2" fillId="0" borderId="0" xfId="0" applyNumberFormat="1" applyFont="1"/>
    <xf numFmtId="0" fontId="15" fillId="0" borderId="0" xfId="0" applyFont="1" applyAlignment="1">
      <alignment horizontal="left"/>
    </xf>
    <xf numFmtId="171" fontId="15" fillId="0" borderId="0" xfId="0" applyNumberFormat="1" applyFont="1"/>
    <xf numFmtId="0" fontId="16" fillId="0" borderId="0" xfId="0" applyFont="1"/>
    <xf numFmtId="0" fontId="0" fillId="0" borderId="0" xfId="0" applyFill="1"/>
    <xf numFmtId="165" fontId="4" fillId="0" borderId="0" xfId="0" applyNumberFormat="1" applyFont="1" applyFill="1"/>
    <xf numFmtId="0" fontId="0" fillId="0" borderId="0" xfId="0" applyAlignment="1">
      <alignment horizontal="center"/>
    </xf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3" fontId="9" fillId="0" borderId="0" xfId="0" applyNumberFormat="1" applyFont="1"/>
    <xf numFmtId="174" fontId="17" fillId="0" borderId="0" xfId="0" applyNumberFormat="1" applyFont="1" applyFill="1" applyBorder="1"/>
    <xf numFmtId="3" fontId="0" fillId="0" borderId="0" xfId="0" applyNumberFormat="1" applyFill="1"/>
    <xf numFmtId="164" fontId="2" fillId="0" borderId="0" xfId="0" applyNumberFormat="1" applyFont="1" applyBorder="1"/>
    <xf numFmtId="44" fontId="2" fillId="0" borderId="2" xfId="0" applyNumberFormat="1" applyFont="1" applyBorder="1"/>
    <xf numFmtId="0" fontId="1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4" fillId="0" borderId="0" xfId="0" applyNumberFormat="1" applyFont="1" applyFill="1"/>
    <xf numFmtId="166" fontId="9" fillId="0" borderId="0" xfId="0" applyNumberFormat="1" applyFont="1" applyFill="1"/>
    <xf numFmtId="3" fontId="9" fillId="0" borderId="0" xfId="0" applyNumberFormat="1" applyFont="1" applyFill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Continuous"/>
    </xf>
    <xf numFmtId="42" fontId="0" fillId="0" borderId="0" xfId="0" applyNumberFormat="1" applyFont="1"/>
    <xf numFmtId="10" fontId="9" fillId="0" borderId="0" xfId="0" applyNumberFormat="1" applyFont="1"/>
    <xf numFmtId="0" fontId="9" fillId="0" borderId="0" xfId="0" applyFont="1" applyFill="1"/>
    <xf numFmtId="172" fontId="0" fillId="0" borderId="0" xfId="0" applyNumberFormat="1" applyFont="1"/>
    <xf numFmtId="169" fontId="0" fillId="0" borderId="0" xfId="0" applyNumberFormat="1" applyFont="1"/>
    <xf numFmtId="42" fontId="9" fillId="0" borderId="2" xfId="0" applyNumberFormat="1" applyFont="1" applyFill="1" applyBorder="1"/>
    <xf numFmtId="44" fontId="0" fillId="0" borderId="0" xfId="0" applyNumberFormat="1" applyFont="1"/>
    <xf numFmtId="170" fontId="0" fillId="0" borderId="0" xfId="0" applyNumberFormat="1" applyFont="1"/>
    <xf numFmtId="39" fontId="0" fillId="0" borderId="0" xfId="0" applyNumberFormat="1" applyFont="1"/>
    <xf numFmtId="166" fontId="0" fillId="0" borderId="0" xfId="0" applyNumberFormat="1" applyFont="1" applyBorder="1"/>
    <xf numFmtId="44" fontId="0" fillId="0" borderId="0" xfId="0" applyNumberFormat="1" applyFont="1" applyBorder="1"/>
    <xf numFmtId="0" fontId="0" fillId="0" borderId="1" xfId="0" applyFont="1" applyFill="1" applyBorder="1" applyAlignment="1">
      <alignment horizontal="center"/>
    </xf>
    <xf numFmtId="42" fontId="0" fillId="0" borderId="2" xfId="0" applyNumberFormat="1" applyFont="1" applyBorder="1"/>
    <xf numFmtId="165" fontId="0" fillId="0" borderId="0" xfId="0" applyNumberFormat="1" applyFont="1" applyFill="1"/>
    <xf numFmtId="0" fontId="0" fillId="0" borderId="0" xfId="0" applyFont="1" applyFill="1"/>
    <xf numFmtId="42" fontId="0" fillId="0" borderId="0" xfId="0" applyNumberFormat="1" applyFont="1" applyFill="1"/>
    <xf numFmtId="3" fontId="4" fillId="0" borderId="0" xfId="0" applyNumberFormat="1" applyFont="1"/>
    <xf numFmtId="3" fontId="18" fillId="0" borderId="0" xfId="0" applyNumberFormat="1" applyFont="1" applyFill="1"/>
    <xf numFmtId="0" fontId="0" fillId="0" borderId="1" xfId="0" applyFont="1" applyFill="1" applyBorder="1" applyAlignment="1">
      <alignment horizontal="center" wrapText="1"/>
    </xf>
    <xf numFmtId="42" fontId="0" fillId="0" borderId="0" xfId="0" applyNumberFormat="1" applyFont="1" applyFill="1" applyAlignment="1">
      <alignment horizontal="center"/>
    </xf>
    <xf numFmtId="0" fontId="0" fillId="0" borderId="0" xfId="0" quotePrefix="1" applyFont="1" applyFill="1" applyBorder="1" applyAlignment="1">
      <alignment horizontal="left"/>
    </xf>
    <xf numFmtId="42" fontId="4" fillId="0" borderId="0" xfId="0" applyNumberFormat="1" applyFont="1" applyFill="1"/>
    <xf numFmtId="168" fontId="4" fillId="0" borderId="0" xfId="0" applyNumberFormat="1" applyFont="1" applyFill="1"/>
    <xf numFmtId="42" fontId="4" fillId="0" borderId="1" xfId="0" applyNumberFormat="1" applyFont="1" applyFill="1" applyBorder="1"/>
    <xf numFmtId="42" fontId="0" fillId="0" borderId="1" xfId="0" applyNumberFormat="1" applyFont="1" applyFill="1" applyBorder="1"/>
    <xf numFmtId="42" fontId="0" fillId="0" borderId="3" xfId="0" applyNumberFormat="1" applyFont="1" applyFill="1" applyBorder="1"/>
    <xf numFmtId="17" fontId="4" fillId="0" borderId="1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/>
    <xf numFmtId="0" fontId="19" fillId="0" borderId="0" xfId="0" applyFont="1"/>
    <xf numFmtId="0" fontId="20" fillId="0" borderId="0" xfId="0" applyFont="1" applyFill="1"/>
  </cellXfs>
  <cellStyles count="3">
    <cellStyle name="Normal" xfId="0" builtinId="0"/>
    <cellStyle name="Normal 2" xfId="1"/>
    <cellStyle name="Normal 2 16 2" xfId="2"/>
  </cellStyles>
  <dxfs count="0"/>
  <tableStyles count="0" defaultTableStyle="TableStyleMedium9" defaultPivotStyle="PivotStyleLight16"/>
  <colors>
    <mruColors>
      <color rgb="FF0000FF"/>
      <color rgb="FF00808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7.xml"/><Relationship Id="rId21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54.xml"/><Relationship Id="rId68" Type="http://schemas.openxmlformats.org/officeDocument/2006/relationships/externalLink" Target="externalLinks/externalLink59.xml"/><Relationship Id="rId16" Type="http://schemas.openxmlformats.org/officeDocument/2006/relationships/externalLink" Target="externalLinks/externalLink7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66" Type="http://schemas.openxmlformats.org/officeDocument/2006/relationships/externalLink" Target="externalLinks/externalLink57.xml"/><Relationship Id="rId7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2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55.xml"/><Relationship Id="rId69" Type="http://schemas.openxmlformats.org/officeDocument/2006/relationships/externalLink" Target="externalLinks/externalLink60.xml"/><Relationship Id="rId77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Relationship Id="rId67" Type="http://schemas.openxmlformats.org/officeDocument/2006/relationships/externalLink" Target="externalLinks/externalLink58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externalLink" Target="externalLinks/externalLink53.xml"/><Relationship Id="rId70" Type="http://schemas.openxmlformats.org/officeDocument/2006/relationships/theme" Target="theme/theme1.xml"/><Relationship Id="rId75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externalLink" Target="externalLinks/externalLink56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9" Type="http://schemas.openxmlformats.org/officeDocument/2006/relationships/externalLink" Target="externalLinks/externalLink30.xml"/><Relationship Id="rId34" Type="http://schemas.openxmlformats.org/officeDocument/2006/relationships/externalLink" Target="externalLinks/externalLink25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76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%23%202017%20GRC\Supplemental%20Filing%202017%20GRC\NO%20MS%20SUPP%202017%20GRC%20Workpapers\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03Processes\General%20Accounting\newgas\2012\4-2012\UBR-GAS%2004-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ates\Public\Gas%20GRC%202017\Compliance%20Filing\Cost%20Of%20Service\2017%20Gas%20COSS%20September%20TY_Complian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peder\Local%20Settings\Temporary%20Internet%20Files\Content.Outlook\966INFBW\03-09%20Elec_Unb%20(93%203%25%208%20months)%20fin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COS%20Inputs\COS%20Model\ECOS%20Model%20-%20FINAL%20COMPANY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ates\Public\Gas%20GRC%202011\Cost%20of%20Service\Revenue%20Reqt%20and%20Rate%20Base\May%2016%20235%20pm\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39">
          <cell r="F39">
            <v>0.62073339999999999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C7" t="str">
            <v>(a)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1">
          <cell r="M31">
            <v>-9.1350000000000008E-3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 refreshError="1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7"/>
  <sheetViews>
    <sheetView tabSelected="1" zoomScaleNormal="100" workbookViewId="0">
      <selection activeCell="G30" sqref="G30"/>
    </sheetView>
  </sheetViews>
  <sheetFormatPr defaultRowHeight="14.5" x14ac:dyDescent="0.35"/>
  <cols>
    <col min="1" max="1" width="2.7265625" style="77" customWidth="1"/>
    <col min="2" max="2" width="4.7265625" style="77" customWidth="1"/>
    <col min="3" max="3" width="3.36328125" style="77" customWidth="1"/>
    <col min="4" max="4" width="28.6328125" style="77" customWidth="1"/>
    <col min="5" max="5" width="10" style="77" bestFit="1" customWidth="1"/>
    <col min="6" max="6" width="12.6328125" style="77" bestFit="1" customWidth="1"/>
    <col min="7" max="7" width="13" style="77" customWidth="1"/>
    <col min="8" max="8" width="15.26953125" style="77" bestFit="1" customWidth="1"/>
    <col min="9" max="9" width="8.7265625" style="77"/>
    <col min="10" max="10" width="12.26953125" style="77" bestFit="1" customWidth="1"/>
    <col min="11" max="11" width="12" style="77" bestFit="1" customWidth="1"/>
    <col min="12" max="16384" width="8.7265625" style="77"/>
  </cols>
  <sheetData>
    <row r="1" spans="2:10" x14ac:dyDescent="0.35">
      <c r="B1" s="113" t="s">
        <v>12</v>
      </c>
      <c r="C1" s="113"/>
      <c r="D1" s="113"/>
      <c r="E1" s="113"/>
      <c r="F1" s="113"/>
      <c r="G1" s="113"/>
      <c r="H1" s="113"/>
    </row>
    <row r="2" spans="2:10" x14ac:dyDescent="0.35">
      <c r="B2" s="113" t="s">
        <v>153</v>
      </c>
      <c r="C2" s="113"/>
      <c r="D2" s="113"/>
      <c r="E2" s="113"/>
      <c r="F2" s="113"/>
      <c r="G2" s="113"/>
      <c r="H2" s="113"/>
    </row>
    <row r="3" spans="2:10" x14ac:dyDescent="0.35">
      <c r="B3" s="113" t="s">
        <v>66</v>
      </c>
      <c r="C3" s="113"/>
      <c r="D3" s="113"/>
      <c r="E3" s="113"/>
      <c r="F3" s="113"/>
      <c r="G3" s="113"/>
      <c r="H3" s="113"/>
    </row>
    <row r="4" spans="2:10" x14ac:dyDescent="0.35">
      <c r="B4" s="113" t="s">
        <v>154</v>
      </c>
      <c r="C4" s="113"/>
      <c r="D4" s="113"/>
      <c r="E4" s="113"/>
      <c r="F4" s="113"/>
      <c r="G4" s="113"/>
      <c r="H4" s="113"/>
    </row>
    <row r="6" spans="2:10" x14ac:dyDescent="0.35">
      <c r="B6" s="111" t="s">
        <v>59</v>
      </c>
      <c r="E6" s="119"/>
      <c r="F6" s="119"/>
      <c r="G6" s="119" t="s">
        <v>56</v>
      </c>
      <c r="H6" s="119" t="s">
        <v>54</v>
      </c>
    </row>
    <row r="7" spans="2:10" x14ac:dyDescent="0.35">
      <c r="B7" s="120" t="s">
        <v>138</v>
      </c>
      <c r="C7" s="121" t="s">
        <v>7</v>
      </c>
      <c r="D7" s="121"/>
      <c r="E7" s="120" t="s">
        <v>52</v>
      </c>
      <c r="F7" s="120" t="s">
        <v>53</v>
      </c>
      <c r="G7" s="120" t="s">
        <v>57</v>
      </c>
      <c r="H7" s="120" t="s">
        <v>55</v>
      </c>
      <c r="J7" s="122"/>
    </row>
    <row r="8" spans="2:10" x14ac:dyDescent="0.35">
      <c r="B8" s="123"/>
      <c r="C8" s="124"/>
      <c r="D8" s="124" t="s">
        <v>132</v>
      </c>
      <c r="E8" s="119" t="s">
        <v>133</v>
      </c>
      <c r="F8" s="119" t="s">
        <v>134</v>
      </c>
      <c r="G8" s="119" t="s">
        <v>135</v>
      </c>
      <c r="H8" s="119" t="s">
        <v>136</v>
      </c>
      <c r="J8" s="122"/>
    </row>
    <row r="9" spans="2:10" x14ac:dyDescent="0.35">
      <c r="B9" s="111">
        <v>1</v>
      </c>
      <c r="C9" s="77" t="s">
        <v>10</v>
      </c>
      <c r="F9" s="125"/>
      <c r="H9" s="125"/>
    </row>
    <row r="10" spans="2:10" x14ac:dyDescent="0.35">
      <c r="B10" s="111">
        <f>B9+1</f>
        <v>2</v>
      </c>
      <c r="D10" s="77" t="s">
        <v>49</v>
      </c>
      <c r="E10" s="126">
        <f>Allocation!I16</f>
        <v>0.96100241826285038</v>
      </c>
      <c r="F10" s="125">
        <f>F12*E10</f>
        <v>19156235.945905875</v>
      </c>
      <c r="G10" s="127">
        <f>'Rev Requirement'!$D$8</f>
        <v>0.954538</v>
      </c>
      <c r="H10" s="128">
        <f>F10/G10</f>
        <v>20068594.383781344</v>
      </c>
      <c r="J10" s="129"/>
    </row>
    <row r="11" spans="2:10" x14ac:dyDescent="0.35">
      <c r="B11" s="111">
        <f t="shared" ref="B11:B13" si="0">B10+1</f>
        <v>3</v>
      </c>
      <c r="D11" s="77" t="s">
        <v>50</v>
      </c>
      <c r="E11" s="28">
        <f>1-E10</f>
        <v>3.8997581737149623E-2</v>
      </c>
      <c r="F11" s="125">
        <f>F12-F10</f>
        <v>777362.11988621578</v>
      </c>
      <c r="G11" s="127">
        <f>'Rev Requirement'!$D$8</f>
        <v>0.954538</v>
      </c>
      <c r="H11" s="125">
        <f>F11/G11</f>
        <v>814385.72365502035</v>
      </c>
    </row>
    <row r="12" spans="2:10" x14ac:dyDescent="0.35">
      <c r="B12" s="111">
        <f t="shared" si="0"/>
        <v>4</v>
      </c>
      <c r="D12" s="77" t="s">
        <v>3</v>
      </c>
      <c r="E12" s="82">
        <f>SUM(E10:E11)</f>
        <v>1</v>
      </c>
      <c r="F12" s="130">
        <f>'Rev Requirement'!C12</f>
        <v>19933598.065792091</v>
      </c>
      <c r="H12" s="130">
        <f>'Rev Requirement'!E12</f>
        <v>20882980.107436366</v>
      </c>
    </row>
    <row r="13" spans="2:10" x14ac:dyDescent="0.35">
      <c r="B13" s="111">
        <f t="shared" si="0"/>
        <v>5</v>
      </c>
      <c r="D13" s="77" t="s">
        <v>46</v>
      </c>
      <c r="F13" s="125">
        <f>F12-SUM(F10:F11)</f>
        <v>0</v>
      </c>
      <c r="H13" s="125">
        <f>H12-SUM(H10:H11)</f>
        <v>0</v>
      </c>
    </row>
    <row r="14" spans="2:10" x14ac:dyDescent="0.35">
      <c r="B14" s="111"/>
    </row>
    <row r="15" spans="2:10" x14ac:dyDescent="0.35">
      <c r="B15" s="111">
        <f>B13+1</f>
        <v>6</v>
      </c>
      <c r="C15" s="77" t="s">
        <v>51</v>
      </c>
    </row>
    <row r="16" spans="2:10" x14ac:dyDescent="0.35">
      <c r="B16" s="111">
        <f t="shared" ref="B16:B18" si="1">B15+1</f>
        <v>7</v>
      </c>
      <c r="D16" s="77" t="s">
        <v>49</v>
      </c>
      <c r="H16" s="100">
        <f>'Forecasted Volume'!N24</f>
        <v>921041283</v>
      </c>
    </row>
    <row r="17" spans="2:11" x14ac:dyDescent="0.35">
      <c r="B17" s="111">
        <f t="shared" si="1"/>
        <v>8</v>
      </c>
      <c r="D17" s="77" t="s">
        <v>50</v>
      </c>
      <c r="H17" s="100">
        <f>'Forecasted Volume'!N25</f>
        <v>44497197</v>
      </c>
    </row>
    <row r="18" spans="2:11" x14ac:dyDescent="0.35">
      <c r="B18" s="111">
        <f t="shared" si="1"/>
        <v>9</v>
      </c>
      <c r="D18" s="77" t="s">
        <v>3</v>
      </c>
      <c r="H18" s="80">
        <f>SUM(H16:H17)</f>
        <v>965538480</v>
      </c>
    </row>
    <row r="19" spans="2:11" x14ac:dyDescent="0.35">
      <c r="B19" s="111"/>
    </row>
    <row r="20" spans="2:11" x14ac:dyDescent="0.35">
      <c r="B20" s="111"/>
    </row>
    <row r="21" spans="2:11" x14ac:dyDescent="0.35">
      <c r="B21" s="111">
        <f>B18+1</f>
        <v>10</v>
      </c>
      <c r="C21" s="77" t="s">
        <v>87</v>
      </c>
    </row>
    <row r="22" spans="2:11" x14ac:dyDescent="0.35">
      <c r="B22" s="111">
        <f t="shared" ref="B22:B23" si="2">B21+1</f>
        <v>11</v>
      </c>
      <c r="D22" s="77" t="s">
        <v>64</v>
      </c>
      <c r="G22" s="77" t="s">
        <v>58</v>
      </c>
      <c r="H22" s="134">
        <f>ROUND(H10/H16,5)</f>
        <v>2.179E-2</v>
      </c>
      <c r="I22" s="131"/>
      <c r="K22" s="132"/>
    </row>
    <row r="23" spans="2:11" x14ac:dyDescent="0.35">
      <c r="B23" s="111">
        <f t="shared" si="2"/>
        <v>12</v>
      </c>
      <c r="D23" s="77" t="s">
        <v>65</v>
      </c>
      <c r="G23" s="77" t="s">
        <v>58</v>
      </c>
      <c r="H23" s="134">
        <f>ROUND(H11/H17,5)</f>
        <v>1.83E-2</v>
      </c>
      <c r="K23" s="132"/>
    </row>
    <row r="24" spans="2:11" x14ac:dyDescent="0.35">
      <c r="B24" s="111"/>
      <c r="H24" s="135"/>
    </row>
    <row r="25" spans="2:11" x14ac:dyDescent="0.35">
      <c r="B25" s="111">
        <f>B23+1</f>
        <v>13</v>
      </c>
      <c r="D25" s="77" t="s">
        <v>88</v>
      </c>
      <c r="G25" s="77" t="s">
        <v>86</v>
      </c>
      <c r="H25" s="135">
        <f>ROUND(H22*19,2)</f>
        <v>0.41</v>
      </c>
    </row>
    <row r="27" spans="2:11" x14ac:dyDescent="0.35">
      <c r="H27" s="133"/>
    </row>
  </sheetData>
  <mergeCells count="4">
    <mergeCell ref="B1:H1"/>
    <mergeCell ref="B2:H2"/>
    <mergeCell ref="B3:H3"/>
    <mergeCell ref="B4:H4"/>
  </mergeCells>
  <printOptions horizontalCentered="1"/>
  <pageMargins left="0.7" right="0.7" top="0.75" bottom="0.75" header="0.3" footer="0.3"/>
  <pageSetup orientation="landscape" blackAndWhite="1" r:id="rId1"/>
  <headerFooter>
    <oddFooter>&amp;L&amp;F 
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zoomScaleNormal="100" workbookViewId="0">
      <selection activeCell="C29" sqref="C29"/>
    </sheetView>
  </sheetViews>
  <sheetFormatPr defaultRowHeight="14.5" x14ac:dyDescent="0.35"/>
  <cols>
    <col min="1" max="1" width="4.7265625" style="77" customWidth="1"/>
    <col min="2" max="2" width="8.7265625" style="77"/>
    <col min="3" max="3" width="28.6328125" style="77" bestFit="1" customWidth="1"/>
    <col min="4" max="4" width="14.08984375" style="77" customWidth="1"/>
    <col min="5" max="7" width="12.7265625" style="77" customWidth="1"/>
    <col min="8" max="8" width="13.7265625" style="77" bestFit="1" customWidth="1"/>
    <col min="9" max="9" width="10" style="77" customWidth="1"/>
    <col min="10" max="16384" width="8.7265625" style="77"/>
  </cols>
  <sheetData>
    <row r="1" spans="1:9" x14ac:dyDescent="0.35">
      <c r="B1" s="113" t="s">
        <v>12</v>
      </c>
      <c r="C1" s="113"/>
      <c r="D1" s="113"/>
      <c r="E1" s="113"/>
      <c r="F1" s="113"/>
      <c r="G1" s="113"/>
      <c r="H1" s="113"/>
      <c r="I1" s="113"/>
    </row>
    <row r="2" spans="1:9" x14ac:dyDescent="0.35">
      <c r="B2" s="113" t="str">
        <f>Rates!B2</f>
        <v>2020 Gas Schedule 120 Conservation Filing</v>
      </c>
      <c r="C2" s="113"/>
      <c r="D2" s="113"/>
      <c r="E2" s="113"/>
      <c r="F2" s="113"/>
      <c r="G2" s="113"/>
      <c r="H2" s="113"/>
      <c r="I2" s="113"/>
    </row>
    <row r="3" spans="1:9" x14ac:dyDescent="0.35">
      <c r="B3" s="113" t="s">
        <v>137</v>
      </c>
      <c r="C3" s="113"/>
      <c r="D3" s="113"/>
      <c r="E3" s="113"/>
      <c r="F3" s="113"/>
      <c r="G3" s="113"/>
      <c r="H3" s="113"/>
      <c r="I3" s="113"/>
    </row>
    <row r="4" spans="1:9" x14ac:dyDescent="0.35">
      <c r="B4" s="113" t="str">
        <f>Rates!B4</f>
        <v>Proposed Effective May 1, 2020</v>
      </c>
      <c r="C4" s="113"/>
      <c r="D4" s="113"/>
      <c r="E4" s="113"/>
      <c r="F4" s="113"/>
      <c r="G4" s="113"/>
      <c r="H4" s="113"/>
      <c r="I4" s="113"/>
    </row>
    <row r="7" spans="1:9" x14ac:dyDescent="0.35">
      <c r="C7" s="119"/>
      <c r="D7" s="119" t="s">
        <v>31</v>
      </c>
      <c r="H7" s="111" t="s">
        <v>35</v>
      </c>
      <c r="I7" s="119" t="s">
        <v>47</v>
      </c>
    </row>
    <row r="8" spans="1:9" ht="16.5" x14ac:dyDescent="0.35">
      <c r="A8" s="111" t="s">
        <v>59</v>
      </c>
      <c r="C8" s="119"/>
      <c r="D8" s="119" t="s">
        <v>32</v>
      </c>
      <c r="E8" s="121" t="s">
        <v>96</v>
      </c>
      <c r="F8" s="121"/>
      <c r="G8" s="121"/>
      <c r="H8" s="111" t="s">
        <v>36</v>
      </c>
      <c r="I8" s="122" t="s">
        <v>48</v>
      </c>
    </row>
    <row r="9" spans="1:9" x14ac:dyDescent="0.35">
      <c r="A9" s="120" t="s">
        <v>138</v>
      </c>
      <c r="B9" s="120" t="s">
        <v>4</v>
      </c>
      <c r="C9" s="120" t="s">
        <v>7</v>
      </c>
      <c r="D9" s="136" t="s">
        <v>155</v>
      </c>
      <c r="E9" s="120" t="s">
        <v>33</v>
      </c>
      <c r="F9" s="120" t="s">
        <v>34</v>
      </c>
      <c r="G9" s="120" t="s">
        <v>3</v>
      </c>
      <c r="H9" s="136" t="s">
        <v>37</v>
      </c>
      <c r="I9" s="136" t="s">
        <v>37</v>
      </c>
    </row>
    <row r="10" spans="1:9" x14ac:dyDescent="0.35">
      <c r="B10" s="111" t="s">
        <v>132</v>
      </c>
      <c r="C10" s="111" t="s">
        <v>133</v>
      </c>
      <c r="D10" s="122" t="s">
        <v>134</v>
      </c>
      <c r="E10" s="111" t="s">
        <v>135</v>
      </c>
      <c r="F10" s="111" t="s">
        <v>136</v>
      </c>
      <c r="G10" s="111" t="s">
        <v>139</v>
      </c>
      <c r="H10" s="122" t="s">
        <v>140</v>
      </c>
      <c r="I10" s="122" t="s">
        <v>141</v>
      </c>
    </row>
    <row r="11" spans="1:9" x14ac:dyDescent="0.35">
      <c r="A11" s="111">
        <v>1</v>
      </c>
      <c r="B11" s="78">
        <v>23</v>
      </c>
      <c r="C11" s="77" t="s">
        <v>40</v>
      </c>
      <c r="D11" s="100">
        <f>'Forecasted Volume'!N9</f>
        <v>613997001</v>
      </c>
      <c r="E11" s="95">
        <v>0.14904999999999999</v>
      </c>
      <c r="F11" s="95">
        <v>0.18135000000000001</v>
      </c>
      <c r="G11" s="88">
        <f>SUM(E11:F11)</f>
        <v>0.33040000000000003</v>
      </c>
      <c r="H11" s="125">
        <f>D11*G11</f>
        <v>202864609.1304</v>
      </c>
    </row>
    <row r="12" spans="1:9" x14ac:dyDescent="0.35">
      <c r="A12" s="111">
        <v>2</v>
      </c>
      <c r="B12" s="78">
        <v>16</v>
      </c>
      <c r="C12" s="78" t="s">
        <v>107</v>
      </c>
      <c r="D12" s="100">
        <f>'Forecasted Volume'!N8</f>
        <v>8938</v>
      </c>
      <c r="E12" s="95">
        <v>0.14904999999999999</v>
      </c>
      <c r="F12" s="95">
        <v>0.18135000000000001</v>
      </c>
      <c r="G12" s="88">
        <f>SUM(E12:F12)</f>
        <v>0.33040000000000003</v>
      </c>
      <c r="H12" s="125">
        <f>D12*G12</f>
        <v>2953.1152000000002</v>
      </c>
    </row>
    <row r="13" spans="1:9" x14ac:dyDescent="0.35">
      <c r="A13" s="111">
        <v>3</v>
      </c>
      <c r="B13" s="78">
        <v>53</v>
      </c>
      <c r="C13" s="77" t="s">
        <v>41</v>
      </c>
      <c r="D13" s="100">
        <f>'Forecasted Volume'!N10</f>
        <v>0</v>
      </c>
      <c r="E13" s="95">
        <v>0</v>
      </c>
      <c r="F13" s="95">
        <v>4.80769</v>
      </c>
      <c r="G13" s="88">
        <f>SUM(E13:F13)</f>
        <v>4.80769</v>
      </c>
      <c r="H13" s="125">
        <f>D13*G13</f>
        <v>0</v>
      </c>
    </row>
    <row r="14" spans="1:9" x14ac:dyDescent="0.35">
      <c r="A14" s="111">
        <v>4</v>
      </c>
      <c r="B14" s="78">
        <v>31</v>
      </c>
      <c r="C14" s="77" t="s">
        <v>42</v>
      </c>
      <c r="D14" s="100">
        <f>'Forecasted Volume'!N11</f>
        <v>240219450</v>
      </c>
      <c r="E14" s="95">
        <v>0.14046</v>
      </c>
      <c r="F14" s="95">
        <v>0.18135000000000001</v>
      </c>
      <c r="G14" s="88">
        <f>SUM(E14:F14)</f>
        <v>0.32181000000000004</v>
      </c>
      <c r="H14" s="125">
        <f>D14*G14</f>
        <v>77305021.204500005</v>
      </c>
    </row>
    <row r="15" spans="1:9" x14ac:dyDescent="0.35">
      <c r="A15" s="111">
        <v>5</v>
      </c>
      <c r="B15" s="78">
        <v>41</v>
      </c>
      <c r="C15" s="77" t="s">
        <v>69</v>
      </c>
      <c r="D15" s="100">
        <f>'Forecasted Volume'!N12</f>
        <v>66815894</v>
      </c>
      <c r="E15" s="95">
        <v>4.718E-2</v>
      </c>
      <c r="F15" s="95">
        <v>0.18135000000000001</v>
      </c>
      <c r="G15" s="88">
        <f>SUM(E15:F15)</f>
        <v>0.22853000000000001</v>
      </c>
      <c r="H15" s="125">
        <f>D15*G15</f>
        <v>15269436.255820001</v>
      </c>
    </row>
    <row r="16" spans="1:9" x14ac:dyDescent="0.35">
      <c r="A16" s="111">
        <v>6</v>
      </c>
      <c r="B16" s="78" t="s">
        <v>38</v>
      </c>
      <c r="D16" s="80">
        <f>SUM(D11:D15)</f>
        <v>921041283</v>
      </c>
      <c r="E16" s="95"/>
      <c r="F16" s="95"/>
      <c r="G16" s="88"/>
      <c r="H16" s="137">
        <f>SUM(H11:H15)</f>
        <v>295442019.70591998</v>
      </c>
      <c r="I16" s="28">
        <f>H16/H$22</f>
        <v>0.96100241826285038</v>
      </c>
    </row>
    <row r="17" spans="1:9" x14ac:dyDescent="0.35">
      <c r="A17" s="111">
        <v>7</v>
      </c>
      <c r="B17" s="78"/>
      <c r="E17" s="95"/>
      <c r="F17" s="95"/>
      <c r="G17" s="88"/>
      <c r="H17" s="125"/>
    </row>
    <row r="18" spans="1:9" x14ac:dyDescent="0.35">
      <c r="A18" s="111">
        <v>8</v>
      </c>
      <c r="B18" s="78">
        <v>85</v>
      </c>
      <c r="C18" s="77" t="s">
        <v>43</v>
      </c>
      <c r="D18" s="100">
        <f>'Forecasted Volume'!N13</f>
        <v>14838965</v>
      </c>
      <c r="E18" s="95">
        <v>8.9090000000000003E-2</v>
      </c>
      <c r="F18" s="95">
        <v>0.18135000000000001</v>
      </c>
      <c r="G18" s="88">
        <f>SUM(E18:F18)</f>
        <v>0.27044000000000001</v>
      </c>
      <c r="H18" s="125">
        <f>D18*G18</f>
        <v>4013049.6946</v>
      </c>
    </row>
    <row r="19" spans="1:9" x14ac:dyDescent="0.35">
      <c r="A19" s="111">
        <v>9</v>
      </c>
      <c r="B19" s="78">
        <v>86</v>
      </c>
      <c r="C19" s="77" t="s">
        <v>44</v>
      </c>
      <c r="D19" s="100">
        <f>'Forecasted Volume'!N14</f>
        <v>7366111</v>
      </c>
      <c r="E19" s="95">
        <v>8.5949999999999999E-2</v>
      </c>
      <c r="F19" s="95">
        <v>0.18135000000000001</v>
      </c>
      <c r="G19" s="88">
        <f>SUM(E19:F19)</f>
        <v>0.26729999999999998</v>
      </c>
      <c r="H19" s="125">
        <f>D19*G19</f>
        <v>1968961.4702999999</v>
      </c>
    </row>
    <row r="20" spans="1:9" x14ac:dyDescent="0.35">
      <c r="A20" s="111">
        <v>10</v>
      </c>
      <c r="B20" s="78">
        <v>87</v>
      </c>
      <c r="C20" s="77" t="s">
        <v>45</v>
      </c>
      <c r="D20" s="100">
        <f>'Forecasted Volume'!N15</f>
        <v>22292121</v>
      </c>
      <c r="E20" s="95">
        <v>8.8120000000000004E-2</v>
      </c>
      <c r="F20" s="95">
        <v>0.18135000000000001</v>
      </c>
      <c r="G20" s="88">
        <f>SUM(E20:F20)</f>
        <v>0.26946999999999999</v>
      </c>
      <c r="H20" s="125">
        <f>D20*G20</f>
        <v>6007057.8458699994</v>
      </c>
    </row>
    <row r="21" spans="1:9" x14ac:dyDescent="0.35">
      <c r="A21" s="111">
        <v>11</v>
      </c>
      <c r="B21" s="78" t="s">
        <v>39</v>
      </c>
      <c r="D21" s="80">
        <f>SUM(D18:D20)</f>
        <v>44497197</v>
      </c>
      <c r="E21" s="138"/>
      <c r="F21" s="138"/>
      <c r="G21" s="88"/>
      <c r="H21" s="137">
        <f>SUM(H18:H20)</f>
        <v>11989069.010770001</v>
      </c>
      <c r="I21" s="28">
        <f>H21/H$22</f>
        <v>3.8997581737149574E-2</v>
      </c>
    </row>
    <row r="22" spans="1:9" x14ac:dyDescent="0.35">
      <c r="A22" s="111">
        <v>12</v>
      </c>
      <c r="B22" s="78" t="s">
        <v>3</v>
      </c>
      <c r="D22" s="79">
        <f>D16+D21</f>
        <v>965538480</v>
      </c>
      <c r="E22" s="88"/>
      <c r="F22" s="88"/>
      <c r="G22" s="88"/>
      <c r="H22" s="137">
        <f>H16+H21</f>
        <v>307431088.71669</v>
      </c>
      <c r="I22" s="28">
        <f>I16+I21</f>
        <v>1</v>
      </c>
    </row>
    <row r="23" spans="1:9" x14ac:dyDescent="0.35">
      <c r="A23" s="111">
        <v>13</v>
      </c>
      <c r="B23" s="77" t="s">
        <v>46</v>
      </c>
      <c r="D23" s="76">
        <f>D22-'Forecasted Volume'!N24-'Forecasted Volume'!N25</f>
        <v>0</v>
      </c>
      <c r="E23" s="88"/>
      <c r="F23" s="88"/>
      <c r="G23" s="88"/>
      <c r="H23" s="125"/>
    </row>
    <row r="24" spans="1:9" x14ac:dyDescent="0.35">
      <c r="H24" s="125"/>
    </row>
    <row r="25" spans="1:9" s="139" customFormat="1" ht="15" x14ac:dyDescent="0.35">
      <c r="B25" s="155" t="s">
        <v>174</v>
      </c>
      <c r="H25" s="140"/>
    </row>
  </sheetData>
  <mergeCells count="4">
    <mergeCell ref="B1:I1"/>
    <mergeCell ref="B2:I2"/>
    <mergeCell ref="B3:I3"/>
    <mergeCell ref="B4:I4"/>
  </mergeCells>
  <printOptions horizontalCentered="1"/>
  <pageMargins left="0.7" right="0.7" top="0.75" bottom="0.75" header="0.3" footer="0.3"/>
  <pageSetup orientation="landscape" blackAndWhite="1" r:id="rId1"/>
  <headerFooter>
    <oddFooter>&amp;L&amp;F 
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H37" sqref="H37"/>
    </sheetView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4"/>
  <sheetViews>
    <sheetView zoomScale="90" zoomScaleNormal="90" workbookViewId="0">
      <pane xSplit="3" ySplit="8" topLeftCell="D9" activePane="bottomRight" state="frozenSplit"/>
      <selection activeCell="U23" sqref="U23"/>
      <selection pane="topRight" activeCell="U23" sqref="U23"/>
      <selection pane="bottomLeft" activeCell="U23" sqref="U23"/>
      <selection pane="bottomRight" activeCell="M30" sqref="M30"/>
    </sheetView>
  </sheetViews>
  <sheetFormatPr defaultRowHeight="14.5" x14ac:dyDescent="0.35"/>
  <cols>
    <col min="1" max="1" width="2.81640625" customWidth="1"/>
    <col min="2" max="2" width="38.7265625" customWidth="1"/>
    <col min="3" max="3" width="9.1796875" bestFit="1" customWidth="1"/>
    <col min="4" max="4" width="15" customWidth="1"/>
    <col min="5" max="5" width="14.54296875" bestFit="1" customWidth="1"/>
    <col min="6" max="6" width="11.7265625" bestFit="1" customWidth="1"/>
    <col min="7" max="7" width="15.453125" bestFit="1" customWidth="1"/>
    <col min="8" max="8" width="15.54296875" bestFit="1" customWidth="1"/>
    <col min="9" max="9" width="14.54296875" bestFit="1" customWidth="1"/>
    <col min="10" max="10" width="14" bestFit="1" customWidth="1"/>
    <col min="11" max="11" width="13.26953125" bestFit="1" customWidth="1"/>
    <col min="12" max="12" width="12.1796875" customWidth="1"/>
    <col min="13" max="14" width="13.26953125" bestFit="1" customWidth="1"/>
    <col min="15" max="15" width="12.81640625" bestFit="1" customWidth="1"/>
    <col min="16" max="16" width="14" bestFit="1" customWidth="1"/>
    <col min="17" max="18" width="13.26953125" bestFit="1" customWidth="1"/>
    <col min="19" max="19" width="15.7265625" bestFit="1" customWidth="1"/>
    <col min="20" max="20" width="14.54296875" bestFit="1" customWidth="1"/>
    <col min="21" max="21" width="7.81640625" customWidth="1"/>
    <col min="22" max="22" width="13.7265625" bestFit="1" customWidth="1"/>
  </cols>
  <sheetData>
    <row r="1" spans="2:21" x14ac:dyDescent="0.35">
      <c r="B1" s="115" t="s">
        <v>12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2:21" x14ac:dyDescent="0.35">
      <c r="B2" s="115" t="s">
        <v>153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2:21" x14ac:dyDescent="0.35">
      <c r="B3" s="114" t="s">
        <v>143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2:21" x14ac:dyDescent="0.35">
      <c r="B4" s="114" t="s">
        <v>161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2:21" x14ac:dyDescent="0.35">
      <c r="F5" s="96"/>
      <c r="N5" s="96"/>
      <c r="R5" s="96"/>
    </row>
    <row r="6" spans="2:21" x14ac:dyDescent="0.35">
      <c r="B6" s="25"/>
      <c r="C6" s="25"/>
      <c r="D6" s="25" t="s">
        <v>151</v>
      </c>
      <c r="E6" s="25" t="s">
        <v>151</v>
      </c>
      <c r="F6" s="25"/>
      <c r="G6" s="25" t="s">
        <v>31</v>
      </c>
      <c r="H6" s="96"/>
      <c r="I6" s="25"/>
      <c r="J6" s="25"/>
      <c r="K6" s="25"/>
      <c r="L6" s="25"/>
      <c r="M6" s="25"/>
      <c r="N6" s="25"/>
      <c r="O6" s="25"/>
      <c r="P6" s="25"/>
      <c r="Q6" s="25"/>
      <c r="R6" s="25"/>
      <c r="S6" s="89" t="s">
        <v>159</v>
      </c>
      <c r="T6" s="89" t="s">
        <v>73</v>
      </c>
      <c r="U6" s="25"/>
    </row>
    <row r="7" spans="2:21" x14ac:dyDescent="0.35">
      <c r="B7" s="25"/>
      <c r="C7" s="25" t="s">
        <v>82</v>
      </c>
      <c r="D7" s="25" t="s">
        <v>32</v>
      </c>
      <c r="E7" s="25" t="s">
        <v>70</v>
      </c>
      <c r="F7" s="25" t="s">
        <v>71</v>
      </c>
      <c r="G7" s="25" t="s">
        <v>89</v>
      </c>
      <c r="H7" s="96" t="s">
        <v>31</v>
      </c>
      <c r="I7" s="25" t="s">
        <v>130</v>
      </c>
      <c r="J7" s="25" t="s">
        <v>129</v>
      </c>
      <c r="K7" s="25" t="s">
        <v>73</v>
      </c>
      <c r="L7" s="25" t="s">
        <v>128</v>
      </c>
      <c r="M7" s="25" t="s">
        <v>127</v>
      </c>
      <c r="N7" s="25" t="s">
        <v>162</v>
      </c>
      <c r="O7" s="25" t="s">
        <v>163</v>
      </c>
      <c r="P7" s="25" t="s">
        <v>164</v>
      </c>
      <c r="Q7" s="25" t="s">
        <v>144</v>
      </c>
      <c r="R7" s="25" t="s">
        <v>102</v>
      </c>
      <c r="S7" s="25" t="s">
        <v>131</v>
      </c>
      <c r="T7" s="25" t="s">
        <v>74</v>
      </c>
      <c r="U7" s="25" t="s">
        <v>47</v>
      </c>
    </row>
    <row r="8" spans="2:21" ht="16.5" x14ac:dyDescent="0.35">
      <c r="B8" s="1" t="s">
        <v>83</v>
      </c>
      <c r="C8" s="1" t="s">
        <v>4</v>
      </c>
      <c r="D8" s="1" t="s">
        <v>93</v>
      </c>
      <c r="E8" s="1" t="s">
        <v>94</v>
      </c>
      <c r="F8" s="1" t="s">
        <v>72</v>
      </c>
      <c r="G8" s="99" t="s">
        <v>158</v>
      </c>
      <c r="H8" s="1" t="s">
        <v>126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165</v>
      </c>
      <c r="T8" s="1" t="s">
        <v>75</v>
      </c>
      <c r="U8" s="1" t="s">
        <v>75</v>
      </c>
    </row>
    <row r="9" spans="2:21" x14ac:dyDescent="0.35">
      <c r="B9" s="25" t="s">
        <v>60</v>
      </c>
      <c r="C9" s="25" t="s">
        <v>61</v>
      </c>
      <c r="D9" s="31" t="s">
        <v>63</v>
      </c>
      <c r="E9" s="32" t="s">
        <v>62</v>
      </c>
      <c r="F9" s="25" t="s">
        <v>125</v>
      </c>
      <c r="G9" s="25" t="s">
        <v>124</v>
      </c>
      <c r="H9" s="25" t="s">
        <v>123</v>
      </c>
      <c r="I9" s="25" t="s">
        <v>85</v>
      </c>
      <c r="J9" s="25" t="s">
        <v>122</v>
      </c>
      <c r="K9" s="25" t="s">
        <v>101</v>
      </c>
      <c r="L9" s="32" t="s">
        <v>95</v>
      </c>
      <c r="M9" s="25" t="s">
        <v>103</v>
      </c>
      <c r="N9" s="32" t="s">
        <v>121</v>
      </c>
      <c r="O9" s="32" t="s">
        <v>104</v>
      </c>
      <c r="P9" s="25" t="s">
        <v>120</v>
      </c>
      <c r="Q9" s="32" t="s">
        <v>119</v>
      </c>
      <c r="R9" s="25" t="s">
        <v>118</v>
      </c>
      <c r="S9" s="32" t="s">
        <v>117</v>
      </c>
      <c r="T9" s="25" t="s">
        <v>116</v>
      </c>
      <c r="U9" s="25" t="s">
        <v>145</v>
      </c>
    </row>
    <row r="10" spans="2:21" x14ac:dyDescent="0.35">
      <c r="B10" t="s">
        <v>40</v>
      </c>
      <c r="C10" s="4" t="s">
        <v>67</v>
      </c>
      <c r="D10" s="141">
        <v>577531400.48799992</v>
      </c>
      <c r="E10" s="34">
        <v>299349526.67167699</v>
      </c>
      <c r="F10" s="30">
        <f t="shared" ref="F10:F15" si="0">(E10)/D10</f>
        <v>0.51832597572830497</v>
      </c>
      <c r="G10" s="141">
        <v>613997001</v>
      </c>
      <c r="H10" s="5">
        <f>F10*G10</f>
        <v>318250594.63757801</v>
      </c>
      <c r="I10" s="34">
        <v>212528921.93000001</v>
      </c>
      <c r="J10" s="34">
        <v>61553199.350000001</v>
      </c>
      <c r="K10" s="34">
        <f>'Schedule 120'!F9</f>
        <v>11144045.568149999</v>
      </c>
      <c r="L10" s="34">
        <v>3800641.4361900003</v>
      </c>
      <c r="M10" s="34">
        <v>13722832.972350001</v>
      </c>
      <c r="N10" s="34">
        <v>19286044.309999999</v>
      </c>
      <c r="O10" s="34">
        <v>-4340498.1599999992</v>
      </c>
      <c r="P10" s="34">
        <v>-6496088.2705800002</v>
      </c>
      <c r="Q10" s="34">
        <v>12003641.369999999</v>
      </c>
      <c r="R10" s="34">
        <v>11543143.618800001</v>
      </c>
      <c r="S10" s="59">
        <f>SUM(H10:R10)</f>
        <v>652996478.76248801</v>
      </c>
      <c r="T10" s="60">
        <f>'Schedule 120'!H9</f>
        <v>2234949.0836400017</v>
      </c>
      <c r="U10" s="28">
        <f>T10/S10</f>
        <v>3.4226051078797798E-3</v>
      </c>
    </row>
    <row r="11" spans="2:21" x14ac:dyDescent="0.35">
      <c r="B11" t="s">
        <v>68</v>
      </c>
      <c r="C11" s="4">
        <v>16</v>
      </c>
      <c r="D11" s="141">
        <v>9689.9889999999996</v>
      </c>
      <c r="E11" s="34">
        <v>4941.8900000000003</v>
      </c>
      <c r="F11" s="30">
        <f t="shared" si="0"/>
        <v>0.50999954695511007</v>
      </c>
      <c r="G11" s="141">
        <v>8938</v>
      </c>
      <c r="H11" s="5">
        <f t="shared" ref="H11:H22" si="1">F11*G11</f>
        <v>4558.3759506847737</v>
      </c>
      <c r="I11" s="34">
        <v>3093.8</v>
      </c>
      <c r="J11" s="34">
        <v>896.03</v>
      </c>
      <c r="K11" s="34">
        <f>'Schedule 120'!F10</f>
        <v>162.22469999999998</v>
      </c>
      <c r="L11" s="34"/>
      <c r="M11" s="34">
        <v>199.76430000000002</v>
      </c>
      <c r="N11" s="34">
        <v>277.55</v>
      </c>
      <c r="O11" s="34">
        <v>-61.15</v>
      </c>
      <c r="P11" s="34">
        <v>-94.564040000000006</v>
      </c>
      <c r="Q11" s="34"/>
      <c r="R11" s="34">
        <v>168.03440000000001</v>
      </c>
      <c r="S11" s="59">
        <f t="shared" ref="S11:S22" si="2">SUM(H11:R11)</f>
        <v>9200.0653106847767</v>
      </c>
      <c r="T11" s="60">
        <f>'Schedule 120'!H10</f>
        <v>32.534320000000008</v>
      </c>
      <c r="U11" s="28">
        <f t="shared" ref="U11:U23" si="3">T11/S11</f>
        <v>3.5363140261858014E-3</v>
      </c>
    </row>
    <row r="12" spans="2:21" x14ac:dyDescent="0.35">
      <c r="B12" t="s">
        <v>42</v>
      </c>
      <c r="C12" s="4">
        <v>31</v>
      </c>
      <c r="D12" s="141">
        <v>214564223.29299998</v>
      </c>
      <c r="E12" s="34">
        <v>86991648.090000004</v>
      </c>
      <c r="F12" s="30">
        <f t="shared" si="0"/>
        <v>0.40543407822098948</v>
      </c>
      <c r="G12" s="141">
        <v>240219450</v>
      </c>
      <c r="H12" s="5">
        <f t="shared" si="1"/>
        <v>97393151.281503066</v>
      </c>
      <c r="I12" s="34">
        <v>80987585.370000005</v>
      </c>
      <c r="J12" s="34">
        <v>24081999.859999999</v>
      </c>
      <c r="K12" s="34">
        <f>'Schedule 120'!F11</f>
        <v>4359983.0175000001</v>
      </c>
      <c r="L12" s="34">
        <v>1184281.8885000001</v>
      </c>
      <c r="M12" s="34">
        <v>6072747.6960000005</v>
      </c>
      <c r="N12" s="34">
        <v>6264148.5800000001</v>
      </c>
      <c r="O12" s="34">
        <v>-1307584.8400000001</v>
      </c>
      <c r="P12" s="34">
        <v>-2817774.1485000001</v>
      </c>
      <c r="Q12" s="34">
        <v>-2498282.29</v>
      </c>
      <c r="R12" s="34">
        <v>4107752.5950000002</v>
      </c>
      <c r="S12" s="59">
        <f t="shared" si="2"/>
        <v>217828009.01000315</v>
      </c>
      <c r="T12" s="60">
        <f>'Schedule 120'!H11</f>
        <v>874398.79800000042</v>
      </c>
      <c r="U12" s="28">
        <f t="shared" si="3"/>
        <v>4.0141706384501088E-3</v>
      </c>
    </row>
    <row r="13" spans="2:21" x14ac:dyDescent="0.35">
      <c r="B13" t="s">
        <v>69</v>
      </c>
      <c r="C13" s="4">
        <v>41</v>
      </c>
      <c r="D13" s="141">
        <v>65990650.213</v>
      </c>
      <c r="E13" s="34">
        <v>14627826.099797169</v>
      </c>
      <c r="F13" s="30">
        <f t="shared" si="0"/>
        <v>0.22166513062960427</v>
      </c>
      <c r="G13" s="141">
        <v>66815894</v>
      </c>
      <c r="H13" s="5">
        <f t="shared" si="1"/>
        <v>14810753.871643793</v>
      </c>
      <c r="I13" s="34">
        <v>20093942.34</v>
      </c>
      <c r="J13" s="34">
        <v>6700297.8499999996</v>
      </c>
      <c r="K13" s="34">
        <f>'Schedule 120'!F12</f>
        <v>1212708.4760999999</v>
      </c>
      <c r="L13" s="34">
        <v>179734.75486000002</v>
      </c>
      <c r="M13" s="34">
        <v>597334.09236000001</v>
      </c>
      <c r="N13" s="34">
        <v>1181460.18</v>
      </c>
      <c r="O13" s="34">
        <v>-202375.00999999998</v>
      </c>
      <c r="P13" s="34">
        <v>-311362.06604000001</v>
      </c>
      <c r="Q13" s="34">
        <v>-78636.76999999999</v>
      </c>
      <c r="R13" s="34">
        <v>684194.75456000003</v>
      </c>
      <c r="S13" s="59">
        <f t="shared" si="2"/>
        <v>44868052.473483786</v>
      </c>
      <c r="T13" s="60">
        <f>'Schedule 120'!H12</f>
        <v>243209.8541600001</v>
      </c>
      <c r="U13" s="28">
        <f t="shared" si="3"/>
        <v>5.4205574067145608E-3</v>
      </c>
    </row>
    <row r="14" spans="2:21" x14ac:dyDescent="0.35">
      <c r="B14" t="s">
        <v>43</v>
      </c>
      <c r="C14" s="4">
        <v>85</v>
      </c>
      <c r="D14" s="141">
        <v>17139795.438999999</v>
      </c>
      <c r="E14" s="34">
        <v>1690709.47</v>
      </c>
      <c r="F14" s="30">
        <f t="shared" si="0"/>
        <v>9.864233654463278E-2</v>
      </c>
      <c r="G14" s="141">
        <v>14838965</v>
      </c>
      <c r="H14" s="5">
        <f t="shared" si="1"/>
        <v>1463750.1795040267</v>
      </c>
      <c r="I14" s="34">
        <v>4292791.3299999991</v>
      </c>
      <c r="J14" s="34">
        <v>1488199.8</v>
      </c>
      <c r="K14" s="34">
        <f>'Schedule 120'!F13</f>
        <v>228965.22994999998</v>
      </c>
      <c r="L14" s="34">
        <v>18680.048112303961</v>
      </c>
      <c r="M14" s="34">
        <v>74936.773249999998</v>
      </c>
      <c r="N14" s="34">
        <v>144903.98000000001</v>
      </c>
      <c r="O14" s="34">
        <v>-20289.149999999998</v>
      </c>
      <c r="P14" s="34">
        <v>-37987.750400000004</v>
      </c>
      <c r="Q14" s="34"/>
      <c r="R14" s="34">
        <v>82356.255749999997</v>
      </c>
      <c r="S14" s="59">
        <f t="shared" si="2"/>
        <v>7736306.6961663282</v>
      </c>
      <c r="T14" s="60">
        <f>'Schedule 120'!H13</f>
        <v>42587.829550000053</v>
      </c>
      <c r="U14" s="28">
        <f t="shared" si="3"/>
        <v>5.5049303527617581E-3</v>
      </c>
    </row>
    <row r="15" spans="2:21" x14ac:dyDescent="0.35">
      <c r="B15" t="s">
        <v>44</v>
      </c>
      <c r="C15" s="4">
        <v>86</v>
      </c>
      <c r="D15" s="141">
        <v>9926029.5299999993</v>
      </c>
      <c r="E15" s="34">
        <v>2102083.46</v>
      </c>
      <c r="F15" s="30">
        <f t="shared" si="0"/>
        <v>0.21177485455254333</v>
      </c>
      <c r="G15" s="141">
        <v>7366111</v>
      </c>
      <c r="H15" s="5">
        <f t="shared" si="1"/>
        <v>1559957.0856428896</v>
      </c>
      <c r="I15" s="34">
        <v>2149002.11</v>
      </c>
      <c r="J15" s="34">
        <v>738747.27</v>
      </c>
      <c r="K15" s="34">
        <f>'Schedule 120'!F14</f>
        <v>113659.09272999999</v>
      </c>
      <c r="L15" s="34">
        <v>19078.227489999997</v>
      </c>
      <c r="M15" s="34">
        <v>56498.071369999998</v>
      </c>
      <c r="N15" s="34">
        <v>134051.32</v>
      </c>
      <c r="O15" s="34">
        <v>-22947.15</v>
      </c>
      <c r="P15" s="34">
        <v>-30716.682870000001</v>
      </c>
      <c r="Q15" s="34">
        <v>-7706.42</v>
      </c>
      <c r="R15" s="34">
        <v>59739.160210000009</v>
      </c>
      <c r="S15" s="59">
        <f t="shared" si="2"/>
        <v>4769362.0845728908</v>
      </c>
      <c r="T15" s="60">
        <f>'Schedule 120'!H14</f>
        <v>21140.738570000001</v>
      </c>
      <c r="U15" s="28">
        <f t="shared" si="3"/>
        <v>4.4326134596453506E-3</v>
      </c>
    </row>
    <row r="16" spans="2:21" x14ac:dyDescent="0.35">
      <c r="B16" t="s">
        <v>45</v>
      </c>
      <c r="C16" s="4">
        <v>87</v>
      </c>
      <c r="D16" s="141">
        <v>23311381.287999999</v>
      </c>
      <c r="E16" s="34">
        <v>1129405.5499999998</v>
      </c>
      <c r="F16" s="30">
        <f>(E16)/D16</f>
        <v>4.8448675608140992E-2</v>
      </c>
      <c r="G16" s="141">
        <v>22292121</v>
      </c>
      <c r="H16" s="5">
        <f t="shared" si="1"/>
        <v>1080023.7389464276</v>
      </c>
      <c r="I16" s="34">
        <v>6293065.7599999998</v>
      </c>
      <c r="J16" s="34">
        <v>2235676.8199999998</v>
      </c>
      <c r="K16" s="34">
        <f>'Schedule 120'!F15</f>
        <v>343967.42702999996</v>
      </c>
      <c r="L16" s="34">
        <v>11442.677168390746</v>
      </c>
      <c r="M16" s="34">
        <v>60857.490329999993</v>
      </c>
      <c r="N16" s="34">
        <v>103284.69</v>
      </c>
      <c r="O16" s="34">
        <v>-14510.9</v>
      </c>
      <c r="P16" s="34">
        <v>-30763.126979999997</v>
      </c>
      <c r="Q16" s="34"/>
      <c r="R16" s="34">
        <v>74455.684139999998</v>
      </c>
      <c r="S16" s="59">
        <f t="shared" si="2"/>
        <v>10157500.260634819</v>
      </c>
      <c r="T16" s="60">
        <f>'Schedule 120'!H15</f>
        <v>63978.387270000065</v>
      </c>
      <c r="U16" s="28">
        <f t="shared" si="3"/>
        <v>6.2986350606307117E-3</v>
      </c>
    </row>
    <row r="17" spans="2:24" x14ac:dyDescent="0.35">
      <c r="B17" t="s">
        <v>115</v>
      </c>
      <c r="C17" s="4" t="s">
        <v>99</v>
      </c>
      <c r="D17" s="141">
        <v>22880.93</v>
      </c>
      <c r="E17" s="34">
        <v>14880.86</v>
      </c>
      <c r="F17" s="30">
        <f>(E17)/D17</f>
        <v>0.65036080264220031</v>
      </c>
      <c r="G17" s="141">
        <v>23426</v>
      </c>
      <c r="H17" s="5">
        <f t="shared" si="1"/>
        <v>15235.352162696185</v>
      </c>
      <c r="I17" s="34"/>
      <c r="J17" s="34"/>
      <c r="K17" s="34"/>
      <c r="L17" s="34">
        <v>115.49018000000001</v>
      </c>
      <c r="M17" s="34">
        <v>592.20928000000004</v>
      </c>
      <c r="N17" s="34">
        <v>855.57999999999993</v>
      </c>
      <c r="O17" s="34">
        <v>-275.07</v>
      </c>
      <c r="P17" s="34">
        <v>-274.78698000000003</v>
      </c>
      <c r="Q17" s="34">
        <v>-231.45</v>
      </c>
      <c r="R17" s="34">
        <v>400.58460000000002</v>
      </c>
      <c r="S17" s="59">
        <f t="shared" si="2"/>
        <v>16417.909242696183</v>
      </c>
      <c r="T17" s="60"/>
      <c r="U17" s="28">
        <f t="shared" si="3"/>
        <v>0</v>
      </c>
    </row>
    <row r="18" spans="2:24" x14ac:dyDescent="0.35">
      <c r="B18" t="s">
        <v>78</v>
      </c>
      <c r="C18" t="s">
        <v>0</v>
      </c>
      <c r="D18" s="141">
        <v>17702125.890000001</v>
      </c>
      <c r="E18" s="34">
        <v>3565479.9526575999</v>
      </c>
      <c r="F18" s="30">
        <f t="shared" ref="F18:F23" si="4">(E18)/D18</f>
        <v>0.20141535399834398</v>
      </c>
      <c r="G18" s="141">
        <v>24122221</v>
      </c>
      <c r="H18" s="5">
        <f>F18*G18</f>
        <v>4858585.6819412876</v>
      </c>
      <c r="I18" s="34"/>
      <c r="J18" s="34"/>
      <c r="K18" s="34"/>
      <c r="L18" s="34">
        <v>64888.774490000003</v>
      </c>
      <c r="M18" s="34">
        <v>215652.65573999999</v>
      </c>
      <c r="N18" s="34">
        <v>189841.8</v>
      </c>
      <c r="O18" s="34">
        <v>-60882.729999999996</v>
      </c>
      <c r="P18" s="34">
        <v>-112409.54986</v>
      </c>
      <c r="Q18" s="34">
        <v>-25899.629999999997</v>
      </c>
      <c r="R18" s="34">
        <v>247011.54304000002</v>
      </c>
      <c r="S18" s="59">
        <f>SUM(H18:R18)</f>
        <v>5376788.5453512874</v>
      </c>
      <c r="T18" s="60"/>
      <c r="U18" s="28">
        <f t="shared" si="3"/>
        <v>0</v>
      </c>
    </row>
    <row r="19" spans="2:24" x14ac:dyDescent="0.35">
      <c r="B19" t="s">
        <v>79</v>
      </c>
      <c r="C19" t="s">
        <v>1</v>
      </c>
      <c r="D19" s="141">
        <v>79480065.260000005</v>
      </c>
      <c r="E19" s="34">
        <v>7330425.0899999999</v>
      </c>
      <c r="F19" s="30">
        <f t="shared" si="4"/>
        <v>9.2229731644284246E-2</v>
      </c>
      <c r="G19" s="141">
        <v>78043724</v>
      </c>
      <c r="H19" s="5">
        <f t="shared" si="1"/>
        <v>7197951.721040586</v>
      </c>
      <c r="I19" s="34"/>
      <c r="J19" s="34"/>
      <c r="K19" s="34"/>
      <c r="L19" s="34">
        <v>88221.664729179101</v>
      </c>
      <c r="M19" s="34">
        <v>394120.80619999999</v>
      </c>
      <c r="N19" s="34">
        <v>306720.3</v>
      </c>
      <c r="O19" s="34">
        <v>-98044.709999999992</v>
      </c>
      <c r="P19" s="34">
        <v>-199791.93344000002</v>
      </c>
      <c r="Q19" s="34"/>
      <c r="R19" s="34">
        <v>433142.66820000001</v>
      </c>
      <c r="S19" s="59">
        <f t="shared" si="2"/>
        <v>8122320.5167297656</v>
      </c>
      <c r="T19" s="60"/>
      <c r="U19" s="28">
        <f t="shared" si="3"/>
        <v>0</v>
      </c>
    </row>
    <row r="20" spans="2:24" x14ac:dyDescent="0.35">
      <c r="B20" t="s">
        <v>80</v>
      </c>
      <c r="C20" t="s">
        <v>76</v>
      </c>
      <c r="D20" s="141">
        <v>372634.3</v>
      </c>
      <c r="E20" s="34">
        <v>84449.41</v>
      </c>
      <c r="F20" s="30">
        <f t="shared" si="4"/>
        <v>0.22662811770145691</v>
      </c>
      <c r="G20" s="141">
        <v>223415</v>
      </c>
      <c r="H20" s="5">
        <f t="shared" si="1"/>
        <v>50632.120916270993</v>
      </c>
      <c r="I20" s="34"/>
      <c r="J20" s="34"/>
      <c r="K20" s="34"/>
      <c r="L20" s="34">
        <v>578.64485000000002</v>
      </c>
      <c r="M20" s="34">
        <v>1713.5930499999999</v>
      </c>
      <c r="N20" s="34">
        <v>2743.39</v>
      </c>
      <c r="O20" s="34">
        <v>-882.45</v>
      </c>
      <c r="P20" s="34">
        <v>-931.64055000000008</v>
      </c>
      <c r="Q20" s="34">
        <v>-276.73</v>
      </c>
      <c r="R20" s="34">
        <v>1811.8956500000002</v>
      </c>
      <c r="S20" s="59">
        <f t="shared" si="2"/>
        <v>55388.823916270994</v>
      </c>
      <c r="T20" s="60"/>
      <c r="U20" s="28">
        <f t="shared" si="3"/>
        <v>0</v>
      </c>
    </row>
    <row r="21" spans="2:24" x14ac:dyDescent="0.35">
      <c r="B21" t="s">
        <v>81</v>
      </c>
      <c r="C21" t="s">
        <v>2</v>
      </c>
      <c r="D21" s="141">
        <v>99276638.950000003</v>
      </c>
      <c r="E21" s="34">
        <v>3590033.5100000002</v>
      </c>
      <c r="F21" s="30">
        <f t="shared" si="4"/>
        <v>3.6161916317574934E-2</v>
      </c>
      <c r="G21" s="141">
        <v>100692527</v>
      </c>
      <c r="H21" s="5">
        <f t="shared" si="1"/>
        <v>3641234.7351791547</v>
      </c>
      <c r="I21" s="34"/>
      <c r="J21" s="34"/>
      <c r="K21" s="34"/>
      <c r="L21" s="34">
        <v>41818.657770489328</v>
      </c>
      <c r="M21" s="34">
        <v>274890.59870999999</v>
      </c>
      <c r="N21" s="34">
        <v>150223.56</v>
      </c>
      <c r="O21" s="34">
        <v>-47763.570000000007</v>
      </c>
      <c r="P21" s="34">
        <v>-138955.68726000001</v>
      </c>
      <c r="Q21" s="34"/>
      <c r="R21" s="34">
        <v>336313.04018000001</v>
      </c>
      <c r="S21" s="59">
        <f t="shared" si="2"/>
        <v>4257761.3345796447</v>
      </c>
      <c r="T21" s="60"/>
      <c r="U21" s="28">
        <f t="shared" si="3"/>
        <v>0</v>
      </c>
    </row>
    <row r="22" spans="2:24" x14ac:dyDescent="0.35">
      <c r="B22" t="s">
        <v>77</v>
      </c>
      <c r="D22" s="141">
        <v>37223237.460000001</v>
      </c>
      <c r="E22" s="34">
        <v>1465941.3557558353</v>
      </c>
      <c r="F22" s="33">
        <f t="shared" si="4"/>
        <v>3.9382424952454288E-2</v>
      </c>
      <c r="G22" s="141">
        <v>36131830</v>
      </c>
      <c r="H22" s="5">
        <f t="shared" si="1"/>
        <v>1422959.0833698364</v>
      </c>
      <c r="I22" s="34"/>
      <c r="J22" s="34"/>
      <c r="K22" s="34"/>
      <c r="L22" s="34"/>
      <c r="M22" s="34">
        <v>123932.17689999999</v>
      </c>
      <c r="N22" s="34">
        <v>35274.722042470239</v>
      </c>
      <c r="O22" s="34">
        <v>-11662.625379653648</v>
      </c>
      <c r="P22" s="34">
        <v>-62869.3842</v>
      </c>
      <c r="Q22" s="34"/>
      <c r="R22" s="34">
        <v>146695.2298</v>
      </c>
      <c r="S22" s="59">
        <f t="shared" si="2"/>
        <v>1654329.2025326532</v>
      </c>
      <c r="T22" s="60"/>
      <c r="U22" s="28">
        <f t="shared" si="3"/>
        <v>0</v>
      </c>
    </row>
    <row r="23" spans="2:24" x14ac:dyDescent="0.35">
      <c r="B23" t="s">
        <v>3</v>
      </c>
      <c r="D23" s="3">
        <f>SUM(D10:D22)</f>
        <v>1142550753.0299997</v>
      </c>
      <c r="E23" s="26">
        <f>SUM(E10:E22)</f>
        <v>421947351.40988761</v>
      </c>
      <c r="F23" s="30">
        <f t="shared" si="4"/>
        <v>0.36930293931442415</v>
      </c>
      <c r="G23" s="3">
        <f>SUM(G10:G22)</f>
        <v>1204775623</v>
      </c>
      <c r="H23" s="26">
        <f>SUM(H10:H22)</f>
        <v>451749387.86537874</v>
      </c>
      <c r="I23" s="26">
        <f t="shared" ref="I23:K23" si="5">SUM(I10:I22)</f>
        <v>326348402.63999999</v>
      </c>
      <c r="J23" s="26">
        <f t="shared" si="5"/>
        <v>96799016.979999989</v>
      </c>
      <c r="K23" s="26">
        <f t="shared" si="5"/>
        <v>17403491.03616</v>
      </c>
      <c r="L23" s="26">
        <f>SUM(L10:L22)</f>
        <v>5409482.2643403625</v>
      </c>
      <c r="M23" s="26">
        <f>SUM(M10:M22)</f>
        <v>21596308.899839997</v>
      </c>
      <c r="N23" s="26">
        <f>SUM(N10:N22)</f>
        <v>27799829.96204247</v>
      </c>
      <c r="O23" s="26">
        <f>SUM(O10:O22)</f>
        <v>-6127777.5153796552</v>
      </c>
      <c r="P23" s="26">
        <f>SUM(P10:P22)</f>
        <v>-10240019.591699999</v>
      </c>
      <c r="Q23" s="26">
        <f t="shared" ref="Q23:S23" si="6">SUM(Q10:Q22)</f>
        <v>9392608.0799999982</v>
      </c>
      <c r="R23" s="26">
        <f t="shared" si="6"/>
        <v>17717185.064330004</v>
      </c>
      <c r="S23" s="64">
        <f t="shared" si="6"/>
        <v>957847915.68501198</v>
      </c>
      <c r="T23" s="26">
        <f>SUM(T10:T22)</f>
        <v>3480297.2255100021</v>
      </c>
      <c r="U23" s="82">
        <f t="shared" si="3"/>
        <v>3.6334549238132884E-3</v>
      </c>
      <c r="V23" s="5"/>
    </row>
    <row r="24" spans="2:24" s="65" customFormat="1" x14ac:dyDescent="0.35">
      <c r="B24" s="69"/>
      <c r="C24" s="68"/>
      <c r="D24" s="56"/>
      <c r="E24" s="66"/>
      <c r="F24" s="66"/>
      <c r="G24" s="67"/>
      <c r="H24" s="63"/>
      <c r="I24" s="67"/>
      <c r="J24" s="67"/>
      <c r="K24" s="67"/>
      <c r="L24" s="66"/>
      <c r="M24" s="66"/>
      <c r="N24" s="66"/>
      <c r="O24" s="66"/>
      <c r="P24" s="67"/>
      <c r="Q24" s="66"/>
      <c r="R24" s="66"/>
      <c r="S24" s="66"/>
      <c r="T24" s="62"/>
      <c r="U24" s="54"/>
    </row>
    <row r="25" spans="2:24" s="65" customFormat="1" ht="16.5" x14ac:dyDescent="0.35">
      <c r="B25" s="69" t="s">
        <v>108</v>
      </c>
      <c r="C25" s="69"/>
      <c r="D25" s="141">
        <v>397262</v>
      </c>
      <c r="E25" s="34">
        <v>5943249.8599999994</v>
      </c>
      <c r="F25" s="61">
        <f>E25/D25</f>
        <v>14.960529474251249</v>
      </c>
      <c r="G25" s="142">
        <v>319030</v>
      </c>
      <c r="H25" s="5">
        <f>F25*G25</f>
        <v>4772857.7181703756</v>
      </c>
      <c r="I25" s="56"/>
      <c r="J25" s="67"/>
      <c r="K25" s="67"/>
      <c r="L25" s="60"/>
      <c r="M25" s="34">
        <v>165895.6</v>
      </c>
      <c r="N25" s="34">
        <v>206950.39999999999</v>
      </c>
      <c r="O25" s="34">
        <v>-66663.06</v>
      </c>
      <c r="P25" s="34">
        <v>-22332.100000000002</v>
      </c>
      <c r="Q25" s="60"/>
      <c r="R25" s="101"/>
      <c r="S25" s="59">
        <f>SUM(H25:R25)</f>
        <v>5056708.5581703763</v>
      </c>
      <c r="T25" s="60"/>
      <c r="U25" s="28">
        <f>T25/S25</f>
        <v>0</v>
      </c>
      <c r="V25" s="54"/>
      <c r="W25" s="58"/>
      <c r="X25" s="57"/>
    </row>
    <row r="26" spans="2:24" s="65" customFormat="1" x14ac:dyDescent="0.35">
      <c r="B26" s="42" t="s">
        <v>3</v>
      </c>
      <c r="C26" s="42"/>
      <c r="D26" s="52"/>
      <c r="E26" s="55">
        <f>E23+E25</f>
        <v>427890601.26988763</v>
      </c>
      <c r="F26" s="37"/>
      <c r="G26" s="37"/>
      <c r="H26" s="55">
        <f>H23+H25</f>
        <v>456522245.58354914</v>
      </c>
      <c r="I26" s="55">
        <f t="shared" ref="I26:K26" si="7">I23+I25</f>
        <v>326348402.63999999</v>
      </c>
      <c r="J26" s="55">
        <f t="shared" si="7"/>
        <v>96799016.979999989</v>
      </c>
      <c r="K26" s="55">
        <f t="shared" si="7"/>
        <v>17403491.03616</v>
      </c>
      <c r="L26" s="55">
        <f>L23+L25</f>
        <v>5409482.2643403625</v>
      </c>
      <c r="M26" s="55">
        <f>M23+M25</f>
        <v>21762204.499839999</v>
      </c>
      <c r="N26" s="55">
        <f>N23+N25</f>
        <v>28006780.362042468</v>
      </c>
      <c r="O26" s="55">
        <f>O23+O25</f>
        <v>-6194440.5753796548</v>
      </c>
      <c r="P26" s="55">
        <f>P23+P25</f>
        <v>-10262351.691699998</v>
      </c>
      <c r="Q26" s="55">
        <f t="shared" ref="Q26:T26" si="8">Q23+Q25</f>
        <v>9392608.0799999982</v>
      </c>
      <c r="R26" s="55">
        <f t="shared" si="8"/>
        <v>17717185.064330004</v>
      </c>
      <c r="S26" s="55">
        <f t="shared" si="8"/>
        <v>962904624.2431823</v>
      </c>
      <c r="T26" s="55">
        <f t="shared" si="8"/>
        <v>3480297.2255100021</v>
      </c>
      <c r="U26" s="82">
        <f>T26/S26</f>
        <v>3.6143737789663477E-3</v>
      </c>
      <c r="V26" s="54"/>
    </row>
    <row r="27" spans="2:24" x14ac:dyDescent="0.35">
      <c r="D27" s="2"/>
      <c r="E27" s="5"/>
      <c r="L27" s="5"/>
      <c r="O27" s="5"/>
      <c r="P27" s="5"/>
      <c r="Q27" s="5"/>
      <c r="S27" s="5"/>
      <c r="U27" s="29"/>
    </row>
    <row r="28" spans="2:24" x14ac:dyDescent="0.35">
      <c r="D28" s="2"/>
      <c r="E28" s="5"/>
      <c r="G28" s="2"/>
      <c r="L28" s="5"/>
      <c r="P28" s="5"/>
      <c r="Q28" s="5"/>
      <c r="S28" s="5"/>
      <c r="U28" s="29"/>
    </row>
    <row r="29" spans="2:24" s="65" customFormat="1" x14ac:dyDescent="0.35">
      <c r="B29" s="53" t="s">
        <v>114</v>
      </c>
      <c r="C29" s="53"/>
      <c r="D29" s="52"/>
      <c r="E29" s="51"/>
      <c r="T29" s="50"/>
      <c r="U29" s="54"/>
    </row>
    <row r="30" spans="2:24" s="65" customFormat="1" x14ac:dyDescent="0.35">
      <c r="B30" s="42" t="s">
        <v>92</v>
      </c>
      <c r="C30" s="42"/>
      <c r="D30" s="45">
        <f>D10+D11</f>
        <v>577541090.47699988</v>
      </c>
      <c r="E30" s="43">
        <f>E10+E11</f>
        <v>299354468.56167698</v>
      </c>
      <c r="F30" s="37"/>
      <c r="H30" s="43">
        <f>H10+H11</f>
        <v>318255153.0135287</v>
      </c>
      <c r="L30" s="43"/>
      <c r="P30" s="43"/>
      <c r="Q30" s="43"/>
      <c r="S30" s="43">
        <f>S10+S11</f>
        <v>653005678.82779872</v>
      </c>
      <c r="T30" s="5">
        <f>SUM(T10:T11)</f>
        <v>2234981.6179600018</v>
      </c>
      <c r="U30" s="28">
        <f t="shared" ref="U30:U37" si="9">T30/S30</f>
        <v>3.422606709901797E-3</v>
      </c>
      <c r="V30" s="49"/>
    </row>
    <row r="31" spans="2:24" s="65" customFormat="1" x14ac:dyDescent="0.35">
      <c r="B31" s="48" t="s">
        <v>113</v>
      </c>
      <c r="C31" s="48"/>
      <c r="D31" s="45">
        <f>D12+D17</f>
        <v>214587104.22299999</v>
      </c>
      <c r="E31" s="43">
        <f>E12+E17</f>
        <v>87006528.950000003</v>
      </c>
      <c r="F31" s="44"/>
      <c r="H31" s="43">
        <f>H12+H17</f>
        <v>97408386.633665755</v>
      </c>
      <c r="I31" s="38"/>
      <c r="J31" s="38"/>
      <c r="K31" s="38"/>
      <c r="L31" s="43"/>
      <c r="N31" s="38"/>
      <c r="P31" s="43"/>
      <c r="Q31" s="43"/>
      <c r="R31" s="38"/>
      <c r="S31" s="43">
        <f>S12+S17</f>
        <v>217844426.91924584</v>
      </c>
      <c r="T31" s="5">
        <f>SUM(T12,T17)</f>
        <v>874398.79800000042</v>
      </c>
      <c r="U31" s="28">
        <f t="shared" si="9"/>
        <v>4.0138681093004822E-3</v>
      </c>
    </row>
    <row r="32" spans="2:24" s="65" customFormat="1" x14ac:dyDescent="0.35">
      <c r="B32" s="42" t="s">
        <v>112</v>
      </c>
      <c r="C32" s="42"/>
      <c r="D32" s="45">
        <f t="shared" ref="D32:E35" si="10">D13+D18</f>
        <v>83692776.103</v>
      </c>
      <c r="E32" s="43">
        <f t="shared" si="10"/>
        <v>18193306.05245477</v>
      </c>
      <c r="F32" s="44"/>
      <c r="H32" s="43">
        <f>H13+H18</f>
        <v>19669339.553585082</v>
      </c>
      <c r="I32" s="38"/>
      <c r="J32" s="38"/>
      <c r="K32" s="38"/>
      <c r="L32" s="43"/>
      <c r="N32" s="38"/>
      <c r="P32" s="43"/>
      <c r="Q32" s="43"/>
      <c r="R32" s="38"/>
      <c r="S32" s="43">
        <f>S13+S18</f>
        <v>50244841.018835075</v>
      </c>
      <c r="T32" s="5">
        <f>SUM(T13,T18)</f>
        <v>243209.8541600001</v>
      </c>
      <c r="U32" s="28">
        <f t="shared" si="9"/>
        <v>4.840494053286566E-3</v>
      </c>
    </row>
    <row r="33" spans="2:21" s="65" customFormat="1" x14ac:dyDescent="0.35">
      <c r="B33" s="42" t="s">
        <v>111</v>
      </c>
      <c r="C33" s="42"/>
      <c r="D33" s="45">
        <f t="shared" si="10"/>
        <v>96619860.699000001</v>
      </c>
      <c r="E33" s="43">
        <f t="shared" si="10"/>
        <v>9021134.5600000005</v>
      </c>
      <c r="F33" s="44"/>
      <c r="H33" s="43">
        <f>H14+H19</f>
        <v>8661701.9005446136</v>
      </c>
      <c r="I33" s="38"/>
      <c r="J33" s="38"/>
      <c r="K33" s="38"/>
      <c r="L33" s="43"/>
      <c r="N33" s="38"/>
      <c r="P33" s="43"/>
      <c r="Q33" s="43"/>
      <c r="R33" s="38"/>
      <c r="S33" s="43">
        <f>S14+S19</f>
        <v>15858627.212896094</v>
      </c>
      <c r="T33" s="5">
        <f>SUM(T14,T19)</f>
        <v>42587.829550000053</v>
      </c>
      <c r="U33" s="28">
        <f t="shared" si="9"/>
        <v>2.6854675993246129E-3</v>
      </c>
    </row>
    <row r="34" spans="2:21" s="65" customFormat="1" x14ac:dyDescent="0.35">
      <c r="B34" s="42" t="s">
        <v>110</v>
      </c>
      <c r="C34" s="42"/>
      <c r="D34" s="45">
        <f t="shared" si="10"/>
        <v>10298663.83</v>
      </c>
      <c r="E34" s="43">
        <f t="shared" si="10"/>
        <v>2186532.87</v>
      </c>
      <c r="F34" s="44"/>
      <c r="H34" s="43">
        <f>H15+H20</f>
        <v>1610589.2065591605</v>
      </c>
      <c r="I34" s="38"/>
      <c r="J34" s="38"/>
      <c r="K34" s="38"/>
      <c r="L34" s="40"/>
      <c r="N34" s="38"/>
      <c r="P34" s="40"/>
      <c r="Q34" s="40"/>
      <c r="R34" s="38"/>
      <c r="S34" s="43">
        <f>S15+S20</f>
        <v>4824750.9084891621</v>
      </c>
      <c r="T34" s="5">
        <f>SUM(T15,T20)</f>
        <v>21140.738570000001</v>
      </c>
      <c r="U34" s="28">
        <f t="shared" si="9"/>
        <v>4.3817264291930213E-3</v>
      </c>
    </row>
    <row r="35" spans="2:21" s="65" customFormat="1" x14ac:dyDescent="0.35">
      <c r="B35" s="69" t="s">
        <v>109</v>
      </c>
      <c r="C35" s="69"/>
      <c r="D35" s="45">
        <f t="shared" si="10"/>
        <v>122588020.23800001</v>
      </c>
      <c r="E35" s="43">
        <f t="shared" si="10"/>
        <v>4719439.0600000005</v>
      </c>
      <c r="F35" s="44"/>
      <c r="G35" s="37"/>
      <c r="H35" s="43">
        <f>H16+H21</f>
        <v>4721258.4741255827</v>
      </c>
      <c r="I35" s="44"/>
      <c r="J35" s="44"/>
      <c r="K35" s="44"/>
      <c r="L35" s="40"/>
      <c r="N35" s="44"/>
      <c r="P35" s="40"/>
      <c r="Q35" s="40"/>
      <c r="R35" s="44"/>
      <c r="S35" s="43">
        <f>S16+S21</f>
        <v>14415261.595214464</v>
      </c>
      <c r="T35" s="5">
        <f>SUM(T16,T21)</f>
        <v>63978.387270000065</v>
      </c>
      <c r="U35" s="28">
        <f t="shared" si="9"/>
        <v>4.4382397674447632E-3</v>
      </c>
    </row>
    <row r="36" spans="2:21" s="65" customFormat="1" x14ac:dyDescent="0.35">
      <c r="B36" s="47" t="s">
        <v>77</v>
      </c>
      <c r="C36" s="69"/>
      <c r="D36" s="45">
        <f>D22</f>
        <v>37223237.460000001</v>
      </c>
      <c r="E36" s="43">
        <f>E22</f>
        <v>1465941.3557558353</v>
      </c>
      <c r="F36" s="44"/>
      <c r="G36" s="37"/>
      <c r="H36" s="43">
        <f>H22</f>
        <v>1422959.0833698364</v>
      </c>
      <c r="I36" s="44"/>
      <c r="J36" s="44"/>
      <c r="K36" s="44"/>
      <c r="L36" s="40"/>
      <c r="N36" s="44"/>
      <c r="P36" s="40"/>
      <c r="Q36" s="40"/>
      <c r="R36" s="44"/>
      <c r="S36" s="43">
        <f>S22</f>
        <v>1654329.2025326532</v>
      </c>
      <c r="T36" s="5">
        <f>T22</f>
        <v>0</v>
      </c>
      <c r="U36" s="28">
        <f t="shared" si="9"/>
        <v>0</v>
      </c>
    </row>
    <row r="37" spans="2:21" s="65" customFormat="1" x14ac:dyDescent="0.35">
      <c r="B37" s="46" t="s">
        <v>21</v>
      </c>
      <c r="C37" s="46"/>
      <c r="D37" s="41">
        <f>SUM(D30:D36)</f>
        <v>1142550753.03</v>
      </c>
      <c r="E37" s="39">
        <f>SUM(E30:E36)</f>
        <v>421947351.40988755</v>
      </c>
      <c r="F37" s="37"/>
      <c r="G37" s="37"/>
      <c r="H37" s="39">
        <f>SUM(H30:H36)</f>
        <v>451749387.8653788</v>
      </c>
      <c r="I37" s="37"/>
      <c r="J37" s="37"/>
      <c r="K37" s="44"/>
      <c r="L37" s="40"/>
      <c r="N37" s="44"/>
      <c r="P37" s="40"/>
      <c r="Q37" s="40"/>
      <c r="R37" s="44"/>
      <c r="S37" s="39">
        <f>SUM(S30:S36)</f>
        <v>957847915.68501198</v>
      </c>
      <c r="T37" s="39">
        <f>SUM(T30:T36)</f>
        <v>3480297.2255100021</v>
      </c>
      <c r="U37" s="82">
        <f t="shared" si="9"/>
        <v>3.6334549238132884E-3</v>
      </c>
    </row>
    <row r="38" spans="2:21" s="65" customFormat="1" x14ac:dyDescent="0.35">
      <c r="B38" s="69"/>
      <c r="C38" s="69"/>
      <c r="D38" s="45"/>
      <c r="E38" s="43"/>
      <c r="F38" s="37"/>
      <c r="G38" s="37"/>
      <c r="H38" s="43"/>
      <c r="I38" s="37"/>
      <c r="J38" s="37"/>
      <c r="K38" s="44"/>
      <c r="L38" s="40"/>
      <c r="N38" s="44"/>
      <c r="P38" s="40"/>
      <c r="Q38" s="40"/>
      <c r="R38" s="44"/>
      <c r="S38" s="43"/>
      <c r="T38" s="43"/>
      <c r="U38" s="28"/>
    </row>
    <row r="39" spans="2:21" s="65" customFormat="1" x14ac:dyDescent="0.35">
      <c r="B39" s="69" t="s">
        <v>146</v>
      </c>
      <c r="C39" s="69"/>
      <c r="D39" s="45"/>
      <c r="E39" s="43">
        <f>E25</f>
        <v>5943249.8599999994</v>
      </c>
      <c r="F39" s="37"/>
      <c r="G39" s="37"/>
      <c r="H39" s="43">
        <f>H25</f>
        <v>4772857.7181703756</v>
      </c>
      <c r="I39" s="37"/>
      <c r="J39" s="37"/>
      <c r="K39" s="44"/>
      <c r="L39" s="40"/>
      <c r="N39" s="44"/>
      <c r="P39" s="40"/>
      <c r="Q39" s="40"/>
      <c r="R39" s="44"/>
      <c r="S39" s="43">
        <f>S25</f>
        <v>5056708.5581703763</v>
      </c>
      <c r="T39" s="5">
        <f>T25</f>
        <v>0</v>
      </c>
      <c r="U39" s="28">
        <f>T39/S39</f>
        <v>0</v>
      </c>
    </row>
    <row r="40" spans="2:21" s="37" customFormat="1" x14ac:dyDescent="0.35">
      <c r="B40" s="42" t="s">
        <v>3</v>
      </c>
      <c r="C40" s="42"/>
      <c r="D40" s="41">
        <f>D39+D37</f>
        <v>1142550753.03</v>
      </c>
      <c r="E40" s="39">
        <f>E39+E37</f>
        <v>427890601.26988757</v>
      </c>
      <c r="G40" s="65"/>
      <c r="H40" s="39">
        <f>H39+H37</f>
        <v>456522245.5835492</v>
      </c>
      <c r="L40" s="40"/>
      <c r="P40" s="40"/>
      <c r="Q40" s="40"/>
      <c r="S40" s="39">
        <f>S39+S37</f>
        <v>962904624.2431823</v>
      </c>
      <c r="T40" s="39">
        <f>T39+T37</f>
        <v>3480297.2255100021</v>
      </c>
      <c r="U40" s="82">
        <f>T40/S40</f>
        <v>3.6143737789663477E-3</v>
      </c>
    </row>
    <row r="41" spans="2:21" s="65" customFormat="1" x14ac:dyDescent="0.35">
      <c r="B41" s="37"/>
      <c r="C41" s="37"/>
      <c r="D41" s="37"/>
      <c r="E41" s="37"/>
      <c r="F41" s="37"/>
      <c r="I41" s="38"/>
      <c r="L41" s="37"/>
      <c r="N41" s="37"/>
      <c r="P41" s="37"/>
      <c r="Q41" s="37"/>
      <c r="R41" s="37"/>
      <c r="S41" s="37"/>
      <c r="T41" s="36"/>
    </row>
    <row r="42" spans="2:21" ht="16.5" x14ac:dyDescent="0.35">
      <c r="B42" t="s">
        <v>152</v>
      </c>
      <c r="D42" s="2"/>
      <c r="E42" s="2"/>
      <c r="H42" s="35"/>
      <c r="L42" s="2"/>
      <c r="P42" s="2"/>
      <c r="Q42" s="2"/>
      <c r="S42" s="2"/>
    </row>
    <row r="43" spans="2:21" ht="16.5" x14ac:dyDescent="0.35">
      <c r="B43" s="94" t="s">
        <v>166</v>
      </c>
      <c r="C43" s="94"/>
      <c r="D43" s="102"/>
      <c r="E43" s="2"/>
      <c r="L43" s="2"/>
      <c r="P43" s="2"/>
      <c r="Q43" s="2"/>
      <c r="S43" s="2"/>
    </row>
    <row r="44" spans="2:21" ht="16.5" x14ac:dyDescent="0.35">
      <c r="B44" t="s">
        <v>167</v>
      </c>
    </row>
  </sheetData>
  <mergeCells count="4">
    <mergeCell ref="B1:U1"/>
    <mergeCell ref="B2:U2"/>
    <mergeCell ref="B3:U3"/>
    <mergeCell ref="B4:U4"/>
  </mergeCells>
  <printOptions horizontalCentered="1"/>
  <pageMargins left="0.45" right="0.45" top="0.75" bottom="0.75" header="0.3" footer="0.3"/>
  <pageSetup paperSize="5" scale="56" orientation="landscape" blackAndWhite="1" r:id="rId1"/>
  <headerFooter>
    <oddFooter>&amp;L&amp;F 
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zoomScale="90" zoomScaleNormal="90" workbookViewId="0">
      <selection activeCell="L30" sqref="L30"/>
    </sheetView>
  </sheetViews>
  <sheetFormatPr defaultColWidth="9.1796875" defaultRowHeight="14.5" x14ac:dyDescent="0.35"/>
  <cols>
    <col min="1" max="1" width="2.1796875" style="71" customWidth="1"/>
    <col min="2" max="2" width="2.453125" style="71" customWidth="1"/>
    <col min="3" max="3" width="34.54296875" style="71" customWidth="1"/>
    <col min="4" max="5" width="11.81640625" style="71" customWidth="1"/>
    <col min="6" max="6" width="2.7265625" style="72" customWidth="1"/>
    <col min="7" max="8" width="11.81640625" style="71" customWidth="1"/>
    <col min="9" max="16384" width="9.1796875" style="71"/>
  </cols>
  <sheetData>
    <row r="1" spans="2:8" x14ac:dyDescent="0.35">
      <c r="B1" s="116" t="s">
        <v>12</v>
      </c>
      <c r="C1" s="116"/>
      <c r="D1" s="116"/>
      <c r="E1" s="116"/>
      <c r="F1" s="116"/>
      <c r="G1" s="116"/>
      <c r="H1" s="116"/>
    </row>
    <row r="2" spans="2:8" x14ac:dyDescent="0.35">
      <c r="B2" s="116" t="s">
        <v>153</v>
      </c>
      <c r="C2" s="116"/>
      <c r="D2" s="116"/>
      <c r="E2" s="116"/>
      <c r="F2" s="116"/>
      <c r="G2" s="116"/>
      <c r="H2" s="116"/>
    </row>
    <row r="3" spans="2:8" x14ac:dyDescent="0.35">
      <c r="B3" s="115" t="s">
        <v>147</v>
      </c>
      <c r="C3" s="115"/>
      <c r="D3" s="115"/>
      <c r="E3" s="115"/>
      <c r="F3" s="115"/>
      <c r="G3" s="115"/>
      <c r="H3" s="115"/>
    </row>
    <row r="4" spans="2:8" x14ac:dyDescent="0.35">
      <c r="B4" s="115" t="s">
        <v>161</v>
      </c>
      <c r="C4" s="115"/>
      <c r="D4" s="115"/>
      <c r="E4" s="115"/>
      <c r="F4" s="115"/>
      <c r="G4" s="115"/>
      <c r="H4" s="115"/>
    </row>
    <row r="6" spans="2:8" x14ac:dyDescent="0.35">
      <c r="D6" s="6" t="s">
        <v>13</v>
      </c>
      <c r="E6" s="6"/>
      <c r="F6" s="7"/>
      <c r="G6" s="6" t="s">
        <v>148</v>
      </c>
      <c r="H6" s="6"/>
    </row>
    <row r="7" spans="2:8" ht="16.5" x14ac:dyDescent="0.35">
      <c r="D7" s="8" t="s">
        <v>97</v>
      </c>
      <c r="E7" s="8" t="s">
        <v>14</v>
      </c>
      <c r="F7" s="9"/>
      <c r="G7" s="8" t="s">
        <v>15</v>
      </c>
      <c r="H7" s="8" t="s">
        <v>14</v>
      </c>
    </row>
    <row r="8" spans="2:8" x14ac:dyDescent="0.35">
      <c r="B8" s="71" t="s">
        <v>16</v>
      </c>
      <c r="D8" s="10">
        <v>64</v>
      </c>
      <c r="E8" s="11"/>
      <c r="F8" s="12"/>
      <c r="G8" s="10">
        <v>64</v>
      </c>
      <c r="H8" s="11"/>
    </row>
    <row r="9" spans="2:8" x14ac:dyDescent="0.35">
      <c r="D9" s="10"/>
      <c r="E9" s="11"/>
      <c r="F9" s="12"/>
      <c r="G9" s="10"/>
      <c r="H9" s="11"/>
    </row>
    <row r="10" spans="2:8" x14ac:dyDescent="0.35">
      <c r="B10" s="71" t="s">
        <v>17</v>
      </c>
      <c r="D10" s="10"/>
      <c r="E10" s="11"/>
      <c r="F10" s="12"/>
      <c r="G10" s="10"/>
      <c r="H10" s="11"/>
    </row>
    <row r="11" spans="2:8" x14ac:dyDescent="0.35">
      <c r="C11" s="71" t="s">
        <v>90</v>
      </c>
      <c r="D11" s="13">
        <v>11</v>
      </c>
      <c r="E11" s="11">
        <f>D11</f>
        <v>11</v>
      </c>
      <c r="F11" s="14"/>
      <c r="G11" s="15">
        <f>$D$11</f>
        <v>11</v>
      </c>
      <c r="H11" s="11">
        <f>G11</f>
        <v>11</v>
      </c>
    </row>
    <row r="12" spans="2:8" x14ac:dyDescent="0.35">
      <c r="C12" s="71" t="s">
        <v>149</v>
      </c>
      <c r="D12" s="14">
        <v>0.67</v>
      </c>
      <c r="E12" s="103">
        <f>D12</f>
        <v>0.67</v>
      </c>
      <c r="F12" s="14"/>
      <c r="G12" s="22">
        <f>$D$12</f>
        <v>0.67</v>
      </c>
      <c r="H12" s="103">
        <f>G12</f>
        <v>0.67</v>
      </c>
    </row>
    <row r="13" spans="2:8" x14ac:dyDescent="0.35">
      <c r="C13" s="71" t="s">
        <v>168</v>
      </c>
      <c r="D13" s="14">
        <v>-0.15</v>
      </c>
      <c r="E13" s="103">
        <f>D13</f>
        <v>-0.15</v>
      </c>
      <c r="F13" s="14"/>
      <c r="G13" s="22">
        <f>$D$13</f>
        <v>-0.15</v>
      </c>
      <c r="H13" s="103">
        <f>G13</f>
        <v>-0.15</v>
      </c>
    </row>
    <row r="14" spans="2:8" x14ac:dyDescent="0.35">
      <c r="C14" s="71" t="s">
        <v>21</v>
      </c>
      <c r="D14" s="104">
        <f>SUM(D11:D13)</f>
        <v>11.52</v>
      </c>
      <c r="E14" s="104">
        <f>SUM(E11:E13)</f>
        <v>11.52</v>
      </c>
      <c r="F14" s="14"/>
      <c r="G14" s="104">
        <f>SUM(G11:G13)</f>
        <v>11.52</v>
      </c>
      <c r="H14" s="104">
        <f>SUM(H11:H13)</f>
        <v>11.52</v>
      </c>
    </row>
    <row r="15" spans="2:8" x14ac:dyDescent="0.35">
      <c r="D15" s="13"/>
      <c r="E15" s="11"/>
      <c r="F15" s="14"/>
      <c r="G15" s="15"/>
      <c r="H15" s="11"/>
    </row>
    <row r="16" spans="2:8" x14ac:dyDescent="0.35">
      <c r="B16" s="71" t="s">
        <v>18</v>
      </c>
      <c r="E16" s="11"/>
      <c r="H16" s="11"/>
    </row>
    <row r="17" spans="3:8" x14ac:dyDescent="0.35">
      <c r="C17" s="71" t="s">
        <v>19</v>
      </c>
      <c r="D17" s="83">
        <v>0.34603</v>
      </c>
      <c r="E17" s="11"/>
      <c r="F17" s="16"/>
      <c r="G17" s="17">
        <f>$D$17</f>
        <v>0.34603</v>
      </c>
      <c r="H17" s="11"/>
    </row>
    <row r="18" spans="3:8" x14ac:dyDescent="0.35">
      <c r="C18" s="71" t="s">
        <v>20</v>
      </c>
      <c r="D18" s="84">
        <v>6.1900000000000002E-3</v>
      </c>
      <c r="E18" s="11"/>
      <c r="F18" s="16"/>
      <c r="G18" s="88">
        <f>D18</f>
        <v>6.1900000000000002E-3</v>
      </c>
      <c r="H18" s="11"/>
    </row>
    <row r="19" spans="3:8" x14ac:dyDescent="0.35">
      <c r="C19" s="71" t="s">
        <v>98</v>
      </c>
      <c r="D19" s="83">
        <v>2.2349999999999998E-2</v>
      </c>
      <c r="E19" s="11"/>
      <c r="F19" s="16"/>
      <c r="G19" s="88">
        <f>$D$19</f>
        <v>2.2349999999999998E-2</v>
      </c>
      <c r="H19" s="11"/>
    </row>
    <row r="20" spans="3:8" x14ac:dyDescent="0.35">
      <c r="C20" s="71" t="s">
        <v>149</v>
      </c>
      <c r="D20" s="83">
        <v>2.1229999999999999E-2</v>
      </c>
      <c r="E20" s="11"/>
      <c r="F20" s="16"/>
      <c r="G20" s="17">
        <f>$D$20</f>
        <v>2.1229999999999999E-2</v>
      </c>
      <c r="H20" s="11"/>
    </row>
    <row r="21" spans="3:8" x14ac:dyDescent="0.35">
      <c r="C21" s="71" t="s">
        <v>168</v>
      </c>
      <c r="D21" s="83">
        <v>-4.79E-3</v>
      </c>
      <c r="E21" s="11"/>
      <c r="F21" s="16"/>
      <c r="G21" s="17">
        <f>$D$21</f>
        <v>-4.79E-3</v>
      </c>
      <c r="H21" s="11"/>
    </row>
    <row r="22" spans="3:8" x14ac:dyDescent="0.35">
      <c r="C22" s="71" t="s">
        <v>169</v>
      </c>
      <c r="D22" s="83">
        <v>-1.0580000000000001E-2</v>
      </c>
      <c r="E22" s="11"/>
      <c r="F22" s="16"/>
      <c r="G22" s="88">
        <f>$D$22</f>
        <v>-1.0580000000000001E-2</v>
      </c>
      <c r="H22" s="11"/>
    </row>
    <row r="23" spans="3:8" x14ac:dyDescent="0.35">
      <c r="C23" s="71" t="s">
        <v>91</v>
      </c>
      <c r="D23" s="83">
        <v>1.9550000000000001E-2</v>
      </c>
      <c r="E23" s="11"/>
      <c r="F23" s="16"/>
      <c r="G23" s="88">
        <f>$D$23</f>
        <v>1.9550000000000001E-2</v>
      </c>
      <c r="H23" s="11"/>
    </row>
    <row r="24" spans="3:8" x14ac:dyDescent="0.35">
      <c r="C24" s="71" t="s">
        <v>100</v>
      </c>
      <c r="D24" s="18">
        <v>1.8800000000000001E-2</v>
      </c>
      <c r="E24" s="11"/>
      <c r="F24" s="16"/>
      <c r="G24" s="88">
        <f>$D$24</f>
        <v>1.8800000000000001E-2</v>
      </c>
      <c r="H24" s="11"/>
    </row>
    <row r="25" spans="3:8" x14ac:dyDescent="0.35">
      <c r="C25" s="71" t="s">
        <v>21</v>
      </c>
      <c r="D25" s="19">
        <f>SUM(D17:D24)</f>
        <v>0.41877999999999993</v>
      </c>
      <c r="E25" s="11">
        <f>ROUND(D25*D$8,2)</f>
        <v>26.8</v>
      </c>
      <c r="F25" s="16"/>
      <c r="G25" s="19">
        <f>SUM(G17:G24)</f>
        <v>0.41877999999999993</v>
      </c>
      <c r="H25" s="11">
        <f>ROUND(G25*G$8,2)</f>
        <v>26.8</v>
      </c>
    </row>
    <row r="27" spans="3:8" x14ac:dyDescent="0.35">
      <c r="C27" s="71" t="s">
        <v>22</v>
      </c>
      <c r="D27" s="85">
        <v>1.8149999999999999E-2</v>
      </c>
      <c r="E27" s="11">
        <f>ROUND(D27*D$8,2)</f>
        <v>1.1599999999999999</v>
      </c>
      <c r="F27" s="16"/>
      <c r="G27" s="86">
        <f>'Schedule 120'!E9</f>
        <v>2.179E-2</v>
      </c>
      <c r="H27" s="11">
        <f>ROUND(G27*G$8,2)</f>
        <v>1.39</v>
      </c>
    </row>
    <row r="28" spans="3:8" x14ac:dyDescent="0.35">
      <c r="D28" s="87"/>
      <c r="E28" s="11"/>
      <c r="F28" s="16"/>
      <c r="G28" s="17"/>
      <c r="H28" s="11"/>
    </row>
    <row r="29" spans="3:8" x14ac:dyDescent="0.35">
      <c r="C29" s="71" t="s">
        <v>23</v>
      </c>
      <c r="D29" s="85">
        <v>0</v>
      </c>
      <c r="E29" s="11">
        <f>ROUND(D29*D$8,2)</f>
        <v>0</v>
      </c>
      <c r="F29" s="16"/>
      <c r="G29" s="88">
        <f>$D$29</f>
        <v>0</v>
      </c>
      <c r="H29" s="11">
        <f>ROUND(G29*G$8,2)</f>
        <v>0</v>
      </c>
    </row>
    <row r="30" spans="3:8" x14ac:dyDescent="0.35">
      <c r="D30" s="87"/>
      <c r="E30" s="11"/>
      <c r="F30" s="16"/>
      <c r="G30" s="17"/>
      <c r="H30" s="11"/>
    </row>
    <row r="31" spans="3:8" x14ac:dyDescent="0.35">
      <c r="C31" s="71" t="s">
        <v>24</v>
      </c>
      <c r="D31" s="85">
        <v>0.34614</v>
      </c>
      <c r="E31" s="11"/>
      <c r="F31" s="16"/>
      <c r="G31" s="88">
        <f>$D$31</f>
        <v>0.34614</v>
      </c>
      <c r="H31" s="11"/>
    </row>
    <row r="32" spans="3:8" x14ac:dyDescent="0.35">
      <c r="C32" s="71" t="s">
        <v>25</v>
      </c>
      <c r="D32" s="85">
        <f>-0.01615+0.05443+0.06197</f>
        <v>0.10024999999999999</v>
      </c>
      <c r="E32" s="11"/>
      <c r="F32" s="16"/>
      <c r="G32" s="88">
        <f>$D$32</f>
        <v>0.10024999999999999</v>
      </c>
      <c r="H32" s="11"/>
    </row>
    <row r="33" spans="2:8" x14ac:dyDescent="0.35">
      <c r="C33" s="71" t="s">
        <v>21</v>
      </c>
      <c r="D33" s="19">
        <f>SUM(D31:D32)</f>
        <v>0.44639000000000001</v>
      </c>
      <c r="E33" s="11">
        <f>ROUND(D33*D$8,2)</f>
        <v>28.57</v>
      </c>
      <c r="F33" s="16"/>
      <c r="G33" s="19">
        <f>SUM(G31:G32)</f>
        <v>0.44639000000000001</v>
      </c>
      <c r="H33" s="11">
        <f>ROUND(G33*G$8,2)</f>
        <v>28.57</v>
      </c>
    </row>
    <row r="34" spans="2:8" x14ac:dyDescent="0.35">
      <c r="C34" s="71" t="s">
        <v>26</v>
      </c>
      <c r="D34" s="19">
        <f>D25+D27+D29+D33</f>
        <v>0.88331999999999988</v>
      </c>
      <c r="E34" s="20">
        <f>SUM(E25,E27,E29,E33)</f>
        <v>56.53</v>
      </c>
      <c r="F34" s="21"/>
      <c r="G34" s="19">
        <f>G25+G27+G29+G33</f>
        <v>0.88695999999999997</v>
      </c>
      <c r="H34" s="20">
        <f>SUM(H25,H27,H29,H33)</f>
        <v>56.760000000000005</v>
      </c>
    </row>
    <row r="35" spans="2:8" x14ac:dyDescent="0.35">
      <c r="E35" s="11"/>
      <c r="H35" s="11"/>
    </row>
    <row r="36" spans="2:8" x14ac:dyDescent="0.35">
      <c r="B36" s="71" t="s">
        <v>27</v>
      </c>
      <c r="D36" s="15"/>
      <c r="E36" s="11">
        <f>E14+E34</f>
        <v>68.05</v>
      </c>
      <c r="F36" s="22"/>
      <c r="G36" s="15"/>
      <c r="H36" s="11">
        <f>H14+H34</f>
        <v>68.28</v>
      </c>
    </row>
    <row r="37" spans="2:8" x14ac:dyDescent="0.35">
      <c r="B37" s="71" t="s">
        <v>28</v>
      </c>
      <c r="D37" s="15"/>
      <c r="E37" s="11"/>
      <c r="F37" s="22"/>
      <c r="G37" s="15"/>
      <c r="H37" s="11">
        <f>H36-$E36</f>
        <v>0.23000000000000398</v>
      </c>
    </row>
    <row r="38" spans="2:8" x14ac:dyDescent="0.35">
      <c r="B38" s="71" t="s">
        <v>29</v>
      </c>
      <c r="D38" s="73"/>
      <c r="E38" s="73"/>
      <c r="F38" s="74"/>
      <c r="G38" s="73"/>
      <c r="H38" s="90">
        <f>H37/$E36</f>
        <v>3.3798677443057164E-3</v>
      </c>
    </row>
    <row r="39" spans="2:8" x14ac:dyDescent="0.35">
      <c r="E39" s="11"/>
    </row>
    <row r="40" spans="2:8" x14ac:dyDescent="0.35">
      <c r="B40" s="71" t="s">
        <v>30</v>
      </c>
      <c r="D40" s="17">
        <f>D25+D27+D29</f>
        <v>0.43692999999999993</v>
      </c>
      <c r="E40" s="11"/>
      <c r="F40" s="21"/>
      <c r="G40" s="17">
        <f>G25+G27+G29</f>
        <v>0.44056999999999991</v>
      </c>
    </row>
    <row r="42" spans="2:8" ht="16.5" x14ac:dyDescent="0.35">
      <c r="B42" s="23" t="s">
        <v>170</v>
      </c>
    </row>
    <row r="43" spans="2:8" x14ac:dyDescent="0.35">
      <c r="C43" s="23"/>
      <c r="D43" s="23"/>
      <c r="E43" s="23"/>
      <c r="F43" s="24"/>
      <c r="G43" s="24"/>
      <c r="H43" s="24"/>
    </row>
    <row r="48" spans="2:8" ht="14.25" customHeight="1" x14ac:dyDescent="0.35"/>
  </sheetData>
  <mergeCells count="4">
    <mergeCell ref="B1:H1"/>
    <mergeCell ref="B2:H2"/>
    <mergeCell ref="B3:H3"/>
    <mergeCell ref="B4:H4"/>
  </mergeCells>
  <printOptions horizontalCentered="1"/>
  <pageMargins left="0.5" right="0.5" top="1" bottom="1" header="0.5" footer="0.5"/>
  <pageSetup scale="58" orientation="landscape" blackAndWhite="1" r:id="rId1"/>
  <headerFooter alignWithMargins="0">
    <oddFooter>&amp;L&amp;F  
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Normal="100" workbookViewId="0">
      <selection activeCell="F20" sqref="F20"/>
    </sheetView>
  </sheetViews>
  <sheetFormatPr defaultRowHeight="14.5" x14ac:dyDescent="0.35"/>
  <cols>
    <col min="1" max="1" width="31.1796875" customWidth="1"/>
    <col min="3" max="3" width="16.54296875" bestFit="1" customWidth="1"/>
    <col min="4" max="5" width="13.6328125" customWidth="1"/>
    <col min="6" max="8" width="14.453125" customWidth="1"/>
    <col min="9" max="9" width="8.26953125" customWidth="1"/>
  </cols>
  <sheetData>
    <row r="1" spans="1:9" x14ac:dyDescent="0.35">
      <c r="A1" s="117" t="s">
        <v>12</v>
      </c>
      <c r="B1" s="117"/>
      <c r="C1" s="117"/>
      <c r="D1" s="117"/>
      <c r="E1" s="117"/>
      <c r="F1" s="117"/>
      <c r="G1" s="117"/>
      <c r="H1" s="117"/>
      <c r="I1" s="117"/>
    </row>
    <row r="2" spans="1:9" x14ac:dyDescent="0.35">
      <c r="A2" s="117" t="s">
        <v>171</v>
      </c>
      <c r="B2" s="117"/>
      <c r="C2" s="117"/>
      <c r="D2" s="117"/>
      <c r="E2" s="117"/>
      <c r="F2" s="117"/>
      <c r="G2" s="117"/>
      <c r="H2" s="117"/>
      <c r="I2" s="117"/>
    </row>
    <row r="3" spans="1:9" x14ac:dyDescent="0.35">
      <c r="A3" s="117" t="s">
        <v>172</v>
      </c>
      <c r="B3" s="117"/>
      <c r="C3" s="117"/>
      <c r="D3" s="117"/>
      <c r="E3" s="117"/>
      <c r="F3" s="117"/>
      <c r="G3" s="117"/>
      <c r="H3" s="117"/>
      <c r="I3" s="117"/>
    </row>
    <row r="4" spans="1:9" x14ac:dyDescent="0.35">
      <c r="A4" s="117" t="s">
        <v>154</v>
      </c>
      <c r="B4" s="117"/>
      <c r="C4" s="117"/>
      <c r="D4" s="117"/>
      <c r="E4" s="117"/>
      <c r="F4" s="117"/>
      <c r="G4" s="117"/>
      <c r="H4" s="117"/>
      <c r="I4" s="117"/>
    </row>
    <row r="5" spans="1:9" x14ac:dyDescent="0.35">
      <c r="D5" s="96"/>
      <c r="E5" s="96"/>
    </row>
    <row r="6" spans="1:9" x14ac:dyDescent="0.35">
      <c r="A6" s="25"/>
      <c r="B6" s="25"/>
      <c r="C6" s="25" t="s">
        <v>31</v>
      </c>
      <c r="D6" s="25" t="s">
        <v>173</v>
      </c>
      <c r="E6" s="25" t="s">
        <v>84</v>
      </c>
      <c r="F6" s="105" t="s">
        <v>31</v>
      </c>
      <c r="G6" s="105" t="s">
        <v>31</v>
      </c>
      <c r="H6" s="25" t="s">
        <v>73</v>
      </c>
      <c r="I6" s="25"/>
    </row>
    <row r="7" spans="1:9" x14ac:dyDescent="0.35">
      <c r="A7" s="25"/>
      <c r="B7" s="25" t="s">
        <v>82</v>
      </c>
      <c r="C7" s="25" t="s">
        <v>89</v>
      </c>
      <c r="D7" s="25" t="s">
        <v>73</v>
      </c>
      <c r="E7" s="25" t="s">
        <v>73</v>
      </c>
      <c r="F7" s="105" t="s">
        <v>74</v>
      </c>
      <c r="G7" s="105" t="s">
        <v>74</v>
      </c>
      <c r="H7" s="25" t="s">
        <v>74</v>
      </c>
      <c r="I7" s="25" t="s">
        <v>47</v>
      </c>
    </row>
    <row r="8" spans="1:9" x14ac:dyDescent="0.35">
      <c r="A8" s="1" t="s">
        <v>83</v>
      </c>
      <c r="B8" s="1" t="s">
        <v>4</v>
      </c>
      <c r="C8" s="106" t="s">
        <v>158</v>
      </c>
      <c r="D8" s="1" t="s">
        <v>15</v>
      </c>
      <c r="E8" s="1" t="s">
        <v>15</v>
      </c>
      <c r="F8" s="107" t="s">
        <v>13</v>
      </c>
      <c r="G8" s="107" t="s">
        <v>87</v>
      </c>
      <c r="H8" s="1" t="s">
        <v>75</v>
      </c>
      <c r="I8" s="1" t="s">
        <v>75</v>
      </c>
    </row>
    <row r="9" spans="1:9" x14ac:dyDescent="0.35">
      <c r="A9" t="s">
        <v>40</v>
      </c>
      <c r="B9" s="4" t="s">
        <v>67</v>
      </c>
      <c r="C9" s="100">
        <v>613997001</v>
      </c>
      <c r="D9" s="108">
        <v>1.8149999999999999E-2</v>
      </c>
      <c r="E9" s="109">
        <f>Rates!H$22</f>
        <v>2.179E-2</v>
      </c>
      <c r="F9" s="59">
        <f>C9*D9</f>
        <v>11144045.568149999</v>
      </c>
      <c r="G9" s="59">
        <f>C9*E9</f>
        <v>13378994.65179</v>
      </c>
      <c r="H9" s="5">
        <f>G9-F9</f>
        <v>2234949.0836400017</v>
      </c>
      <c r="I9" s="27">
        <f>H9/F9</f>
        <v>0.20055096418732801</v>
      </c>
    </row>
    <row r="10" spans="1:9" x14ac:dyDescent="0.35">
      <c r="A10" t="s">
        <v>68</v>
      </c>
      <c r="B10" s="4">
        <v>16</v>
      </c>
      <c r="C10" s="110">
        <v>8938</v>
      </c>
      <c r="D10" s="108">
        <v>1.8149999999999999E-2</v>
      </c>
      <c r="E10" s="109">
        <f>Rates!H$22</f>
        <v>2.179E-2</v>
      </c>
      <c r="F10" s="59">
        <f t="shared" ref="F10:F15" si="0">C10*D10</f>
        <v>162.22469999999998</v>
      </c>
      <c r="G10" s="59">
        <f t="shared" ref="G10:G15" si="1">C10*E10</f>
        <v>194.75901999999999</v>
      </c>
      <c r="H10" s="5">
        <f t="shared" ref="H10:H15" si="2">G10-F10</f>
        <v>32.534320000000008</v>
      </c>
      <c r="I10" s="27">
        <f t="shared" ref="I10:I16" si="3">H10/F10</f>
        <v>0.2005509641873279</v>
      </c>
    </row>
    <row r="11" spans="1:9" x14ac:dyDescent="0.35">
      <c r="A11" t="s">
        <v>42</v>
      </c>
      <c r="B11" s="4">
        <v>31</v>
      </c>
      <c r="C11" s="100">
        <v>240219450</v>
      </c>
      <c r="D11" s="108">
        <v>1.8149999999999999E-2</v>
      </c>
      <c r="E11" s="109">
        <f>Rates!H$22</f>
        <v>2.179E-2</v>
      </c>
      <c r="F11" s="59">
        <f t="shared" si="0"/>
        <v>4359983.0175000001</v>
      </c>
      <c r="G11" s="59">
        <f t="shared" si="1"/>
        <v>5234381.8155000005</v>
      </c>
      <c r="H11" s="5">
        <f t="shared" si="2"/>
        <v>874398.79800000042</v>
      </c>
      <c r="I11" s="27">
        <f t="shared" si="3"/>
        <v>0.20055096418732793</v>
      </c>
    </row>
    <row r="12" spans="1:9" x14ac:dyDescent="0.35">
      <c r="A12" t="s">
        <v>69</v>
      </c>
      <c r="B12" s="4">
        <v>41</v>
      </c>
      <c r="C12" s="100">
        <v>66815894</v>
      </c>
      <c r="D12" s="108">
        <v>1.8149999999999999E-2</v>
      </c>
      <c r="E12" s="109">
        <f>Rates!H$22</f>
        <v>2.179E-2</v>
      </c>
      <c r="F12" s="59">
        <f t="shared" si="0"/>
        <v>1212708.4760999999</v>
      </c>
      <c r="G12" s="59">
        <f t="shared" si="1"/>
        <v>1455918.33026</v>
      </c>
      <c r="H12" s="5">
        <f t="shared" si="2"/>
        <v>243209.8541600001</v>
      </c>
      <c r="I12" s="27">
        <f t="shared" si="3"/>
        <v>0.20055096418732793</v>
      </c>
    </row>
    <row r="13" spans="1:9" x14ac:dyDescent="0.35">
      <c r="A13" t="s">
        <v>43</v>
      </c>
      <c r="B13" s="4">
        <v>85</v>
      </c>
      <c r="C13" s="100">
        <v>14838965</v>
      </c>
      <c r="D13" s="108">
        <v>1.5429999999999999E-2</v>
      </c>
      <c r="E13" s="109">
        <f>Rates!H$23</f>
        <v>1.83E-2</v>
      </c>
      <c r="F13" s="59">
        <f t="shared" si="0"/>
        <v>228965.22994999998</v>
      </c>
      <c r="G13" s="59">
        <f t="shared" si="1"/>
        <v>271553.05950000003</v>
      </c>
      <c r="H13" s="5">
        <f t="shared" si="2"/>
        <v>42587.829550000053</v>
      </c>
      <c r="I13" s="27">
        <f t="shared" si="3"/>
        <v>0.18600129617628022</v>
      </c>
    </row>
    <row r="14" spans="1:9" x14ac:dyDescent="0.35">
      <c r="A14" t="s">
        <v>44</v>
      </c>
      <c r="B14" s="4">
        <v>86</v>
      </c>
      <c r="C14" s="100">
        <v>7366111</v>
      </c>
      <c r="D14" s="108">
        <v>1.5429999999999999E-2</v>
      </c>
      <c r="E14" s="109">
        <f>Rates!H$23</f>
        <v>1.83E-2</v>
      </c>
      <c r="F14" s="59">
        <f t="shared" si="0"/>
        <v>113659.09272999999</v>
      </c>
      <c r="G14" s="59">
        <f t="shared" si="1"/>
        <v>134799.83129999999</v>
      </c>
      <c r="H14" s="5">
        <f t="shared" si="2"/>
        <v>21140.738570000001</v>
      </c>
      <c r="I14" s="27">
        <f t="shared" si="3"/>
        <v>0.18600129617628</v>
      </c>
    </row>
    <row r="15" spans="1:9" x14ac:dyDescent="0.35">
      <c r="A15" t="s">
        <v>45</v>
      </c>
      <c r="B15" s="4">
        <v>87</v>
      </c>
      <c r="C15" s="100">
        <v>22292121</v>
      </c>
      <c r="D15" s="108">
        <v>1.5429999999999999E-2</v>
      </c>
      <c r="E15" s="109">
        <f>Rates!H$23</f>
        <v>1.83E-2</v>
      </c>
      <c r="F15" s="59">
        <f t="shared" si="0"/>
        <v>343967.42702999996</v>
      </c>
      <c r="G15" s="59">
        <f t="shared" si="1"/>
        <v>407945.81430000003</v>
      </c>
      <c r="H15" s="5">
        <f t="shared" si="2"/>
        <v>63978.387270000065</v>
      </c>
      <c r="I15" s="27">
        <f t="shared" si="3"/>
        <v>0.1860012961762802</v>
      </c>
    </row>
    <row r="16" spans="1:9" x14ac:dyDescent="0.35">
      <c r="A16" t="s">
        <v>3</v>
      </c>
      <c r="C16" s="3">
        <f>SUM(C9:C15)</f>
        <v>965538480</v>
      </c>
      <c r="D16" s="30"/>
      <c r="E16" s="30"/>
      <c r="F16" s="64">
        <f>SUM(F9:F15)</f>
        <v>17403491.03616</v>
      </c>
      <c r="G16" s="64">
        <f>SUM(G9:G15)</f>
        <v>20883788.261670005</v>
      </c>
      <c r="H16" s="26">
        <f>SUM(H9:H15)</f>
        <v>3480297.2255100021</v>
      </c>
      <c r="I16" s="70">
        <f t="shared" si="3"/>
        <v>0.19997695969612278</v>
      </c>
    </row>
    <row r="17" spans="1:9" x14ac:dyDescent="0.35">
      <c r="A17" s="69"/>
      <c r="B17" s="68"/>
      <c r="C17" s="67"/>
      <c r="D17" s="66"/>
      <c r="E17" s="66"/>
      <c r="F17" s="66"/>
      <c r="G17" s="66"/>
      <c r="H17" s="62"/>
      <c r="I17" s="65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orientation="landscape" blackAndWhite="1" r:id="rId1"/>
  <headerFooter>
    <oddFooter>&amp;L&amp;F
&amp;A&amp;C&amp;P&amp;R&amp;D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activeCell="D18" sqref="D18"/>
    </sheetView>
  </sheetViews>
  <sheetFormatPr defaultRowHeight="14.5" x14ac:dyDescent="0.35"/>
  <cols>
    <col min="1" max="1" width="4.7265625" style="77" customWidth="1"/>
    <col min="2" max="2" width="52" style="77" customWidth="1"/>
    <col min="3" max="3" width="12.7265625" style="77" bestFit="1" customWidth="1"/>
    <col min="4" max="4" width="11.08984375" style="77" customWidth="1"/>
    <col min="5" max="5" width="16.26953125" style="77" customWidth="1"/>
    <col min="6" max="6" width="8.7265625" style="77"/>
    <col min="7" max="7" width="11.6328125" style="77" bestFit="1" customWidth="1"/>
    <col min="8" max="16384" width="8.7265625" style="77"/>
  </cols>
  <sheetData>
    <row r="1" spans="1:7" x14ac:dyDescent="0.35">
      <c r="A1" s="118" t="s">
        <v>12</v>
      </c>
      <c r="B1" s="118"/>
      <c r="C1" s="118"/>
      <c r="D1" s="118"/>
      <c r="E1" s="118"/>
    </row>
    <row r="2" spans="1:7" x14ac:dyDescent="0.35">
      <c r="A2" s="118" t="str">
        <f>Rates!B2</f>
        <v>2020 Gas Schedule 120 Conservation Filing</v>
      </c>
      <c r="B2" s="118"/>
      <c r="C2" s="118"/>
      <c r="D2" s="118"/>
      <c r="E2" s="118"/>
    </row>
    <row r="3" spans="1:7" x14ac:dyDescent="0.35">
      <c r="A3" s="118" t="s">
        <v>5</v>
      </c>
      <c r="B3" s="118"/>
      <c r="C3" s="118"/>
      <c r="D3" s="118"/>
      <c r="E3" s="118"/>
    </row>
    <row r="4" spans="1:7" x14ac:dyDescent="0.35">
      <c r="A4" s="118" t="str">
        <f>Rates!B4</f>
        <v>Proposed Effective May 1, 2020</v>
      </c>
      <c r="B4" s="118"/>
      <c r="C4" s="118"/>
      <c r="D4" s="118"/>
      <c r="E4" s="118"/>
    </row>
    <row r="5" spans="1:7" s="139" customFormat="1" x14ac:dyDescent="0.35"/>
    <row r="6" spans="1:7" ht="29" x14ac:dyDescent="0.35">
      <c r="A6" s="143" t="s">
        <v>6</v>
      </c>
      <c r="B6" s="143" t="s">
        <v>7</v>
      </c>
      <c r="C6" s="143" t="s">
        <v>8</v>
      </c>
      <c r="D6" s="143" t="s">
        <v>9</v>
      </c>
      <c r="E6" s="143" t="s">
        <v>10</v>
      </c>
    </row>
    <row r="7" spans="1:7" x14ac:dyDescent="0.35">
      <c r="A7" s="139"/>
      <c r="B7" s="112" t="s">
        <v>132</v>
      </c>
      <c r="C7" s="144" t="s">
        <v>133</v>
      </c>
      <c r="D7" s="112" t="s">
        <v>134</v>
      </c>
      <c r="E7" s="144" t="s">
        <v>135</v>
      </c>
    </row>
    <row r="8" spans="1:7" x14ac:dyDescent="0.35">
      <c r="A8" s="122">
        <v>1</v>
      </c>
      <c r="B8" s="145" t="s">
        <v>160</v>
      </c>
      <c r="C8" s="146">
        <v>17399032.284082089</v>
      </c>
      <c r="D8" s="147">
        <v>0.954538</v>
      </c>
      <c r="E8" s="140">
        <f>C8/D8</f>
        <v>18227699.980600134</v>
      </c>
    </row>
    <row r="9" spans="1:7" x14ac:dyDescent="0.35">
      <c r="A9" s="122"/>
      <c r="B9" s="145"/>
      <c r="C9" s="140"/>
      <c r="D9" s="139"/>
      <c r="E9" s="140"/>
    </row>
    <row r="10" spans="1:7" x14ac:dyDescent="0.35">
      <c r="A10" s="122">
        <v>2</v>
      </c>
      <c r="B10" s="97" t="s">
        <v>150</v>
      </c>
      <c r="C10" s="148">
        <v>2534565.7817100044</v>
      </c>
      <c r="D10" s="147">
        <v>0.954538</v>
      </c>
      <c r="E10" s="149">
        <f>C10/D10</f>
        <v>2655280.1268362333</v>
      </c>
    </row>
    <row r="11" spans="1:7" x14ac:dyDescent="0.35">
      <c r="A11" s="122"/>
      <c r="B11" s="122"/>
      <c r="C11" s="140"/>
      <c r="D11" s="139"/>
      <c r="E11" s="140"/>
    </row>
    <row r="12" spans="1:7" ht="15" thickBot="1" x14ac:dyDescent="0.4">
      <c r="A12" s="122">
        <v>3</v>
      </c>
      <c r="B12" s="98" t="s">
        <v>11</v>
      </c>
      <c r="C12" s="150">
        <f>SUM(C8:C10)</f>
        <v>19933598.065792091</v>
      </c>
      <c r="D12" s="139"/>
      <c r="E12" s="150">
        <f>SUM(E8:E10)</f>
        <v>20882980.107436366</v>
      </c>
    </row>
    <row r="13" spans="1:7" ht="15" thickTop="1" x14ac:dyDescent="0.35">
      <c r="C13" s="125"/>
      <c r="E13" s="125"/>
      <c r="G13" s="125"/>
    </row>
    <row r="14" spans="1:7" x14ac:dyDescent="0.35">
      <c r="C14" s="125"/>
      <c r="E14" s="125"/>
    </row>
    <row r="15" spans="1:7" x14ac:dyDescent="0.35">
      <c r="C15" s="125"/>
      <c r="E15" s="125"/>
    </row>
    <row r="16" spans="1:7" x14ac:dyDescent="0.35">
      <c r="C16" s="125"/>
      <c r="E16" s="125"/>
    </row>
    <row r="17" spans="3:3" x14ac:dyDescent="0.35">
      <c r="C17" s="125"/>
    </row>
    <row r="18" spans="3:3" x14ac:dyDescent="0.35">
      <c r="C18" s="125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orientation="landscape" blackAndWhite="1" r:id="rId1"/>
  <headerFooter>
    <oddFooter>&amp;L&amp;F 
&amp;A&amp;C&amp;P&amp;R&amp;D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Normal="100" workbookViewId="0">
      <selection activeCell="A34" sqref="A34"/>
    </sheetView>
  </sheetViews>
  <sheetFormatPr defaultColWidth="9.08984375" defaultRowHeight="14.5" x14ac:dyDescent="0.35"/>
  <cols>
    <col min="1" max="1" width="19.90625" style="77" customWidth="1"/>
    <col min="2" max="13" width="13.36328125" style="77" customWidth="1"/>
    <col min="14" max="14" width="13.90625" style="77" customWidth="1"/>
    <col min="15" max="16384" width="9.08984375" style="77"/>
  </cols>
  <sheetData>
    <row r="1" spans="1:14" x14ac:dyDescent="0.35">
      <c r="A1" s="113" t="s">
        <v>12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x14ac:dyDescent="0.35">
      <c r="A2" s="113" t="str">
        <f>Rates!B2</f>
        <v>2020 Gas Schedule 120 Conservation Filing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x14ac:dyDescent="0.35">
      <c r="A3" s="113" t="s">
        <v>142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x14ac:dyDescent="0.35">
      <c r="A4" s="113" t="s">
        <v>156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x14ac:dyDescent="0.3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4" x14ac:dyDescent="0.3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4" x14ac:dyDescent="0.35">
      <c r="A7" s="77" t="s">
        <v>4</v>
      </c>
      <c r="B7" s="151">
        <v>43952</v>
      </c>
      <c r="C7" s="152">
        <f>EDATE(B7,1)</f>
        <v>43983</v>
      </c>
      <c r="D7" s="152">
        <f t="shared" ref="D7:M7" si="0">EDATE(C7,1)</f>
        <v>44013</v>
      </c>
      <c r="E7" s="152">
        <f t="shared" si="0"/>
        <v>44044</v>
      </c>
      <c r="F7" s="152">
        <f t="shared" si="0"/>
        <v>44075</v>
      </c>
      <c r="G7" s="152">
        <f t="shared" si="0"/>
        <v>44105</v>
      </c>
      <c r="H7" s="152">
        <f t="shared" si="0"/>
        <v>44136</v>
      </c>
      <c r="I7" s="152">
        <f t="shared" si="0"/>
        <v>44166</v>
      </c>
      <c r="J7" s="152">
        <f t="shared" si="0"/>
        <v>44197</v>
      </c>
      <c r="K7" s="152">
        <f t="shared" si="0"/>
        <v>44228</v>
      </c>
      <c r="L7" s="152">
        <f t="shared" si="0"/>
        <v>44256</v>
      </c>
      <c r="M7" s="152">
        <f t="shared" si="0"/>
        <v>44287</v>
      </c>
      <c r="N7" s="120" t="s">
        <v>3</v>
      </c>
    </row>
    <row r="8" spans="1:14" x14ac:dyDescent="0.35">
      <c r="A8" s="78">
        <v>16</v>
      </c>
      <c r="B8" s="153">
        <v>547</v>
      </c>
      <c r="C8" s="153">
        <v>568</v>
      </c>
      <c r="D8" s="153">
        <v>722</v>
      </c>
      <c r="E8" s="153">
        <v>772</v>
      </c>
      <c r="F8" s="153">
        <v>938</v>
      </c>
      <c r="G8" s="153">
        <v>983</v>
      </c>
      <c r="H8" s="153">
        <v>833</v>
      </c>
      <c r="I8" s="153">
        <v>881</v>
      </c>
      <c r="J8" s="153">
        <v>791</v>
      </c>
      <c r="K8" s="153">
        <v>585</v>
      </c>
      <c r="L8" s="153">
        <v>688</v>
      </c>
      <c r="M8" s="153">
        <v>630</v>
      </c>
      <c r="N8" s="79">
        <f t="shared" ref="N8:N21" si="1">SUM(B8:M8)</f>
        <v>8938</v>
      </c>
    </row>
    <row r="9" spans="1:14" x14ac:dyDescent="0.35">
      <c r="A9" s="78">
        <v>23</v>
      </c>
      <c r="B9" s="153">
        <v>30239481</v>
      </c>
      <c r="C9" s="153">
        <v>19650181</v>
      </c>
      <c r="D9" s="153">
        <v>13603679</v>
      </c>
      <c r="E9" s="153">
        <v>12609707</v>
      </c>
      <c r="F9" s="153">
        <v>18059370</v>
      </c>
      <c r="G9" s="153">
        <v>43107059</v>
      </c>
      <c r="H9" s="153">
        <v>77508480</v>
      </c>
      <c r="I9" s="153">
        <v>100995168</v>
      </c>
      <c r="J9" s="153">
        <v>94457524</v>
      </c>
      <c r="K9" s="153">
        <v>80460447</v>
      </c>
      <c r="L9" s="153">
        <v>71703960</v>
      </c>
      <c r="M9" s="153">
        <v>51601945</v>
      </c>
      <c r="N9" s="79">
        <f t="shared" si="1"/>
        <v>613997001</v>
      </c>
    </row>
    <row r="10" spans="1:14" x14ac:dyDescent="0.35">
      <c r="A10" s="78">
        <v>53</v>
      </c>
      <c r="B10" s="153">
        <v>0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79">
        <f t="shared" si="1"/>
        <v>0</v>
      </c>
    </row>
    <row r="11" spans="1:14" x14ac:dyDescent="0.35">
      <c r="A11" s="78">
        <v>31</v>
      </c>
      <c r="B11" s="153">
        <v>13510430</v>
      </c>
      <c r="C11" s="153">
        <v>10184956</v>
      </c>
      <c r="D11" s="153">
        <v>8537822</v>
      </c>
      <c r="E11" s="153">
        <v>9007280</v>
      </c>
      <c r="F11" s="153">
        <v>10593088</v>
      </c>
      <c r="G11" s="153">
        <v>17530246</v>
      </c>
      <c r="H11" s="153">
        <v>27458935</v>
      </c>
      <c r="I11" s="153">
        <v>35067078</v>
      </c>
      <c r="J11" s="153">
        <v>33451740</v>
      </c>
      <c r="K11" s="153">
        <v>28704679</v>
      </c>
      <c r="L11" s="153">
        <v>26362628</v>
      </c>
      <c r="M11" s="153">
        <v>19810568</v>
      </c>
      <c r="N11" s="79">
        <f t="shared" si="1"/>
        <v>240219450</v>
      </c>
    </row>
    <row r="12" spans="1:14" x14ac:dyDescent="0.35">
      <c r="A12" s="78">
        <v>41</v>
      </c>
      <c r="B12" s="153">
        <v>4431574</v>
      </c>
      <c r="C12" s="153">
        <v>3879618</v>
      </c>
      <c r="D12" s="153">
        <v>3234618</v>
      </c>
      <c r="E12" s="153">
        <v>3199761</v>
      </c>
      <c r="F12" s="153">
        <v>3767734</v>
      </c>
      <c r="G12" s="153">
        <v>5689245</v>
      </c>
      <c r="H12" s="153">
        <v>7374436</v>
      </c>
      <c r="I12" s="153">
        <v>8250931</v>
      </c>
      <c r="J12" s="153">
        <v>7735041</v>
      </c>
      <c r="K12" s="153">
        <v>6950161</v>
      </c>
      <c r="L12" s="153">
        <v>6676729</v>
      </c>
      <c r="M12" s="153">
        <v>5626046</v>
      </c>
      <c r="N12" s="79">
        <f t="shared" si="1"/>
        <v>66815894</v>
      </c>
    </row>
    <row r="13" spans="1:14" x14ac:dyDescent="0.35">
      <c r="A13" s="78">
        <v>85</v>
      </c>
      <c r="B13" s="153">
        <v>1006267</v>
      </c>
      <c r="C13" s="153">
        <v>817698</v>
      </c>
      <c r="D13" s="153">
        <v>759958</v>
      </c>
      <c r="E13" s="153">
        <v>776099</v>
      </c>
      <c r="F13" s="153">
        <v>885782</v>
      </c>
      <c r="G13" s="153">
        <v>1127530</v>
      </c>
      <c r="H13" s="153">
        <v>1436976</v>
      </c>
      <c r="I13" s="153">
        <v>1674199</v>
      </c>
      <c r="J13" s="153">
        <v>1796945</v>
      </c>
      <c r="K13" s="153">
        <v>1642894</v>
      </c>
      <c r="L13" s="153">
        <v>1556518</v>
      </c>
      <c r="M13" s="153">
        <v>1358099</v>
      </c>
      <c r="N13" s="79">
        <f t="shared" si="1"/>
        <v>14838965</v>
      </c>
    </row>
    <row r="14" spans="1:14" x14ac:dyDescent="0.35">
      <c r="A14" s="78">
        <v>86</v>
      </c>
      <c r="B14" s="153">
        <v>590633</v>
      </c>
      <c r="C14" s="153">
        <v>416120</v>
      </c>
      <c r="D14" s="153">
        <v>228797</v>
      </c>
      <c r="E14" s="153">
        <v>160800</v>
      </c>
      <c r="F14" s="153">
        <v>225238</v>
      </c>
      <c r="G14" s="153">
        <v>534889</v>
      </c>
      <c r="H14" s="153">
        <v>729235</v>
      </c>
      <c r="I14" s="153">
        <v>1004936</v>
      </c>
      <c r="J14" s="153">
        <v>944841</v>
      </c>
      <c r="K14" s="153">
        <v>882671</v>
      </c>
      <c r="L14" s="153">
        <v>869939</v>
      </c>
      <c r="M14" s="153">
        <v>778012</v>
      </c>
      <c r="N14" s="79">
        <f t="shared" si="1"/>
        <v>7366111</v>
      </c>
    </row>
    <row r="15" spans="1:14" x14ac:dyDescent="0.35">
      <c r="A15" s="78">
        <v>87</v>
      </c>
      <c r="B15" s="153">
        <v>1493313</v>
      </c>
      <c r="C15" s="153">
        <v>1203069</v>
      </c>
      <c r="D15" s="153">
        <v>1178052</v>
      </c>
      <c r="E15" s="153">
        <v>1166252</v>
      </c>
      <c r="F15" s="153">
        <v>1364390</v>
      </c>
      <c r="G15" s="153">
        <v>2282036</v>
      </c>
      <c r="H15" s="153">
        <v>2312808</v>
      </c>
      <c r="I15" s="153">
        <v>2774416</v>
      </c>
      <c r="J15" s="153">
        <v>2537741</v>
      </c>
      <c r="K15" s="153">
        <v>2202673</v>
      </c>
      <c r="L15" s="153">
        <v>2161010</v>
      </c>
      <c r="M15" s="153">
        <v>1616361</v>
      </c>
      <c r="N15" s="79">
        <f t="shared" si="1"/>
        <v>22292121</v>
      </c>
    </row>
    <row r="16" spans="1:14" x14ac:dyDescent="0.35">
      <c r="A16" s="78" t="s">
        <v>99</v>
      </c>
      <c r="B16" s="153">
        <v>1318</v>
      </c>
      <c r="C16" s="153">
        <v>1074</v>
      </c>
      <c r="D16" s="153">
        <v>988</v>
      </c>
      <c r="E16" s="153">
        <v>1196</v>
      </c>
      <c r="F16" s="153">
        <v>1419</v>
      </c>
      <c r="G16" s="153">
        <v>1976</v>
      </c>
      <c r="H16" s="153">
        <v>2691</v>
      </c>
      <c r="I16" s="153">
        <v>3828</v>
      </c>
      <c r="J16" s="153">
        <v>2789</v>
      </c>
      <c r="K16" s="153">
        <v>2334</v>
      </c>
      <c r="L16" s="153">
        <v>2163</v>
      </c>
      <c r="M16" s="153">
        <v>1650</v>
      </c>
      <c r="N16" s="79">
        <f t="shared" si="1"/>
        <v>23426</v>
      </c>
    </row>
    <row r="17" spans="1:14" x14ac:dyDescent="0.35">
      <c r="A17" s="78" t="s">
        <v>0</v>
      </c>
      <c r="B17" s="153">
        <v>1902631</v>
      </c>
      <c r="C17" s="153">
        <v>1843449</v>
      </c>
      <c r="D17" s="153">
        <v>1673494</v>
      </c>
      <c r="E17" s="153">
        <v>1815027</v>
      </c>
      <c r="F17" s="153">
        <v>1816441</v>
      </c>
      <c r="G17" s="153">
        <v>1905205</v>
      </c>
      <c r="H17" s="153">
        <v>2168554</v>
      </c>
      <c r="I17" s="153">
        <v>2345275</v>
      </c>
      <c r="J17" s="153">
        <v>2280174</v>
      </c>
      <c r="K17" s="153">
        <v>2107959</v>
      </c>
      <c r="L17" s="153">
        <v>2237810</v>
      </c>
      <c r="M17" s="153">
        <v>2026202</v>
      </c>
      <c r="N17" s="79">
        <f t="shared" si="1"/>
        <v>24122221</v>
      </c>
    </row>
    <row r="18" spans="1:14" x14ac:dyDescent="0.35">
      <c r="A18" s="78" t="s">
        <v>1</v>
      </c>
      <c r="B18" s="153">
        <v>6540858</v>
      </c>
      <c r="C18" s="153">
        <v>6167214</v>
      </c>
      <c r="D18" s="153">
        <v>5711236</v>
      </c>
      <c r="E18" s="153">
        <v>6299449</v>
      </c>
      <c r="F18" s="153">
        <v>6282052</v>
      </c>
      <c r="G18" s="153">
        <v>6412424</v>
      </c>
      <c r="H18" s="153">
        <v>7142047</v>
      </c>
      <c r="I18" s="153">
        <v>6430515</v>
      </c>
      <c r="J18" s="153">
        <v>6778437</v>
      </c>
      <c r="K18" s="153">
        <v>6428153</v>
      </c>
      <c r="L18" s="153">
        <v>6883350</v>
      </c>
      <c r="M18" s="153">
        <v>6967989</v>
      </c>
      <c r="N18" s="79">
        <f t="shared" si="1"/>
        <v>78043724</v>
      </c>
    </row>
    <row r="19" spans="1:14" x14ac:dyDescent="0.35">
      <c r="A19" s="78" t="s">
        <v>76</v>
      </c>
      <c r="B19" s="153">
        <v>15716</v>
      </c>
      <c r="C19" s="153">
        <v>16567</v>
      </c>
      <c r="D19" s="153">
        <v>12849</v>
      </c>
      <c r="E19" s="153">
        <v>12055</v>
      </c>
      <c r="F19" s="153">
        <v>7533</v>
      </c>
      <c r="G19" s="153">
        <v>11259</v>
      </c>
      <c r="H19" s="153">
        <v>25678</v>
      </c>
      <c r="I19" s="153">
        <v>25984</v>
      </c>
      <c r="J19" s="153">
        <v>26357</v>
      </c>
      <c r="K19" s="153">
        <v>24985</v>
      </c>
      <c r="L19" s="153">
        <v>25135</v>
      </c>
      <c r="M19" s="153">
        <v>19297</v>
      </c>
      <c r="N19" s="79">
        <f t="shared" si="1"/>
        <v>223415</v>
      </c>
    </row>
    <row r="20" spans="1:14" x14ac:dyDescent="0.35">
      <c r="A20" s="78" t="s">
        <v>2</v>
      </c>
      <c r="B20" s="153">
        <v>8505325</v>
      </c>
      <c r="C20" s="153">
        <v>7903478</v>
      </c>
      <c r="D20" s="153">
        <v>8411108</v>
      </c>
      <c r="E20" s="153">
        <v>8049630</v>
      </c>
      <c r="F20" s="153">
        <v>8115445</v>
      </c>
      <c r="G20" s="153">
        <v>8293331</v>
      </c>
      <c r="H20" s="153">
        <v>8044592</v>
      </c>
      <c r="I20" s="153">
        <v>8959742</v>
      </c>
      <c r="J20" s="153">
        <v>8955641</v>
      </c>
      <c r="K20" s="153">
        <v>8210473</v>
      </c>
      <c r="L20" s="153">
        <v>9287160</v>
      </c>
      <c r="M20" s="153">
        <v>7956602</v>
      </c>
      <c r="N20" s="79">
        <f t="shared" si="1"/>
        <v>100692527</v>
      </c>
    </row>
    <row r="21" spans="1:14" x14ac:dyDescent="0.35">
      <c r="A21" s="78" t="s">
        <v>77</v>
      </c>
      <c r="B21" s="153">
        <v>2632073</v>
      </c>
      <c r="C21" s="153">
        <v>2155815</v>
      </c>
      <c r="D21" s="153">
        <v>1841842</v>
      </c>
      <c r="E21" s="153">
        <v>1896174</v>
      </c>
      <c r="F21" s="153">
        <v>1990400</v>
      </c>
      <c r="G21" s="153">
        <v>2526162</v>
      </c>
      <c r="H21" s="153">
        <v>3804431</v>
      </c>
      <c r="I21" s="153">
        <v>4203999</v>
      </c>
      <c r="J21" s="153">
        <v>4311490</v>
      </c>
      <c r="K21" s="153">
        <v>3874942</v>
      </c>
      <c r="L21" s="153">
        <v>3877190</v>
      </c>
      <c r="M21" s="153">
        <v>3017312</v>
      </c>
      <c r="N21" s="79">
        <f t="shared" si="1"/>
        <v>36131830</v>
      </c>
    </row>
    <row r="22" spans="1:14" x14ac:dyDescent="0.35">
      <c r="A22" s="78" t="s">
        <v>3</v>
      </c>
      <c r="B22" s="80">
        <f>SUM(B8:B21)</f>
        <v>70870166</v>
      </c>
      <c r="C22" s="80">
        <f t="shared" ref="C22:M22" si="2">SUM(C8:C21)</f>
        <v>54239807</v>
      </c>
      <c r="D22" s="80">
        <f t="shared" si="2"/>
        <v>45195165</v>
      </c>
      <c r="E22" s="80">
        <f t="shared" si="2"/>
        <v>44994202</v>
      </c>
      <c r="F22" s="80">
        <f t="shared" si="2"/>
        <v>53109830</v>
      </c>
      <c r="G22" s="80">
        <f t="shared" si="2"/>
        <v>89422345</v>
      </c>
      <c r="H22" s="80">
        <f t="shared" si="2"/>
        <v>138009696</v>
      </c>
      <c r="I22" s="80">
        <f t="shared" si="2"/>
        <v>171736952</v>
      </c>
      <c r="J22" s="80">
        <f t="shared" si="2"/>
        <v>163279511</v>
      </c>
      <c r="K22" s="80">
        <f t="shared" si="2"/>
        <v>141492956</v>
      </c>
      <c r="L22" s="80">
        <f t="shared" si="2"/>
        <v>131644280</v>
      </c>
      <c r="M22" s="80">
        <f t="shared" si="2"/>
        <v>100780713</v>
      </c>
      <c r="N22" s="80">
        <f>SUM(N8:N21)</f>
        <v>1204775623</v>
      </c>
    </row>
    <row r="23" spans="1:14" x14ac:dyDescent="0.35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4" x14ac:dyDescent="0.35">
      <c r="A24" s="78" t="s">
        <v>38</v>
      </c>
      <c r="B24" s="79">
        <f>SUM(B8:B12)</f>
        <v>48182032</v>
      </c>
      <c r="C24" s="79">
        <f t="shared" ref="C24:M24" si="3">SUM(C8:C12)</f>
        <v>33715323</v>
      </c>
      <c r="D24" s="79">
        <f t="shared" si="3"/>
        <v>25376841</v>
      </c>
      <c r="E24" s="79">
        <f t="shared" si="3"/>
        <v>24817520</v>
      </c>
      <c r="F24" s="79">
        <f t="shared" si="3"/>
        <v>32421130</v>
      </c>
      <c r="G24" s="79">
        <f t="shared" si="3"/>
        <v>66327533</v>
      </c>
      <c r="H24" s="79">
        <f t="shared" si="3"/>
        <v>112342684</v>
      </c>
      <c r="I24" s="79">
        <f t="shared" si="3"/>
        <v>144314058</v>
      </c>
      <c r="J24" s="79">
        <f t="shared" si="3"/>
        <v>135645096</v>
      </c>
      <c r="K24" s="79">
        <f t="shared" si="3"/>
        <v>116115872</v>
      </c>
      <c r="L24" s="79">
        <f t="shared" si="3"/>
        <v>104744005</v>
      </c>
      <c r="M24" s="79">
        <f t="shared" si="3"/>
        <v>77039189</v>
      </c>
      <c r="N24" s="79">
        <f>SUM(B24:M24)</f>
        <v>921041283</v>
      </c>
    </row>
    <row r="25" spans="1:14" x14ac:dyDescent="0.35">
      <c r="A25" s="78" t="s">
        <v>39</v>
      </c>
      <c r="B25" s="79">
        <f>SUM(B13:B15)</f>
        <v>3090213</v>
      </c>
      <c r="C25" s="79">
        <f t="shared" ref="C25:M25" si="4">SUM(C13:C15)</f>
        <v>2436887</v>
      </c>
      <c r="D25" s="79">
        <f t="shared" si="4"/>
        <v>2166807</v>
      </c>
      <c r="E25" s="79">
        <f t="shared" si="4"/>
        <v>2103151</v>
      </c>
      <c r="F25" s="79">
        <f t="shared" si="4"/>
        <v>2475410</v>
      </c>
      <c r="G25" s="79">
        <f t="shared" si="4"/>
        <v>3944455</v>
      </c>
      <c r="H25" s="79">
        <f t="shared" si="4"/>
        <v>4479019</v>
      </c>
      <c r="I25" s="79">
        <f t="shared" si="4"/>
        <v>5453551</v>
      </c>
      <c r="J25" s="79">
        <f t="shared" si="4"/>
        <v>5279527</v>
      </c>
      <c r="K25" s="79">
        <f t="shared" si="4"/>
        <v>4728238</v>
      </c>
      <c r="L25" s="79">
        <f t="shared" si="4"/>
        <v>4587467</v>
      </c>
      <c r="M25" s="79">
        <f t="shared" si="4"/>
        <v>3752472</v>
      </c>
      <c r="N25" s="79">
        <f>SUM(B25:M25)</f>
        <v>44497197</v>
      </c>
    </row>
    <row r="26" spans="1:14" x14ac:dyDescent="0.35">
      <c r="A26" s="78" t="s">
        <v>105</v>
      </c>
      <c r="B26" s="81">
        <f>SUM(B16:B21)</f>
        <v>19597921</v>
      </c>
      <c r="C26" s="81">
        <f t="shared" ref="C26:M26" si="5">SUM(C16:C21)</f>
        <v>18087597</v>
      </c>
      <c r="D26" s="81">
        <f t="shared" si="5"/>
        <v>17651517</v>
      </c>
      <c r="E26" s="81">
        <f t="shared" si="5"/>
        <v>18073531</v>
      </c>
      <c r="F26" s="81">
        <f t="shared" si="5"/>
        <v>18213290</v>
      </c>
      <c r="G26" s="81">
        <f t="shared" si="5"/>
        <v>19150357</v>
      </c>
      <c r="H26" s="81">
        <f t="shared" si="5"/>
        <v>21187993</v>
      </c>
      <c r="I26" s="81">
        <f t="shared" si="5"/>
        <v>21969343</v>
      </c>
      <c r="J26" s="81">
        <f t="shared" si="5"/>
        <v>22354888</v>
      </c>
      <c r="K26" s="81">
        <f t="shared" si="5"/>
        <v>20648846</v>
      </c>
      <c r="L26" s="81">
        <f t="shared" si="5"/>
        <v>22312808</v>
      </c>
      <c r="M26" s="81">
        <f t="shared" si="5"/>
        <v>19989052</v>
      </c>
      <c r="N26" s="81">
        <f>SUM(B26:M26)</f>
        <v>239237143</v>
      </c>
    </row>
    <row r="27" spans="1:14" x14ac:dyDescent="0.35">
      <c r="A27" s="78" t="s">
        <v>106</v>
      </c>
      <c r="B27" s="79">
        <f t="shared" ref="B27:M27" si="6">SUM(B24:B26)</f>
        <v>70870166</v>
      </c>
      <c r="C27" s="79">
        <f t="shared" si="6"/>
        <v>54239807</v>
      </c>
      <c r="D27" s="79">
        <f t="shared" si="6"/>
        <v>45195165</v>
      </c>
      <c r="E27" s="79">
        <f t="shared" si="6"/>
        <v>44994202</v>
      </c>
      <c r="F27" s="79">
        <f t="shared" si="6"/>
        <v>53109830</v>
      </c>
      <c r="G27" s="79">
        <f t="shared" si="6"/>
        <v>89422345</v>
      </c>
      <c r="H27" s="79">
        <f t="shared" si="6"/>
        <v>138009696</v>
      </c>
      <c r="I27" s="79">
        <f t="shared" si="6"/>
        <v>171736952</v>
      </c>
      <c r="J27" s="79">
        <f t="shared" si="6"/>
        <v>163279511</v>
      </c>
      <c r="K27" s="79">
        <f t="shared" si="6"/>
        <v>141492956</v>
      </c>
      <c r="L27" s="79">
        <f t="shared" si="6"/>
        <v>131644280</v>
      </c>
      <c r="M27" s="79">
        <f t="shared" si="6"/>
        <v>100780713</v>
      </c>
      <c r="N27" s="79">
        <f>SUM(B27:M27)</f>
        <v>1204775623</v>
      </c>
    </row>
    <row r="28" spans="1:14" s="93" customFormat="1" ht="12" x14ac:dyDescent="0.3">
      <c r="A28" s="91" t="s">
        <v>46</v>
      </c>
      <c r="B28" s="92">
        <f>B22-B27</f>
        <v>0</v>
      </c>
      <c r="C28" s="92">
        <f t="shared" ref="C28:N28" si="7">C22-C27</f>
        <v>0</v>
      </c>
      <c r="D28" s="92">
        <f t="shared" si="7"/>
        <v>0</v>
      </c>
      <c r="E28" s="92">
        <f t="shared" si="7"/>
        <v>0</v>
      </c>
      <c r="F28" s="92">
        <f t="shared" si="7"/>
        <v>0</v>
      </c>
      <c r="G28" s="92">
        <f t="shared" si="7"/>
        <v>0</v>
      </c>
      <c r="H28" s="92">
        <f t="shared" si="7"/>
        <v>0</v>
      </c>
      <c r="I28" s="92">
        <f t="shared" si="7"/>
        <v>0</v>
      </c>
      <c r="J28" s="92">
        <f t="shared" si="7"/>
        <v>0</v>
      </c>
      <c r="K28" s="92">
        <f t="shared" si="7"/>
        <v>0</v>
      </c>
      <c r="L28" s="92">
        <f t="shared" si="7"/>
        <v>0</v>
      </c>
      <c r="M28" s="92">
        <f t="shared" si="7"/>
        <v>0</v>
      </c>
      <c r="N28" s="92">
        <f t="shared" si="7"/>
        <v>0</v>
      </c>
    </row>
    <row r="30" spans="1:14" x14ac:dyDescent="0.35">
      <c r="A30" s="154" t="s">
        <v>157</v>
      </c>
    </row>
  </sheetData>
  <mergeCells count="4">
    <mergeCell ref="A1:N1"/>
    <mergeCell ref="A3:N3"/>
    <mergeCell ref="A4:N4"/>
    <mergeCell ref="A2:N2"/>
  </mergeCells>
  <printOptions horizontalCentered="1"/>
  <pageMargins left="0.7" right="0.7" top="0.75" bottom="0.75" header="0.3" footer="0.3"/>
  <pageSetup scale="62" orientation="landscape" blackAndWhite="1" r:id="rId1"/>
  <headerFooter>
    <oddFooter>&amp;L&amp;F 
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4AA0F70FED75D49BA67EDEB513C287F" ma:contentTypeVersion="44" ma:contentTypeDescription="" ma:contentTypeScope="" ma:versionID="699943572e10ffbb20c030ee4a8c808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2020-02-28T08:00:00+00:00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200143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0860DB0-BEA7-448D-8D91-853C86BE401E}"/>
</file>

<file path=customXml/itemProps2.xml><?xml version="1.0" encoding="utf-8"?>
<ds:datastoreItem xmlns:ds="http://schemas.openxmlformats.org/officeDocument/2006/customXml" ds:itemID="{B080CE41-7CB2-4F44-9170-2DAF6D321CDD}"/>
</file>

<file path=customXml/itemProps3.xml><?xml version="1.0" encoding="utf-8"?>
<ds:datastoreItem xmlns:ds="http://schemas.openxmlformats.org/officeDocument/2006/customXml" ds:itemID="{A25A013B-312F-42BD-8911-0C7168CF35F7}"/>
</file>

<file path=customXml/itemProps4.xml><?xml version="1.0" encoding="utf-8"?>
<ds:datastoreItem xmlns:ds="http://schemas.openxmlformats.org/officeDocument/2006/customXml" ds:itemID="{78DA7BFC-8B45-42C6-BFCC-642B24A581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Rates</vt:lpstr>
      <vt:lpstr>Allocation</vt:lpstr>
      <vt:lpstr>Rate Impacts--&gt;</vt:lpstr>
      <vt:lpstr>Rate Impacts Sch120</vt:lpstr>
      <vt:lpstr>Typical Res Bill Sch120</vt:lpstr>
      <vt:lpstr>Schedule 120</vt:lpstr>
      <vt:lpstr>Workpapers--&gt;</vt:lpstr>
      <vt:lpstr>Rev Requirement</vt:lpstr>
      <vt:lpstr>Forecasted Volume</vt:lpstr>
      <vt:lpstr>Allocation!Print_Area</vt:lpstr>
      <vt:lpstr>'Forecasted Volume'!Print_Area</vt:lpstr>
      <vt:lpstr>'Rate Impacts Sch120'!Print_Area</vt:lpstr>
      <vt:lpstr>Rates!Print_Area</vt:lpstr>
      <vt:lpstr>'Rev Requirement'!Print_Area</vt:lpstr>
      <vt:lpstr>'Typical Res Bill Sch120'!Print_Area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jphelp</dc:creator>
  <cp:lastModifiedBy>Paul Schmidt</cp:lastModifiedBy>
  <cp:lastPrinted>2020-02-21T01:38:42Z</cp:lastPrinted>
  <dcterms:created xsi:type="dcterms:W3CDTF">2013-02-25T17:53:58Z</dcterms:created>
  <dcterms:modified xsi:type="dcterms:W3CDTF">2020-02-24T23:16:12Z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0x0101006E56B4D1795A2E4DB2F0B01679ED314A00F4AA0F70FED75D49BA67EDEB513C287F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