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weinst\OneDrive - Waste Management\Documents\WUTC Rate Cases\WM Wenatchee\Commodity Rebate\2019\"/>
    </mc:Choice>
  </mc:AlternateContent>
  <xr:revisionPtr revIDLastSave="0" documentId="13_ncr:1_{7D657544-C7E1-4FE3-A4D8-C1F6A0CFB264}" xr6:coauthVersionLast="41" xr6:coauthVersionMax="41" xr10:uidLastSave="{00000000-0000-0000-0000-000000000000}"/>
  <bookViews>
    <workbookView xWindow="-120" yWindow="-120" windowWidth="29040" windowHeight="15840" xr2:uid="{C067B418-F733-4553-9C1E-04EBF145E0B6}"/>
  </bookViews>
  <sheets>
    <sheet name="Rebate Calculation" sheetId="7" r:id="rId1"/>
    <sheet name="Recycling Revenue" sheetId="5" r:id="rId2"/>
    <sheet name="Customers" sheetId="6" r:id="rId3"/>
    <sheet name="Rebate Data" sheetId="4" r:id="rId4"/>
    <sheet name="SMaRT Tons Sold" sheetId="2" r:id="rId5"/>
    <sheet name="Initial Rebate Analysis" sheetId="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5" l="1"/>
  <c r="I20" i="5"/>
  <c r="C9" i="2" l="1"/>
  <c r="C8" i="2"/>
  <c r="B9" i="2"/>
  <c r="B8" i="2"/>
  <c r="C19" i="2"/>
  <c r="B19" i="2"/>
  <c r="AD26" i="4" l="1"/>
  <c r="AD30" i="4"/>
  <c r="AD54" i="4"/>
  <c r="AD53" i="4"/>
  <c r="AD52" i="4"/>
  <c r="AD46" i="4"/>
  <c r="AD37" i="4"/>
  <c r="AD38" i="4"/>
  <c r="AD39" i="4"/>
  <c r="AD40" i="4"/>
  <c r="AD41" i="4"/>
  <c r="AD42" i="4"/>
  <c r="AD43" i="4"/>
  <c r="AD44" i="4"/>
  <c r="AD45" i="4"/>
  <c r="AD36" i="4"/>
  <c r="B52" i="4"/>
  <c r="D52" i="4"/>
  <c r="F52" i="4"/>
  <c r="H52" i="4"/>
  <c r="J52" i="4"/>
  <c r="L52" i="4"/>
  <c r="N52" i="4"/>
  <c r="P52" i="4"/>
  <c r="R52" i="4"/>
  <c r="T52" i="4"/>
  <c r="V52" i="4"/>
  <c r="B53" i="4"/>
  <c r="D53" i="4"/>
  <c r="D54" i="4" s="1"/>
  <c r="F53" i="4"/>
  <c r="H53" i="4"/>
  <c r="H54" i="4" s="1"/>
  <c r="J53" i="4"/>
  <c r="L53" i="4"/>
  <c r="L54" i="4" s="1"/>
  <c r="N53" i="4"/>
  <c r="P53" i="4"/>
  <c r="P54" i="4" s="1"/>
  <c r="R53" i="4"/>
  <c r="T53" i="4"/>
  <c r="T54" i="4" s="1"/>
  <c r="V53" i="4"/>
  <c r="B54" i="4"/>
  <c r="F54" i="4"/>
  <c r="J54" i="4"/>
  <c r="N54" i="4"/>
  <c r="R54" i="4"/>
  <c r="V54" i="4"/>
  <c r="X54" i="4"/>
  <c r="X53" i="4"/>
  <c r="X52" i="4"/>
  <c r="AD7" i="4"/>
  <c r="AD23" i="4" s="1"/>
  <c r="AD8" i="4"/>
  <c r="AD24" i="4" s="1"/>
  <c r="AD9" i="4"/>
  <c r="AD10" i="4"/>
  <c r="AD11" i="4"/>
  <c r="AD27" i="4" s="1"/>
  <c r="AD12" i="4"/>
  <c r="AD28" i="4" s="1"/>
  <c r="AD13" i="4"/>
  <c r="AD14" i="4"/>
  <c r="AD15" i="4"/>
  <c r="AD31" i="4" s="1"/>
  <c r="AD16" i="4"/>
  <c r="AD6" i="4"/>
  <c r="AD29" i="4" l="1"/>
  <c r="AD25" i="4"/>
  <c r="AD17" i="4"/>
  <c r="AD22" i="4"/>
  <c r="C19" i="5"/>
  <c r="F19" i="5"/>
  <c r="I19" i="5"/>
  <c r="X48" i="4"/>
  <c r="X45" i="4"/>
  <c r="X44" i="4"/>
  <c r="X43" i="4"/>
  <c r="X42" i="4"/>
  <c r="X41" i="4"/>
  <c r="X40" i="4"/>
  <c r="X39" i="4"/>
  <c r="X38" i="4"/>
  <c r="X37" i="4"/>
  <c r="X36" i="4"/>
  <c r="X46" i="4" s="1"/>
  <c r="X50" i="4" s="1"/>
  <c r="X16" i="4"/>
  <c r="AE7" i="4" l="1"/>
  <c r="AD48" i="4"/>
  <c r="AD50" i="4" s="1"/>
  <c r="AE17" i="4"/>
  <c r="AE11" i="4"/>
  <c r="AE15" i="4"/>
  <c r="AE12" i="4"/>
  <c r="AE9" i="4"/>
  <c r="AE8" i="4"/>
  <c r="AE6" i="4"/>
  <c r="AE16" i="4"/>
  <c r="AE14" i="4"/>
  <c r="AE13" i="4"/>
  <c r="AE10" i="4"/>
  <c r="C18" i="5"/>
  <c r="I18" i="5"/>
  <c r="F18" i="5"/>
  <c r="C18" i="2"/>
  <c r="B18" i="2"/>
  <c r="B17" i="2"/>
  <c r="V48" i="4"/>
  <c r="V45" i="4"/>
  <c r="V44" i="4"/>
  <c r="V43" i="4"/>
  <c r="V42" i="4"/>
  <c r="V41" i="4"/>
  <c r="V40" i="4"/>
  <c r="V39" i="4"/>
  <c r="V38" i="4"/>
  <c r="V37" i="4"/>
  <c r="V36" i="4"/>
  <c r="V46" i="4" s="1"/>
  <c r="V50" i="4" s="1"/>
  <c r="V16" i="4"/>
  <c r="AF12" i="4" l="1"/>
  <c r="G19" i="5"/>
  <c r="H19" i="5" s="1"/>
  <c r="J19" i="5" s="1"/>
  <c r="G18" i="5"/>
  <c r="H18" i="5" s="1"/>
  <c r="J18" i="5" s="1"/>
  <c r="I10" i="5"/>
  <c r="I11" i="5"/>
  <c r="I12" i="5"/>
  <c r="I13" i="5"/>
  <c r="I14" i="5"/>
  <c r="I15" i="5"/>
  <c r="I16" i="5"/>
  <c r="C10" i="7"/>
  <c r="E10" i="7" l="1"/>
  <c r="C17" i="5" l="1"/>
  <c r="C17" i="2" l="1"/>
  <c r="T48" i="4"/>
  <c r="T45" i="4"/>
  <c r="T44" i="4"/>
  <c r="T43" i="4"/>
  <c r="T42" i="4"/>
  <c r="T41" i="4"/>
  <c r="T40" i="4"/>
  <c r="T39" i="4"/>
  <c r="T38" i="4"/>
  <c r="T37" i="4"/>
  <c r="T36" i="4"/>
  <c r="T46" i="4" s="1"/>
  <c r="T50" i="4" s="1"/>
  <c r="T16" i="4"/>
  <c r="G9" i="5" l="1"/>
  <c r="H9" i="5" s="1"/>
  <c r="G12" i="5"/>
  <c r="H12" i="5"/>
  <c r="J12" i="5" s="1"/>
  <c r="G15" i="5"/>
  <c r="H15" i="5" s="1"/>
  <c r="J15" i="5" s="1"/>
  <c r="F15" i="5"/>
  <c r="F14" i="5"/>
  <c r="G14" i="5" s="1"/>
  <c r="H14" i="5" s="1"/>
  <c r="J14" i="5" s="1"/>
  <c r="F13" i="5"/>
  <c r="G13" i="5" s="1"/>
  <c r="H13" i="5" s="1"/>
  <c r="J13" i="5" s="1"/>
  <c r="F12" i="5"/>
  <c r="F11" i="5"/>
  <c r="G11" i="5" s="1"/>
  <c r="H11" i="5" s="1"/>
  <c r="J11" i="5" s="1"/>
  <c r="F10" i="5"/>
  <c r="G10" i="5" s="1"/>
  <c r="H10" i="5" s="1"/>
  <c r="J10" i="5" s="1"/>
  <c r="F9" i="5"/>
  <c r="F8" i="5"/>
  <c r="G8" i="5" s="1"/>
  <c r="H8" i="5" s="1"/>
  <c r="D48" i="4"/>
  <c r="D45" i="4"/>
  <c r="D44" i="4"/>
  <c r="D43" i="4"/>
  <c r="D42" i="4"/>
  <c r="D41" i="4"/>
  <c r="D40" i="4"/>
  <c r="D39" i="4"/>
  <c r="D38" i="4"/>
  <c r="D37" i="4"/>
  <c r="D36" i="4"/>
  <c r="B48" i="4"/>
  <c r="B45" i="4"/>
  <c r="B44" i="4"/>
  <c r="B43" i="4"/>
  <c r="B42" i="4"/>
  <c r="B41" i="4"/>
  <c r="B40" i="4"/>
  <c r="B39" i="4"/>
  <c r="B38" i="4"/>
  <c r="B37" i="4"/>
  <c r="B36" i="4"/>
  <c r="B46" i="4" s="1"/>
  <c r="B50" i="4" s="1"/>
  <c r="D46" i="4" l="1"/>
  <c r="D50" i="4" s="1"/>
  <c r="D17" i="4" l="1"/>
  <c r="E17" i="4" s="1"/>
  <c r="B17" i="4"/>
  <c r="C17" i="4" s="1"/>
  <c r="C11" i="5"/>
  <c r="E7" i="4" l="1"/>
  <c r="E8" i="4"/>
  <c r="E11" i="4"/>
  <c r="E12" i="4"/>
  <c r="E13" i="4"/>
  <c r="E16" i="4"/>
  <c r="C9" i="4"/>
  <c r="C11" i="4"/>
  <c r="C15" i="4"/>
  <c r="C16" i="4"/>
  <c r="E9" i="4"/>
  <c r="E15" i="4"/>
  <c r="C7" i="4"/>
  <c r="C12" i="4"/>
  <c r="C8" i="4"/>
  <c r="C13" i="4"/>
  <c r="E6" i="4"/>
  <c r="E10" i="4"/>
  <c r="E14" i="4"/>
  <c r="C6" i="4"/>
  <c r="C10" i="4"/>
  <c r="C14" i="4"/>
  <c r="C16" i="5"/>
  <c r="R45" i="4" l="1"/>
  <c r="R44" i="4"/>
  <c r="R43" i="4"/>
  <c r="R42" i="4"/>
  <c r="R41" i="4"/>
  <c r="R40" i="4"/>
  <c r="R39" i="4"/>
  <c r="R38" i="4"/>
  <c r="R37" i="4"/>
  <c r="R36" i="4"/>
  <c r="X17" i="4"/>
  <c r="Y17" i="4" s="1"/>
  <c r="V17" i="4"/>
  <c r="W17" i="4" s="1"/>
  <c r="T17" i="4"/>
  <c r="U17" i="4" s="1"/>
  <c r="Q17" i="4"/>
  <c r="R17" i="4"/>
  <c r="S15" i="4" s="1"/>
  <c r="R16" i="4"/>
  <c r="Y10" i="4" l="1"/>
  <c r="Y8" i="4"/>
  <c r="Y6" i="4"/>
  <c r="Y12" i="4"/>
  <c r="Y7" i="4"/>
  <c r="Y13" i="4"/>
  <c r="Y9" i="4"/>
  <c r="Y15" i="4"/>
  <c r="Y11" i="4"/>
  <c r="W13" i="4"/>
  <c r="W9" i="4"/>
  <c r="W6" i="4"/>
  <c r="W7" i="4"/>
  <c r="W11" i="4"/>
  <c r="W16" i="4"/>
  <c r="W8" i="4"/>
  <c r="W12" i="4"/>
  <c r="W10" i="4"/>
  <c r="W15" i="4"/>
  <c r="U6" i="4"/>
  <c r="U14" i="4"/>
  <c r="U10" i="4"/>
  <c r="U11" i="4"/>
  <c r="U12" i="4"/>
  <c r="U16" i="4"/>
  <c r="F17" i="5" s="1"/>
  <c r="G17" i="5" s="1"/>
  <c r="H17" i="5" s="1"/>
  <c r="U7" i="4"/>
  <c r="U15" i="4"/>
  <c r="U8" i="4"/>
  <c r="U9" i="4"/>
  <c r="U13" i="4"/>
  <c r="S7" i="4"/>
  <c r="S11" i="4"/>
  <c r="S8" i="4"/>
  <c r="S12" i="4"/>
  <c r="S9" i="4"/>
  <c r="S13" i="4"/>
  <c r="S6" i="4"/>
  <c r="S10" i="4"/>
  <c r="S14" i="4"/>
  <c r="S17" i="4"/>
  <c r="R48" i="4"/>
  <c r="B16" i="2" s="1"/>
  <c r="R46" i="4"/>
  <c r="Y14" i="4"/>
  <c r="Y16" i="4"/>
  <c r="W14" i="4"/>
  <c r="S16" i="4"/>
  <c r="F16" i="5" s="1"/>
  <c r="G16" i="5" s="1"/>
  <c r="R50" i="4" l="1"/>
  <c r="C16" i="2"/>
  <c r="D16" i="2" s="1"/>
  <c r="G20" i="5"/>
  <c r="H16" i="5"/>
  <c r="D17" i="2"/>
  <c r="I17" i="5" s="1"/>
  <c r="J17" i="5" s="1"/>
  <c r="D18" i="2"/>
  <c r="D9" i="2"/>
  <c r="I9" i="5" s="1"/>
  <c r="J9" i="5" s="1"/>
  <c r="B20" i="2"/>
  <c r="P48" i="4"/>
  <c r="B15" i="2" s="1"/>
  <c r="P45" i="4"/>
  <c r="P44" i="4"/>
  <c r="P43" i="4"/>
  <c r="P42" i="4"/>
  <c r="P41" i="4"/>
  <c r="P40" i="4"/>
  <c r="P39" i="4"/>
  <c r="P38" i="4"/>
  <c r="P37" i="4"/>
  <c r="P36" i="4"/>
  <c r="P17" i="4"/>
  <c r="Q16" i="4" s="1"/>
  <c r="D19" i="6"/>
  <c r="E8" i="6"/>
  <c r="F8" i="6" s="1"/>
  <c r="E9" i="6"/>
  <c r="F9" i="6" s="1"/>
  <c r="E10" i="6"/>
  <c r="F10" i="6" s="1"/>
  <c r="E11" i="6"/>
  <c r="F11" i="6" s="1"/>
  <c r="E12" i="6"/>
  <c r="F12" i="6" s="1"/>
  <c r="E13" i="6"/>
  <c r="F13" i="6" s="1"/>
  <c r="E14" i="6"/>
  <c r="F14" i="6" s="1"/>
  <c r="E15" i="6"/>
  <c r="F15" i="6" s="1"/>
  <c r="E16" i="6"/>
  <c r="F16" i="6" s="1"/>
  <c r="E17" i="6"/>
  <c r="F17" i="6" s="1"/>
  <c r="E18" i="6"/>
  <c r="F18" i="6" s="1"/>
  <c r="E7" i="6"/>
  <c r="F7" i="6" s="1"/>
  <c r="C19" i="6"/>
  <c r="C12" i="5"/>
  <c r="C15" i="5"/>
  <c r="H20" i="5" l="1"/>
  <c r="J16" i="5"/>
  <c r="E23" i="7" s="1"/>
  <c r="D8" i="2"/>
  <c r="I8" i="5" s="1"/>
  <c r="J8" i="5" s="1"/>
  <c r="J20" i="5" s="1"/>
  <c r="E14" i="7" s="1"/>
  <c r="C20" i="2"/>
  <c r="D20" i="2" s="1"/>
  <c r="C11" i="7"/>
  <c r="E20" i="5"/>
  <c r="C14" i="5"/>
  <c r="D20" i="5"/>
  <c r="C13" i="5"/>
  <c r="C9" i="5"/>
  <c r="E19" i="6"/>
  <c r="F19" i="6" s="1"/>
  <c r="P46" i="4"/>
  <c r="Q6" i="4"/>
  <c r="Q9" i="4"/>
  <c r="Q11" i="4"/>
  <c r="Q13" i="4"/>
  <c r="Q7" i="4"/>
  <c r="Q14" i="4"/>
  <c r="Q10" i="4"/>
  <c r="Q15" i="4"/>
  <c r="Q8" i="4"/>
  <c r="Q12" i="4"/>
  <c r="C8" i="5"/>
  <c r="C10" i="5"/>
  <c r="E11" i="7" l="1"/>
  <c r="E12" i="7" s="1"/>
  <c r="E16" i="7" s="1"/>
  <c r="C12" i="7"/>
  <c r="C20" i="5"/>
  <c r="P50" i="4"/>
  <c r="C15" i="2"/>
  <c r="D15" i="2" s="1"/>
  <c r="N45" i="4"/>
  <c r="N44" i="4"/>
  <c r="N43" i="4"/>
  <c r="N42" i="4"/>
  <c r="N41" i="4"/>
  <c r="N40" i="4"/>
  <c r="N39" i="4"/>
  <c r="N38" i="4"/>
  <c r="N37" i="4"/>
  <c r="N36" i="4"/>
  <c r="L45" i="4"/>
  <c r="L44" i="4"/>
  <c r="L43" i="4"/>
  <c r="L42" i="4"/>
  <c r="L41" i="4"/>
  <c r="L40" i="4"/>
  <c r="L39" i="4"/>
  <c r="L38" i="4"/>
  <c r="L37" i="4"/>
  <c r="L36" i="4"/>
  <c r="J45" i="4"/>
  <c r="J44" i="4"/>
  <c r="J43" i="4"/>
  <c r="J42" i="4"/>
  <c r="J41" i="4"/>
  <c r="J40" i="4"/>
  <c r="J39" i="4"/>
  <c r="J38" i="4"/>
  <c r="J37" i="4"/>
  <c r="J36" i="4"/>
  <c r="H45" i="4"/>
  <c r="H44" i="4"/>
  <c r="H43" i="4"/>
  <c r="H42" i="4"/>
  <c r="H41" i="4"/>
  <c r="H40" i="4"/>
  <c r="H39" i="4"/>
  <c r="H38" i="4"/>
  <c r="H37" i="4"/>
  <c r="H36" i="4"/>
  <c r="F45" i="4"/>
  <c r="F37" i="4"/>
  <c r="F38" i="4"/>
  <c r="F39" i="4"/>
  <c r="F40" i="4"/>
  <c r="F41" i="4"/>
  <c r="F42" i="4"/>
  <c r="F43" i="4"/>
  <c r="F44" i="4"/>
  <c r="F36" i="4"/>
  <c r="F46" i="4" s="1"/>
  <c r="N17" i="4"/>
  <c r="O15" i="4" s="1"/>
  <c r="L17" i="4"/>
  <c r="M15" i="4" s="1"/>
  <c r="J17" i="4"/>
  <c r="K15" i="4" s="1"/>
  <c r="H17" i="4"/>
  <c r="H48" i="4" s="1"/>
  <c r="B11" i="2" s="1"/>
  <c r="G9" i="4"/>
  <c r="G14" i="4"/>
  <c r="F17" i="4"/>
  <c r="F48" i="4" s="1"/>
  <c r="B10" i="2" s="1"/>
  <c r="E18" i="7" l="1"/>
  <c r="F20" i="7" s="1"/>
  <c r="E24" i="7"/>
  <c r="F25" i="7" s="1"/>
  <c r="C10" i="2"/>
  <c r="D10" i="2" s="1"/>
  <c r="F50" i="4"/>
  <c r="L46" i="4"/>
  <c r="I10" i="4"/>
  <c r="N46" i="4"/>
  <c r="H46" i="4"/>
  <c r="O7" i="4"/>
  <c r="J46" i="4"/>
  <c r="I7" i="4"/>
  <c r="M12" i="4"/>
  <c r="O10" i="4"/>
  <c r="M7" i="4"/>
  <c r="O12" i="4"/>
  <c r="G17" i="4"/>
  <c r="I12" i="4"/>
  <c r="M10" i="4"/>
  <c r="N48" i="4"/>
  <c r="B14" i="2" s="1"/>
  <c r="K10" i="4"/>
  <c r="G16" i="4"/>
  <c r="G13" i="4"/>
  <c r="G8" i="4"/>
  <c r="I8" i="4"/>
  <c r="I13" i="4"/>
  <c r="I16" i="4"/>
  <c r="K8" i="4"/>
  <c r="K13" i="4"/>
  <c r="K16" i="4"/>
  <c r="M8" i="4"/>
  <c r="M13" i="4"/>
  <c r="M16" i="4"/>
  <c r="O8" i="4"/>
  <c r="O13" i="4"/>
  <c r="O16" i="4"/>
  <c r="L48" i="4"/>
  <c r="B13" i="2" s="1"/>
  <c r="K7" i="4"/>
  <c r="G10" i="4"/>
  <c r="G12" i="4"/>
  <c r="G7" i="4"/>
  <c r="I9" i="4"/>
  <c r="I14" i="4"/>
  <c r="I17" i="4"/>
  <c r="K9" i="4"/>
  <c r="K14" i="4"/>
  <c r="K17" i="4"/>
  <c r="M9" i="4"/>
  <c r="M14" i="4"/>
  <c r="M17" i="4"/>
  <c r="O9" i="4"/>
  <c r="O14" i="4"/>
  <c r="O17" i="4"/>
  <c r="J48" i="4"/>
  <c r="B12" i="2" s="1"/>
  <c r="K12" i="4"/>
  <c r="G6" i="4"/>
  <c r="G15" i="4"/>
  <c r="G11" i="4"/>
  <c r="I6" i="4"/>
  <c r="I11" i="4"/>
  <c r="I15" i="4"/>
  <c r="K6" i="4"/>
  <c r="K11" i="4"/>
  <c r="M6" i="4"/>
  <c r="M11" i="4"/>
  <c r="O6" i="4"/>
  <c r="O11" i="4"/>
  <c r="F27" i="7" l="1"/>
  <c r="H50" i="4"/>
  <c r="C11" i="2"/>
  <c r="D11" i="2" s="1"/>
  <c r="L50" i="4"/>
  <c r="C13" i="2"/>
  <c r="D13" i="2" s="1"/>
  <c r="N50" i="4"/>
  <c r="C14" i="2"/>
  <c r="D14" i="2" s="1"/>
  <c r="D12" i="2"/>
  <c r="J50" i="4"/>
  <c r="C12" i="2"/>
  <c r="D19" i="2"/>
  <c r="F15" i="1" l="1"/>
  <c r="E20" i="1" s="1"/>
  <c r="E15" i="1"/>
  <c r="E14" i="1"/>
  <c r="E13" i="1"/>
  <c r="E12" i="1"/>
  <c r="E11" i="1"/>
  <c r="E10" i="1"/>
  <c r="E21" i="1" l="1"/>
  <c r="E25" i="1" s="1"/>
</calcChain>
</file>

<file path=xl/sharedStrings.xml><?xml version="1.0" encoding="utf-8"?>
<sst xmlns="http://schemas.openxmlformats.org/spreadsheetml/2006/main" count="168" uniqueCount="74">
  <si>
    <t>Waste Management - Wenatchee</t>
  </si>
  <si>
    <t>SMaRT</t>
  </si>
  <si>
    <t>Single-Stream from WM</t>
  </si>
  <si>
    <t>Tons</t>
  </si>
  <si>
    <t>Commodity</t>
  </si>
  <si>
    <t>Sold</t>
  </si>
  <si>
    <t>Revenue</t>
  </si>
  <si>
    <t>Rev./ton</t>
  </si>
  <si>
    <t>May</t>
  </si>
  <si>
    <t>Jun</t>
  </si>
  <si>
    <t>Jul</t>
  </si>
  <si>
    <t>Aug</t>
  </si>
  <si>
    <t>Sep</t>
  </si>
  <si>
    <t>Oct</t>
  </si>
  <si>
    <t>Nov</t>
  </si>
  <si>
    <t>Dec</t>
  </si>
  <si>
    <t>Average commodity Value/ton</t>
  </si>
  <si>
    <t>Total Customers</t>
  </si>
  <si>
    <t>Jan</t>
  </si>
  <si>
    <t>Feb</t>
  </si>
  <si>
    <t>Mar</t>
  </si>
  <si>
    <t>Apr</t>
  </si>
  <si>
    <t>OCC</t>
  </si>
  <si>
    <t>Glass</t>
  </si>
  <si>
    <t>PET</t>
  </si>
  <si>
    <t>Newspaper</t>
  </si>
  <si>
    <t>Mix Paper</t>
  </si>
  <si>
    <t>Aluminum</t>
  </si>
  <si>
    <t>HDPE Natl</t>
  </si>
  <si>
    <t>HDPE Col</t>
  </si>
  <si>
    <t>#3 - 7</t>
  </si>
  <si>
    <t>Tin Cans</t>
  </si>
  <si>
    <t>%</t>
  </si>
  <si>
    <t>Residue</t>
  </si>
  <si>
    <t>Commodities Sold</t>
  </si>
  <si>
    <t>Prices:</t>
  </si>
  <si>
    <t>Revenue:</t>
  </si>
  <si>
    <t>Revenue/ton</t>
  </si>
  <si>
    <t>SMaRT Processed Tons</t>
  </si>
  <si>
    <t>UTC</t>
  </si>
  <si>
    <t>Non-UTC</t>
  </si>
  <si>
    <t>Total</t>
  </si>
  <si>
    <t>Residual</t>
  </si>
  <si>
    <t>Tonnage</t>
  </si>
  <si>
    <t>Less:</t>
  </si>
  <si>
    <t>% Residual</t>
  </si>
  <si>
    <t>2019 - 2020 Rebate Calculation</t>
  </si>
  <si>
    <t>Residential</t>
  </si>
  <si>
    <t>Customers</t>
  </si>
  <si>
    <t>Credit</t>
  </si>
  <si>
    <t>Credits</t>
  </si>
  <si>
    <t xml:space="preserve">Actual Commodity Revenue </t>
  </si>
  <si>
    <t>Owe Customer (company)</t>
  </si>
  <si>
    <t>Adjust for Under/(Over) payment in 2018-2019</t>
  </si>
  <si>
    <t>Projected Value</t>
  </si>
  <si>
    <t>Residential Commodity Adjustment - as calculated</t>
  </si>
  <si>
    <t>WM Wenatchee</t>
  </si>
  <si>
    <t>Projected Revenue Nov. 2018- Oct. 2019</t>
  </si>
  <si>
    <t>Projected Rev. Nov 2019-Oct 2020 (based on most recent 6 mo. avg.)</t>
  </si>
  <si>
    <t>Nov - Dec projected value without adjustment factor</t>
  </si>
  <si>
    <t>Jan - Oct projected value without adjustment factor</t>
  </si>
  <si>
    <t>Average</t>
  </si>
  <si>
    <t>Rate/ton</t>
  </si>
  <si>
    <t>Total Customers (annualized)</t>
  </si>
  <si>
    <t>Initial</t>
  </si>
  <si>
    <t>Initial Monthly Rebate</t>
  </si>
  <si>
    <t>Calculation of Initial Rebate per TG - 181016</t>
  </si>
  <si>
    <t>Single-Stream from WM processed at SMaRT</t>
  </si>
  <si>
    <t>Total Est. Annual Regulated Tonnage</t>
  </si>
  <si>
    <t>Nov., 2018</t>
  </si>
  <si>
    <t xml:space="preserve">Jan., 2019 </t>
  </si>
  <si>
    <t>Month</t>
  </si>
  <si>
    <t>Calculation of Recycling Revenue</t>
  </si>
  <si>
    <t>Recycling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</si>
</sst>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_)"/>
    <numFmt numFmtId="166" formatCode="_(* #,##0_);_(* \(#,##0\);_(* &quot;-&quot;??_);_(@_)"/>
    <numFmt numFmtId="167" formatCode="0.0%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u val="double"/>
      <sz val="9"/>
      <name val="Arial"/>
      <family val="2"/>
    </font>
    <font>
      <u val="singleAccounting"/>
      <sz val="9"/>
      <name val="Arial"/>
      <family val="2"/>
    </font>
    <font>
      <sz val="9"/>
      <color rgb="FFFF0000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i/>
      <u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u val="singleAccounting"/>
      <sz val="12"/>
      <name val="Arial"/>
      <family val="2"/>
    </font>
    <font>
      <u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u val="singleAccounting"/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24" fillId="0" borderId="0" applyFont="0" applyFill="0" applyBorder="0" applyAlignment="0" applyProtection="0"/>
  </cellStyleXfs>
  <cellXfs count="117">
    <xf numFmtId="0" fontId="0" fillId="0" borderId="0" xfId="0"/>
    <xf numFmtId="0" fontId="3" fillId="0" borderId="1" xfId="0" quotePrefix="1" applyFont="1" applyFill="1" applyBorder="1" applyAlignment="1">
      <alignment horizontal="left"/>
    </xf>
    <xf numFmtId="43" fontId="0" fillId="0" borderId="0" xfId="1" applyFont="1"/>
    <xf numFmtId="164" fontId="0" fillId="0" borderId="0" xfId="2" applyNumberFormat="1" applyFont="1"/>
    <xf numFmtId="0" fontId="4" fillId="0" borderId="0" xfId="0" applyFont="1"/>
    <xf numFmtId="0" fontId="5" fillId="0" borderId="0" xfId="0" applyFont="1"/>
    <xf numFmtId="165" fontId="6" fillId="2" borderId="0" xfId="0" applyNumberFormat="1" applyFont="1" applyFill="1" applyBorder="1" applyProtection="1"/>
    <xf numFmtId="43" fontId="2" fillId="0" borderId="0" xfId="1" applyFont="1" applyAlignment="1">
      <alignment horizontal="center"/>
    </xf>
    <xf numFmtId="164" fontId="2" fillId="0" borderId="0" xfId="2" applyNumberFormat="1" applyFont="1"/>
    <xf numFmtId="43" fontId="7" fillId="0" borderId="0" xfId="1" applyFont="1" applyAlignment="1">
      <alignment horizontal="center"/>
    </xf>
    <xf numFmtId="164" fontId="7" fillId="0" borderId="0" xfId="2" applyNumberFormat="1" applyFont="1" applyAlignment="1">
      <alignment horizontal="center"/>
    </xf>
    <xf numFmtId="44" fontId="7" fillId="0" borderId="0" xfId="2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/>
    <xf numFmtId="43" fontId="0" fillId="0" borderId="0" xfId="1" applyFont="1" applyFill="1"/>
    <xf numFmtId="164" fontId="0" fillId="0" borderId="0" xfId="2" applyNumberFormat="1" applyFont="1" applyFill="1"/>
    <xf numFmtId="44" fontId="0" fillId="0" borderId="0" xfId="2" applyFont="1" applyFill="1"/>
    <xf numFmtId="0" fontId="0" fillId="0" borderId="0" xfId="0" applyFill="1"/>
    <xf numFmtId="0" fontId="11" fillId="0" borderId="0" xfId="0" applyFont="1" applyBorder="1"/>
    <xf numFmtId="0" fontId="10" fillId="0" borderId="0" xfId="0" applyFont="1" applyBorder="1"/>
    <xf numFmtId="44" fontId="12" fillId="0" borderId="0" xfId="2" applyFont="1" applyFill="1" applyBorder="1" applyProtection="1">
      <protection locked="0"/>
    </xf>
    <xf numFmtId="10" fontId="12" fillId="0" borderId="0" xfId="3" applyNumberFormat="1" applyFont="1" applyBorder="1" applyAlignment="1">
      <alignment horizontal="right"/>
    </xf>
    <xf numFmtId="0" fontId="13" fillId="0" borderId="0" xfId="0" applyFont="1" applyFill="1"/>
    <xf numFmtId="0" fontId="11" fillId="0" borderId="0" xfId="0" applyFont="1"/>
    <xf numFmtId="0" fontId="10" fillId="0" borderId="2" xfId="0" applyFont="1" applyBorder="1" applyAlignment="1">
      <alignment horizontal="center"/>
    </xf>
    <xf numFmtId="43" fontId="12" fillId="0" borderId="0" xfId="1" applyFont="1" applyBorder="1" applyAlignment="1" applyProtection="1">
      <alignment horizontal="right"/>
      <protection locked="0"/>
    </xf>
    <xf numFmtId="43" fontId="12" fillId="0" borderId="0" xfId="1" applyFont="1" applyBorder="1" applyProtection="1">
      <protection locked="0"/>
    </xf>
    <xf numFmtId="0" fontId="13" fillId="0" borderId="0" xfId="0" applyFont="1" applyBorder="1"/>
    <xf numFmtId="10" fontId="14" fillId="0" borderId="0" xfId="3" applyNumberFormat="1" applyFont="1" applyBorder="1" applyAlignment="1">
      <alignment horizontal="right"/>
    </xf>
    <xf numFmtId="43" fontId="13" fillId="0" borderId="3" xfId="1" applyFont="1" applyBorder="1"/>
    <xf numFmtId="43" fontId="15" fillId="0" borderId="0" xfId="1" applyFont="1" applyBorder="1" applyAlignment="1" applyProtection="1">
      <alignment horizontal="right"/>
      <protection locked="0"/>
    </xf>
    <xf numFmtId="10" fontId="15" fillId="0" borderId="0" xfId="3" applyNumberFormat="1" applyFont="1" applyBorder="1" applyAlignment="1">
      <alignment horizontal="right"/>
    </xf>
    <xf numFmtId="43" fontId="15" fillId="0" borderId="0" xfId="1" applyFont="1" applyBorder="1" applyProtection="1">
      <protection locked="0"/>
    </xf>
    <xf numFmtId="43" fontId="9" fillId="0" borderId="0" xfId="0" applyNumberFormat="1" applyFont="1"/>
    <xf numFmtId="0" fontId="13" fillId="0" borderId="0" xfId="0" applyFont="1" applyFill="1" applyBorder="1"/>
    <xf numFmtId="0" fontId="7" fillId="0" borderId="0" xfId="0" applyFont="1"/>
    <xf numFmtId="164" fontId="0" fillId="0" borderId="0" xfId="0" applyNumberFormat="1"/>
    <xf numFmtId="164" fontId="8" fillId="0" borderId="0" xfId="0" applyNumberFormat="1" applyFont="1"/>
    <xf numFmtId="164" fontId="9" fillId="0" borderId="0" xfId="0" applyNumberFormat="1" applyFont="1"/>
    <xf numFmtId="44" fontId="9" fillId="0" borderId="0" xfId="2" applyFont="1"/>
    <xf numFmtId="167" fontId="0" fillId="0" borderId="0" xfId="3" applyNumberFormat="1" applyFont="1"/>
    <xf numFmtId="166" fontId="0" fillId="0" borderId="0" xfId="1" applyNumberFormat="1" applyFont="1"/>
    <xf numFmtId="44" fontId="0" fillId="0" borderId="0" xfId="2" applyFont="1"/>
    <xf numFmtId="43" fontId="0" fillId="0" borderId="0" xfId="0" applyNumberFormat="1"/>
    <xf numFmtId="44" fontId="7" fillId="0" borderId="0" xfId="2" applyFont="1"/>
    <xf numFmtId="44" fontId="11" fillId="0" borderId="0" xfId="2" applyFont="1" applyBorder="1"/>
    <xf numFmtId="10" fontId="0" fillId="0" borderId="0" xfId="1" applyNumberFormat="1" applyFont="1"/>
    <xf numFmtId="43" fontId="16" fillId="0" borderId="0" xfId="1" applyFont="1" applyBorder="1" applyAlignment="1" applyProtection="1">
      <alignment horizontal="right"/>
      <protection locked="0"/>
    </xf>
    <xf numFmtId="166" fontId="17" fillId="0" borderId="0" xfId="1" applyNumberFormat="1" applyFont="1"/>
    <xf numFmtId="0" fontId="3" fillId="4" borderId="4" xfId="0" applyFont="1" applyFill="1" applyBorder="1"/>
    <xf numFmtId="0" fontId="18" fillId="4" borderId="5" xfId="0" applyFont="1" applyFill="1" applyBorder="1"/>
    <xf numFmtId="0" fontId="19" fillId="4" borderId="5" xfId="0" applyFont="1" applyFill="1" applyBorder="1"/>
    <xf numFmtId="0" fontId="19" fillId="4" borderId="6" xfId="0" applyFont="1" applyFill="1" applyBorder="1"/>
    <xf numFmtId="0" fontId="20" fillId="4" borderId="7" xfId="0" applyFont="1" applyFill="1" applyBorder="1"/>
    <xf numFmtId="0" fontId="20" fillId="4" borderId="0" xfId="0" applyFont="1" applyFill="1" applyBorder="1"/>
    <xf numFmtId="0" fontId="21" fillId="4" borderId="0" xfId="0" applyFont="1" applyFill="1" applyBorder="1"/>
    <xf numFmtId="0" fontId="19" fillId="4" borderId="0" xfId="0" applyFont="1" applyFill="1" applyBorder="1"/>
    <xf numFmtId="0" fontId="19" fillId="4" borderId="8" xfId="0" applyFont="1" applyFill="1" applyBorder="1"/>
    <xf numFmtId="15" fontId="20" fillId="4" borderId="7" xfId="0" applyNumberFormat="1" applyFont="1" applyFill="1" applyBorder="1"/>
    <xf numFmtId="15" fontId="20" fillId="4" borderId="0" xfId="0" applyNumberFormat="1" applyFont="1" applyFill="1" applyBorder="1"/>
    <xf numFmtId="0" fontId="19" fillId="4" borderId="7" xfId="0" applyFont="1" applyFill="1" applyBorder="1"/>
    <xf numFmtId="0" fontId="20" fillId="4" borderId="0" xfId="0" applyFont="1" applyFill="1" applyBorder="1" applyAlignment="1">
      <alignment horizontal="center"/>
    </xf>
    <xf numFmtId="0" fontId="23" fillId="4" borderId="0" xfId="0" applyFont="1" applyFill="1" applyBorder="1" applyAlignment="1">
      <alignment horizontal="center"/>
    </xf>
    <xf numFmtId="0" fontId="20" fillId="4" borderId="9" xfId="0" applyFont="1" applyFill="1" applyBorder="1"/>
    <xf numFmtId="0" fontId="19" fillId="4" borderId="0" xfId="0" applyFont="1" applyFill="1" applyBorder="1" applyAlignment="1">
      <alignment horizontal="center"/>
    </xf>
    <xf numFmtId="41" fontId="19" fillId="4" borderId="0" xfId="0" applyNumberFormat="1" applyFont="1" applyFill="1" applyBorder="1"/>
    <xf numFmtId="44" fontId="25" fillId="4" borderId="0" xfId="4" applyFont="1" applyFill="1" applyBorder="1"/>
    <xf numFmtId="0" fontId="18" fillId="4" borderId="7" xfId="0" applyFont="1" applyFill="1" applyBorder="1"/>
    <xf numFmtId="0" fontId="18" fillId="4" borderId="0" xfId="0" applyFont="1" applyFill="1" applyBorder="1"/>
    <xf numFmtId="41" fontId="26" fillId="4" borderId="0" xfId="0" applyNumberFormat="1" applyFont="1" applyFill="1" applyBorder="1"/>
    <xf numFmtId="44" fontId="18" fillId="4" borderId="8" xfId="4" applyNumberFormat="1" applyFont="1" applyFill="1" applyBorder="1"/>
    <xf numFmtId="44" fontId="18" fillId="4" borderId="8" xfId="4" applyFont="1" applyFill="1" applyBorder="1"/>
    <xf numFmtId="164" fontId="18" fillId="4" borderId="0" xfId="4" applyNumberFormat="1" applyFont="1" applyFill="1" applyBorder="1"/>
    <xf numFmtId="44" fontId="26" fillId="4" borderId="8" xfId="4" applyNumberFormat="1" applyFont="1" applyFill="1" applyBorder="1"/>
    <xf numFmtId="44" fontId="20" fillId="4" borderId="10" xfId="4" applyNumberFormat="1" applyFont="1" applyFill="1" applyBorder="1"/>
    <xf numFmtId="44" fontId="20" fillId="4" borderId="8" xfId="4" applyNumberFormat="1" applyFont="1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166" fontId="8" fillId="0" borderId="0" xfId="1" applyNumberFormat="1" applyFont="1"/>
    <xf numFmtId="167" fontId="8" fillId="0" borderId="0" xfId="3" applyNumberFormat="1" applyFont="1"/>
    <xf numFmtId="166" fontId="9" fillId="0" borderId="0" xfId="1" applyNumberFormat="1" applyFont="1"/>
    <xf numFmtId="167" fontId="9" fillId="0" borderId="0" xfId="3" applyNumberFormat="1" applyFont="1"/>
    <xf numFmtId="44" fontId="27" fillId="0" borderId="0" xfId="2" applyFont="1" applyFill="1"/>
    <xf numFmtId="43" fontId="9" fillId="0" borderId="0" xfId="0" applyNumberFormat="1" applyFont="1" applyFill="1"/>
    <xf numFmtId="164" fontId="9" fillId="0" borderId="0" xfId="2" applyNumberFormat="1" applyFont="1" applyFill="1"/>
    <xf numFmtId="44" fontId="9" fillId="0" borderId="0" xfId="2" applyFont="1" applyFill="1"/>
    <xf numFmtId="0" fontId="2" fillId="0" borderId="0" xfId="0" applyFont="1" applyAlignment="1">
      <alignment horizontal="center"/>
    </xf>
    <xf numFmtId="44" fontId="0" fillId="0" borderId="0" xfId="0" applyNumberFormat="1"/>
    <xf numFmtId="43" fontId="8" fillId="0" borderId="0" xfId="0" applyNumberFormat="1" applyFont="1"/>
    <xf numFmtId="164" fontId="8" fillId="0" borderId="0" xfId="2" applyNumberFormat="1" applyFont="1"/>
    <xf numFmtId="43" fontId="9" fillId="0" borderId="0" xfId="1" applyFont="1"/>
    <xf numFmtId="0" fontId="28" fillId="0" borderId="0" xfId="0" applyFont="1"/>
    <xf numFmtId="164" fontId="9" fillId="0" borderId="0" xfId="2" applyNumberFormat="1" applyFont="1"/>
    <xf numFmtId="43" fontId="17" fillId="0" borderId="0" xfId="1" applyFont="1"/>
    <xf numFmtId="10" fontId="17" fillId="0" borderId="0" xfId="1" applyNumberFormat="1" applyFont="1"/>
    <xf numFmtId="166" fontId="29" fillId="0" borderId="0" xfId="1" applyNumberFormat="1" applyFont="1"/>
    <xf numFmtId="44" fontId="29" fillId="0" borderId="0" xfId="0" applyNumberFormat="1" applyFont="1"/>
    <xf numFmtId="10" fontId="29" fillId="0" borderId="0" xfId="1" applyNumberFormat="1" applyFont="1"/>
    <xf numFmtId="43" fontId="8" fillId="0" borderId="0" xfId="1" applyFont="1"/>
    <xf numFmtId="10" fontId="0" fillId="0" borderId="0" xfId="0" applyNumberFormat="1"/>
    <xf numFmtId="43" fontId="29" fillId="0" borderId="0" xfId="1" applyFont="1"/>
    <xf numFmtId="43" fontId="27" fillId="0" borderId="0" xfId="0" applyNumberFormat="1" applyFont="1" applyFill="1"/>
    <xf numFmtId="164" fontId="27" fillId="0" borderId="0" xfId="2" applyNumberFormat="1" applyFont="1" applyFill="1"/>
    <xf numFmtId="0" fontId="30" fillId="4" borderId="0" xfId="0" applyFont="1" applyFill="1" applyBorder="1" applyAlignment="1">
      <alignment horizontal="center"/>
    </xf>
    <xf numFmtId="44" fontId="2" fillId="0" borderId="0" xfId="2" applyFont="1" applyFill="1"/>
    <xf numFmtId="43" fontId="0" fillId="0" borderId="0" xfId="0" applyNumberFormat="1" applyFill="1"/>
    <xf numFmtId="44" fontId="8" fillId="0" borderId="0" xfId="0" applyNumberFormat="1" applyFont="1" applyFill="1"/>
    <xf numFmtId="164" fontId="2" fillId="0" borderId="0" xfId="0" applyNumberFormat="1" applyFont="1" applyFill="1"/>
    <xf numFmtId="166" fontId="8" fillId="0" borderId="0" xfId="1" applyNumberFormat="1" applyFont="1" applyFill="1"/>
    <xf numFmtId="0" fontId="22" fillId="4" borderId="7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0" fontId="22" fillId="4" borderId="8" xfId="0" applyFont="1" applyFill="1" applyBorder="1" applyAlignment="1">
      <alignment horizontal="center"/>
    </xf>
    <xf numFmtId="17" fontId="10" fillId="3" borderId="0" xfId="0" applyNumberFormat="1" applyFont="1" applyFill="1" applyBorder="1" applyAlignment="1">
      <alignment horizontal="center"/>
    </xf>
    <xf numFmtId="10" fontId="9" fillId="0" borderId="0" xfId="3" applyNumberFormat="1" applyFont="1"/>
    <xf numFmtId="0" fontId="31" fillId="0" borderId="0" xfId="0" applyFont="1"/>
    <xf numFmtId="0" fontId="32" fillId="0" borderId="0" xfId="0" applyFont="1" applyFill="1"/>
  </cellXfs>
  <cellStyles count="5">
    <cellStyle name="Comma" xfId="1" builtinId="3"/>
    <cellStyle name="Currency" xfId="2" builtinId="4"/>
    <cellStyle name="Currency 2" xfId="4" xr:uid="{D61A5A84-EAEF-435A-8928-3680D3EE44AF}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37503-A949-4211-8C37-BDF8A02BFC08}">
  <dimension ref="A1:F29"/>
  <sheetViews>
    <sheetView tabSelected="1" workbookViewId="0">
      <selection activeCell="C10" sqref="C10"/>
    </sheetView>
  </sheetViews>
  <sheetFormatPr defaultRowHeight="15" x14ac:dyDescent="0.25"/>
  <cols>
    <col min="1" max="1" width="77.5703125" bestFit="1" customWidth="1"/>
    <col min="3" max="3" width="13.42578125" bestFit="1" customWidth="1"/>
    <col min="4" max="4" width="14" bestFit="1" customWidth="1"/>
    <col min="5" max="5" width="11" bestFit="1" customWidth="1"/>
    <col min="6" max="6" width="9.140625" bestFit="1" customWidth="1"/>
  </cols>
  <sheetData>
    <row r="1" spans="1:6" ht="23.25" x14ac:dyDescent="0.35">
      <c r="A1" s="49" t="s">
        <v>56</v>
      </c>
      <c r="B1" s="50"/>
      <c r="C1" s="51"/>
      <c r="D1" s="51"/>
      <c r="E1" s="51"/>
      <c r="F1" s="52"/>
    </row>
    <row r="2" spans="1:6" ht="15.75" x14ac:dyDescent="0.25">
      <c r="A2" s="53" t="s">
        <v>46</v>
      </c>
      <c r="B2" s="54"/>
      <c r="C2" s="55"/>
      <c r="D2" s="56"/>
      <c r="E2" s="56"/>
      <c r="F2" s="57"/>
    </row>
    <row r="3" spans="1:6" ht="15.75" x14ac:dyDescent="0.25">
      <c r="A3" s="58"/>
      <c r="B3" s="59"/>
      <c r="C3" s="56"/>
      <c r="D3" s="56"/>
      <c r="E3" s="56"/>
      <c r="F3" s="57"/>
    </row>
    <row r="4" spans="1:6" ht="15.75" x14ac:dyDescent="0.25">
      <c r="A4" s="60"/>
      <c r="B4" s="56"/>
      <c r="C4" s="56"/>
      <c r="D4" s="56"/>
      <c r="E4" s="56"/>
      <c r="F4" s="57"/>
    </row>
    <row r="5" spans="1:6" ht="15.75" x14ac:dyDescent="0.25">
      <c r="A5" s="110" t="s">
        <v>47</v>
      </c>
      <c r="B5" s="111"/>
      <c r="C5" s="111"/>
      <c r="D5" s="111"/>
      <c r="E5" s="111"/>
      <c r="F5" s="112"/>
    </row>
    <row r="6" spans="1:6" ht="15.75" x14ac:dyDescent="0.25">
      <c r="A6" s="60"/>
      <c r="B6" s="56"/>
      <c r="C6" s="56"/>
      <c r="D6" s="104" t="s">
        <v>64</v>
      </c>
      <c r="E6" s="56"/>
      <c r="F6" s="57"/>
    </row>
    <row r="7" spans="1:6" ht="15.75" x14ac:dyDescent="0.25">
      <c r="A7" s="60"/>
      <c r="B7" s="56"/>
      <c r="C7" s="61"/>
      <c r="D7" s="61" t="s">
        <v>4</v>
      </c>
      <c r="E7" s="61" t="s">
        <v>41</v>
      </c>
      <c r="F7" s="57"/>
    </row>
    <row r="8" spans="1:6" ht="15.75" x14ac:dyDescent="0.25">
      <c r="A8" s="60"/>
      <c r="B8" s="56"/>
      <c r="C8" s="62" t="s">
        <v>48</v>
      </c>
      <c r="D8" s="62" t="s">
        <v>49</v>
      </c>
      <c r="E8" s="62" t="s">
        <v>50</v>
      </c>
      <c r="F8" s="57"/>
    </row>
    <row r="9" spans="1:6" ht="15.75" x14ac:dyDescent="0.25">
      <c r="A9" s="63" t="s">
        <v>57</v>
      </c>
      <c r="B9" s="54"/>
      <c r="C9" s="64"/>
      <c r="D9" s="64"/>
      <c r="E9" s="64"/>
      <c r="F9" s="57"/>
    </row>
    <row r="10" spans="1:6" ht="15.75" x14ac:dyDescent="0.25">
      <c r="A10" s="60" t="s">
        <v>59</v>
      </c>
      <c r="B10" s="56"/>
      <c r="C10" s="65">
        <f>+Customers!C7+Customers!C8</f>
        <v>10580</v>
      </c>
      <c r="D10" s="66">
        <v>1.5</v>
      </c>
      <c r="E10" s="65">
        <f>C10*D10</f>
        <v>15870</v>
      </c>
      <c r="F10" s="57"/>
    </row>
    <row r="11" spans="1:6" ht="17.25" x14ac:dyDescent="0.35">
      <c r="A11" s="67" t="s">
        <v>60</v>
      </c>
      <c r="B11" s="68"/>
      <c r="C11" s="69">
        <f>+Customers!C19-C10</f>
        <v>54602</v>
      </c>
      <c r="D11" s="66">
        <v>1.5</v>
      </c>
      <c r="E11" s="69">
        <f>C11*D11</f>
        <v>81903</v>
      </c>
      <c r="F11" s="57"/>
    </row>
    <row r="12" spans="1:6" ht="15.75" x14ac:dyDescent="0.25">
      <c r="A12" s="60" t="s">
        <v>41</v>
      </c>
      <c r="B12" s="56"/>
      <c r="C12" s="65">
        <f>SUM(C10:C11)</f>
        <v>65182</v>
      </c>
      <c r="D12" s="56"/>
      <c r="E12" s="65">
        <f>SUM(E10:E11)</f>
        <v>97773</v>
      </c>
      <c r="F12" s="57"/>
    </row>
    <row r="13" spans="1:6" ht="15.75" x14ac:dyDescent="0.25">
      <c r="A13" s="60"/>
      <c r="B13" s="56"/>
      <c r="C13" s="56"/>
      <c r="D13" s="56"/>
      <c r="E13" s="56"/>
      <c r="F13" s="57"/>
    </row>
    <row r="14" spans="1:6" ht="15.75" x14ac:dyDescent="0.25">
      <c r="A14" s="53" t="s">
        <v>51</v>
      </c>
      <c r="B14" s="56"/>
      <c r="C14" s="56"/>
      <c r="D14" s="56"/>
      <c r="E14" s="65">
        <f>+'Recycling Revenue'!J20</f>
        <v>60789.00270129682</v>
      </c>
      <c r="F14" s="57"/>
    </row>
    <row r="15" spans="1:6" ht="15.75" x14ac:dyDescent="0.25">
      <c r="A15" s="60"/>
      <c r="B15" s="56"/>
      <c r="C15" s="56"/>
      <c r="D15" s="56"/>
      <c r="E15" s="56"/>
      <c r="F15" s="57"/>
    </row>
    <row r="16" spans="1:6" ht="15.75" x14ac:dyDescent="0.25">
      <c r="A16" s="60" t="s">
        <v>52</v>
      </c>
      <c r="B16" s="56"/>
      <c r="C16" s="56"/>
      <c r="D16" s="56"/>
      <c r="E16" s="65">
        <f>E14-E12</f>
        <v>-36983.99729870318</v>
      </c>
      <c r="F16" s="57"/>
    </row>
    <row r="17" spans="1:6" ht="15.75" x14ac:dyDescent="0.25">
      <c r="A17" s="60"/>
      <c r="B17" s="56"/>
      <c r="C17" s="56"/>
      <c r="D17" s="56"/>
      <c r="E17" s="56"/>
      <c r="F17" s="57"/>
    </row>
    <row r="18" spans="1:6" ht="15.75" x14ac:dyDescent="0.25">
      <c r="A18" s="60" t="s">
        <v>17</v>
      </c>
      <c r="B18" s="56"/>
      <c r="C18" s="56"/>
      <c r="D18" s="56"/>
      <c r="E18" s="65">
        <f>+C12</f>
        <v>65182</v>
      </c>
      <c r="F18" s="57"/>
    </row>
    <row r="19" spans="1:6" ht="15.75" x14ac:dyDescent="0.25">
      <c r="A19" s="60"/>
      <c r="B19" s="56"/>
      <c r="C19" s="56"/>
      <c r="D19" s="56"/>
      <c r="E19" s="56"/>
      <c r="F19" s="57"/>
    </row>
    <row r="20" spans="1:6" ht="15.75" x14ac:dyDescent="0.25">
      <c r="A20" s="60" t="s">
        <v>53</v>
      </c>
      <c r="B20" s="56"/>
      <c r="C20" s="56"/>
      <c r="D20" s="56"/>
      <c r="E20" s="56"/>
      <c r="F20" s="70">
        <f>+E16/E18</f>
        <v>-0.56739586540307418</v>
      </c>
    </row>
    <row r="21" spans="1:6" ht="15.75" x14ac:dyDescent="0.25">
      <c r="A21" s="60"/>
      <c r="B21" s="56"/>
      <c r="C21" s="56"/>
      <c r="D21" s="56"/>
      <c r="E21" s="56"/>
      <c r="F21" s="71"/>
    </row>
    <row r="22" spans="1:6" ht="15.75" x14ac:dyDescent="0.25">
      <c r="A22" s="60"/>
      <c r="B22" s="56"/>
      <c r="C22" s="56"/>
      <c r="D22" s="56"/>
      <c r="E22" s="56"/>
      <c r="F22" s="71"/>
    </row>
    <row r="23" spans="1:6" ht="15.75" x14ac:dyDescent="0.25">
      <c r="A23" s="63" t="s">
        <v>58</v>
      </c>
      <c r="B23" s="54"/>
      <c r="C23" s="56"/>
      <c r="D23" s="56"/>
      <c r="E23" s="72">
        <f>SUM('Recycling Revenue'!J14:J19)*2</f>
        <v>49280.881198043287</v>
      </c>
      <c r="F23" s="71"/>
    </row>
    <row r="24" spans="1:6" ht="15.75" x14ac:dyDescent="0.25">
      <c r="A24" s="60" t="s">
        <v>63</v>
      </c>
      <c r="B24" s="56"/>
      <c r="C24" s="56"/>
      <c r="D24" s="56"/>
      <c r="E24" s="65">
        <f>+C12</f>
        <v>65182</v>
      </c>
      <c r="F24" s="71"/>
    </row>
    <row r="25" spans="1:6" ht="17.25" x14ac:dyDescent="0.35">
      <c r="A25" s="60" t="s">
        <v>54</v>
      </c>
      <c r="B25" s="56"/>
      <c r="C25" s="56"/>
      <c r="D25" s="56"/>
      <c r="E25" s="56"/>
      <c r="F25" s="73">
        <f>ROUND(+E23/E24,2)</f>
        <v>0.76</v>
      </c>
    </row>
    <row r="26" spans="1:6" ht="15.75" x14ac:dyDescent="0.25">
      <c r="A26" s="60"/>
      <c r="B26" s="56"/>
      <c r="C26" s="56"/>
      <c r="D26" s="56"/>
      <c r="E26" s="56"/>
      <c r="F26" s="71"/>
    </row>
    <row r="27" spans="1:6" ht="16.5" thickBot="1" x14ac:dyDescent="0.3">
      <c r="A27" s="53" t="s">
        <v>55</v>
      </c>
      <c r="B27" s="54"/>
      <c r="C27" s="56"/>
      <c r="D27" s="56"/>
      <c r="E27" s="56"/>
      <c r="F27" s="74">
        <f>SUM(F20:F25)</f>
        <v>0.19260413459692582</v>
      </c>
    </row>
    <row r="28" spans="1:6" ht="16.5" thickTop="1" x14ac:dyDescent="0.25">
      <c r="A28" s="53"/>
      <c r="B28" s="54"/>
      <c r="C28" s="56"/>
      <c r="D28" s="56"/>
      <c r="E28" s="56"/>
      <c r="F28" s="75"/>
    </row>
    <row r="29" spans="1:6" ht="15.75" thickBot="1" x14ac:dyDescent="0.3">
      <c r="A29" s="76"/>
      <c r="B29" s="77"/>
      <c r="C29" s="77"/>
      <c r="D29" s="77"/>
      <c r="E29" s="77"/>
      <c r="F29" s="78"/>
    </row>
  </sheetData>
  <mergeCells count="1">
    <mergeCell ref="A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88A78-3E21-4368-9B4C-96C8B1ABB500}">
  <dimension ref="A1:K35"/>
  <sheetViews>
    <sheetView workbookViewId="0">
      <selection activeCell="J15" sqref="J15"/>
    </sheetView>
  </sheetViews>
  <sheetFormatPr defaultRowHeight="15" x14ac:dyDescent="0.25"/>
  <cols>
    <col min="3" max="5" width="9.5703125" bestFit="1" customWidth="1"/>
    <col min="6" max="6" width="9.5703125" customWidth="1"/>
    <col min="8" max="8" width="9.5703125" bestFit="1" customWidth="1"/>
    <col min="10" max="10" width="11.5703125" bestFit="1" customWidth="1"/>
  </cols>
  <sheetData>
    <row r="1" spans="1:10" ht="23.25" x14ac:dyDescent="0.35">
      <c r="A1" s="1" t="s">
        <v>0</v>
      </c>
    </row>
    <row r="2" spans="1:10" ht="21" x14ac:dyDescent="0.35">
      <c r="A2" s="115" t="s">
        <v>72</v>
      </c>
    </row>
    <row r="3" spans="1:10" ht="18.75" x14ac:dyDescent="0.3">
      <c r="A3" s="5"/>
    </row>
    <row r="6" spans="1:10" x14ac:dyDescent="0.25">
      <c r="F6" s="13" t="s">
        <v>44</v>
      </c>
      <c r="G6" s="13" t="s">
        <v>42</v>
      </c>
      <c r="H6" s="13" t="s">
        <v>43</v>
      </c>
      <c r="I6" s="87" t="s">
        <v>61</v>
      </c>
      <c r="J6" s="87" t="s">
        <v>4</v>
      </c>
    </row>
    <row r="7" spans="1:10" x14ac:dyDescent="0.25">
      <c r="A7" s="35" t="s">
        <v>71</v>
      </c>
      <c r="C7" s="12" t="s">
        <v>41</v>
      </c>
      <c r="D7" s="12" t="s">
        <v>40</v>
      </c>
      <c r="E7" s="12" t="s">
        <v>39</v>
      </c>
      <c r="F7" s="12" t="s">
        <v>45</v>
      </c>
      <c r="G7" s="12" t="s">
        <v>43</v>
      </c>
      <c r="H7" s="12" t="s">
        <v>5</v>
      </c>
      <c r="I7" s="12" t="s">
        <v>62</v>
      </c>
      <c r="J7" s="12" t="s">
        <v>6</v>
      </c>
    </row>
    <row r="8" spans="1:10" x14ac:dyDescent="0.25">
      <c r="A8" t="s">
        <v>69</v>
      </c>
      <c r="C8" s="2">
        <f t="shared" ref="C8:C19" si="0">+D8+E8</f>
        <v>310.13999999999976</v>
      </c>
      <c r="D8" s="2">
        <v>207.72999999999979</v>
      </c>
      <c r="E8" s="2">
        <v>102.40999999999997</v>
      </c>
      <c r="F8" s="46">
        <f>+'Rebate Data'!C$16</f>
        <v>0.14429642024063583</v>
      </c>
      <c r="G8" s="43">
        <f>-F8*E8</f>
        <v>-14.77739639684351</v>
      </c>
      <c r="H8" s="43">
        <f>+G8+E8</f>
        <v>87.632603603156454</v>
      </c>
      <c r="I8" s="88">
        <f>+'SMaRT Tons Sold'!D8</f>
        <v>81.288879866767203</v>
      </c>
      <c r="J8" s="3">
        <f>+I8*H8</f>
        <v>7123.5561867090155</v>
      </c>
    </row>
    <row r="9" spans="1:10" x14ac:dyDescent="0.25">
      <c r="A9" t="s">
        <v>15</v>
      </c>
      <c r="C9" s="2">
        <f t="shared" si="0"/>
        <v>321.01</v>
      </c>
      <c r="D9" s="2">
        <v>231.16</v>
      </c>
      <c r="E9" s="2">
        <v>89.85</v>
      </c>
      <c r="F9" s="46">
        <f>+'Rebate Data'!E$16</f>
        <v>0.14259759890700854</v>
      </c>
      <c r="G9" s="43">
        <f t="shared" ref="G9:G19" si="1">-F9*E9</f>
        <v>-12.812394261794717</v>
      </c>
      <c r="H9" s="43">
        <f t="shared" ref="H9:H19" si="2">+G9+E9</f>
        <v>77.037605738205272</v>
      </c>
      <c r="I9" s="88">
        <f>+'SMaRT Tons Sold'!D9</f>
        <v>77.715121289688284</v>
      </c>
      <c r="J9" s="3">
        <f t="shared" ref="J9:J19" si="3">+I9*H9</f>
        <v>5986.9868738118084</v>
      </c>
    </row>
    <row r="10" spans="1:10" x14ac:dyDescent="0.25">
      <c r="A10" t="s">
        <v>70</v>
      </c>
      <c r="C10" s="2">
        <f t="shared" si="0"/>
        <v>343.64</v>
      </c>
      <c r="D10" s="2">
        <v>218.79</v>
      </c>
      <c r="E10" s="2">
        <v>124.85</v>
      </c>
      <c r="F10" s="46">
        <f>+'Rebate Data'!G$16</f>
        <v>0.14358774343896305</v>
      </c>
      <c r="G10" s="43">
        <f t="shared" si="1"/>
        <v>-17.926929768354537</v>
      </c>
      <c r="H10" s="43">
        <f t="shared" si="2"/>
        <v>106.92307023164545</v>
      </c>
      <c r="I10" s="88">
        <f>+'SMaRT Tons Sold'!D10</f>
        <v>77.634863981319313</v>
      </c>
      <c r="J10" s="3">
        <f t="shared" si="3"/>
        <v>8300.9580138988476</v>
      </c>
    </row>
    <row r="11" spans="1:10" x14ac:dyDescent="0.25">
      <c r="A11" t="s">
        <v>19</v>
      </c>
      <c r="C11" s="2">
        <f t="shared" si="0"/>
        <v>243.55</v>
      </c>
      <c r="D11" s="2">
        <v>170.35</v>
      </c>
      <c r="E11" s="2">
        <v>73.2</v>
      </c>
      <c r="F11" s="46">
        <f>+'Rebate Data'!I$16</f>
        <v>0.15209588139452576</v>
      </c>
      <c r="G11" s="43">
        <f t="shared" si="1"/>
        <v>-11.133418518079287</v>
      </c>
      <c r="H11" s="43">
        <f t="shared" si="2"/>
        <v>62.066581481920714</v>
      </c>
      <c r="I11" s="88">
        <f>+'SMaRT Tons Sold'!D11</f>
        <v>74.529660337303923</v>
      </c>
      <c r="J11" s="3">
        <f t="shared" si="3"/>
        <v>4625.8012361451483</v>
      </c>
    </row>
    <row r="12" spans="1:10" x14ac:dyDescent="0.25">
      <c r="A12" t="s">
        <v>20</v>
      </c>
      <c r="C12" s="2">
        <f t="shared" si="0"/>
        <v>263.52999999999997</v>
      </c>
      <c r="D12" s="2">
        <v>180.79</v>
      </c>
      <c r="E12" s="2">
        <v>82.74</v>
      </c>
      <c r="F12" s="46">
        <f>+'Rebate Data'!K$16</f>
        <v>0.13828979273528091</v>
      </c>
      <c r="G12" s="43">
        <f t="shared" si="1"/>
        <v>-11.442097450917142</v>
      </c>
      <c r="H12" s="43">
        <f t="shared" si="2"/>
        <v>71.297902549082849</v>
      </c>
      <c r="I12" s="88">
        <f>+'SMaRT Tons Sold'!D12</f>
        <v>72.360867950800639</v>
      </c>
      <c r="J12" s="3">
        <f t="shared" si="3"/>
        <v>5159.1781115232361</v>
      </c>
    </row>
    <row r="13" spans="1:10" x14ac:dyDescent="0.25">
      <c r="A13" t="s">
        <v>21</v>
      </c>
      <c r="C13" s="2">
        <f t="shared" si="0"/>
        <v>302.80999999999995</v>
      </c>
      <c r="D13" s="2">
        <v>206.66999999999996</v>
      </c>
      <c r="E13" s="2">
        <v>96.140000000000015</v>
      </c>
      <c r="F13" s="46">
        <f>+'Rebate Data'!M$16</f>
        <v>0.14381701008771852</v>
      </c>
      <c r="G13" s="43">
        <f t="shared" si="1"/>
        <v>-13.82656734983326</v>
      </c>
      <c r="H13" s="43">
        <f t="shared" si="2"/>
        <v>82.31343265016676</v>
      </c>
      <c r="I13" s="88">
        <f>+'SMaRT Tons Sold'!D13</f>
        <v>60.161282560448562</v>
      </c>
      <c r="J13" s="3">
        <f t="shared" si="3"/>
        <v>4952.0816801871351</v>
      </c>
    </row>
    <row r="14" spans="1:10" x14ac:dyDescent="0.25">
      <c r="A14" t="s">
        <v>8</v>
      </c>
      <c r="C14" s="2">
        <f t="shared" si="0"/>
        <v>327.02999999999997</v>
      </c>
      <c r="D14" s="2">
        <v>212.61</v>
      </c>
      <c r="E14" s="2">
        <v>114.41999999999999</v>
      </c>
      <c r="F14" s="46">
        <f>+'Rebate Data'!O$16</f>
        <v>0.15479927022114251</v>
      </c>
      <c r="G14" s="43">
        <f t="shared" si="1"/>
        <v>-17.712132498703124</v>
      </c>
      <c r="H14" s="43">
        <f t="shared" si="2"/>
        <v>96.70786750129686</v>
      </c>
      <c r="I14" s="88">
        <f>+'SMaRT Tons Sold'!D14</f>
        <v>50.309327969711305</v>
      </c>
      <c r="J14" s="3">
        <f t="shared" si="3"/>
        <v>4865.3078233741289</v>
      </c>
    </row>
    <row r="15" spans="1:10" x14ac:dyDescent="0.25">
      <c r="A15" t="s">
        <v>9</v>
      </c>
      <c r="C15" s="2">
        <f t="shared" si="0"/>
        <v>294.63</v>
      </c>
      <c r="D15" s="2">
        <v>206.26</v>
      </c>
      <c r="E15" s="2">
        <v>88.37</v>
      </c>
      <c r="F15" s="46">
        <f>+'Rebate Data'!Q$16</f>
        <v>0.14169855167719067</v>
      </c>
      <c r="G15" s="43">
        <f t="shared" si="1"/>
        <v>-12.521901011713339</v>
      </c>
      <c r="H15" s="43">
        <f t="shared" si="2"/>
        <v>75.848098988286665</v>
      </c>
      <c r="I15" s="88">
        <f>+'SMaRT Tons Sold'!D15</f>
        <v>50.264463208850103</v>
      </c>
      <c r="J15" s="3">
        <f t="shared" si="3"/>
        <v>3812.4639810579556</v>
      </c>
    </row>
    <row r="16" spans="1:10" x14ac:dyDescent="0.25">
      <c r="A16" t="s">
        <v>10</v>
      </c>
      <c r="C16" s="2">
        <f t="shared" si="0"/>
        <v>355.24</v>
      </c>
      <c r="D16" s="2">
        <v>238.78</v>
      </c>
      <c r="E16" s="2">
        <v>116.46</v>
      </c>
      <c r="F16" s="46">
        <f>+'Rebate Data'!S$16</f>
        <v>0.15724893861736694</v>
      </c>
      <c r="G16" s="43">
        <f t="shared" si="1"/>
        <v>-18.313211391378552</v>
      </c>
      <c r="H16" s="43">
        <f t="shared" si="2"/>
        <v>98.146788608621449</v>
      </c>
      <c r="I16" s="88">
        <f>+'SMaRT Tons Sold'!D16</f>
        <v>45.60419714341419</v>
      </c>
      <c r="J16" s="3">
        <f t="shared" si="3"/>
        <v>4475.9054967005704</v>
      </c>
    </row>
    <row r="17" spans="1:11" x14ac:dyDescent="0.25">
      <c r="A17" t="s">
        <v>11</v>
      </c>
      <c r="C17" s="2">
        <f t="shared" si="0"/>
        <v>396.45</v>
      </c>
      <c r="D17" s="2">
        <v>288.75</v>
      </c>
      <c r="E17" s="2">
        <v>107.7</v>
      </c>
      <c r="F17" s="46">
        <f>+'Rebate Data'!U$16</f>
        <v>0.17010696139994708</v>
      </c>
      <c r="G17" s="43">
        <f t="shared" si="1"/>
        <v>-18.320519742774302</v>
      </c>
      <c r="H17" s="43">
        <f t="shared" si="2"/>
        <v>89.379480257225708</v>
      </c>
      <c r="I17" s="88">
        <f>+'SMaRT Tons Sold'!D17</f>
        <v>49.455830047754745</v>
      </c>
      <c r="J17" s="3">
        <f t="shared" si="3"/>
        <v>4420.3363853580049</v>
      </c>
    </row>
    <row r="18" spans="1:11" x14ac:dyDescent="0.25">
      <c r="A18" t="s">
        <v>12</v>
      </c>
      <c r="C18" s="2">
        <f t="shared" si="0"/>
        <v>378.82</v>
      </c>
      <c r="D18" s="94">
        <v>286.18</v>
      </c>
      <c r="E18" s="94">
        <v>92.64</v>
      </c>
      <c r="F18" s="95">
        <f>+'Rebate Data'!W16</f>
        <v>0.17628376002450119</v>
      </c>
      <c r="G18" s="43">
        <f t="shared" si="1"/>
        <v>-16.33092752866979</v>
      </c>
      <c r="H18" s="43">
        <f t="shared" si="2"/>
        <v>76.309072471330211</v>
      </c>
      <c r="I18" s="88">
        <f>+'SMaRT Tons Sold'!D18</f>
        <v>49.514048858409765</v>
      </c>
      <c r="J18" s="3">
        <f t="shared" si="3"/>
        <v>3778.3711426853756</v>
      </c>
    </row>
    <row r="19" spans="1:11" ht="17.25" x14ac:dyDescent="0.4">
      <c r="A19" t="s">
        <v>13</v>
      </c>
      <c r="C19" s="99">
        <f t="shared" si="0"/>
        <v>290.76</v>
      </c>
      <c r="D19" s="101">
        <v>214.81</v>
      </c>
      <c r="E19" s="101">
        <v>75.95</v>
      </c>
      <c r="F19" s="98">
        <f>+'Rebate Data'!Y16</f>
        <v>0.17168179463501432</v>
      </c>
      <c r="G19" s="89">
        <f t="shared" si="1"/>
        <v>-13.039232302529339</v>
      </c>
      <c r="H19" s="89">
        <f t="shared" si="2"/>
        <v>62.910767697470661</v>
      </c>
      <c r="I19" s="97">
        <f>+'Rebate Data'!X50</f>
        <v>52.26538937908721</v>
      </c>
      <c r="J19" s="90">
        <f t="shared" si="3"/>
        <v>3288.0557698456059</v>
      </c>
    </row>
    <row r="20" spans="1:11" ht="17.25" x14ac:dyDescent="0.4">
      <c r="C20" s="91">
        <f>SUM(C8:C19)</f>
        <v>3827.6099999999997</v>
      </c>
      <c r="D20" s="91">
        <f>SUM(D8:D19)</f>
        <v>2662.8799999999997</v>
      </c>
      <c r="E20" s="91">
        <f>SUM(E8:E19)</f>
        <v>1164.73</v>
      </c>
      <c r="F20" s="114">
        <f>-G20/E20</f>
        <v>0.15295968011607061</v>
      </c>
      <c r="G20" s="91">
        <f t="shared" ref="G20:J20" si="4">SUM(G8:G19)</f>
        <v>-178.15672822159092</v>
      </c>
      <c r="H20" s="91">
        <f t="shared" si="4"/>
        <v>986.57327177840909</v>
      </c>
      <c r="I20" s="39">
        <f>+J20/H20</f>
        <v>61.616308124502318</v>
      </c>
      <c r="J20" s="93">
        <f t="shared" si="4"/>
        <v>60789.00270129682</v>
      </c>
      <c r="K20" s="92"/>
    </row>
    <row r="21" spans="1:11" x14ac:dyDescent="0.25">
      <c r="C21" s="2"/>
      <c r="D21" s="2"/>
      <c r="E21" s="2"/>
      <c r="F21" s="2"/>
    </row>
    <row r="22" spans="1:11" x14ac:dyDescent="0.25">
      <c r="C22" s="2"/>
      <c r="D22" s="2"/>
      <c r="E22" s="2"/>
      <c r="F22" s="2"/>
    </row>
    <row r="23" spans="1:11" x14ac:dyDescent="0.25">
      <c r="C23" s="2"/>
      <c r="D23" s="2"/>
      <c r="E23" s="2"/>
      <c r="F23" s="2"/>
    </row>
    <row r="24" spans="1:11" x14ac:dyDescent="0.25">
      <c r="C24" s="2"/>
      <c r="D24" s="2"/>
      <c r="E24" s="2"/>
      <c r="F24" s="2"/>
    </row>
    <row r="25" spans="1:11" x14ac:dyDescent="0.25">
      <c r="C25" s="2"/>
      <c r="D25" s="2"/>
      <c r="E25" s="2"/>
      <c r="F25" s="2"/>
    </row>
    <row r="26" spans="1:11" x14ac:dyDescent="0.25">
      <c r="C26" s="2"/>
      <c r="D26" s="2"/>
      <c r="E26" s="2"/>
      <c r="F26" s="2"/>
    </row>
    <row r="27" spans="1:11" x14ac:dyDescent="0.25">
      <c r="C27" s="2"/>
      <c r="D27" s="2"/>
      <c r="E27" s="2"/>
      <c r="F27" s="2"/>
    </row>
    <row r="28" spans="1:11" x14ac:dyDescent="0.25">
      <c r="C28" s="2"/>
      <c r="D28" s="2"/>
      <c r="E28" s="2"/>
      <c r="F28" s="2"/>
    </row>
    <row r="29" spans="1:11" x14ac:dyDescent="0.25">
      <c r="C29" s="2"/>
      <c r="D29" s="2"/>
      <c r="E29" s="2"/>
      <c r="F29" s="2"/>
    </row>
    <row r="30" spans="1:11" x14ac:dyDescent="0.25">
      <c r="C30" s="2"/>
      <c r="D30" s="2"/>
      <c r="E30" s="2"/>
      <c r="F30" s="2"/>
    </row>
    <row r="31" spans="1:11" x14ac:dyDescent="0.25">
      <c r="C31" s="2"/>
      <c r="D31" s="2"/>
      <c r="E31" s="2"/>
      <c r="F31" s="2"/>
    </row>
    <row r="32" spans="1:11" x14ac:dyDescent="0.25">
      <c r="C32" s="2"/>
      <c r="D32" s="2"/>
      <c r="E32" s="2"/>
      <c r="F32" s="2"/>
    </row>
    <row r="33" spans="3:6" x14ac:dyDescent="0.25">
      <c r="C33" s="2"/>
      <c r="D33" s="2"/>
      <c r="E33" s="2"/>
      <c r="F33" s="2"/>
    </row>
    <row r="34" spans="3:6" x14ac:dyDescent="0.25">
      <c r="C34" s="2"/>
      <c r="D34" s="2"/>
      <c r="E34" s="2"/>
      <c r="F34" s="2"/>
    </row>
    <row r="35" spans="3:6" x14ac:dyDescent="0.25">
      <c r="C35" s="2"/>
      <c r="D35" s="2"/>
      <c r="E35" s="2"/>
      <c r="F35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31FB0-8054-43D1-A839-AFBEE53C2BF1}">
  <dimension ref="A1:I33"/>
  <sheetViews>
    <sheetView workbookViewId="0">
      <selection activeCell="D8" sqref="D8"/>
    </sheetView>
  </sheetViews>
  <sheetFormatPr defaultRowHeight="15" x14ac:dyDescent="0.25"/>
  <cols>
    <col min="3" max="3" width="9.5703125" bestFit="1" customWidth="1"/>
    <col min="4" max="4" width="9" bestFit="1" customWidth="1"/>
    <col min="9" max="9" width="10.5703125" bestFit="1" customWidth="1"/>
  </cols>
  <sheetData>
    <row r="1" spans="1:9" ht="23.25" x14ac:dyDescent="0.35">
      <c r="A1" s="1" t="s">
        <v>0</v>
      </c>
    </row>
    <row r="2" spans="1:9" ht="21" x14ac:dyDescent="0.35">
      <c r="A2" s="115" t="s">
        <v>73</v>
      </c>
    </row>
    <row r="6" spans="1:9" x14ac:dyDescent="0.25">
      <c r="C6" s="12" t="s">
        <v>39</v>
      </c>
      <c r="D6" s="12" t="s">
        <v>40</v>
      </c>
      <c r="E6" s="12" t="s">
        <v>41</v>
      </c>
      <c r="F6" s="12" t="s">
        <v>32</v>
      </c>
    </row>
    <row r="7" spans="1:9" x14ac:dyDescent="0.25">
      <c r="A7" t="s">
        <v>14</v>
      </c>
      <c r="C7" s="48">
        <v>5280</v>
      </c>
      <c r="D7" s="48">
        <v>14025</v>
      </c>
      <c r="E7" s="41">
        <f t="shared" ref="E7:E18" si="0">+D7+C7</f>
        <v>19305</v>
      </c>
      <c r="F7" s="40">
        <f>+C7/E7</f>
        <v>0.27350427350427353</v>
      </c>
      <c r="H7" s="42"/>
      <c r="I7" s="43"/>
    </row>
    <row r="8" spans="1:9" x14ac:dyDescent="0.25">
      <c r="A8" t="s">
        <v>15</v>
      </c>
      <c r="C8" s="48">
        <v>5300</v>
      </c>
      <c r="D8" s="48">
        <v>14050</v>
      </c>
      <c r="E8" s="41">
        <f t="shared" si="0"/>
        <v>19350</v>
      </c>
      <c r="F8" s="40">
        <f t="shared" ref="F8:F18" si="1">+C8/E8</f>
        <v>0.27390180878552972</v>
      </c>
      <c r="H8" s="42"/>
      <c r="I8" s="43"/>
    </row>
    <row r="9" spans="1:9" x14ac:dyDescent="0.25">
      <c r="A9" t="s">
        <v>18</v>
      </c>
      <c r="C9" s="48">
        <v>5319</v>
      </c>
      <c r="D9" s="48">
        <v>14069</v>
      </c>
      <c r="E9" s="41">
        <f t="shared" si="0"/>
        <v>19388</v>
      </c>
      <c r="F9" s="40">
        <f t="shared" si="1"/>
        <v>0.27434495564266559</v>
      </c>
      <c r="H9" s="42"/>
      <c r="I9" s="43"/>
    </row>
    <row r="10" spans="1:9" x14ac:dyDescent="0.25">
      <c r="A10" t="s">
        <v>19</v>
      </c>
      <c r="C10" s="48">
        <v>5313</v>
      </c>
      <c r="D10" s="48">
        <v>14195</v>
      </c>
      <c r="E10" s="41">
        <f t="shared" si="0"/>
        <v>19508</v>
      </c>
      <c r="F10" s="40">
        <f t="shared" si="1"/>
        <v>0.27234980520811974</v>
      </c>
      <c r="H10" s="42"/>
      <c r="I10" s="43"/>
    </row>
    <row r="11" spans="1:9" x14ac:dyDescent="0.25">
      <c r="A11" t="s">
        <v>20</v>
      </c>
      <c r="C11" s="48">
        <v>5330</v>
      </c>
      <c r="D11" s="48">
        <v>14195</v>
      </c>
      <c r="E11" s="41">
        <f t="shared" si="0"/>
        <v>19525</v>
      </c>
      <c r="F11" s="40">
        <f t="shared" si="1"/>
        <v>0.27298335467349549</v>
      </c>
      <c r="H11" s="42"/>
      <c r="I11" s="43"/>
    </row>
    <row r="12" spans="1:9" x14ac:dyDescent="0.25">
      <c r="A12" t="s">
        <v>21</v>
      </c>
      <c r="C12" s="41">
        <v>5408</v>
      </c>
      <c r="D12" s="41">
        <v>14300</v>
      </c>
      <c r="E12" s="41">
        <f t="shared" si="0"/>
        <v>19708</v>
      </c>
      <c r="F12" s="40">
        <f t="shared" si="1"/>
        <v>0.27440633245382584</v>
      </c>
      <c r="H12" s="42"/>
      <c r="I12" s="43"/>
    </row>
    <row r="13" spans="1:9" x14ac:dyDescent="0.25">
      <c r="A13" t="s">
        <v>8</v>
      </c>
      <c r="C13" s="41">
        <v>5463</v>
      </c>
      <c r="D13" s="41">
        <v>14416</v>
      </c>
      <c r="E13" s="41">
        <f t="shared" si="0"/>
        <v>19879</v>
      </c>
      <c r="F13" s="40">
        <f t="shared" si="1"/>
        <v>0.27481261632878917</v>
      </c>
      <c r="H13" s="42"/>
      <c r="I13" s="43"/>
    </row>
    <row r="14" spans="1:9" x14ac:dyDescent="0.25">
      <c r="A14" t="s">
        <v>9</v>
      </c>
      <c r="C14" s="41">
        <v>5505</v>
      </c>
      <c r="D14" s="41">
        <v>14445</v>
      </c>
      <c r="E14" s="41">
        <f t="shared" si="0"/>
        <v>19950</v>
      </c>
      <c r="F14" s="40">
        <f t="shared" si="1"/>
        <v>0.27593984962406015</v>
      </c>
      <c r="H14" s="42"/>
      <c r="I14" s="43"/>
    </row>
    <row r="15" spans="1:9" x14ac:dyDescent="0.25">
      <c r="A15" t="s">
        <v>10</v>
      </c>
      <c r="C15" s="41">
        <v>5547</v>
      </c>
      <c r="D15" s="41">
        <v>14485</v>
      </c>
      <c r="E15" s="41">
        <f t="shared" si="0"/>
        <v>20032</v>
      </c>
      <c r="F15" s="40">
        <f t="shared" si="1"/>
        <v>0.27690694888178913</v>
      </c>
      <c r="H15" s="42"/>
      <c r="I15" s="43"/>
    </row>
    <row r="16" spans="1:9" x14ac:dyDescent="0.25">
      <c r="A16" t="s">
        <v>11</v>
      </c>
      <c r="C16" s="41">
        <v>5593</v>
      </c>
      <c r="D16" s="41">
        <v>14454</v>
      </c>
      <c r="E16" s="41">
        <f t="shared" si="0"/>
        <v>20047</v>
      </c>
      <c r="F16" s="40">
        <f t="shared" si="1"/>
        <v>0.278994363246371</v>
      </c>
      <c r="H16" s="42"/>
      <c r="I16" s="43"/>
    </row>
    <row r="17" spans="1:9" x14ac:dyDescent="0.25">
      <c r="A17" t="s">
        <v>12</v>
      </c>
      <c r="C17" s="48">
        <v>5586</v>
      </c>
      <c r="D17" s="48">
        <v>14328</v>
      </c>
      <c r="E17" s="41">
        <f t="shared" si="0"/>
        <v>19914</v>
      </c>
      <c r="F17" s="40">
        <f t="shared" si="1"/>
        <v>0.28050617655920457</v>
      </c>
      <c r="H17" s="42"/>
      <c r="I17" s="43"/>
    </row>
    <row r="18" spans="1:9" ht="17.25" x14ac:dyDescent="0.4">
      <c r="A18" t="s">
        <v>13</v>
      </c>
      <c r="C18" s="96">
        <v>5538</v>
      </c>
      <c r="D18" s="96">
        <v>14459</v>
      </c>
      <c r="E18" s="79">
        <f t="shared" si="0"/>
        <v>19997</v>
      </c>
      <c r="F18" s="80">
        <f t="shared" si="1"/>
        <v>0.2769415412311847</v>
      </c>
      <c r="H18" s="42"/>
      <c r="I18" s="43"/>
    </row>
    <row r="19" spans="1:9" ht="17.25" x14ac:dyDescent="0.4">
      <c r="C19" s="81">
        <f>SUM(C7:C18)</f>
        <v>65182</v>
      </c>
      <c r="D19" s="81">
        <f t="shared" ref="D19:E19" si="2">SUM(D7:D18)</f>
        <v>171421</v>
      </c>
      <c r="E19" s="81">
        <f t="shared" si="2"/>
        <v>236603</v>
      </c>
      <c r="F19" s="82">
        <f>+C19/E19</f>
        <v>0.2754910123709336</v>
      </c>
      <c r="I19" s="43"/>
    </row>
    <row r="20" spans="1:9" x14ac:dyDescent="0.25">
      <c r="C20" s="41"/>
      <c r="D20" s="41"/>
      <c r="E20" s="41"/>
    </row>
    <row r="21" spans="1:9" x14ac:dyDescent="0.25">
      <c r="C21" s="41"/>
      <c r="D21" s="41"/>
      <c r="E21" s="41"/>
    </row>
    <row r="22" spans="1:9" x14ac:dyDescent="0.25">
      <c r="C22" s="41"/>
      <c r="D22" s="41"/>
      <c r="E22" s="41"/>
    </row>
    <row r="23" spans="1:9" x14ac:dyDescent="0.25">
      <c r="C23" s="41"/>
      <c r="D23" s="41"/>
      <c r="E23" s="41"/>
    </row>
    <row r="24" spans="1:9" x14ac:dyDescent="0.25">
      <c r="C24" s="41"/>
      <c r="D24" s="41"/>
      <c r="E24" s="41"/>
    </row>
    <row r="25" spans="1:9" x14ac:dyDescent="0.25">
      <c r="C25" s="41"/>
      <c r="D25" s="41"/>
      <c r="E25" s="41"/>
    </row>
    <row r="26" spans="1:9" x14ac:dyDescent="0.25">
      <c r="C26" s="41"/>
      <c r="D26" s="41"/>
      <c r="E26" s="41"/>
    </row>
    <row r="27" spans="1:9" x14ac:dyDescent="0.25">
      <c r="C27" s="41"/>
      <c r="D27" s="41"/>
      <c r="E27" s="41"/>
    </row>
    <row r="28" spans="1:9" x14ac:dyDescent="0.25">
      <c r="C28" s="41"/>
      <c r="D28" s="41"/>
      <c r="E28" s="41"/>
    </row>
    <row r="29" spans="1:9" x14ac:dyDescent="0.25">
      <c r="C29" s="41"/>
      <c r="D29" s="41"/>
      <c r="E29" s="41"/>
    </row>
    <row r="30" spans="1:9" x14ac:dyDescent="0.25">
      <c r="C30" s="41"/>
      <c r="D30" s="41"/>
      <c r="E30" s="41"/>
    </row>
    <row r="31" spans="1:9" x14ac:dyDescent="0.25">
      <c r="C31" s="41"/>
      <c r="D31" s="41"/>
      <c r="E31" s="41"/>
    </row>
    <row r="32" spans="1:9" x14ac:dyDescent="0.25">
      <c r="C32" s="41"/>
      <c r="D32" s="41"/>
      <c r="E32" s="41"/>
    </row>
    <row r="33" spans="3:5" x14ac:dyDescent="0.25">
      <c r="C33" s="41"/>
      <c r="D33" s="41"/>
      <c r="E33" s="4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113D8-2B56-46F9-A458-C066B34B8EDE}">
  <dimension ref="A1:AF54"/>
  <sheetViews>
    <sheetView workbookViewId="0">
      <selection activeCell="A26" sqref="A26"/>
    </sheetView>
  </sheetViews>
  <sheetFormatPr defaultRowHeight="15" x14ac:dyDescent="0.25"/>
  <cols>
    <col min="1" max="1" width="19" customWidth="1"/>
    <col min="2" max="2" width="10" bestFit="1" customWidth="1"/>
    <col min="3" max="3" width="7.7109375" bestFit="1" customWidth="1"/>
    <col min="4" max="4" width="10" bestFit="1" customWidth="1"/>
    <col min="5" max="5" width="7.7109375" bestFit="1" customWidth="1"/>
    <col min="6" max="6" width="9.7109375" bestFit="1" customWidth="1"/>
    <col min="7" max="7" width="7.7109375" bestFit="1" customWidth="1"/>
    <col min="9" max="9" width="7.7109375" bestFit="1" customWidth="1"/>
    <col min="10" max="10" width="9.5703125" bestFit="1" customWidth="1"/>
    <col min="11" max="11" width="7.7109375" bestFit="1" customWidth="1"/>
    <col min="12" max="12" width="10" bestFit="1" customWidth="1"/>
    <col min="13" max="13" width="7.7109375" bestFit="1" customWidth="1"/>
    <col min="14" max="14" width="9.7109375" bestFit="1" customWidth="1"/>
    <col min="15" max="15" width="7.7109375" bestFit="1" customWidth="1"/>
    <col min="16" max="16" width="9.7109375" bestFit="1" customWidth="1"/>
    <col min="17" max="17" width="7.7109375" bestFit="1" customWidth="1"/>
    <col min="18" max="18" width="9.7109375" bestFit="1" customWidth="1"/>
    <col min="19" max="19" width="7.7109375" bestFit="1" customWidth="1"/>
    <col min="20" max="20" width="9.7109375" bestFit="1" customWidth="1"/>
    <col min="21" max="21" width="7.7109375" bestFit="1" customWidth="1"/>
    <col min="22" max="22" width="13.42578125" customWidth="1"/>
    <col min="23" max="23" width="7.7109375" bestFit="1" customWidth="1"/>
    <col min="24" max="24" width="12" customWidth="1"/>
    <col min="25" max="25" width="7.7109375" bestFit="1" customWidth="1"/>
    <col min="26" max="26" width="5" bestFit="1" customWidth="1"/>
    <col min="27" max="27" width="6.5703125" bestFit="1" customWidth="1"/>
    <col min="28" max="28" width="5" bestFit="1" customWidth="1"/>
    <col min="29" max="29" width="6.5703125" bestFit="1" customWidth="1"/>
    <col min="30" max="30" width="10.5703125" bestFit="1" customWidth="1"/>
  </cols>
  <sheetData>
    <row r="1" spans="1:32" ht="20.25" x14ac:dyDescent="0.3">
      <c r="A1" s="116" t="s">
        <v>38</v>
      </c>
      <c r="B1" s="22"/>
      <c r="C1" s="22"/>
      <c r="D1" s="22"/>
      <c r="E1" s="22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</row>
    <row r="2" spans="1:32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32" x14ac:dyDescent="0.25">
      <c r="A3" s="19"/>
      <c r="B3" s="19"/>
      <c r="C3" s="19"/>
      <c r="D3" s="19"/>
      <c r="E3" s="19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</row>
    <row r="4" spans="1:32" x14ac:dyDescent="0.25">
      <c r="A4" s="18"/>
      <c r="B4" s="113">
        <v>43405</v>
      </c>
      <c r="C4" s="113"/>
      <c r="D4" s="113">
        <v>43435</v>
      </c>
      <c r="E4" s="113"/>
      <c r="F4" s="113">
        <v>43466</v>
      </c>
      <c r="G4" s="113"/>
      <c r="H4" s="113">
        <v>43497</v>
      </c>
      <c r="I4" s="113"/>
      <c r="J4" s="113">
        <v>43525</v>
      </c>
      <c r="K4" s="113"/>
      <c r="L4" s="113">
        <v>43556</v>
      </c>
      <c r="M4" s="113"/>
      <c r="N4" s="113">
        <v>43586</v>
      </c>
      <c r="O4" s="113"/>
      <c r="P4" s="113">
        <v>43617</v>
      </c>
      <c r="Q4" s="113"/>
      <c r="R4" s="113">
        <v>43647</v>
      </c>
      <c r="S4" s="113"/>
      <c r="T4" s="113">
        <v>43678</v>
      </c>
      <c r="U4" s="113"/>
      <c r="V4" s="113">
        <v>43709</v>
      </c>
      <c r="W4" s="113"/>
      <c r="X4" s="113">
        <v>43739</v>
      </c>
      <c r="Y4" s="113"/>
      <c r="Z4" s="113"/>
      <c r="AA4" s="113"/>
      <c r="AB4" s="113"/>
      <c r="AC4" s="113"/>
      <c r="AD4" s="113" t="s">
        <v>41</v>
      </c>
      <c r="AE4" s="113"/>
    </row>
    <row r="5" spans="1:32" x14ac:dyDescent="0.25">
      <c r="A5" s="18"/>
      <c r="B5" s="24" t="s">
        <v>3</v>
      </c>
      <c r="C5" s="24" t="s">
        <v>32</v>
      </c>
      <c r="D5" s="24" t="s">
        <v>3</v>
      </c>
      <c r="E5" s="24" t="s">
        <v>32</v>
      </c>
      <c r="F5" s="24" t="s">
        <v>3</v>
      </c>
      <c r="G5" s="24" t="s">
        <v>32</v>
      </c>
      <c r="H5" s="24" t="s">
        <v>3</v>
      </c>
      <c r="I5" s="24" t="s">
        <v>32</v>
      </c>
      <c r="J5" s="24" t="s">
        <v>3</v>
      </c>
      <c r="K5" s="24" t="s">
        <v>32</v>
      </c>
      <c r="L5" s="24" t="s">
        <v>3</v>
      </c>
      <c r="M5" s="24" t="s">
        <v>32</v>
      </c>
      <c r="N5" s="24" t="s">
        <v>3</v>
      </c>
      <c r="O5" s="24" t="s">
        <v>32</v>
      </c>
      <c r="P5" s="24" t="s">
        <v>3</v>
      </c>
      <c r="Q5" s="24" t="s">
        <v>32</v>
      </c>
      <c r="R5" s="24" t="s">
        <v>3</v>
      </c>
      <c r="S5" s="24" t="s">
        <v>32</v>
      </c>
      <c r="T5" s="24" t="s">
        <v>3</v>
      </c>
      <c r="U5" s="24" t="s">
        <v>32</v>
      </c>
      <c r="V5" s="24" t="s">
        <v>3</v>
      </c>
      <c r="W5" s="24" t="s">
        <v>32</v>
      </c>
      <c r="X5" s="24" t="s">
        <v>3</v>
      </c>
      <c r="Y5" s="24" t="s">
        <v>32</v>
      </c>
      <c r="Z5" s="24"/>
      <c r="AA5" s="24"/>
      <c r="AB5" s="24"/>
      <c r="AC5" s="24"/>
      <c r="AD5" s="24" t="s">
        <v>3</v>
      </c>
      <c r="AE5" s="24" t="s">
        <v>32</v>
      </c>
    </row>
    <row r="6" spans="1:32" x14ac:dyDescent="0.25">
      <c r="A6" s="18" t="s">
        <v>25</v>
      </c>
      <c r="B6" s="25">
        <v>422.85</v>
      </c>
      <c r="C6" s="21">
        <f t="shared" ref="C6:C17" si="0">+B6/B$17</f>
        <v>0.2998021879852244</v>
      </c>
      <c r="D6" s="25">
        <v>407.03</v>
      </c>
      <c r="E6" s="21">
        <f t="shared" ref="E6:E17" si="1">+D6/D$17</f>
        <v>0.29579808726490509</v>
      </c>
      <c r="F6" s="25">
        <v>439.28708699999999</v>
      </c>
      <c r="G6" s="21">
        <f t="shared" ref="G6:G17" si="2">+F6/F$17</f>
        <v>0.29267001458892644</v>
      </c>
      <c r="H6" s="25">
        <v>275.30328900000001</v>
      </c>
      <c r="I6" s="21">
        <f t="shared" ref="I6:I17" si="3">+H6/H$17</f>
        <v>0.27330132753258174</v>
      </c>
      <c r="J6" s="25">
        <v>313.48928000000001</v>
      </c>
      <c r="K6" s="21">
        <f t="shared" ref="K6:K15" si="4">+J6/J$17</f>
        <v>0.26647223281045207</v>
      </c>
      <c r="L6" s="25">
        <v>339.75951999999995</v>
      </c>
      <c r="M6" s="21">
        <f t="shared" ref="M6:M15" si="5">+L6/L$17</f>
        <v>0.27742689101935158</v>
      </c>
      <c r="N6" s="25">
        <v>383.90921500000002</v>
      </c>
      <c r="O6" s="21">
        <f t="shared" ref="O6:AE15" si="6">+N6/N$17</f>
        <v>0.27350023615063601</v>
      </c>
      <c r="P6" s="25">
        <v>471.34</v>
      </c>
      <c r="Q6" s="21">
        <f t="shared" si="6"/>
        <v>0.27660148822797587</v>
      </c>
      <c r="R6" s="25">
        <v>436.82</v>
      </c>
      <c r="S6" s="21">
        <f t="shared" si="6"/>
        <v>0.23152717192543554</v>
      </c>
      <c r="T6" s="25">
        <v>409.49</v>
      </c>
      <c r="U6" s="21">
        <f t="shared" si="6"/>
        <v>0.22109855459026928</v>
      </c>
      <c r="V6" s="25">
        <v>414.48</v>
      </c>
      <c r="W6" s="21">
        <f t="shared" si="6"/>
        <v>0.23507526174298712</v>
      </c>
      <c r="X6" s="25">
        <v>404.88</v>
      </c>
      <c r="Y6" s="21">
        <f t="shared" si="6"/>
        <v>0.22797810761503642</v>
      </c>
      <c r="Z6" s="25"/>
      <c r="AA6" s="21"/>
      <c r="AB6" s="25"/>
      <c r="AC6" s="21"/>
      <c r="AD6" s="43">
        <f>+B6+D6+F6+H6+J6+L6+N6+P6+R6+T6+V6+X6+Z6+AB6</f>
        <v>4718.6383910000013</v>
      </c>
      <c r="AE6" s="21">
        <f t="shared" si="6"/>
        <v>0.26096481960728585</v>
      </c>
    </row>
    <row r="7" spans="1:32" x14ac:dyDescent="0.25">
      <c r="A7" s="18" t="s">
        <v>26</v>
      </c>
      <c r="B7" s="25">
        <v>0</v>
      </c>
      <c r="C7" s="21">
        <f t="shared" si="0"/>
        <v>0</v>
      </c>
      <c r="D7" s="25">
        <v>0</v>
      </c>
      <c r="E7" s="21">
        <f t="shared" si="1"/>
        <v>0</v>
      </c>
      <c r="F7" s="25">
        <v>0</v>
      </c>
      <c r="G7" s="21">
        <f t="shared" si="2"/>
        <v>0</v>
      </c>
      <c r="H7" s="25">
        <v>0</v>
      </c>
      <c r="I7" s="21">
        <f t="shared" si="3"/>
        <v>0</v>
      </c>
      <c r="J7" s="25">
        <v>0</v>
      </c>
      <c r="K7" s="21">
        <f t="shared" si="4"/>
        <v>0</v>
      </c>
      <c r="L7" s="25">
        <v>0</v>
      </c>
      <c r="M7" s="21">
        <f t="shared" si="5"/>
        <v>0</v>
      </c>
      <c r="N7" s="25">
        <v>0</v>
      </c>
      <c r="O7" s="21">
        <f t="shared" si="6"/>
        <v>0</v>
      </c>
      <c r="P7" s="25">
        <v>0</v>
      </c>
      <c r="Q7" s="21">
        <f t="shared" si="6"/>
        <v>0</v>
      </c>
      <c r="R7" s="25">
        <v>0</v>
      </c>
      <c r="S7" s="21">
        <f t="shared" si="6"/>
        <v>0</v>
      </c>
      <c r="T7" s="25">
        <v>0</v>
      </c>
      <c r="U7" s="21">
        <f t="shared" si="6"/>
        <v>0</v>
      </c>
      <c r="V7" s="25">
        <v>0</v>
      </c>
      <c r="W7" s="21">
        <f t="shared" si="6"/>
        <v>0</v>
      </c>
      <c r="X7" s="25"/>
      <c r="Y7" s="21">
        <f t="shared" si="6"/>
        <v>0</v>
      </c>
      <c r="Z7" s="25"/>
      <c r="AA7" s="21"/>
      <c r="AB7" s="25"/>
      <c r="AC7" s="21"/>
      <c r="AD7" s="43">
        <f t="shared" ref="AD7:AD16" si="7">+B7+D7+F7+H7+J7+L7+N7+P7+R7+T7+V7+X7+Z7+AB7</f>
        <v>0</v>
      </c>
      <c r="AE7" s="21">
        <f t="shared" si="6"/>
        <v>0</v>
      </c>
    </row>
    <row r="8" spans="1:32" x14ac:dyDescent="0.25">
      <c r="A8" s="18" t="s">
        <v>22</v>
      </c>
      <c r="B8" s="25">
        <v>502.4</v>
      </c>
      <c r="C8" s="21">
        <f t="shared" si="0"/>
        <v>0.35620342732358218</v>
      </c>
      <c r="D8" s="25">
        <v>487.12</v>
      </c>
      <c r="E8" s="21">
        <f t="shared" si="1"/>
        <v>0.35400133717043109</v>
      </c>
      <c r="F8" s="25">
        <v>497.21835299999998</v>
      </c>
      <c r="G8" s="21">
        <f t="shared" si="2"/>
        <v>0.33126606024363286</v>
      </c>
      <c r="H8" s="25">
        <v>332.519633</v>
      </c>
      <c r="I8" s="21">
        <f t="shared" si="3"/>
        <v>0.33010160343397449</v>
      </c>
      <c r="J8" s="25">
        <v>441.12</v>
      </c>
      <c r="K8" s="21">
        <f t="shared" si="4"/>
        <v>0.37496092796967928</v>
      </c>
      <c r="L8" s="25">
        <v>433.94664</v>
      </c>
      <c r="M8" s="21">
        <f t="shared" si="5"/>
        <v>0.35433434566747035</v>
      </c>
      <c r="N8" s="25">
        <v>486.097847</v>
      </c>
      <c r="O8" s="21">
        <f t="shared" si="6"/>
        <v>0.34630029900901371</v>
      </c>
      <c r="P8" s="25">
        <v>598.79999999999995</v>
      </c>
      <c r="Q8" s="21">
        <f t="shared" si="6"/>
        <v>0.35140020187319543</v>
      </c>
      <c r="R8" s="25">
        <v>662.57</v>
      </c>
      <c r="S8" s="21">
        <f t="shared" si="6"/>
        <v>0.35118116913748421</v>
      </c>
      <c r="T8" s="25">
        <v>680.82</v>
      </c>
      <c r="U8" s="21">
        <f t="shared" si="6"/>
        <v>0.36759949677927944</v>
      </c>
      <c r="V8" s="25">
        <v>657.25</v>
      </c>
      <c r="W8" s="21">
        <f t="shared" si="6"/>
        <v>0.37276398325752336</v>
      </c>
      <c r="X8" s="25">
        <v>687.58</v>
      </c>
      <c r="Y8" s="21">
        <f t="shared" si="6"/>
        <v>0.3871596207121783</v>
      </c>
      <c r="Z8" s="25"/>
      <c r="AA8" s="21"/>
      <c r="AB8" s="25"/>
      <c r="AC8" s="21"/>
      <c r="AD8" s="43">
        <f t="shared" si="7"/>
        <v>6467.4424729999992</v>
      </c>
      <c r="AE8" s="21">
        <f t="shared" si="6"/>
        <v>0.35768262334025991</v>
      </c>
    </row>
    <row r="9" spans="1:32" x14ac:dyDescent="0.25">
      <c r="A9" s="18" t="s">
        <v>27</v>
      </c>
      <c r="B9" s="25">
        <v>14.95</v>
      </c>
      <c r="C9" s="21">
        <f t="shared" si="0"/>
        <v>1.059960437597045E-2</v>
      </c>
      <c r="D9" s="25">
        <v>14.45</v>
      </c>
      <c r="E9" s="21">
        <f t="shared" si="1"/>
        <v>1.0501148222435395E-2</v>
      </c>
      <c r="F9" s="25">
        <v>19.960773</v>
      </c>
      <c r="G9" s="21">
        <f t="shared" si="2"/>
        <v>1.3298637492424742E-2</v>
      </c>
      <c r="H9" s="26">
        <v>15.412148999999999</v>
      </c>
      <c r="I9" s="21">
        <f t="shared" si="3"/>
        <v>1.5300074318508966E-2</v>
      </c>
      <c r="J9" s="26">
        <v>15.409791999999999</v>
      </c>
      <c r="K9" s="21">
        <f t="shared" si="4"/>
        <v>1.3098635083740796E-2</v>
      </c>
      <c r="L9" s="25">
        <v>15.554959999999999</v>
      </c>
      <c r="M9" s="21">
        <f t="shared" si="5"/>
        <v>1.2701231131743929E-2</v>
      </c>
      <c r="N9" s="25">
        <v>20.072767000000002</v>
      </c>
      <c r="O9" s="21">
        <f t="shared" si="6"/>
        <v>1.4300012347181335E-2</v>
      </c>
      <c r="P9" s="25">
        <v>24.54</v>
      </c>
      <c r="Q9" s="21">
        <f t="shared" si="6"/>
        <v>1.4401070397408511E-2</v>
      </c>
      <c r="R9" s="47">
        <v>24.43</v>
      </c>
      <c r="S9" s="21">
        <f t="shared" si="6"/>
        <v>1.2948603109148827E-2</v>
      </c>
      <c r="T9" s="25">
        <v>26.48</v>
      </c>
      <c r="U9" s="21">
        <f t="shared" si="6"/>
        <v>1.4297515752644339E-2</v>
      </c>
      <c r="V9" s="25">
        <v>23.1</v>
      </c>
      <c r="W9" s="21">
        <f t="shared" si="6"/>
        <v>1.3101328281854379E-2</v>
      </c>
      <c r="X9" s="25">
        <v>23.09</v>
      </c>
      <c r="Y9" s="21">
        <f t="shared" si="6"/>
        <v>1.3001418950877275E-2</v>
      </c>
      <c r="Z9" s="25"/>
      <c r="AA9" s="21"/>
      <c r="AB9" s="25"/>
      <c r="AC9" s="21"/>
      <c r="AD9" s="43">
        <f t="shared" si="7"/>
        <v>237.45044099999998</v>
      </c>
      <c r="AE9" s="21">
        <f t="shared" si="6"/>
        <v>1.3132222977591472E-2</v>
      </c>
    </row>
    <row r="10" spans="1:32" x14ac:dyDescent="0.25">
      <c r="A10" s="18" t="s">
        <v>31</v>
      </c>
      <c r="B10" s="25">
        <v>32.72</v>
      </c>
      <c r="C10" s="21">
        <f t="shared" si="0"/>
        <v>2.3198599008812916E-2</v>
      </c>
      <c r="D10" s="25">
        <v>28.62</v>
      </c>
      <c r="E10" s="21">
        <f t="shared" si="1"/>
        <v>2.0798813987965466E-2</v>
      </c>
      <c r="F10" s="25">
        <v>31.667090999999999</v>
      </c>
      <c r="G10" s="21">
        <f t="shared" si="2"/>
        <v>2.1097838427831733E-2</v>
      </c>
      <c r="H10" s="26">
        <v>25.485448999999999</v>
      </c>
      <c r="I10" s="21">
        <f t="shared" si="3"/>
        <v>2.5300122892697834E-2</v>
      </c>
      <c r="J10" s="26">
        <v>25.879039999999996</v>
      </c>
      <c r="K10" s="21">
        <f t="shared" si="4"/>
        <v>2.1997707774221182E-2</v>
      </c>
      <c r="L10" s="25">
        <v>26.088239999999999</v>
      </c>
      <c r="M10" s="21">
        <f t="shared" si="5"/>
        <v>2.1302064811507534E-2</v>
      </c>
      <c r="N10" s="25">
        <v>27.231586000000004</v>
      </c>
      <c r="O10" s="21">
        <f t="shared" si="6"/>
        <v>1.9400016750721533E-2</v>
      </c>
      <c r="P10" s="25">
        <v>32.549999999999997</v>
      </c>
      <c r="Q10" s="21">
        <f t="shared" si="6"/>
        <v>1.9101664280181216E-2</v>
      </c>
      <c r="R10" s="25">
        <v>34.32</v>
      </c>
      <c r="S10" s="21">
        <f t="shared" si="6"/>
        <v>1.8190587748914765E-2</v>
      </c>
      <c r="T10" s="25">
        <v>40.56</v>
      </c>
      <c r="U10" s="21">
        <f t="shared" si="6"/>
        <v>2.1899820201180302E-2</v>
      </c>
      <c r="V10" s="25">
        <v>38.61</v>
      </c>
      <c r="W10" s="21">
        <f t="shared" si="6"/>
        <v>2.1897934413956602E-2</v>
      </c>
      <c r="X10" s="25">
        <v>42.26</v>
      </c>
      <c r="Y10" s="21">
        <f t="shared" si="6"/>
        <v>2.3795580981553644E-2</v>
      </c>
      <c r="Z10" s="25"/>
      <c r="AA10" s="21"/>
      <c r="AB10" s="25"/>
      <c r="AC10" s="21"/>
      <c r="AD10" s="43">
        <f t="shared" si="7"/>
        <v>385.99140599999998</v>
      </c>
      <c r="AE10" s="21">
        <f t="shared" si="6"/>
        <v>2.134729752313258E-2</v>
      </c>
    </row>
    <row r="11" spans="1:32" x14ac:dyDescent="0.25">
      <c r="A11" s="18" t="s">
        <v>23</v>
      </c>
      <c r="B11" s="25">
        <v>171.09</v>
      </c>
      <c r="C11" s="21">
        <f t="shared" si="0"/>
        <v>0.12130343228660764</v>
      </c>
      <c r="D11" s="25">
        <v>179.3</v>
      </c>
      <c r="E11" s="21">
        <f t="shared" si="1"/>
        <v>0.13030144472544403</v>
      </c>
      <c r="F11" s="25">
        <v>227.372715</v>
      </c>
      <c r="G11" s="21">
        <f t="shared" si="2"/>
        <v>0.15148447970694348</v>
      </c>
      <c r="H11" s="26">
        <v>157.64714499999999</v>
      </c>
      <c r="I11" s="21">
        <f t="shared" si="3"/>
        <v>0.15650076018605577</v>
      </c>
      <c r="J11" s="26">
        <v>164.56716799999998</v>
      </c>
      <c r="K11" s="21">
        <f t="shared" si="4"/>
        <v>0.13988542352788833</v>
      </c>
      <c r="L11" s="25">
        <v>172.69679999999997</v>
      </c>
      <c r="M11" s="21">
        <f t="shared" si="5"/>
        <v>0.14101366847054281</v>
      </c>
      <c r="N11" s="25">
        <v>201.99099100000001</v>
      </c>
      <c r="O11" s="21">
        <f t="shared" si="6"/>
        <v>0.14390012424890866</v>
      </c>
      <c r="P11" s="25">
        <v>253.73</v>
      </c>
      <c r="Q11" s="21">
        <f t="shared" si="6"/>
        <v>0.14889908687589493</v>
      </c>
      <c r="R11" s="25">
        <v>327.38</v>
      </c>
      <c r="S11" s="21">
        <f t="shared" si="6"/>
        <v>0.17352082218064441</v>
      </c>
      <c r="T11" s="25">
        <v>280.22000000000003</v>
      </c>
      <c r="U11" s="21">
        <f t="shared" si="6"/>
        <v>0.15130097674493947</v>
      </c>
      <c r="V11" s="25">
        <v>233.77</v>
      </c>
      <c r="W11" s="21">
        <f t="shared" si="6"/>
        <v>0.13258430789822936</v>
      </c>
      <c r="X11" s="25">
        <v>231.56</v>
      </c>
      <c r="Y11" s="21">
        <f t="shared" si="6"/>
        <v>0.13038581950043923</v>
      </c>
      <c r="Z11" s="25"/>
      <c r="AA11" s="21"/>
      <c r="AB11" s="25"/>
      <c r="AC11" s="21"/>
      <c r="AD11" s="43">
        <f t="shared" si="7"/>
        <v>2601.3248190000004</v>
      </c>
      <c r="AE11" s="21">
        <f t="shared" si="6"/>
        <v>0.14386655765465933</v>
      </c>
    </row>
    <row r="12" spans="1:32" x14ac:dyDescent="0.25">
      <c r="A12" s="18" t="s">
        <v>24</v>
      </c>
      <c r="B12" s="25">
        <v>41.61</v>
      </c>
      <c r="C12" s="21">
        <f t="shared" si="0"/>
        <v>2.9501641343420093E-2</v>
      </c>
      <c r="D12" s="25">
        <v>44.58</v>
      </c>
      <c r="E12" s="21">
        <f t="shared" si="1"/>
        <v>3.2397314031568848E-2</v>
      </c>
      <c r="F12" s="25">
        <v>47.275514999999999</v>
      </c>
      <c r="G12" s="21">
        <f t="shared" si="2"/>
        <v>3.149677300837439E-2</v>
      </c>
      <c r="H12" s="26">
        <v>30.219899999999999</v>
      </c>
      <c r="I12" s="21">
        <f t="shared" si="3"/>
        <v>3.0000145722566599E-2</v>
      </c>
      <c r="J12" s="26">
        <v>33.878015999999995</v>
      </c>
      <c r="K12" s="21">
        <f t="shared" si="4"/>
        <v>2.8796999268071364E-2</v>
      </c>
      <c r="L12" s="25">
        <v>40.908319999999996</v>
      </c>
      <c r="M12" s="21">
        <f t="shared" si="5"/>
        <v>3.340323777954702E-2</v>
      </c>
      <c r="N12" s="25">
        <v>47.585090999999998</v>
      </c>
      <c r="O12" s="21">
        <f t="shared" si="6"/>
        <v>3.3900029270590715E-2</v>
      </c>
      <c r="P12" s="25">
        <v>56.4</v>
      </c>
      <c r="Q12" s="21">
        <f t="shared" si="6"/>
        <v>3.3097814605290952E-2</v>
      </c>
      <c r="R12" s="25">
        <v>73.03</v>
      </c>
      <c r="S12" s="21">
        <f t="shared" si="6"/>
        <v>3.8708001844500156E-2</v>
      </c>
      <c r="T12" s="25">
        <v>69.45</v>
      </c>
      <c r="U12" s="21">
        <f t="shared" si="6"/>
        <v>3.7498582666961836E-2</v>
      </c>
      <c r="V12" s="25">
        <v>58.71</v>
      </c>
      <c r="W12" s="21">
        <f t="shared" si="6"/>
        <v>3.3297791490375345E-2</v>
      </c>
      <c r="X12" s="25">
        <v>52.74</v>
      </c>
      <c r="Y12" s="21">
        <f t="shared" si="6"/>
        <v>2.9696614788621373E-2</v>
      </c>
      <c r="Z12" s="25"/>
      <c r="AA12" s="21"/>
      <c r="AB12" s="25"/>
      <c r="AC12" s="21"/>
      <c r="AD12" s="43">
        <f t="shared" si="7"/>
        <v>596.38684199999989</v>
      </c>
      <c r="AE12" s="21">
        <f t="shared" si="6"/>
        <v>3.2983240448248373E-2</v>
      </c>
      <c r="AF12" s="100">
        <f>+AE12+AE13+AE14+AE15</f>
        <v>4.8512204592177192E-2</v>
      </c>
    </row>
    <row r="13" spans="1:32" x14ac:dyDescent="0.25">
      <c r="A13" s="18" t="s">
        <v>28</v>
      </c>
      <c r="B13" s="25">
        <v>12.55</v>
      </c>
      <c r="C13" s="21">
        <f t="shared" si="0"/>
        <v>8.8979956467176696E-3</v>
      </c>
      <c r="D13" s="25">
        <v>11.01</v>
      </c>
      <c r="E13" s="21">
        <f t="shared" si="1"/>
        <v>8.0012208947414318E-3</v>
      </c>
      <c r="F13" s="25">
        <v>13.057046999999999</v>
      </c>
      <c r="G13" s="21">
        <f t="shared" si="2"/>
        <v>8.6991087356462597E-3</v>
      </c>
      <c r="H13" s="26">
        <v>9.9725670000000015</v>
      </c>
      <c r="I13" s="21">
        <f t="shared" si="3"/>
        <v>9.9000480884469805E-3</v>
      </c>
      <c r="J13" s="26">
        <v>11.410304</v>
      </c>
      <c r="K13" s="21">
        <f t="shared" si="4"/>
        <v>9.6989893368157037E-3</v>
      </c>
      <c r="L13" s="25">
        <v>10.77824</v>
      </c>
      <c r="M13" s="21">
        <f t="shared" si="5"/>
        <v>8.8008530676650844E-3</v>
      </c>
      <c r="N13" s="25">
        <v>10.808413000000002</v>
      </c>
      <c r="O13" s="21">
        <f t="shared" si="6"/>
        <v>7.7000066484822572E-3</v>
      </c>
      <c r="P13" s="25">
        <v>13.29</v>
      </c>
      <c r="Q13" s="21">
        <f t="shared" si="6"/>
        <v>7.7991126968850492E-3</v>
      </c>
      <c r="R13" s="25">
        <v>17.54</v>
      </c>
      <c r="S13" s="21">
        <f t="shared" si="6"/>
        <v>9.2967048110712408E-3</v>
      </c>
      <c r="T13" s="25">
        <v>16.11</v>
      </c>
      <c r="U13" s="21">
        <f t="shared" si="6"/>
        <v>8.6983753313859633E-3</v>
      </c>
      <c r="V13" s="25">
        <v>15.51</v>
      </c>
      <c r="W13" s="21">
        <f t="shared" si="6"/>
        <v>8.7966061321022252E-3</v>
      </c>
      <c r="X13" s="25">
        <v>17.05</v>
      </c>
      <c r="Y13" s="21">
        <f t="shared" si="6"/>
        <v>9.6004414513840425E-3</v>
      </c>
      <c r="Z13" s="25"/>
      <c r="AA13" s="21"/>
      <c r="AB13" s="25"/>
      <c r="AC13" s="21"/>
      <c r="AD13" s="43">
        <f t="shared" si="7"/>
        <v>159.08657099999999</v>
      </c>
      <c r="AE13" s="21">
        <f t="shared" si="6"/>
        <v>8.7983004550934354E-3</v>
      </c>
    </row>
    <row r="14" spans="1:32" x14ac:dyDescent="0.25">
      <c r="A14" s="18" t="s">
        <v>29</v>
      </c>
      <c r="B14" s="25">
        <v>8.74</v>
      </c>
      <c r="C14" s="21">
        <f t="shared" si="0"/>
        <v>6.1966917890288785E-3</v>
      </c>
      <c r="D14" s="25">
        <v>7.71</v>
      </c>
      <c r="E14" s="21">
        <f t="shared" si="1"/>
        <v>5.6030347955001308E-3</v>
      </c>
      <c r="F14" s="25">
        <v>9.6051839999999995</v>
      </c>
      <c r="G14" s="21">
        <f t="shared" si="2"/>
        <v>6.3993443572570186E-3</v>
      </c>
      <c r="H14" s="26">
        <v>7.5549749999999998</v>
      </c>
      <c r="I14" s="21">
        <f t="shared" si="3"/>
        <v>7.5000364306416498E-3</v>
      </c>
      <c r="J14" s="26">
        <v>7.998975999999999</v>
      </c>
      <c r="K14" s="21">
        <f t="shared" si="4"/>
        <v>6.7992914938501837E-3</v>
      </c>
      <c r="L14" s="25">
        <v>8.8185599999999997</v>
      </c>
      <c r="M14" s="21">
        <f t="shared" si="5"/>
        <v>7.2006979644532506E-3</v>
      </c>
      <c r="N14" s="25">
        <v>8.7028780000000001</v>
      </c>
      <c r="O14" s="21">
        <f t="shared" si="6"/>
        <v>6.2000053533233755E-3</v>
      </c>
      <c r="P14" s="25">
        <v>10.74</v>
      </c>
      <c r="Q14" s="21">
        <f t="shared" si="6"/>
        <v>6.3026689514330651E-3</v>
      </c>
      <c r="R14" s="25">
        <v>12.2</v>
      </c>
      <c r="S14" s="21">
        <f t="shared" si="6"/>
        <v>6.4663511228659713E-3</v>
      </c>
      <c r="T14" s="25">
        <v>12.22</v>
      </c>
      <c r="U14" s="21">
        <f t="shared" si="6"/>
        <v>6.5980227529197069E-3</v>
      </c>
      <c r="V14" s="25">
        <v>10.050000000000001</v>
      </c>
      <c r="W14" s="21">
        <f t="shared" si="6"/>
        <v>5.6999285382093728E-3</v>
      </c>
      <c r="X14" s="25">
        <v>10.83</v>
      </c>
      <c r="Y14" s="21">
        <f t="shared" si="6"/>
        <v>6.0981103177999516E-3</v>
      </c>
      <c r="Z14" s="25"/>
      <c r="AA14" s="21"/>
      <c r="AB14" s="25"/>
      <c r="AC14" s="21"/>
      <c r="AD14" s="43">
        <f t="shared" si="7"/>
        <v>115.17057299999999</v>
      </c>
      <c r="AE14" s="21">
        <f t="shared" si="6"/>
        <v>6.3695213145254842E-3</v>
      </c>
    </row>
    <row r="15" spans="1:32" x14ac:dyDescent="0.25">
      <c r="A15" s="18" t="s">
        <v>30</v>
      </c>
      <c r="B15" s="25">
        <v>0</v>
      </c>
      <c r="C15" s="21">
        <f t="shared" si="0"/>
        <v>0</v>
      </c>
      <c r="D15" s="25">
        <v>0</v>
      </c>
      <c r="E15" s="21">
        <f t="shared" si="1"/>
        <v>0</v>
      </c>
      <c r="F15" s="25">
        <v>0</v>
      </c>
      <c r="G15" s="21">
        <f t="shared" si="2"/>
        <v>0</v>
      </c>
      <c r="H15" s="26">
        <v>0</v>
      </c>
      <c r="I15" s="21">
        <f t="shared" si="3"/>
        <v>0</v>
      </c>
      <c r="J15" s="26">
        <v>0</v>
      </c>
      <c r="K15" s="21">
        <f t="shared" si="4"/>
        <v>0</v>
      </c>
      <c r="L15" s="25">
        <v>0</v>
      </c>
      <c r="M15" s="21">
        <f t="shared" si="5"/>
        <v>0</v>
      </c>
      <c r="N15" s="25">
        <v>0</v>
      </c>
      <c r="O15" s="21">
        <f t="shared" si="6"/>
        <v>0</v>
      </c>
      <c r="P15" s="25">
        <v>1.19</v>
      </c>
      <c r="Q15" s="21">
        <f t="shared" si="6"/>
        <v>6.9834041454425947E-4</v>
      </c>
      <c r="R15" s="25">
        <v>1.72</v>
      </c>
      <c r="S15" s="21">
        <f t="shared" si="6"/>
        <v>9.1164950256798945E-4</v>
      </c>
      <c r="T15" s="25">
        <v>1.67</v>
      </c>
      <c r="U15" s="21">
        <f t="shared" si="6"/>
        <v>9.0169378047266031E-4</v>
      </c>
      <c r="V15" s="25">
        <v>0.88</v>
      </c>
      <c r="W15" s="21">
        <f t="shared" si="6"/>
        <v>4.9909822026111914E-4</v>
      </c>
      <c r="X15" s="25">
        <v>1.07</v>
      </c>
      <c r="Y15" s="21">
        <f t="shared" si="6"/>
        <v>6.0249104709565553E-4</v>
      </c>
      <c r="Z15" s="25"/>
      <c r="AA15" s="21"/>
      <c r="AB15" s="25"/>
      <c r="AC15" s="21"/>
      <c r="AD15" s="43">
        <f t="shared" si="7"/>
        <v>6.53</v>
      </c>
      <c r="AE15" s="21">
        <f t="shared" si="6"/>
        <v>3.6114237430989786E-4</v>
      </c>
    </row>
    <row r="16" spans="1:32" ht="17.25" x14ac:dyDescent="0.4">
      <c r="A16" s="18" t="s">
        <v>33</v>
      </c>
      <c r="B16" s="30">
        <v>203.51999999999998</v>
      </c>
      <c r="C16" s="31">
        <f t="shared" si="0"/>
        <v>0.14429642024063583</v>
      </c>
      <c r="D16" s="30">
        <v>196.22000000000003</v>
      </c>
      <c r="E16" s="31">
        <f t="shared" si="1"/>
        <v>0.14259759890700854</v>
      </c>
      <c r="F16" s="30">
        <v>215.52</v>
      </c>
      <c r="G16" s="31">
        <f t="shared" si="2"/>
        <v>0.14358774343896305</v>
      </c>
      <c r="H16" s="32">
        <v>153.21</v>
      </c>
      <c r="I16" s="31">
        <f t="shared" si="3"/>
        <v>0.15209588139452576</v>
      </c>
      <c r="J16" s="32">
        <v>162.69</v>
      </c>
      <c r="K16" s="31">
        <f t="shared" ref="K16" si="8">+J16/J$17</f>
        <v>0.13828979273528091</v>
      </c>
      <c r="L16" s="30">
        <v>176.13</v>
      </c>
      <c r="M16" s="31">
        <f t="shared" ref="M16" si="9">+L16/L$17</f>
        <v>0.14381701008771852</v>
      </c>
      <c r="N16" s="30">
        <v>217.29</v>
      </c>
      <c r="O16" s="31">
        <f t="shared" ref="O16:AE17" si="10">+N16/N$17</f>
        <v>0.15479927022114251</v>
      </c>
      <c r="P16" s="30">
        <v>241.46</v>
      </c>
      <c r="Q16" s="31">
        <f t="shared" si="10"/>
        <v>0.14169855167719067</v>
      </c>
      <c r="R16" s="30">
        <f>262.36+17.73+13.35+3.24</f>
        <v>296.68000000000006</v>
      </c>
      <c r="S16" s="31">
        <f t="shared" si="10"/>
        <v>0.15724893861736694</v>
      </c>
      <c r="T16" s="30">
        <f>3.52+11.3+18.71+281.52</f>
        <v>315.04999999999995</v>
      </c>
      <c r="U16" s="31">
        <f t="shared" si="10"/>
        <v>0.17010696139994708</v>
      </c>
      <c r="V16" s="30">
        <f>2.47+9.7+9.17+289.48</f>
        <v>310.82</v>
      </c>
      <c r="W16" s="31">
        <f t="shared" si="10"/>
        <v>0.17628376002450119</v>
      </c>
      <c r="X16" s="30">
        <f>10.12+11.54+280.75+2.49</f>
        <v>304.89999999999998</v>
      </c>
      <c r="Y16" s="31">
        <f t="shared" si="10"/>
        <v>0.17168179463501432</v>
      </c>
      <c r="Z16" s="25"/>
      <c r="AA16" s="21"/>
      <c r="AB16" s="25"/>
      <c r="AC16" s="31"/>
      <c r="AD16" s="89">
        <f t="shared" si="7"/>
        <v>2793.4900000000002</v>
      </c>
      <c r="AE16" s="31">
        <f t="shared" si="10"/>
        <v>0.15449427430489382</v>
      </c>
    </row>
    <row r="17" spans="1:31" s="13" customFormat="1" ht="18" thickBot="1" x14ac:dyDescent="0.45">
      <c r="A17" s="27"/>
      <c r="B17" s="29">
        <f>SUM(B6:B16)</f>
        <v>1410.4299999999998</v>
      </c>
      <c r="C17" s="28">
        <f t="shared" si="0"/>
        <v>1</v>
      </c>
      <c r="D17" s="29">
        <f>SUM(D6:D16)</f>
        <v>1376.04</v>
      </c>
      <c r="E17" s="28">
        <f t="shared" si="1"/>
        <v>1</v>
      </c>
      <c r="F17" s="29">
        <f>SUM(F6:F16)</f>
        <v>1500.963765</v>
      </c>
      <c r="G17" s="28">
        <f t="shared" si="2"/>
        <v>1</v>
      </c>
      <c r="H17" s="29">
        <f>SUM(H6:H16)</f>
        <v>1007.3251070000002</v>
      </c>
      <c r="I17" s="28">
        <f t="shared" si="3"/>
        <v>1</v>
      </c>
      <c r="J17" s="29">
        <f>SUM(J6:J16)</f>
        <v>1176.4425760000001</v>
      </c>
      <c r="K17" s="28">
        <f t="shared" ref="K17" si="11">+J17/J$17</f>
        <v>1</v>
      </c>
      <c r="L17" s="29">
        <f>SUM(L6:L16)</f>
        <v>1224.6812799999998</v>
      </c>
      <c r="M17" s="28">
        <f t="shared" ref="M17" si="12">+L17/L$17</f>
        <v>1</v>
      </c>
      <c r="N17" s="29">
        <f>SUM(N6:N16)</f>
        <v>1403.6887879999999</v>
      </c>
      <c r="O17" s="28">
        <f t="shared" ref="O17:S17" si="13">+N17/N$17</f>
        <v>1</v>
      </c>
      <c r="P17" s="29">
        <f>SUM(P6:P16)</f>
        <v>1704.04</v>
      </c>
      <c r="Q17" s="28">
        <f t="shared" si="13"/>
        <v>1</v>
      </c>
      <c r="R17" s="29">
        <f>SUM(R6:R16)</f>
        <v>1886.69</v>
      </c>
      <c r="S17" s="28">
        <f t="shared" si="13"/>
        <v>1</v>
      </c>
      <c r="T17" s="29">
        <f>SUM(T6:T16)</f>
        <v>1852.07</v>
      </c>
      <c r="U17" s="28">
        <f t="shared" si="10"/>
        <v>1</v>
      </c>
      <c r="V17" s="29">
        <f>SUM(V6:V16)</f>
        <v>1763.1799999999998</v>
      </c>
      <c r="W17" s="28">
        <f t="shared" si="10"/>
        <v>1</v>
      </c>
      <c r="X17" s="29">
        <f>SUM(X6:X16)</f>
        <v>1775.9599999999996</v>
      </c>
      <c r="Y17" s="28">
        <f t="shared" si="10"/>
        <v>1</v>
      </c>
      <c r="Z17" s="25"/>
      <c r="AA17" s="21"/>
      <c r="AB17" s="25"/>
      <c r="AC17" s="28"/>
      <c r="AD17" s="33">
        <f>SUM(AD6:AD16)</f>
        <v>18081.511515999999</v>
      </c>
      <c r="AE17" s="28">
        <f t="shared" si="10"/>
        <v>1</v>
      </c>
    </row>
    <row r="18" spans="1:31" ht="15.75" thickTop="1" x14ac:dyDescent="0.25">
      <c r="Z18" s="25"/>
      <c r="AA18" s="21"/>
      <c r="AB18" s="25"/>
    </row>
    <row r="19" spans="1:31" x14ac:dyDescent="0.25">
      <c r="Z19" s="25"/>
      <c r="AA19" s="21"/>
      <c r="AB19" s="25"/>
    </row>
    <row r="21" spans="1:31" x14ac:dyDescent="0.25">
      <c r="A21" s="35" t="s">
        <v>35</v>
      </c>
      <c r="B21" s="35"/>
      <c r="C21" s="35"/>
      <c r="D21" s="44"/>
      <c r="E21" s="35"/>
    </row>
    <row r="22" spans="1:31" x14ac:dyDescent="0.25">
      <c r="A22" s="18" t="s">
        <v>25</v>
      </c>
      <c r="B22" s="20">
        <v>72.900000000000006</v>
      </c>
      <c r="C22" s="18"/>
      <c r="D22" s="45">
        <v>73.16</v>
      </c>
      <c r="E22" s="18"/>
      <c r="F22" s="20">
        <v>73.48</v>
      </c>
      <c r="H22" s="20">
        <v>63.38</v>
      </c>
      <c r="J22" s="20">
        <v>60.51</v>
      </c>
      <c r="L22" s="20">
        <v>40.1</v>
      </c>
      <c r="N22" s="20">
        <v>8.19</v>
      </c>
      <c r="P22" s="42">
        <v>6.94</v>
      </c>
      <c r="Q22" s="42"/>
      <c r="R22" s="42">
        <v>2.93</v>
      </c>
      <c r="S22" s="42"/>
      <c r="T22" s="42">
        <v>-0.55000000000000004</v>
      </c>
      <c r="U22" s="42"/>
      <c r="V22" s="42">
        <v>5.51</v>
      </c>
      <c r="W22" s="42"/>
      <c r="X22" s="42">
        <v>11.29</v>
      </c>
      <c r="Y22" s="42"/>
      <c r="Z22" s="42"/>
      <c r="AA22" s="42"/>
      <c r="AB22" s="42"/>
      <c r="AC22" s="42"/>
      <c r="AD22" s="42">
        <f>+AD36/AD6</f>
        <v>33.32530629284026</v>
      </c>
    </row>
    <row r="23" spans="1:31" x14ac:dyDescent="0.25">
      <c r="A23" s="18" t="s">
        <v>26</v>
      </c>
      <c r="B23" s="20">
        <v>-45</v>
      </c>
      <c r="C23" s="18"/>
      <c r="D23" s="45">
        <v>-45</v>
      </c>
      <c r="E23" s="18"/>
      <c r="F23" s="20">
        <v>-47.5</v>
      </c>
      <c r="H23" s="20">
        <v>-47.5</v>
      </c>
      <c r="J23" s="20">
        <v>-47.5</v>
      </c>
      <c r="L23" s="20">
        <v>-47.5</v>
      </c>
      <c r="N23" s="20">
        <v>-55.5</v>
      </c>
      <c r="P23" s="42">
        <v>-55.5</v>
      </c>
      <c r="Q23" s="42"/>
      <c r="R23" s="42">
        <v>-55.5</v>
      </c>
      <c r="S23" s="42"/>
      <c r="T23" s="42">
        <v>-55.5</v>
      </c>
      <c r="U23" s="42"/>
      <c r="V23" s="42">
        <v>-55.5</v>
      </c>
      <c r="W23" s="42"/>
      <c r="X23" s="42">
        <v>-55.5</v>
      </c>
      <c r="Y23" s="42"/>
      <c r="Z23" s="42"/>
      <c r="AA23" s="42"/>
      <c r="AB23" s="42"/>
      <c r="AC23" s="42"/>
      <c r="AD23" s="42" t="e">
        <f t="shared" ref="AD23:AD31" si="14">+AD37/AD7</f>
        <v>#DIV/0!</v>
      </c>
    </row>
    <row r="24" spans="1:31" x14ac:dyDescent="0.25">
      <c r="A24" s="18" t="s">
        <v>22</v>
      </c>
      <c r="B24" s="20">
        <v>70.38</v>
      </c>
      <c r="C24" s="18"/>
      <c r="D24" s="45">
        <v>68.239999999999995</v>
      </c>
      <c r="E24" s="18"/>
      <c r="F24" s="20">
        <v>74.319999999999993</v>
      </c>
      <c r="H24" s="20">
        <v>66.44</v>
      </c>
      <c r="J24" s="20">
        <v>68.13</v>
      </c>
      <c r="L24" s="20">
        <v>51.68</v>
      </c>
      <c r="N24" s="20">
        <v>60.37</v>
      </c>
      <c r="P24" s="42">
        <v>64.709999999999994</v>
      </c>
      <c r="Q24" s="42"/>
      <c r="R24" s="42">
        <v>58.45</v>
      </c>
      <c r="S24" s="42"/>
      <c r="T24" s="42">
        <v>63.21</v>
      </c>
      <c r="U24" s="42"/>
      <c r="V24" s="42">
        <v>66.56</v>
      </c>
      <c r="W24" s="42"/>
      <c r="X24" s="42">
        <v>66.459999999999994</v>
      </c>
      <c r="Y24" s="42"/>
      <c r="Z24" s="42"/>
      <c r="AA24" s="42"/>
      <c r="AB24" s="42"/>
      <c r="AC24" s="42"/>
      <c r="AD24" s="42">
        <f t="shared" si="14"/>
        <v>64.851720512562181</v>
      </c>
    </row>
    <row r="25" spans="1:31" x14ac:dyDescent="0.25">
      <c r="A25" s="18" t="s">
        <v>27</v>
      </c>
      <c r="B25" s="20">
        <v>1113.5999999999999</v>
      </c>
      <c r="C25" s="18"/>
      <c r="D25" s="45">
        <v>1100.82</v>
      </c>
      <c r="E25" s="18"/>
      <c r="F25" s="20">
        <v>902.8</v>
      </c>
      <c r="H25" s="20">
        <v>993.6</v>
      </c>
      <c r="J25" s="20">
        <v>990.71</v>
      </c>
      <c r="L25" s="20">
        <v>1117.81</v>
      </c>
      <c r="N25" s="20">
        <v>979.54</v>
      </c>
      <c r="P25" s="42">
        <v>944.93</v>
      </c>
      <c r="Q25" s="42"/>
      <c r="R25" s="42">
        <v>957.28</v>
      </c>
      <c r="S25" s="42"/>
      <c r="T25" s="42">
        <v>916.77</v>
      </c>
      <c r="U25" s="42"/>
      <c r="V25" s="42">
        <v>894.97</v>
      </c>
      <c r="W25" s="42"/>
      <c r="X25" s="42">
        <v>907.91</v>
      </c>
      <c r="Y25" s="42"/>
      <c r="Z25" s="42"/>
      <c r="AA25" s="42"/>
      <c r="AB25" s="42"/>
      <c r="AC25" s="42"/>
      <c r="AD25" s="42">
        <f t="shared" si="14"/>
        <v>971.54555408006161</v>
      </c>
    </row>
    <row r="26" spans="1:31" x14ac:dyDescent="0.25">
      <c r="A26" s="18" t="s">
        <v>31</v>
      </c>
      <c r="B26" s="20">
        <v>167.98</v>
      </c>
      <c r="C26" s="18"/>
      <c r="D26" s="45">
        <v>163.49</v>
      </c>
      <c r="E26" s="18"/>
      <c r="F26" s="20">
        <v>141.29</v>
      </c>
      <c r="H26" s="20">
        <v>143.27000000000001</v>
      </c>
      <c r="J26" s="20">
        <v>156.94</v>
      </c>
      <c r="L26" s="20">
        <v>150.51</v>
      </c>
      <c r="N26" s="20">
        <v>135.08000000000001</v>
      </c>
      <c r="P26" s="42">
        <v>125.54</v>
      </c>
      <c r="Q26" s="42"/>
      <c r="R26" s="42">
        <v>119.81</v>
      </c>
      <c r="S26" s="42"/>
      <c r="T26" s="42">
        <v>123.04</v>
      </c>
      <c r="U26" s="42"/>
      <c r="V26" s="42">
        <v>109.2</v>
      </c>
      <c r="W26" s="42"/>
      <c r="X26" s="42">
        <v>81.25</v>
      </c>
      <c r="Y26" s="42"/>
      <c r="Z26" s="42"/>
      <c r="AA26" s="42"/>
      <c r="AB26" s="42"/>
      <c r="AC26" s="42"/>
      <c r="AD26" s="42">
        <f t="shared" si="14"/>
        <v>131.6244816665685</v>
      </c>
    </row>
    <row r="27" spans="1:31" x14ac:dyDescent="0.25">
      <c r="A27" s="18" t="s">
        <v>23</v>
      </c>
      <c r="B27" s="20">
        <v>-53.34</v>
      </c>
      <c r="C27" s="18"/>
      <c r="D27" s="45">
        <v>-53.34</v>
      </c>
      <c r="E27" s="18"/>
      <c r="F27" s="20">
        <v>-53.34</v>
      </c>
      <c r="H27" s="20">
        <v>-53.34</v>
      </c>
      <c r="J27" s="20">
        <v>-53.34</v>
      </c>
      <c r="L27" s="20">
        <v>-53.34</v>
      </c>
      <c r="N27" s="20">
        <v>-53.34</v>
      </c>
      <c r="P27" s="42">
        <v>-53.34</v>
      </c>
      <c r="Q27" s="42"/>
      <c r="R27" s="42">
        <v>-53.34</v>
      </c>
      <c r="S27" s="42"/>
      <c r="T27" s="42">
        <v>-53.34</v>
      </c>
      <c r="U27" s="42"/>
      <c r="V27" s="42">
        <v>-53.34</v>
      </c>
      <c r="W27" s="42"/>
      <c r="X27" s="42">
        <v>-53.34</v>
      </c>
      <c r="Y27" s="42"/>
      <c r="Z27" s="42"/>
      <c r="AA27" s="42"/>
      <c r="AB27" s="42"/>
      <c r="AC27" s="42"/>
      <c r="AD27" s="42">
        <f t="shared" si="14"/>
        <v>-53.34</v>
      </c>
    </row>
    <row r="28" spans="1:31" x14ac:dyDescent="0.25">
      <c r="A28" s="18" t="s">
        <v>24</v>
      </c>
      <c r="B28" s="20">
        <v>160</v>
      </c>
      <c r="C28" s="18"/>
      <c r="D28" s="45">
        <v>160</v>
      </c>
      <c r="E28" s="18"/>
      <c r="F28" s="20">
        <v>160</v>
      </c>
      <c r="H28" s="20">
        <v>160</v>
      </c>
      <c r="J28" s="20">
        <v>131.57</v>
      </c>
      <c r="L28" s="20">
        <v>175</v>
      </c>
      <c r="N28" s="20">
        <v>170</v>
      </c>
      <c r="P28" s="42">
        <v>175</v>
      </c>
      <c r="Q28" s="42"/>
      <c r="R28" s="42">
        <v>175</v>
      </c>
      <c r="S28" s="42"/>
      <c r="T28" s="42">
        <v>145</v>
      </c>
      <c r="U28" s="42"/>
      <c r="V28" s="42">
        <v>71.2</v>
      </c>
      <c r="W28" s="42"/>
      <c r="X28" s="42">
        <v>45.23</v>
      </c>
      <c r="Y28" s="42"/>
      <c r="Z28" s="42"/>
      <c r="AA28" s="42"/>
      <c r="AB28" s="42"/>
      <c r="AC28" s="42"/>
      <c r="AD28" s="42">
        <f t="shared" si="14"/>
        <v>142.82927562496425</v>
      </c>
    </row>
    <row r="29" spans="1:31" x14ac:dyDescent="0.25">
      <c r="A29" s="18" t="s">
        <v>28</v>
      </c>
      <c r="B29" s="20">
        <v>760</v>
      </c>
      <c r="C29" s="18"/>
      <c r="D29" s="45">
        <v>710</v>
      </c>
      <c r="E29" s="18"/>
      <c r="F29" s="20">
        <v>710</v>
      </c>
      <c r="H29" s="20">
        <v>640</v>
      </c>
      <c r="J29" s="20">
        <v>600</v>
      </c>
      <c r="L29" s="20">
        <v>500</v>
      </c>
      <c r="N29" s="20">
        <v>420</v>
      </c>
      <c r="P29" s="42">
        <v>420</v>
      </c>
      <c r="Q29" s="42"/>
      <c r="R29" s="42">
        <v>420</v>
      </c>
      <c r="S29" s="42"/>
      <c r="T29" s="42">
        <v>410</v>
      </c>
      <c r="U29" s="42"/>
      <c r="V29" s="42">
        <v>480</v>
      </c>
      <c r="W29" s="42"/>
      <c r="X29" s="42">
        <v>562</v>
      </c>
      <c r="Y29" s="42"/>
      <c r="Z29" s="42"/>
      <c r="AA29" s="42"/>
      <c r="AB29" s="42"/>
      <c r="AC29" s="42"/>
      <c r="AD29" s="42">
        <f t="shared" si="14"/>
        <v>542.87097626863817</v>
      </c>
    </row>
    <row r="30" spans="1:31" x14ac:dyDescent="0.25">
      <c r="A30" s="18" t="s">
        <v>29</v>
      </c>
      <c r="B30" s="20">
        <v>310</v>
      </c>
      <c r="C30" s="18"/>
      <c r="D30" s="45">
        <v>350</v>
      </c>
      <c r="E30" s="18"/>
      <c r="F30" s="20">
        <v>350</v>
      </c>
      <c r="H30" s="20">
        <v>310</v>
      </c>
      <c r="J30" s="20">
        <v>310</v>
      </c>
      <c r="L30" s="20">
        <v>270</v>
      </c>
      <c r="N30" s="20">
        <v>230</v>
      </c>
      <c r="P30" s="42">
        <v>230</v>
      </c>
      <c r="Q30" s="42"/>
      <c r="R30" s="42">
        <v>210</v>
      </c>
      <c r="S30" s="42"/>
      <c r="T30" s="42">
        <v>200</v>
      </c>
      <c r="U30" s="42"/>
      <c r="V30" s="42">
        <v>200</v>
      </c>
      <c r="W30" s="42"/>
      <c r="X30" s="42">
        <v>260</v>
      </c>
      <c r="Y30" s="42"/>
      <c r="Z30" s="42"/>
      <c r="AA30" s="42"/>
      <c r="AB30" s="42"/>
      <c r="AC30" s="42"/>
      <c r="AD30" s="42">
        <f t="shared" si="14"/>
        <v>262.88062619954144</v>
      </c>
    </row>
    <row r="31" spans="1:31" x14ac:dyDescent="0.25">
      <c r="A31" s="18" t="s">
        <v>30</v>
      </c>
      <c r="B31" s="20">
        <v>-140</v>
      </c>
      <c r="C31" s="18"/>
      <c r="D31" s="45">
        <v>-140</v>
      </c>
      <c r="E31" s="18"/>
      <c r="F31" s="20">
        <v>-140</v>
      </c>
      <c r="H31" s="20">
        <v>-140</v>
      </c>
      <c r="J31" s="20">
        <v>-140</v>
      </c>
      <c r="L31" s="20">
        <v>-140</v>
      </c>
      <c r="N31" s="20">
        <v>-140</v>
      </c>
      <c r="P31" s="42">
        <v>-140</v>
      </c>
      <c r="Q31" s="42"/>
      <c r="R31" s="42">
        <v>-140</v>
      </c>
      <c r="S31" s="42"/>
      <c r="T31" s="42">
        <v>-140</v>
      </c>
      <c r="U31" s="42"/>
      <c r="V31" s="42">
        <v>-197.5</v>
      </c>
      <c r="W31" s="42"/>
      <c r="X31" s="42">
        <v>-197.5</v>
      </c>
      <c r="Y31" s="42"/>
      <c r="Z31" s="42"/>
      <c r="AA31" s="42"/>
      <c r="AB31" s="42"/>
      <c r="AC31" s="42"/>
      <c r="AD31" s="42">
        <f t="shared" si="14"/>
        <v>-157.17075038284838</v>
      </c>
    </row>
    <row r="35" spans="1:30" x14ac:dyDescent="0.25">
      <c r="A35" s="35" t="s">
        <v>36</v>
      </c>
      <c r="B35" s="35"/>
      <c r="C35" s="35"/>
      <c r="D35" s="35"/>
      <c r="E35" s="35"/>
    </row>
    <row r="36" spans="1:30" x14ac:dyDescent="0.25">
      <c r="A36" s="18" t="s">
        <v>25</v>
      </c>
      <c r="B36" s="36">
        <f>+B6*B22</f>
        <v>30825.765000000003</v>
      </c>
      <c r="C36" s="18"/>
      <c r="D36" s="36">
        <f>+D6*D22</f>
        <v>29778.314799999996</v>
      </c>
      <c r="E36" s="18"/>
      <c r="F36" s="36">
        <f>+F6*F22</f>
        <v>32278.815152760002</v>
      </c>
      <c r="H36" s="36">
        <f>+H6*H22</f>
        <v>17448.72245682</v>
      </c>
      <c r="J36" s="36">
        <f>+J6*J22</f>
        <v>18969.236332799999</v>
      </c>
      <c r="L36" s="36">
        <f>+L6*L22</f>
        <v>13624.356751999998</v>
      </c>
      <c r="N36" s="36">
        <f>+N6*N22</f>
        <v>3144.21647085</v>
      </c>
      <c r="P36" s="36">
        <f>+P6*P22</f>
        <v>3271.0996</v>
      </c>
      <c r="R36" s="36">
        <f>+R6*R22</f>
        <v>1279.8826000000001</v>
      </c>
      <c r="T36" s="36">
        <f>+T6*T22</f>
        <v>-225.21950000000001</v>
      </c>
      <c r="V36" s="36">
        <f>+V6*V22</f>
        <v>2283.7847999999999</v>
      </c>
      <c r="X36" s="36">
        <f>+X6*X22</f>
        <v>4571.0951999999997</v>
      </c>
      <c r="AD36" s="3">
        <f>+B36+D36+F36+H36+J36+L36+N36+P36+R36+T36+V36+X36+Z36+AB36</f>
        <v>157250.06966523</v>
      </c>
    </row>
    <row r="37" spans="1:30" x14ac:dyDescent="0.25">
      <c r="A37" s="18" t="s">
        <v>26</v>
      </c>
      <c r="B37" s="36">
        <f t="shared" ref="B37:D37" si="15">+B7*B23</f>
        <v>0</v>
      </c>
      <c r="C37" s="18"/>
      <c r="D37" s="36">
        <f t="shared" si="15"/>
        <v>0</v>
      </c>
      <c r="E37" s="18"/>
      <c r="F37" s="36">
        <f t="shared" ref="F37:H45" si="16">+F7*F23</f>
        <v>0</v>
      </c>
      <c r="H37" s="36">
        <f t="shared" si="16"/>
        <v>0</v>
      </c>
      <c r="J37" s="36">
        <f t="shared" ref="J37" si="17">+J7*J23</f>
        <v>0</v>
      </c>
      <c r="L37" s="36">
        <f t="shared" ref="L37" si="18">+L7*L23</f>
        <v>0</v>
      </c>
      <c r="N37" s="36">
        <f t="shared" ref="N37:P37" si="19">+N7*N23</f>
        <v>0</v>
      </c>
      <c r="P37" s="36">
        <f t="shared" si="19"/>
        <v>0</v>
      </c>
      <c r="R37" s="36">
        <f t="shared" ref="R37:T37" si="20">+R7*R23</f>
        <v>0</v>
      </c>
      <c r="T37" s="36">
        <f t="shared" si="20"/>
        <v>0</v>
      </c>
      <c r="V37" s="36">
        <f t="shared" ref="V37:X37" si="21">+V7*V23</f>
        <v>0</v>
      </c>
      <c r="X37" s="36">
        <f t="shared" si="21"/>
        <v>0</v>
      </c>
      <c r="AD37" s="3">
        <f t="shared" ref="AD37:AD45" si="22">+B37+D37+F37+H37+J37+L37+N37+P37+R37+T37+V37+X37+Z37+AB37</f>
        <v>0</v>
      </c>
    </row>
    <row r="38" spans="1:30" x14ac:dyDescent="0.25">
      <c r="A38" s="18" t="s">
        <v>22</v>
      </c>
      <c r="B38" s="36">
        <f t="shared" ref="B38:D38" si="23">+B8*B24</f>
        <v>35358.911999999997</v>
      </c>
      <c r="C38" s="18"/>
      <c r="D38" s="36">
        <f t="shared" si="23"/>
        <v>33241.068800000001</v>
      </c>
      <c r="E38" s="18"/>
      <c r="F38" s="36">
        <f t="shared" si="16"/>
        <v>36953.267994959991</v>
      </c>
      <c r="H38" s="36">
        <f t="shared" si="16"/>
        <v>22092.60441652</v>
      </c>
      <c r="J38" s="36">
        <f t="shared" ref="J38" si="24">+J8*J24</f>
        <v>30053.505599999997</v>
      </c>
      <c r="L38" s="36">
        <f t="shared" ref="L38" si="25">+L8*L24</f>
        <v>22426.362355199999</v>
      </c>
      <c r="N38" s="36">
        <f t="shared" ref="N38:P38" si="26">+N8*N24</f>
        <v>29345.727023389998</v>
      </c>
      <c r="P38" s="36">
        <f t="shared" si="26"/>
        <v>38748.347999999991</v>
      </c>
      <c r="R38" s="36">
        <f t="shared" ref="R38:T38" si="27">+R8*R24</f>
        <v>38727.216500000002</v>
      </c>
      <c r="T38" s="36">
        <f t="shared" si="27"/>
        <v>43034.632200000007</v>
      </c>
      <c r="V38" s="36">
        <f t="shared" ref="V38:X38" si="28">+V8*V24</f>
        <v>43746.560000000005</v>
      </c>
      <c r="X38" s="36">
        <f t="shared" si="28"/>
        <v>45696.566800000001</v>
      </c>
      <c r="AD38" s="3">
        <f t="shared" si="22"/>
        <v>419424.77169006993</v>
      </c>
    </row>
    <row r="39" spans="1:30" x14ac:dyDescent="0.25">
      <c r="A39" s="18" t="s">
        <v>27</v>
      </c>
      <c r="B39" s="36">
        <f t="shared" ref="B39:D39" si="29">+B9*B25</f>
        <v>16648.319999999996</v>
      </c>
      <c r="C39" s="18"/>
      <c r="D39" s="36">
        <f t="shared" si="29"/>
        <v>15906.848999999998</v>
      </c>
      <c r="E39" s="18"/>
      <c r="F39" s="36">
        <f t="shared" si="16"/>
        <v>18020.5858644</v>
      </c>
      <c r="H39" s="36">
        <f t="shared" si="16"/>
        <v>15313.511246399999</v>
      </c>
      <c r="J39" s="36">
        <f t="shared" ref="J39" si="30">+J9*J25</f>
        <v>15266.63503232</v>
      </c>
      <c r="L39" s="36">
        <f t="shared" ref="L39" si="31">+L9*L25</f>
        <v>17387.489837599998</v>
      </c>
      <c r="N39" s="36">
        <f t="shared" ref="N39:P39" si="32">+N9*N25</f>
        <v>19662.078187180003</v>
      </c>
      <c r="P39" s="36">
        <f t="shared" si="32"/>
        <v>23188.582199999997</v>
      </c>
      <c r="R39" s="36">
        <f t="shared" ref="R39:T39" si="33">+R9*R25</f>
        <v>23386.350399999999</v>
      </c>
      <c r="T39" s="36">
        <f t="shared" si="33"/>
        <v>24276.069599999999</v>
      </c>
      <c r="V39" s="36">
        <f t="shared" ref="V39:X39" si="34">+V9*V25</f>
        <v>20673.807000000001</v>
      </c>
      <c r="X39" s="36">
        <f t="shared" si="34"/>
        <v>20963.641899999999</v>
      </c>
      <c r="AD39" s="3">
        <f t="shared" si="22"/>
        <v>230693.92026789996</v>
      </c>
    </row>
    <row r="40" spans="1:30" x14ac:dyDescent="0.25">
      <c r="A40" s="18" t="s">
        <v>31</v>
      </c>
      <c r="B40" s="36">
        <f t="shared" ref="B40:D40" si="35">+B10*B26</f>
        <v>5496.3055999999997</v>
      </c>
      <c r="C40" s="18"/>
      <c r="D40" s="36">
        <f t="shared" si="35"/>
        <v>4679.0838000000003</v>
      </c>
      <c r="E40" s="18"/>
      <c r="F40" s="36">
        <f t="shared" si="16"/>
        <v>4474.2432873899998</v>
      </c>
      <c r="H40" s="36">
        <f t="shared" si="16"/>
        <v>3651.30027823</v>
      </c>
      <c r="J40" s="36">
        <f t="shared" ref="J40" si="36">+J10*J26</f>
        <v>4061.4565375999991</v>
      </c>
      <c r="L40" s="36">
        <f t="shared" ref="L40" si="37">+L10*L26</f>
        <v>3926.5410023999998</v>
      </c>
      <c r="N40" s="36">
        <f t="shared" ref="N40:P40" si="38">+N10*N26</f>
        <v>3678.4426368800009</v>
      </c>
      <c r="P40" s="36">
        <f t="shared" si="38"/>
        <v>4086.3269999999998</v>
      </c>
      <c r="R40" s="36">
        <f t="shared" ref="R40:T40" si="39">+R10*R26</f>
        <v>4111.8792000000003</v>
      </c>
      <c r="T40" s="36">
        <f t="shared" si="39"/>
        <v>4990.5024000000003</v>
      </c>
      <c r="V40" s="36">
        <f t="shared" ref="V40:X40" si="40">+V10*V26</f>
        <v>4216.2120000000004</v>
      </c>
      <c r="X40" s="36">
        <f t="shared" si="40"/>
        <v>3433.625</v>
      </c>
      <c r="AD40" s="3">
        <f t="shared" si="22"/>
        <v>50805.918742499998</v>
      </c>
    </row>
    <row r="41" spans="1:30" x14ac:dyDescent="0.25">
      <c r="A41" s="18" t="s">
        <v>23</v>
      </c>
      <c r="B41" s="36">
        <f t="shared" ref="B41:D41" si="41">+B11*B27</f>
        <v>-9125.9405999999999</v>
      </c>
      <c r="C41" s="18"/>
      <c r="D41" s="36">
        <f t="shared" si="41"/>
        <v>-9563.862000000001</v>
      </c>
      <c r="E41" s="18"/>
      <c r="F41" s="36">
        <f t="shared" si="16"/>
        <v>-12128.0606181</v>
      </c>
      <c r="H41" s="36">
        <f t="shared" si="16"/>
        <v>-8408.8987142999995</v>
      </c>
      <c r="J41" s="36">
        <f t="shared" ref="J41" si="42">+J11*J27</f>
        <v>-8778.0127411199992</v>
      </c>
      <c r="L41" s="36">
        <f t="shared" ref="L41" si="43">+L11*L27</f>
        <v>-9211.6473119999991</v>
      </c>
      <c r="N41" s="36">
        <f t="shared" ref="N41:P41" si="44">+N11*N27</f>
        <v>-10774.19945994</v>
      </c>
      <c r="P41" s="36">
        <f t="shared" si="44"/>
        <v>-13533.958200000001</v>
      </c>
      <c r="R41" s="36">
        <f t="shared" ref="R41:T41" si="45">+R11*R27</f>
        <v>-17462.449199999999</v>
      </c>
      <c r="T41" s="36">
        <f t="shared" si="45"/>
        <v>-14946.934800000003</v>
      </c>
      <c r="V41" s="36">
        <f t="shared" ref="V41:X41" si="46">+V11*V27</f>
        <v>-12469.291800000001</v>
      </c>
      <c r="X41" s="36">
        <f t="shared" si="46"/>
        <v>-12351.410400000001</v>
      </c>
      <c r="AD41" s="3">
        <f t="shared" si="22"/>
        <v>-138754.66584546003</v>
      </c>
    </row>
    <row r="42" spans="1:30" x14ac:dyDescent="0.25">
      <c r="A42" s="18" t="s">
        <v>24</v>
      </c>
      <c r="B42" s="36">
        <f t="shared" ref="B42:D42" si="47">+B12*B28</f>
        <v>6657.6</v>
      </c>
      <c r="C42" s="18"/>
      <c r="D42" s="36">
        <f t="shared" si="47"/>
        <v>7132.7999999999993</v>
      </c>
      <c r="E42" s="18"/>
      <c r="F42" s="36">
        <f t="shared" si="16"/>
        <v>7564.0823999999993</v>
      </c>
      <c r="H42" s="36">
        <f t="shared" si="16"/>
        <v>4835.1840000000002</v>
      </c>
      <c r="J42" s="36">
        <f t="shared" ref="J42" si="48">+J12*J28</f>
        <v>4457.3305651199989</v>
      </c>
      <c r="L42" s="36">
        <f t="shared" ref="L42" si="49">+L12*L28</f>
        <v>7158.9559999999992</v>
      </c>
      <c r="N42" s="36">
        <f t="shared" ref="N42:P42" si="50">+N12*N28</f>
        <v>8089.4654700000001</v>
      </c>
      <c r="P42" s="36">
        <f t="shared" si="50"/>
        <v>9870</v>
      </c>
      <c r="R42" s="36">
        <f t="shared" ref="R42:T42" si="51">+R12*R28</f>
        <v>12780.25</v>
      </c>
      <c r="T42" s="36">
        <f t="shared" si="51"/>
        <v>10070.25</v>
      </c>
      <c r="V42" s="36">
        <f t="shared" ref="V42:X42" si="52">+V12*V28</f>
        <v>4180.152</v>
      </c>
      <c r="X42" s="36">
        <f t="shared" si="52"/>
        <v>2385.4301999999998</v>
      </c>
      <c r="AD42" s="3">
        <f t="shared" si="22"/>
        <v>85181.500635119999</v>
      </c>
    </row>
    <row r="43" spans="1:30" x14ac:dyDescent="0.25">
      <c r="A43" s="18" t="s">
        <v>28</v>
      </c>
      <c r="B43" s="36">
        <f t="shared" ref="B43:D43" si="53">+B13*B29</f>
        <v>9538</v>
      </c>
      <c r="C43" s="18"/>
      <c r="D43" s="36">
        <f t="shared" si="53"/>
        <v>7817.0999999999995</v>
      </c>
      <c r="E43" s="18"/>
      <c r="F43" s="36">
        <f t="shared" si="16"/>
        <v>9270.5033699999985</v>
      </c>
      <c r="H43" s="36">
        <f t="shared" si="16"/>
        <v>6382.4428800000005</v>
      </c>
      <c r="J43" s="36">
        <f t="shared" ref="J43" si="54">+J13*J29</f>
        <v>6846.1823999999997</v>
      </c>
      <c r="L43" s="36">
        <f t="shared" ref="L43" si="55">+L13*L29</f>
        <v>5389.12</v>
      </c>
      <c r="N43" s="36">
        <f t="shared" ref="N43:P43" si="56">+N13*N29</f>
        <v>4539.5334600000006</v>
      </c>
      <c r="P43" s="36">
        <f t="shared" si="56"/>
        <v>5581.7999999999993</v>
      </c>
      <c r="R43" s="36">
        <f t="shared" ref="R43:T43" si="57">+R13*R29</f>
        <v>7366.7999999999993</v>
      </c>
      <c r="T43" s="36">
        <f t="shared" si="57"/>
        <v>6605.0999999999995</v>
      </c>
      <c r="V43" s="36">
        <f t="shared" ref="V43:X43" si="58">+V13*V29</f>
        <v>7444.8</v>
      </c>
      <c r="X43" s="36">
        <f t="shared" si="58"/>
        <v>9582.1</v>
      </c>
      <c r="AD43" s="3">
        <f t="shared" si="22"/>
        <v>86363.482110000012</v>
      </c>
    </row>
    <row r="44" spans="1:30" x14ac:dyDescent="0.25">
      <c r="A44" s="18" t="s">
        <v>29</v>
      </c>
      <c r="B44" s="36">
        <f t="shared" ref="B44:D44" si="59">+B14*B30</f>
        <v>2709.4</v>
      </c>
      <c r="C44" s="18"/>
      <c r="D44" s="36">
        <f t="shared" si="59"/>
        <v>2698.5</v>
      </c>
      <c r="E44" s="18"/>
      <c r="F44" s="36">
        <f t="shared" si="16"/>
        <v>3361.8143999999998</v>
      </c>
      <c r="H44" s="36">
        <f t="shared" si="16"/>
        <v>2342.04225</v>
      </c>
      <c r="J44" s="36">
        <f t="shared" ref="J44" si="60">+J14*J30</f>
        <v>2479.6825599999997</v>
      </c>
      <c r="L44" s="36">
        <f t="shared" ref="L44" si="61">+L14*L30</f>
        <v>2381.0111999999999</v>
      </c>
      <c r="N44" s="36">
        <f t="shared" ref="N44:P44" si="62">+N14*N30</f>
        <v>2001.66194</v>
      </c>
      <c r="P44" s="36">
        <f t="shared" si="62"/>
        <v>2470.2000000000003</v>
      </c>
      <c r="R44" s="36">
        <f t="shared" ref="R44:T44" si="63">+R14*R30</f>
        <v>2562</v>
      </c>
      <c r="T44" s="36">
        <f t="shared" si="63"/>
        <v>2444</v>
      </c>
      <c r="V44" s="36">
        <f t="shared" ref="V44:X44" si="64">+V14*V30</f>
        <v>2010.0000000000002</v>
      </c>
      <c r="X44" s="36">
        <f t="shared" si="64"/>
        <v>2815.8</v>
      </c>
      <c r="AD44" s="3">
        <f t="shared" si="22"/>
        <v>30276.112349999996</v>
      </c>
    </row>
    <row r="45" spans="1:30" ht="17.25" x14ac:dyDescent="0.4">
      <c r="A45" s="18" t="s">
        <v>30</v>
      </c>
      <c r="B45" s="37">
        <f t="shared" ref="B45:D45" si="65">+B15*B31</f>
        <v>0</v>
      </c>
      <c r="C45" s="18"/>
      <c r="D45" s="37">
        <f t="shared" si="65"/>
        <v>0</v>
      </c>
      <c r="E45" s="18"/>
      <c r="F45" s="37">
        <f t="shared" si="16"/>
        <v>0</v>
      </c>
      <c r="H45" s="37">
        <f t="shared" si="16"/>
        <v>0</v>
      </c>
      <c r="J45" s="37">
        <f t="shared" ref="J45" si="66">+J15*J31</f>
        <v>0</v>
      </c>
      <c r="L45" s="37">
        <f t="shared" ref="L45" si="67">+L15*L31</f>
        <v>0</v>
      </c>
      <c r="N45" s="37">
        <f t="shared" ref="N45:P45" si="68">+N15*N31</f>
        <v>0</v>
      </c>
      <c r="P45" s="37">
        <f t="shared" si="68"/>
        <v>-166.6</v>
      </c>
      <c r="R45" s="37">
        <f t="shared" ref="R45:T45" si="69">+R15*R31</f>
        <v>-240.79999999999998</v>
      </c>
      <c r="T45" s="37">
        <f t="shared" si="69"/>
        <v>-233.79999999999998</v>
      </c>
      <c r="V45" s="37">
        <f t="shared" ref="V45:X45" si="70">+V15*V31</f>
        <v>-173.8</v>
      </c>
      <c r="X45" s="37">
        <f t="shared" si="70"/>
        <v>-211.32500000000002</v>
      </c>
      <c r="AD45" s="90">
        <f t="shared" si="22"/>
        <v>-1026.325</v>
      </c>
    </row>
    <row r="46" spans="1:30" ht="17.25" x14ac:dyDescent="0.4">
      <c r="B46" s="38">
        <f>SUM(B36:B45)</f>
        <v>98108.361999999994</v>
      </c>
      <c r="D46" s="38">
        <f>SUM(D36:D45)</f>
        <v>91689.854400000026</v>
      </c>
      <c r="F46" s="38">
        <f>SUM(F36:F45)</f>
        <v>99795.251851409994</v>
      </c>
      <c r="H46" s="38">
        <f>SUM(H36:H45)</f>
        <v>63656.908813670008</v>
      </c>
      <c r="J46" s="38">
        <f>SUM(J36:J45)</f>
        <v>73356.016286719998</v>
      </c>
      <c r="L46" s="38">
        <f>SUM(L36:L45)</f>
        <v>63082.189835199999</v>
      </c>
      <c r="N46" s="38">
        <f>SUM(N36:N45)</f>
        <v>59686.925728359995</v>
      </c>
      <c r="P46" s="38">
        <f>SUM(P36:P45)</f>
        <v>73515.79859999998</v>
      </c>
      <c r="R46" s="38">
        <f>SUM(R36:R45)</f>
        <v>72511.129499999995</v>
      </c>
      <c r="T46" s="38">
        <f>SUM(T36:T45)</f>
        <v>76014.599900000001</v>
      </c>
      <c r="V46" s="38">
        <f>SUM(V36:V45)</f>
        <v>71912.224000000002</v>
      </c>
      <c r="X46" s="38">
        <f>SUM(X36:X45)</f>
        <v>76885.523700000005</v>
      </c>
      <c r="AD46" s="38">
        <f>SUM(AD36:AD45)</f>
        <v>920214.78461535985</v>
      </c>
    </row>
    <row r="48" spans="1:30" ht="17.25" x14ac:dyDescent="0.4">
      <c r="A48" s="34" t="s">
        <v>34</v>
      </c>
      <c r="B48" s="33">
        <f>+B17-B16</f>
        <v>1206.9099999999999</v>
      </c>
      <c r="C48" s="34"/>
      <c r="D48" s="33">
        <f>+D17-D16</f>
        <v>1179.82</v>
      </c>
      <c r="E48" s="34"/>
      <c r="F48" s="33">
        <f>+F17-F16</f>
        <v>1285.443765</v>
      </c>
      <c r="G48" s="33"/>
      <c r="H48" s="33">
        <f>+H17-H16</f>
        <v>854.11510700000019</v>
      </c>
      <c r="I48" s="33"/>
      <c r="J48" s="33">
        <f>+J17-J16</f>
        <v>1013.7525760000001</v>
      </c>
      <c r="K48" s="33"/>
      <c r="L48" s="33">
        <f>+L17-L16</f>
        <v>1048.5512799999997</v>
      </c>
      <c r="M48" s="33"/>
      <c r="N48" s="33">
        <f>+N17-N16</f>
        <v>1186.398788</v>
      </c>
      <c r="O48" s="33"/>
      <c r="P48" s="33">
        <f>+P17-P16</f>
        <v>1462.58</v>
      </c>
      <c r="R48" s="33">
        <f>+R17-R16</f>
        <v>1590.01</v>
      </c>
      <c r="T48" s="33">
        <f>+T17-T16</f>
        <v>1537.02</v>
      </c>
      <c r="V48" s="33">
        <f>+V17-V16</f>
        <v>1452.36</v>
      </c>
      <c r="X48" s="33">
        <f>+X17-X16</f>
        <v>1471.0599999999995</v>
      </c>
      <c r="AD48" s="33">
        <f>+AD17-AD16</f>
        <v>15288.021515999999</v>
      </c>
    </row>
    <row r="50" spans="1:30" ht="17.25" x14ac:dyDescent="0.4">
      <c r="A50" s="13" t="s">
        <v>37</v>
      </c>
      <c r="B50" s="39">
        <f>+B46/B48</f>
        <v>81.288879866767203</v>
      </c>
      <c r="C50" s="13"/>
      <c r="D50" s="39">
        <f>+D46/D48</f>
        <v>77.715121289688284</v>
      </c>
      <c r="E50" s="13"/>
      <c r="F50" s="39">
        <f>+F46/F48</f>
        <v>77.634863981319313</v>
      </c>
      <c r="G50" s="39"/>
      <c r="H50" s="39">
        <f t="shared" ref="H50:N50" si="71">+H46/H48</f>
        <v>74.529660337303923</v>
      </c>
      <c r="I50" s="39"/>
      <c r="J50" s="39">
        <f t="shared" si="71"/>
        <v>72.360867950800639</v>
      </c>
      <c r="K50" s="39"/>
      <c r="L50" s="39">
        <f t="shared" si="71"/>
        <v>60.161282560448562</v>
      </c>
      <c r="M50" s="39"/>
      <c r="N50" s="39">
        <f t="shared" si="71"/>
        <v>50.309327969711305</v>
      </c>
      <c r="P50" s="39">
        <f t="shared" ref="P50:R50" si="72">+P46/P48</f>
        <v>50.264463208850103</v>
      </c>
      <c r="R50" s="39">
        <f t="shared" si="72"/>
        <v>45.60419714341419</v>
      </c>
      <c r="T50" s="39">
        <f t="shared" ref="T50:V50" si="73">+T46/T48</f>
        <v>49.455830047754745</v>
      </c>
      <c r="V50" s="39">
        <f t="shared" si="73"/>
        <v>49.514048858409765</v>
      </c>
      <c r="X50" s="39">
        <f t="shared" ref="X50" si="74">+X46/X48</f>
        <v>52.26538937908721</v>
      </c>
      <c r="AD50" s="39">
        <f t="shared" ref="AD50" si="75">+AD46/AD48</f>
        <v>60.191881837181469</v>
      </c>
    </row>
    <row r="52" spans="1:30" x14ac:dyDescent="0.25">
      <c r="B52" s="36">
        <f t="shared" ref="B52:V52" si="76">SUM(B42:B45)</f>
        <v>18905</v>
      </c>
      <c r="C52" s="36"/>
      <c r="D52" s="36">
        <f t="shared" si="76"/>
        <v>17648.399999999998</v>
      </c>
      <c r="E52" s="36"/>
      <c r="F52" s="36">
        <f t="shared" si="76"/>
        <v>20196.400169999997</v>
      </c>
      <c r="G52" s="36"/>
      <c r="H52" s="36">
        <f t="shared" si="76"/>
        <v>13559.66913</v>
      </c>
      <c r="I52" s="36"/>
      <c r="J52" s="36">
        <f t="shared" si="76"/>
        <v>13783.195525119998</v>
      </c>
      <c r="K52" s="36"/>
      <c r="L52" s="36">
        <f t="shared" si="76"/>
        <v>14929.087199999998</v>
      </c>
      <c r="M52" s="36"/>
      <c r="N52" s="36">
        <f t="shared" si="76"/>
        <v>14630.660870000002</v>
      </c>
      <c r="O52" s="36"/>
      <c r="P52" s="36">
        <f t="shared" si="76"/>
        <v>17755.400000000001</v>
      </c>
      <c r="Q52" s="36"/>
      <c r="R52" s="36">
        <f t="shared" si="76"/>
        <v>22468.25</v>
      </c>
      <c r="S52" s="36"/>
      <c r="T52" s="36">
        <f t="shared" si="76"/>
        <v>18885.55</v>
      </c>
      <c r="U52" s="36"/>
      <c r="V52" s="36">
        <f t="shared" si="76"/>
        <v>13461.152000000002</v>
      </c>
      <c r="W52" s="36"/>
      <c r="X52" s="36">
        <f>SUM(X42:X45)</f>
        <v>14572.0052</v>
      </c>
      <c r="AD52" s="3">
        <f t="shared" ref="AD52:AD53" si="77">+B52+D52+F52+H52+J52+L52+N52+P52+R52+T52+V52+X52+Z52+AB52</f>
        <v>200794.77009511995</v>
      </c>
    </row>
    <row r="53" spans="1:30" x14ac:dyDescent="0.25">
      <c r="B53" s="43">
        <f t="shared" ref="B53:V53" si="78">SUM(B12:B15)</f>
        <v>62.9</v>
      </c>
      <c r="C53" s="43"/>
      <c r="D53" s="43">
        <f t="shared" si="78"/>
        <v>63.3</v>
      </c>
      <c r="E53" s="43"/>
      <c r="F53" s="43">
        <f t="shared" si="78"/>
        <v>69.93774599999999</v>
      </c>
      <c r="G53" s="43"/>
      <c r="H53" s="43">
        <f t="shared" si="78"/>
        <v>47.747441999999999</v>
      </c>
      <c r="I53" s="43"/>
      <c r="J53" s="43">
        <f t="shared" si="78"/>
        <v>53.287295999999998</v>
      </c>
      <c r="K53" s="43"/>
      <c r="L53" s="43">
        <f t="shared" si="78"/>
        <v>60.505119999999998</v>
      </c>
      <c r="M53" s="43"/>
      <c r="N53" s="43">
        <f t="shared" si="78"/>
        <v>67.096382000000006</v>
      </c>
      <c r="O53" s="43"/>
      <c r="P53" s="43">
        <f t="shared" si="78"/>
        <v>81.61999999999999</v>
      </c>
      <c r="Q53" s="43"/>
      <c r="R53" s="43">
        <f t="shared" si="78"/>
        <v>104.49</v>
      </c>
      <c r="S53" s="43"/>
      <c r="T53" s="43">
        <f t="shared" si="78"/>
        <v>99.45</v>
      </c>
      <c r="U53" s="43"/>
      <c r="V53" s="43">
        <f t="shared" si="78"/>
        <v>85.149999999999991</v>
      </c>
      <c r="W53" s="43"/>
      <c r="X53" s="43">
        <f>SUM(X12:X15)</f>
        <v>81.69</v>
      </c>
      <c r="AD53" s="2">
        <f t="shared" si="77"/>
        <v>877.17398600000001</v>
      </c>
    </row>
    <row r="54" spans="1:30" x14ac:dyDescent="0.25">
      <c r="B54" s="42">
        <f t="shared" ref="B54:V54" si="79">+B52/B53</f>
        <v>300.55643879173294</v>
      </c>
      <c r="C54" s="42"/>
      <c r="D54" s="42">
        <f t="shared" si="79"/>
        <v>278.80568720379142</v>
      </c>
      <c r="E54" s="42"/>
      <c r="F54" s="42">
        <f t="shared" si="79"/>
        <v>288.77682403433477</v>
      </c>
      <c r="G54" s="42"/>
      <c r="H54" s="42">
        <f t="shared" si="79"/>
        <v>283.98734177215192</v>
      </c>
      <c r="I54" s="42"/>
      <c r="J54" s="42">
        <f t="shared" si="79"/>
        <v>258.65818984547457</v>
      </c>
      <c r="K54" s="42"/>
      <c r="L54" s="42">
        <f t="shared" si="79"/>
        <v>246.7408906882591</v>
      </c>
      <c r="M54" s="42"/>
      <c r="N54" s="42">
        <f t="shared" si="79"/>
        <v>218.05439330543933</v>
      </c>
      <c r="O54" s="42"/>
      <c r="P54" s="42">
        <f t="shared" si="79"/>
        <v>217.53736829208532</v>
      </c>
      <c r="Q54" s="42"/>
      <c r="R54" s="42">
        <f t="shared" si="79"/>
        <v>215.02775385204328</v>
      </c>
      <c r="S54" s="42"/>
      <c r="T54" s="42">
        <f t="shared" si="79"/>
        <v>189.89994972347912</v>
      </c>
      <c r="U54" s="42"/>
      <c r="V54" s="42">
        <f t="shared" si="79"/>
        <v>158.08751614797421</v>
      </c>
      <c r="W54" s="42"/>
      <c r="X54" s="42">
        <f>+X52/X53</f>
        <v>178.38175052025952</v>
      </c>
      <c r="AD54" s="42">
        <f>+AD52/AD53</f>
        <v>228.91099519579225</v>
      </c>
    </row>
  </sheetData>
  <mergeCells count="15">
    <mergeCell ref="AD4:AE4"/>
    <mergeCell ref="B4:C4"/>
    <mergeCell ref="D4:E4"/>
    <mergeCell ref="AB4:AC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7FE27-8D16-4F91-8BD7-634524FB6E4C}">
  <dimension ref="A1:E21"/>
  <sheetViews>
    <sheetView workbookViewId="0">
      <selection activeCell="B21" sqref="B21"/>
    </sheetView>
  </sheetViews>
  <sheetFormatPr defaultRowHeight="15" x14ac:dyDescent="0.25"/>
  <cols>
    <col min="2" max="2" width="10.5703125" bestFit="1" customWidth="1"/>
    <col min="3" max="3" width="12.5703125" bestFit="1" customWidth="1"/>
    <col min="4" max="4" width="9.5703125" bestFit="1" customWidth="1"/>
  </cols>
  <sheetData>
    <row r="1" spans="1:5" ht="23.25" x14ac:dyDescent="0.35">
      <c r="A1" s="4" t="s">
        <v>1</v>
      </c>
      <c r="B1" s="2"/>
      <c r="C1" s="3"/>
    </row>
    <row r="2" spans="1:5" ht="18.75" x14ac:dyDescent="0.3">
      <c r="A2" s="5" t="s">
        <v>2</v>
      </c>
      <c r="B2" s="2"/>
      <c r="C2" s="3"/>
    </row>
    <row r="3" spans="1:5" x14ac:dyDescent="0.25">
      <c r="A3" s="6"/>
      <c r="B3" s="2"/>
      <c r="C3" s="3"/>
    </row>
    <row r="4" spans="1:5" x14ac:dyDescent="0.25">
      <c r="B4" s="7" t="s">
        <v>3</v>
      </c>
      <c r="C4" s="8" t="s">
        <v>4</v>
      </c>
    </row>
    <row r="5" spans="1:5" x14ac:dyDescent="0.25">
      <c r="B5" s="9" t="s">
        <v>5</v>
      </c>
      <c r="C5" s="10" t="s">
        <v>6</v>
      </c>
      <c r="D5" s="11" t="s">
        <v>7</v>
      </c>
    </row>
    <row r="6" spans="1:5" x14ac:dyDescent="0.25">
      <c r="B6" s="2"/>
      <c r="C6" s="3"/>
    </row>
    <row r="7" spans="1:5" x14ac:dyDescent="0.25">
      <c r="B7" s="2"/>
      <c r="C7" s="3"/>
    </row>
    <row r="8" spans="1:5" x14ac:dyDescent="0.25">
      <c r="A8" t="s">
        <v>14</v>
      </c>
      <c r="B8" s="2">
        <f>+'Rebate Data'!B48</f>
        <v>1206.9099999999999</v>
      </c>
      <c r="C8" s="3">
        <f>+'Rebate Data'!B46</f>
        <v>98108.361999999994</v>
      </c>
      <c r="D8" s="16">
        <f t="shared" ref="D8:D19" si="0">+C8/B8</f>
        <v>81.288879866767203</v>
      </c>
    </row>
    <row r="9" spans="1:5" x14ac:dyDescent="0.25">
      <c r="A9" t="s">
        <v>15</v>
      </c>
      <c r="B9" s="2">
        <f>+'Rebate Data'!D48</f>
        <v>1179.82</v>
      </c>
      <c r="C9" s="3">
        <f>+'Rebate Data'!D46</f>
        <v>91689.854400000026</v>
      </c>
      <c r="D9" s="16">
        <f t="shared" si="0"/>
        <v>77.715121289688284</v>
      </c>
    </row>
    <row r="10" spans="1:5" x14ac:dyDescent="0.25">
      <c r="A10" t="s">
        <v>18</v>
      </c>
      <c r="B10" s="14">
        <f>+'Rebate Data'!F$48</f>
        <v>1285.443765</v>
      </c>
      <c r="C10" s="15">
        <f>+'Rebate Data'!F$46</f>
        <v>99795.251851409994</v>
      </c>
      <c r="D10" s="16">
        <f t="shared" si="0"/>
        <v>77.634863981319313</v>
      </c>
      <c r="E10" s="17"/>
    </row>
    <row r="11" spans="1:5" x14ac:dyDescent="0.25">
      <c r="A11" t="s">
        <v>19</v>
      </c>
      <c r="B11" s="14">
        <f>+'Rebate Data'!H$48</f>
        <v>854.11510700000019</v>
      </c>
      <c r="C11" s="15">
        <f>+'Rebate Data'!H$46</f>
        <v>63656.908813670008</v>
      </c>
      <c r="D11" s="16">
        <f t="shared" si="0"/>
        <v>74.529660337303923</v>
      </c>
      <c r="E11" s="16"/>
    </row>
    <row r="12" spans="1:5" x14ac:dyDescent="0.25">
      <c r="A12" t="s">
        <v>20</v>
      </c>
      <c r="B12" s="14">
        <f>+'Rebate Data'!J$48</f>
        <v>1013.7525760000001</v>
      </c>
      <c r="C12" s="15">
        <f>+'Rebate Data'!J$46</f>
        <v>73356.016286719998</v>
      </c>
      <c r="D12" s="16">
        <f t="shared" si="0"/>
        <v>72.360867950800639</v>
      </c>
      <c r="E12" s="17"/>
    </row>
    <row r="13" spans="1:5" x14ac:dyDescent="0.25">
      <c r="A13" t="s">
        <v>21</v>
      </c>
      <c r="B13" s="14">
        <f>+'Rebate Data'!L$48</f>
        <v>1048.5512799999997</v>
      </c>
      <c r="C13" s="15">
        <f>+'Rebate Data'!L$46</f>
        <v>63082.189835199999</v>
      </c>
      <c r="D13" s="16">
        <f t="shared" si="0"/>
        <v>60.161282560448562</v>
      </c>
      <c r="E13" s="17"/>
    </row>
    <row r="14" spans="1:5" x14ac:dyDescent="0.25">
      <c r="A14" t="s">
        <v>8</v>
      </c>
      <c r="B14" s="14">
        <f>+'Rebate Data'!N$48</f>
        <v>1186.398788</v>
      </c>
      <c r="C14" s="15">
        <f>+'Rebate Data'!N$46</f>
        <v>59686.925728359995</v>
      </c>
      <c r="D14" s="16">
        <f t="shared" si="0"/>
        <v>50.309327969711305</v>
      </c>
      <c r="E14" s="16"/>
    </row>
    <row r="15" spans="1:5" x14ac:dyDescent="0.25">
      <c r="A15" t="s">
        <v>9</v>
      </c>
      <c r="B15" s="14">
        <f>+'Rebate Data'!P$48</f>
        <v>1462.58</v>
      </c>
      <c r="C15" s="15">
        <f>+'Rebate Data'!P$46</f>
        <v>73515.79859999998</v>
      </c>
      <c r="D15" s="16">
        <f t="shared" si="0"/>
        <v>50.264463208850103</v>
      </c>
      <c r="E15" s="16"/>
    </row>
    <row r="16" spans="1:5" x14ac:dyDescent="0.25">
      <c r="A16" t="s">
        <v>10</v>
      </c>
      <c r="B16" s="14">
        <f>+'Rebate Data'!R48</f>
        <v>1590.01</v>
      </c>
      <c r="C16" s="15">
        <f>+'Rebate Data'!R46</f>
        <v>72511.129499999995</v>
      </c>
      <c r="D16" s="16">
        <f t="shared" si="0"/>
        <v>45.60419714341419</v>
      </c>
      <c r="E16" s="16"/>
    </row>
    <row r="17" spans="1:5" x14ac:dyDescent="0.25">
      <c r="A17" t="s">
        <v>11</v>
      </c>
      <c r="B17" s="14">
        <f>+'Rebate Data'!T$48</f>
        <v>1537.02</v>
      </c>
      <c r="C17" s="15">
        <f>+'Rebate Data'!T46</f>
        <v>76014.599900000001</v>
      </c>
      <c r="D17" s="16">
        <f t="shared" si="0"/>
        <v>49.455830047754745</v>
      </c>
      <c r="E17" s="16"/>
    </row>
    <row r="18" spans="1:5" x14ac:dyDescent="0.25">
      <c r="A18" t="s">
        <v>12</v>
      </c>
      <c r="B18" s="14">
        <f>+'Rebate Data'!V$48</f>
        <v>1452.36</v>
      </c>
      <c r="C18" s="15">
        <f>+'Rebate Data'!V46</f>
        <v>71912.224000000002</v>
      </c>
      <c r="D18" s="16">
        <f t="shared" si="0"/>
        <v>49.514048858409765</v>
      </c>
      <c r="E18" s="17"/>
    </row>
    <row r="19" spans="1:5" x14ac:dyDescent="0.25">
      <c r="A19" t="s">
        <v>13</v>
      </c>
      <c r="B19" s="102">
        <f>+'Rebate Data'!X48</f>
        <v>1471.0599999999995</v>
      </c>
      <c r="C19" s="103">
        <f>+'Rebate Data'!X46</f>
        <v>76885.523700000005</v>
      </c>
      <c r="D19" s="83">
        <f t="shared" si="0"/>
        <v>52.26538937908721</v>
      </c>
      <c r="E19" s="17"/>
    </row>
    <row r="20" spans="1:5" ht="17.25" x14ac:dyDescent="0.4">
      <c r="B20" s="84">
        <f>SUM(B8:B19)</f>
        <v>15288.021516000001</v>
      </c>
      <c r="C20" s="85">
        <f t="shared" ref="C20" si="1">SUM(C8:C19)</f>
        <v>920214.78461536008</v>
      </c>
      <c r="D20" s="86">
        <f>+C20/B20</f>
        <v>60.191881837181477</v>
      </c>
      <c r="E20" s="17"/>
    </row>
    <row r="21" spans="1:5" x14ac:dyDescent="0.25">
      <c r="D21" s="1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8242B-34D9-49C8-9C78-4CF3A2A6FB23}">
  <dimension ref="A1:F26"/>
  <sheetViews>
    <sheetView workbookViewId="0">
      <selection activeCell="E11" sqref="E11"/>
    </sheetView>
  </sheetViews>
  <sheetFormatPr defaultRowHeight="15" x14ac:dyDescent="0.25"/>
  <cols>
    <col min="1" max="1" width="13" customWidth="1"/>
    <col min="2" max="2" width="9.5703125" bestFit="1" customWidth="1"/>
    <col min="3" max="3" width="12.140625" bestFit="1" customWidth="1"/>
    <col min="4" max="4" width="12.7109375" bestFit="1" customWidth="1"/>
    <col min="5" max="5" width="10.140625" bestFit="1" customWidth="1"/>
  </cols>
  <sheetData>
    <row r="1" spans="1:6" ht="23.25" x14ac:dyDescent="0.35">
      <c r="A1" s="1" t="s">
        <v>0</v>
      </c>
      <c r="B1" s="2"/>
      <c r="C1" s="3"/>
    </row>
    <row r="2" spans="1:6" ht="23.25" x14ac:dyDescent="0.35">
      <c r="A2" s="4" t="s">
        <v>66</v>
      </c>
      <c r="B2" s="2"/>
      <c r="C2" s="3"/>
    </row>
    <row r="3" spans="1:6" ht="18.75" x14ac:dyDescent="0.3">
      <c r="A3" s="5" t="s">
        <v>67</v>
      </c>
      <c r="B3" s="2"/>
      <c r="C3" s="3"/>
    </row>
    <row r="4" spans="1:6" ht="18.75" x14ac:dyDescent="0.3">
      <c r="A4" s="5"/>
      <c r="B4" s="2"/>
      <c r="C4" s="3"/>
    </row>
    <row r="5" spans="1:6" ht="18.75" x14ac:dyDescent="0.3">
      <c r="A5" s="5"/>
      <c r="B5" s="2"/>
      <c r="C5" s="3"/>
    </row>
    <row r="6" spans="1:6" x14ac:dyDescent="0.25">
      <c r="A6" s="6"/>
      <c r="B6" s="2"/>
      <c r="C6" s="3"/>
    </row>
    <row r="7" spans="1:6" x14ac:dyDescent="0.25">
      <c r="C7" s="7" t="s">
        <v>3</v>
      </c>
      <c r="D7" s="8" t="s">
        <v>4</v>
      </c>
    </row>
    <row r="8" spans="1:6" x14ac:dyDescent="0.25">
      <c r="C8" s="9" t="s">
        <v>5</v>
      </c>
      <c r="D8" s="10" t="s">
        <v>6</v>
      </c>
      <c r="E8" s="11" t="s">
        <v>7</v>
      </c>
      <c r="F8" s="12" t="s">
        <v>61</v>
      </c>
    </row>
    <row r="9" spans="1:6" x14ac:dyDescent="0.25">
      <c r="C9" s="2"/>
      <c r="D9" s="3"/>
    </row>
    <row r="10" spans="1:6" x14ac:dyDescent="0.25">
      <c r="A10" t="s">
        <v>8</v>
      </c>
      <c r="C10" s="14">
        <v>1116.4100000000001</v>
      </c>
      <c r="D10" s="15">
        <v>95816</v>
      </c>
      <c r="E10" s="16">
        <f t="shared" ref="E10:E15" si="0">+D10/C10</f>
        <v>85.825100097634376</v>
      </c>
      <c r="F10" s="17"/>
    </row>
    <row r="11" spans="1:6" x14ac:dyDescent="0.25">
      <c r="A11" t="s">
        <v>9</v>
      </c>
      <c r="C11" s="14">
        <v>1165.95</v>
      </c>
      <c r="D11" s="15">
        <v>101022</v>
      </c>
      <c r="E11" s="16">
        <f t="shared" si="0"/>
        <v>86.643509584459025</v>
      </c>
      <c r="F11" s="16"/>
    </row>
    <row r="12" spans="1:6" x14ac:dyDescent="0.25">
      <c r="A12" t="s">
        <v>10</v>
      </c>
      <c r="C12" s="14">
        <v>1108.06</v>
      </c>
      <c r="D12" s="15">
        <v>93657</v>
      </c>
      <c r="E12" s="16">
        <f t="shared" si="0"/>
        <v>84.523401259859583</v>
      </c>
      <c r="F12" s="17"/>
    </row>
    <row r="13" spans="1:6" x14ac:dyDescent="0.25">
      <c r="A13" t="s">
        <v>11</v>
      </c>
      <c r="C13" s="14">
        <v>1163.44</v>
      </c>
      <c r="D13" s="15">
        <v>100402</v>
      </c>
      <c r="E13" s="16">
        <f t="shared" si="0"/>
        <v>86.29753145843361</v>
      </c>
      <c r="F13" s="17"/>
    </row>
    <row r="14" spans="1:6" x14ac:dyDescent="0.25">
      <c r="A14" t="s">
        <v>12</v>
      </c>
      <c r="C14" s="14">
        <v>1063</v>
      </c>
      <c r="D14" s="15">
        <v>79918</v>
      </c>
      <c r="E14" s="16">
        <f t="shared" si="0"/>
        <v>75.181561618062091</v>
      </c>
      <c r="F14" s="16"/>
    </row>
    <row r="15" spans="1:6" x14ac:dyDescent="0.25">
      <c r="A15" t="s">
        <v>13</v>
      </c>
      <c r="C15" s="14">
        <v>1162.01</v>
      </c>
      <c r="D15" s="15">
        <v>85396</v>
      </c>
      <c r="E15" s="16">
        <f t="shared" si="0"/>
        <v>73.489901119611702</v>
      </c>
      <c r="F15" s="105">
        <f>SUM(D10:D15)/SUM(C10:C15)</f>
        <v>82.050695764928363</v>
      </c>
    </row>
    <row r="16" spans="1:6" x14ac:dyDescent="0.25">
      <c r="C16" s="14"/>
      <c r="D16" s="15"/>
      <c r="E16" s="16"/>
      <c r="F16" s="16"/>
    </row>
    <row r="17" spans="1:6" x14ac:dyDescent="0.25">
      <c r="C17" s="17"/>
      <c r="D17" s="17"/>
      <c r="E17" s="17"/>
      <c r="F17" s="17"/>
    </row>
    <row r="18" spans="1:6" x14ac:dyDescent="0.25">
      <c r="A18" t="s">
        <v>68</v>
      </c>
      <c r="C18" s="17"/>
      <c r="D18" s="17"/>
      <c r="E18" s="106">
        <v>1123.26</v>
      </c>
      <c r="F18" s="17"/>
    </row>
    <row r="19" spans="1:6" x14ac:dyDescent="0.25">
      <c r="C19" s="17"/>
      <c r="D19" s="17"/>
      <c r="E19" s="17"/>
      <c r="F19" s="17"/>
    </row>
    <row r="20" spans="1:6" ht="17.25" x14ac:dyDescent="0.4">
      <c r="A20" t="s">
        <v>16</v>
      </c>
      <c r="C20" s="17"/>
      <c r="D20" s="17"/>
      <c r="E20" s="107">
        <f>+F15</f>
        <v>82.050695764928363</v>
      </c>
      <c r="F20" s="17"/>
    </row>
    <row r="21" spans="1:6" x14ac:dyDescent="0.25">
      <c r="C21" s="17"/>
      <c r="D21" s="17"/>
      <c r="E21" s="108">
        <f>+E18*E20</f>
        <v>92164.264524913437</v>
      </c>
      <c r="F21" s="17"/>
    </row>
    <row r="22" spans="1:6" x14ac:dyDescent="0.25">
      <c r="C22" s="17"/>
      <c r="D22" s="17"/>
      <c r="E22" s="17"/>
      <c r="F22" s="17"/>
    </row>
    <row r="23" spans="1:6" ht="17.25" x14ac:dyDescent="0.4">
      <c r="A23" t="s">
        <v>17</v>
      </c>
      <c r="C23" s="17"/>
      <c r="D23" s="17"/>
      <c r="E23" s="109">
        <v>5124</v>
      </c>
      <c r="F23" s="17"/>
    </row>
    <row r="24" spans="1:6" x14ac:dyDescent="0.25">
      <c r="C24" s="17"/>
      <c r="D24" s="17"/>
      <c r="E24" s="17"/>
      <c r="F24" s="17"/>
    </row>
    <row r="25" spans="1:6" ht="17.25" x14ac:dyDescent="0.4">
      <c r="A25" s="13" t="s">
        <v>65</v>
      </c>
      <c r="C25" s="17"/>
      <c r="D25" s="17"/>
      <c r="E25" s="86">
        <f>+E21/E23/12</f>
        <v>1.4988983952139188</v>
      </c>
      <c r="F25" s="17"/>
    </row>
    <row r="26" spans="1:6" x14ac:dyDescent="0.25">
      <c r="B26" s="17"/>
      <c r="C26" s="17"/>
      <c r="D26" s="17"/>
      <c r="E26" s="1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90C00D34CAD1D46A8B59B92517475AA" ma:contentTypeVersion="56" ma:contentTypeDescription="" ma:contentTypeScope="" ma:versionID="6b1872fdd3f51d9128b3ed669c098fa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2019-11-26T08:00:00+00:00</OpenedDate>
    <SignificantOrder xmlns="dc463f71-b30c-4ab2-9473-d307f9d35888">false</SignificantOrder>
    <Date1 xmlns="dc463f71-b30c-4ab2-9473-d307f9d35888">2019-11-26T08:00:00+00:00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Management of Washington, Inc.</CaseCompanyNames>
    <Nickname xmlns="http://schemas.microsoft.com/sharepoint/v3" xsi:nil="true"/>
    <DocketNumber xmlns="dc463f71-b30c-4ab2-9473-d307f9d35888">190994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66A2DBD-AA33-440F-9240-A3F2BEAD419D}"/>
</file>

<file path=customXml/itemProps2.xml><?xml version="1.0" encoding="utf-8"?>
<ds:datastoreItem xmlns:ds="http://schemas.openxmlformats.org/officeDocument/2006/customXml" ds:itemID="{CDC7CF9A-5F32-4389-8E3C-206A1E9E208C}"/>
</file>

<file path=customXml/itemProps3.xml><?xml version="1.0" encoding="utf-8"?>
<ds:datastoreItem xmlns:ds="http://schemas.openxmlformats.org/officeDocument/2006/customXml" ds:itemID="{E8A3A561-E621-4819-B3D6-FBC06944B28D}"/>
</file>

<file path=customXml/itemProps4.xml><?xml version="1.0" encoding="utf-8"?>
<ds:datastoreItem xmlns:ds="http://schemas.openxmlformats.org/officeDocument/2006/customXml" ds:itemID="{FA25375A-B305-48F8-8B00-82AAE3C6A2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Rebate Calculation</vt:lpstr>
      <vt:lpstr>Recycling Revenue</vt:lpstr>
      <vt:lpstr>Customers</vt:lpstr>
      <vt:lpstr>Rebate Data</vt:lpstr>
      <vt:lpstr>SMaRT Tons Sold</vt:lpstr>
      <vt:lpstr>Initial Rebate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Weinstein, Mike</dc:creator>
  <cp:lastModifiedBy>Weinstein, Mike</cp:lastModifiedBy>
  <dcterms:created xsi:type="dcterms:W3CDTF">2019-06-10T22:23:41Z</dcterms:created>
  <dcterms:modified xsi:type="dcterms:W3CDTF">2019-11-26T21:06:40Z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0x0101006E56B4D1795A2E4DB2F0B01679ED314A00890C00D34CAD1D46A8B59B92517475AA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