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19-41 Electric Schedule 137 - Temporary Customer Charge or Credit (UE-19xxxx) (Eff. 01-01-20)\Sent to UTC 11-27-19\"/>
    </mc:Choice>
  </mc:AlternateContent>
  <bookViews>
    <workbookView xWindow="120" yWindow="105" windowWidth="15180" windowHeight="6195" tabRatio="844"/>
  </bookViews>
  <sheets>
    <sheet name="Lead Sheet" sheetId="27" r:id="rId1"/>
    <sheet name="2020 Rate Impacts" sheetId="33" r:id="rId2"/>
    <sheet name="Peak Credit Rate Spread" sheetId="44" r:id="rId3"/>
    <sheet name="Typical Res" sheetId="96" r:id="rId4"/>
    <sheet name="Street &amp; Area Lighting" sheetId="103" r:id="rId5"/>
    <sheet name="Work Papers-&gt;" sheetId="105" r:id="rId6"/>
    <sheet name="2020 Est Proforma Net Revenue" sheetId="97" r:id="rId7"/>
    <sheet name="2020 Rev Requirement" sheetId="107" r:id="rId8"/>
    <sheet name="2019 Rate Impacts" sheetId="85" r:id="rId9"/>
    <sheet name="F2019 Del Load &amp; Cust" sheetId="104" r:id="rId10"/>
    <sheet name="UE-170033 LR Data Summary" sheetId="100" r:id="rId11"/>
    <sheet name="UE-170033 LR Data -Energy" sheetId="102" r:id="rId12"/>
    <sheet name="UE-170033 LR Data- Dem 4CP" sheetId="101" r:id="rId13"/>
  </sheets>
  <externalReferences>
    <externalReference r:id="rId14"/>
    <externalReference r:id="rId15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 localSheetId="9">{"'Sheet1'!$A$1:$J$121"}</definedName>
    <definedName name="HTML_Control" localSheetId="4">{"'Sheet1'!$A$1:$J$121"}</definedName>
    <definedName name="HTML_Control" localSheetId="3">{"'Sheet1'!$A$1:$J$121"}</definedName>
    <definedName name="HTML_Control" localSheetId="10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 localSheetId="3">IF('Typical Res'!Values_Entered,Header_Row+'Typical Res'!Number_of_Payments,Header_Row)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9">MATCH(0.01,End_Bal,-1)+1</definedName>
    <definedName name="Number_of_Payments" localSheetId="4">MATCH(0.01,End_Bal,-1)+1</definedName>
    <definedName name="Number_of_Payments" localSheetId="3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8">'2019 Rate Impacts'!$A$1:$K$43</definedName>
    <definedName name="_xlnm.Print_Area" localSheetId="1">'2020 Rate Impacts'!$A$1:$K$43</definedName>
    <definedName name="_xlnm.Print_Area" localSheetId="0">'Lead Sheet'!$A$1:$A$15</definedName>
    <definedName name="_xlnm.Print_Area" localSheetId="2">'Peak Credit Rate Spread'!$A$1:$L$36</definedName>
    <definedName name="_xlnm.Print_Area" localSheetId="4">'Street &amp; Area Lighting'!$A$1:$J$200</definedName>
    <definedName name="_xlnm.Print_Area" localSheetId="3">'Typical Res'!$A$1:$V$65</definedName>
    <definedName name="_xlnm.Print_Area" localSheetId="12">'UE-170033 LR Data- Dem 4CP'!$A$1:$V$23</definedName>
    <definedName name="_xlnm.Print_Area" localSheetId="11">'UE-170033 LR Data -Energy'!$A$1:$K$81</definedName>
    <definedName name="_xlnm.Print_Area" localSheetId="10">'UE-170033 LR Data Summary'!$A$1:$N$26</definedName>
    <definedName name="_xlnm.Print_Titles" localSheetId="4">'Street &amp; Area Lighting'!$1:$13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9">IF(Loan_Amount*Interest_Rate*Loan_Years*Loan_Start&gt;0,1,0)</definedName>
    <definedName name="Values_Entered" localSheetId="4">IF(Loan_Amount*Interest_Rate*Loan_Years*Loan_Start&gt;0,1,0)</definedName>
    <definedName name="Values_Entered" localSheetId="3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E35" i="104" l="1"/>
  <c r="I27" i="44" l="1"/>
  <c r="H25" i="103"/>
  <c r="F27" i="96" l="1"/>
  <c r="E27" i="96"/>
  <c r="D27" i="96"/>
  <c r="C27" i="96"/>
  <c r="O27" i="96"/>
  <c r="N27" i="96"/>
  <c r="M27" i="96"/>
  <c r="L27" i="96"/>
  <c r="K27" i="96"/>
  <c r="J27" i="96"/>
  <c r="H27" i="96"/>
  <c r="G27" i="96"/>
  <c r="F12" i="44" l="1"/>
  <c r="F10" i="44"/>
  <c r="D12" i="44"/>
  <c r="D10" i="44"/>
  <c r="O21" i="100"/>
  <c r="O19" i="100"/>
  <c r="O18" i="100"/>
  <c r="L28" i="100"/>
  <c r="L27" i="100"/>
  <c r="K28" i="100"/>
  <c r="K27" i="100"/>
  <c r="H28" i="100" l="1"/>
  <c r="I28" i="100" s="1"/>
  <c r="C28" i="100"/>
  <c r="D28" i="100" s="1"/>
  <c r="H27" i="100"/>
  <c r="I27" i="100" s="1"/>
  <c r="C27" i="100"/>
  <c r="D27" i="100" s="1"/>
  <c r="F33" i="33"/>
  <c r="F31" i="33"/>
  <c r="F27" i="33"/>
  <c r="F26" i="33"/>
  <c r="F24" i="33"/>
  <c r="F20" i="33"/>
  <c r="F19" i="33"/>
  <c r="F18" i="33"/>
  <c r="F14" i="33"/>
  <c r="F13" i="33"/>
  <c r="F12" i="33"/>
  <c r="F11" i="33"/>
  <c r="F9" i="33"/>
  <c r="D7" i="97" l="1"/>
  <c r="E6" i="33" s="1"/>
  <c r="F53" i="96"/>
  <c r="G48" i="96"/>
  <c r="G49" i="96"/>
  <c r="F50" i="96"/>
  <c r="F46" i="96"/>
  <c r="F45" i="96"/>
  <c r="G45" i="96" s="1"/>
  <c r="F42" i="96"/>
  <c r="G40" i="96"/>
  <c r="G39" i="96"/>
  <c r="F33" i="96"/>
  <c r="K11" i="100" l="1"/>
  <c r="J33" i="100" l="1"/>
  <c r="D30" i="100"/>
  <c r="I30" i="100"/>
  <c r="P27" i="97" l="1"/>
  <c r="O27" i="97"/>
  <c r="N27" i="97"/>
  <c r="M27" i="97"/>
  <c r="L27" i="97"/>
  <c r="K27" i="97"/>
  <c r="J27" i="97"/>
  <c r="I27" i="97"/>
  <c r="H27" i="97"/>
  <c r="G27" i="97"/>
  <c r="F27" i="97"/>
  <c r="E27" i="97"/>
  <c r="C27" i="97"/>
  <c r="P43" i="97"/>
  <c r="O43" i="97"/>
  <c r="N43" i="97"/>
  <c r="M43" i="97"/>
  <c r="L43" i="97"/>
  <c r="K43" i="97"/>
  <c r="J43" i="97"/>
  <c r="I43" i="97"/>
  <c r="H43" i="97"/>
  <c r="G43" i="97"/>
  <c r="F43" i="97"/>
  <c r="E43" i="97"/>
  <c r="G35" i="97"/>
  <c r="C43" i="97"/>
  <c r="L39" i="97" l="1"/>
  <c r="M39" i="97"/>
  <c r="N39" i="97"/>
  <c r="O39" i="97"/>
  <c r="P39" i="97"/>
  <c r="K39" i="97"/>
  <c r="F39" i="97"/>
  <c r="G39" i="97"/>
  <c r="H39" i="97"/>
  <c r="I39" i="97"/>
  <c r="J39" i="97"/>
  <c r="L35" i="97"/>
  <c r="M35" i="97"/>
  <c r="N35" i="97"/>
  <c r="O35" i="97"/>
  <c r="P35" i="97"/>
  <c r="K35" i="97"/>
  <c r="F35" i="97"/>
  <c r="H35" i="97"/>
  <c r="I35" i="97"/>
  <c r="J35" i="97"/>
  <c r="L33" i="97"/>
  <c r="M33" i="97"/>
  <c r="N33" i="97"/>
  <c r="O33" i="97"/>
  <c r="P33" i="97"/>
  <c r="K33" i="97"/>
  <c r="F33" i="97"/>
  <c r="G33" i="97"/>
  <c r="H33" i="97"/>
  <c r="I33" i="97"/>
  <c r="J33" i="97"/>
  <c r="L29" i="97"/>
  <c r="M29" i="97"/>
  <c r="N29" i="97"/>
  <c r="O29" i="97"/>
  <c r="P29" i="97"/>
  <c r="L30" i="97"/>
  <c r="M30" i="97"/>
  <c r="N30" i="97"/>
  <c r="O30" i="97"/>
  <c r="P30" i="97"/>
  <c r="K30" i="97"/>
  <c r="K29" i="97"/>
  <c r="F29" i="97"/>
  <c r="G29" i="97"/>
  <c r="H29" i="97"/>
  <c r="I29" i="97"/>
  <c r="J29" i="97"/>
  <c r="F30" i="97"/>
  <c r="G30" i="97"/>
  <c r="H30" i="97"/>
  <c r="I30" i="97"/>
  <c r="J30" i="97"/>
  <c r="L21" i="97"/>
  <c r="M21" i="97"/>
  <c r="N21" i="97"/>
  <c r="O21" i="97"/>
  <c r="P21" i="97"/>
  <c r="L22" i="97"/>
  <c r="M22" i="97"/>
  <c r="N22" i="97"/>
  <c r="O22" i="97"/>
  <c r="P22" i="97"/>
  <c r="L23" i="97"/>
  <c r="M23" i="97"/>
  <c r="N23" i="97"/>
  <c r="O23" i="97"/>
  <c r="P23" i="97"/>
  <c r="L24" i="97"/>
  <c r="M24" i="97"/>
  <c r="N24" i="97"/>
  <c r="O24" i="97"/>
  <c r="P24" i="97"/>
  <c r="K24" i="97"/>
  <c r="K23" i="97"/>
  <c r="K22" i="97"/>
  <c r="K21" i="97"/>
  <c r="F21" i="97"/>
  <c r="G21" i="97"/>
  <c r="H21" i="97"/>
  <c r="I21" i="97"/>
  <c r="J21" i="97"/>
  <c r="F22" i="97"/>
  <c r="G22" i="97"/>
  <c r="H22" i="97"/>
  <c r="I22" i="97"/>
  <c r="J22" i="97"/>
  <c r="F23" i="97"/>
  <c r="G23" i="97"/>
  <c r="H23" i="97"/>
  <c r="I23" i="97"/>
  <c r="J23" i="97"/>
  <c r="F24" i="97"/>
  <c r="G24" i="97"/>
  <c r="H24" i="97"/>
  <c r="I24" i="97"/>
  <c r="J24" i="97"/>
  <c r="L12" i="97"/>
  <c r="M12" i="97"/>
  <c r="N12" i="97"/>
  <c r="O12" i="97"/>
  <c r="P12" i="97"/>
  <c r="L13" i="97"/>
  <c r="M13" i="97"/>
  <c r="N13" i="97"/>
  <c r="O13" i="97"/>
  <c r="P13" i="97"/>
  <c r="L14" i="97"/>
  <c r="M14" i="97"/>
  <c r="N14" i="97"/>
  <c r="O14" i="97"/>
  <c r="P14" i="97"/>
  <c r="L15" i="97"/>
  <c r="M15" i="97"/>
  <c r="N15" i="97"/>
  <c r="O15" i="97"/>
  <c r="P15" i="97"/>
  <c r="L16" i="97"/>
  <c r="M16" i="97"/>
  <c r="N16" i="97"/>
  <c r="O16" i="97"/>
  <c r="P16" i="97"/>
  <c r="L17" i="97"/>
  <c r="M17" i="97"/>
  <c r="N17" i="97"/>
  <c r="O17" i="97"/>
  <c r="P17" i="97"/>
  <c r="L18" i="97"/>
  <c r="M18" i="97"/>
  <c r="N18" i="97"/>
  <c r="O18" i="97"/>
  <c r="P18" i="97"/>
  <c r="K18" i="97"/>
  <c r="K17" i="97"/>
  <c r="K16" i="97"/>
  <c r="K15" i="97"/>
  <c r="K14" i="97"/>
  <c r="K13" i="97"/>
  <c r="K12" i="97"/>
  <c r="H12" i="97"/>
  <c r="I12" i="97"/>
  <c r="J12" i="97"/>
  <c r="H13" i="97"/>
  <c r="I13" i="97"/>
  <c r="J13" i="97"/>
  <c r="H14" i="97"/>
  <c r="I14" i="97"/>
  <c r="J14" i="97"/>
  <c r="H15" i="97"/>
  <c r="I15" i="97"/>
  <c r="J15" i="97"/>
  <c r="H16" i="97"/>
  <c r="I16" i="97"/>
  <c r="J16" i="97"/>
  <c r="H17" i="97"/>
  <c r="I17" i="97"/>
  <c r="J17" i="97"/>
  <c r="H18" i="97"/>
  <c r="I18" i="97"/>
  <c r="J18" i="97"/>
  <c r="G12" i="97"/>
  <c r="G13" i="97"/>
  <c r="G14" i="97"/>
  <c r="G15" i="97"/>
  <c r="G16" i="97"/>
  <c r="G17" i="97"/>
  <c r="G18" i="97"/>
  <c r="F12" i="97"/>
  <c r="F13" i="97"/>
  <c r="F14" i="97"/>
  <c r="F15" i="97"/>
  <c r="F16" i="97"/>
  <c r="F17" i="97"/>
  <c r="F18" i="97"/>
  <c r="E39" i="97"/>
  <c r="E35" i="97"/>
  <c r="E33" i="97"/>
  <c r="E30" i="97"/>
  <c r="E29" i="97"/>
  <c r="E24" i="97"/>
  <c r="E23" i="97"/>
  <c r="E22" i="97"/>
  <c r="E21" i="97"/>
  <c r="E18" i="97"/>
  <c r="E17" i="97"/>
  <c r="E16" i="97"/>
  <c r="E15" i="97"/>
  <c r="E14" i="97"/>
  <c r="E13" i="97"/>
  <c r="E12" i="97"/>
  <c r="L9" i="97"/>
  <c r="M9" i="97"/>
  <c r="N9" i="97"/>
  <c r="O9" i="97"/>
  <c r="P9" i="97"/>
  <c r="K9" i="97"/>
  <c r="H9" i="97"/>
  <c r="I9" i="97"/>
  <c r="J9" i="97"/>
  <c r="G9" i="97"/>
  <c r="F9" i="97"/>
  <c r="E9" i="97"/>
  <c r="L8" i="97"/>
  <c r="M8" i="97"/>
  <c r="N8" i="97"/>
  <c r="O8" i="97"/>
  <c r="P8" i="97"/>
  <c r="K8" i="97"/>
  <c r="H8" i="97"/>
  <c r="I8" i="97"/>
  <c r="J8" i="97"/>
  <c r="E8" i="97"/>
  <c r="F8" i="97"/>
  <c r="G8" i="97"/>
  <c r="P7" i="97"/>
  <c r="O7" i="97"/>
  <c r="F7" i="97"/>
  <c r="M7" i="97"/>
  <c r="N7" i="97"/>
  <c r="L7" i="97"/>
  <c r="K7" i="97"/>
  <c r="A3" i="97"/>
  <c r="A69" i="96" s="1"/>
  <c r="J7" i="97"/>
  <c r="I7" i="97"/>
  <c r="H7" i="97"/>
  <c r="G7" i="97"/>
  <c r="C35" i="97"/>
  <c r="M31" i="97" l="1"/>
  <c r="N10" i="97"/>
  <c r="M10" i="97"/>
  <c r="P31" i="97"/>
  <c r="L31" i="97"/>
  <c r="N25" i="97"/>
  <c r="M25" i="97"/>
  <c r="O31" i="97"/>
  <c r="M19" i="97"/>
  <c r="N19" i="97"/>
  <c r="N31" i="97"/>
  <c r="E7" i="97"/>
  <c r="C39" i="97"/>
  <c r="C33" i="97"/>
  <c r="C30" i="97"/>
  <c r="C29" i="97"/>
  <c r="C24" i="97"/>
  <c r="C7" i="97"/>
  <c r="K5" i="44" s="1"/>
  <c r="C23" i="97"/>
  <c r="C22" i="97"/>
  <c r="C21" i="97"/>
  <c r="C18" i="97"/>
  <c r="C17" i="97"/>
  <c r="C16" i="97"/>
  <c r="C15" i="97"/>
  <c r="C9" i="97"/>
  <c r="C14" i="97"/>
  <c r="C13" i="97"/>
  <c r="C12" i="97"/>
  <c r="C8" i="97"/>
  <c r="N37" i="97" l="1"/>
  <c r="N41" i="97" s="1"/>
  <c r="N44" i="97" s="1"/>
  <c r="M37" i="97"/>
  <c r="M41" i="97" s="1"/>
  <c r="M44" i="97" s="1"/>
  <c r="S35" i="85"/>
  <c r="R35" i="85"/>
  <c r="Q35" i="85"/>
  <c r="S33" i="85"/>
  <c r="R33" i="85"/>
  <c r="Q33" i="85"/>
  <c r="S31" i="85"/>
  <c r="R31" i="85"/>
  <c r="Q31" i="85"/>
  <c r="S29" i="85"/>
  <c r="R29" i="85"/>
  <c r="Q29" i="85"/>
  <c r="S27" i="85"/>
  <c r="R27" i="85"/>
  <c r="Q27" i="85"/>
  <c r="S26" i="85"/>
  <c r="R26" i="85"/>
  <c r="Q26" i="85"/>
  <c r="S24" i="85"/>
  <c r="R24" i="85"/>
  <c r="Q24" i="85"/>
  <c r="S22" i="85"/>
  <c r="R22" i="85"/>
  <c r="Q22" i="85"/>
  <c r="S20" i="85"/>
  <c r="R20" i="85"/>
  <c r="Q20" i="85"/>
  <c r="S19" i="85"/>
  <c r="R19" i="85"/>
  <c r="Q19" i="85"/>
  <c r="S18" i="85"/>
  <c r="R18" i="85"/>
  <c r="Q18" i="85"/>
  <c r="S16" i="85"/>
  <c r="R16" i="85"/>
  <c r="Q16" i="85"/>
  <c r="S14" i="85"/>
  <c r="R14" i="85"/>
  <c r="Q14" i="85"/>
  <c r="S13" i="85"/>
  <c r="R13" i="85"/>
  <c r="Q13" i="85"/>
  <c r="S12" i="85"/>
  <c r="R12" i="85"/>
  <c r="Q12" i="85"/>
  <c r="S11" i="85"/>
  <c r="R11" i="85"/>
  <c r="Q11" i="85"/>
  <c r="S9" i="85"/>
  <c r="R9" i="85"/>
  <c r="Q9" i="85"/>
  <c r="I16" i="100" l="1"/>
  <c r="D16" i="100"/>
  <c r="E33" i="100"/>
  <c r="E34" i="104" l="1"/>
  <c r="E33" i="104"/>
  <c r="E32" i="104"/>
  <c r="E31" i="104"/>
  <c r="E30" i="104"/>
  <c r="E29" i="104"/>
  <c r="E28" i="104"/>
  <c r="E27" i="104"/>
  <c r="E26" i="104"/>
  <c r="E25" i="104"/>
  <c r="E24" i="104"/>
  <c r="E17" i="104"/>
  <c r="E16" i="104"/>
  <c r="E15" i="104"/>
  <c r="E14" i="104"/>
  <c r="E13" i="104"/>
  <c r="E12" i="104"/>
  <c r="E11" i="104"/>
  <c r="E10" i="104"/>
  <c r="E9" i="104"/>
  <c r="E8" i="104"/>
  <c r="E7" i="104"/>
  <c r="E6" i="104"/>
  <c r="E36" i="104" l="1"/>
  <c r="E18" i="104"/>
  <c r="C82" i="96" l="1"/>
  <c r="C81" i="96"/>
  <c r="C80" i="96"/>
  <c r="C79" i="96"/>
  <c r="C78" i="96"/>
  <c r="C77" i="96"/>
  <c r="C76" i="96"/>
  <c r="C75" i="96"/>
  <c r="C74" i="96"/>
  <c r="C73" i="96"/>
  <c r="C72" i="96"/>
  <c r="C71" i="96"/>
  <c r="B82" i="96"/>
  <c r="B81" i="96"/>
  <c r="B80" i="96"/>
  <c r="B79" i="96"/>
  <c r="B78" i="96"/>
  <c r="B77" i="96"/>
  <c r="B76" i="96"/>
  <c r="B75" i="96"/>
  <c r="B74" i="96"/>
  <c r="B73" i="96"/>
  <c r="B72" i="96"/>
  <c r="B71" i="96"/>
  <c r="G60" i="96"/>
  <c r="G59" i="96"/>
  <c r="G57" i="96"/>
  <c r="G54" i="96"/>
  <c r="G53" i="96"/>
  <c r="G50" i="96"/>
  <c r="G47" i="96"/>
  <c r="G46" i="96"/>
  <c r="G44" i="96"/>
  <c r="G41" i="96"/>
  <c r="G38" i="96"/>
  <c r="G37" i="96"/>
  <c r="G36" i="96"/>
  <c r="G35" i="96"/>
  <c r="G42" i="96" s="1"/>
  <c r="G32" i="96"/>
  <c r="G31" i="96"/>
  <c r="G33" i="96" l="1"/>
  <c r="F51" i="96"/>
  <c r="G51" i="96"/>
  <c r="E200" i="103"/>
  <c r="H200" i="103" s="1"/>
  <c r="E199" i="103"/>
  <c r="H199" i="103" s="1"/>
  <c r="E198" i="103"/>
  <c r="H198" i="103" s="1"/>
  <c r="H197" i="103"/>
  <c r="E197" i="103"/>
  <c r="E196" i="103"/>
  <c r="H196" i="103" s="1"/>
  <c r="E195" i="103"/>
  <c r="H195" i="103" s="1"/>
  <c r="E194" i="103"/>
  <c r="H194" i="103" s="1"/>
  <c r="E193" i="103"/>
  <c r="H193" i="103" s="1"/>
  <c r="E192" i="103"/>
  <c r="H192" i="103" s="1"/>
  <c r="E191" i="103"/>
  <c r="H191" i="103" s="1"/>
  <c r="E190" i="103"/>
  <c r="H190" i="103" s="1"/>
  <c r="E189" i="103"/>
  <c r="H189" i="103" s="1"/>
  <c r="E188" i="103"/>
  <c r="H188" i="103" s="1"/>
  <c r="E187" i="103"/>
  <c r="H187" i="103" s="1"/>
  <c r="B187" i="103"/>
  <c r="B188" i="103" s="1"/>
  <c r="B189" i="103" s="1"/>
  <c r="B190" i="103" s="1"/>
  <c r="B191" i="103" s="1"/>
  <c r="B192" i="103" s="1"/>
  <c r="B193" i="103" s="1"/>
  <c r="B194" i="103" s="1"/>
  <c r="B195" i="103" s="1"/>
  <c r="B196" i="103" s="1"/>
  <c r="B197" i="103" s="1"/>
  <c r="B198" i="103" s="1"/>
  <c r="B199" i="103" s="1"/>
  <c r="B200" i="103" s="1"/>
  <c r="E186" i="103"/>
  <c r="H186" i="103" s="1"/>
  <c r="E183" i="103"/>
  <c r="H183" i="103" s="1"/>
  <c r="E182" i="103"/>
  <c r="H182" i="103" s="1"/>
  <c r="B182" i="103"/>
  <c r="B183" i="103" s="1"/>
  <c r="E180" i="103"/>
  <c r="E179" i="103"/>
  <c r="H179" i="103" s="1"/>
  <c r="E178" i="103"/>
  <c r="H178" i="103" s="1"/>
  <c r="E177" i="103"/>
  <c r="H177" i="103" s="1"/>
  <c r="E175" i="103"/>
  <c r="H175" i="103" s="1"/>
  <c r="E174" i="103"/>
  <c r="E173" i="103"/>
  <c r="H173" i="103" s="1"/>
  <c r="E172" i="103"/>
  <c r="H172" i="103" s="1"/>
  <c r="B172" i="103"/>
  <c r="B173" i="103" s="1"/>
  <c r="B174" i="103" s="1"/>
  <c r="B175" i="103" s="1"/>
  <c r="E171" i="103"/>
  <c r="E169" i="103"/>
  <c r="E168" i="103"/>
  <c r="H168" i="103" s="1"/>
  <c r="H167" i="103"/>
  <c r="E167" i="103"/>
  <c r="E166" i="103"/>
  <c r="H166" i="103" s="1"/>
  <c r="E165" i="103"/>
  <c r="H165" i="103" s="1"/>
  <c r="B165" i="103"/>
  <c r="B166" i="103" s="1"/>
  <c r="B167" i="103" s="1"/>
  <c r="B168" i="103" s="1"/>
  <c r="B169" i="103" s="1"/>
  <c r="E164" i="103"/>
  <c r="H164" i="103" s="1"/>
  <c r="E161" i="103"/>
  <c r="E158" i="103"/>
  <c r="H158" i="103" s="1"/>
  <c r="E157" i="103"/>
  <c r="H157" i="103" s="1"/>
  <c r="E156" i="103"/>
  <c r="H155" i="103"/>
  <c r="E155" i="103"/>
  <c r="E154" i="103"/>
  <c r="E153" i="103"/>
  <c r="H153" i="103" s="1"/>
  <c r="E152" i="103"/>
  <c r="H152" i="103" s="1"/>
  <c r="E151" i="103"/>
  <c r="H151" i="103" s="1"/>
  <c r="E150" i="103"/>
  <c r="E148" i="103"/>
  <c r="E146" i="103"/>
  <c r="H146" i="103" s="1"/>
  <c r="E145" i="103"/>
  <c r="H145" i="103" s="1"/>
  <c r="E144" i="103"/>
  <c r="H143" i="103"/>
  <c r="E143" i="103"/>
  <c r="E142" i="103"/>
  <c r="H142" i="103" s="1"/>
  <c r="B142" i="103"/>
  <c r="B143" i="103" s="1"/>
  <c r="B144" i="103" s="1"/>
  <c r="B145" i="103" s="1"/>
  <c r="B146" i="103" s="1"/>
  <c r="B148" i="103" s="1"/>
  <c r="E141" i="103"/>
  <c r="H141" i="103" s="1"/>
  <c r="E138" i="103"/>
  <c r="H138" i="103" s="1"/>
  <c r="E137" i="103"/>
  <c r="E136" i="103"/>
  <c r="H136" i="103" s="1"/>
  <c r="E135" i="103"/>
  <c r="H135" i="103" s="1"/>
  <c r="E134" i="103"/>
  <c r="E133" i="103"/>
  <c r="E132" i="103"/>
  <c r="E131" i="103"/>
  <c r="H131" i="103" s="1"/>
  <c r="E130" i="103"/>
  <c r="H130" i="103" s="1"/>
  <c r="E127" i="103"/>
  <c r="H127" i="103" s="1"/>
  <c r="E126" i="103"/>
  <c r="E125" i="103"/>
  <c r="H125" i="103" s="1"/>
  <c r="H124" i="103"/>
  <c r="E124" i="103"/>
  <c r="E123" i="103"/>
  <c r="H123" i="103" s="1"/>
  <c r="E122" i="103"/>
  <c r="E121" i="103"/>
  <c r="H121" i="103" s="1"/>
  <c r="E120" i="103"/>
  <c r="H120" i="103" s="1"/>
  <c r="B120" i="103"/>
  <c r="B121" i="103" s="1"/>
  <c r="B122" i="103" s="1"/>
  <c r="B123" i="103" s="1"/>
  <c r="B124" i="103" s="1"/>
  <c r="B125" i="103" s="1"/>
  <c r="B126" i="103" s="1"/>
  <c r="B127" i="103" s="1"/>
  <c r="B130" i="103" s="1"/>
  <c r="B131" i="103" s="1"/>
  <c r="B132" i="103" s="1"/>
  <c r="B133" i="103" s="1"/>
  <c r="B134" i="103" s="1"/>
  <c r="B135" i="103" s="1"/>
  <c r="B136" i="103" s="1"/>
  <c r="B137" i="103" s="1"/>
  <c r="B138" i="103" s="1"/>
  <c r="E119" i="103"/>
  <c r="E116" i="103"/>
  <c r="H116" i="103" s="1"/>
  <c r="E115" i="103"/>
  <c r="H115" i="103" s="1"/>
  <c r="E114" i="103"/>
  <c r="H114" i="103" s="1"/>
  <c r="E113" i="103"/>
  <c r="H113" i="103" s="1"/>
  <c r="H112" i="103"/>
  <c r="E112" i="103"/>
  <c r="E111" i="103"/>
  <c r="H111" i="103" s="1"/>
  <c r="E110" i="103"/>
  <c r="H110" i="103" s="1"/>
  <c r="E109" i="103"/>
  <c r="H109" i="103" s="1"/>
  <c r="E108" i="103"/>
  <c r="H108" i="103" s="1"/>
  <c r="E106" i="103"/>
  <c r="E105" i="103"/>
  <c r="E104" i="103"/>
  <c r="H104" i="103" s="1"/>
  <c r="E103" i="103"/>
  <c r="E102" i="103"/>
  <c r="H102" i="103" s="1"/>
  <c r="E101" i="103"/>
  <c r="H101" i="103" s="1"/>
  <c r="E99" i="103"/>
  <c r="H99" i="103" s="1"/>
  <c r="E98" i="103"/>
  <c r="H98" i="103" s="1"/>
  <c r="E97" i="103"/>
  <c r="H97" i="103" s="1"/>
  <c r="E96" i="103"/>
  <c r="H96" i="103" s="1"/>
  <c r="E95" i="103"/>
  <c r="H95" i="103" s="1"/>
  <c r="H94" i="103"/>
  <c r="E94" i="103"/>
  <c r="E93" i="103"/>
  <c r="H93" i="103" s="1"/>
  <c r="E92" i="103"/>
  <c r="H92" i="103" s="1"/>
  <c r="B92" i="103"/>
  <c r="B93" i="103" s="1"/>
  <c r="B94" i="103" s="1"/>
  <c r="B95" i="103" s="1"/>
  <c r="B96" i="103" s="1"/>
  <c r="B97" i="103" s="1"/>
  <c r="B98" i="103" s="1"/>
  <c r="B99" i="103" s="1"/>
  <c r="B101" i="103" s="1"/>
  <c r="B102" i="103" s="1"/>
  <c r="B103" i="103" s="1"/>
  <c r="B104" i="103" s="1"/>
  <c r="B105" i="103" s="1"/>
  <c r="B106" i="103" s="1"/>
  <c r="B108" i="103" s="1"/>
  <c r="B109" i="103" s="1"/>
  <c r="B110" i="103" s="1"/>
  <c r="B111" i="103" s="1"/>
  <c r="B112" i="103" s="1"/>
  <c r="B113" i="103" s="1"/>
  <c r="B114" i="103" s="1"/>
  <c r="B115" i="103" s="1"/>
  <c r="B116" i="103" s="1"/>
  <c r="E91" i="103"/>
  <c r="H91" i="103" s="1"/>
  <c r="E89" i="103"/>
  <c r="H89" i="103" s="1"/>
  <c r="E88" i="103"/>
  <c r="H88" i="103" s="1"/>
  <c r="E87" i="103"/>
  <c r="H87" i="103" s="1"/>
  <c r="E86" i="103"/>
  <c r="H86" i="103" s="1"/>
  <c r="H85" i="103"/>
  <c r="E85" i="103"/>
  <c r="E84" i="103"/>
  <c r="H84" i="103" s="1"/>
  <c r="E83" i="103"/>
  <c r="H83" i="103" s="1"/>
  <c r="E82" i="103"/>
  <c r="H82" i="103" s="1"/>
  <c r="E81" i="103"/>
  <c r="H81" i="103" s="1"/>
  <c r="E79" i="103"/>
  <c r="H79" i="103" s="1"/>
  <c r="E78" i="103"/>
  <c r="H78" i="103" s="1"/>
  <c r="H77" i="103"/>
  <c r="E77" i="103"/>
  <c r="H76" i="103"/>
  <c r="E76" i="103"/>
  <c r="E75" i="103"/>
  <c r="H75" i="103" s="1"/>
  <c r="E73" i="103"/>
  <c r="H73" i="103" s="1"/>
  <c r="E72" i="103"/>
  <c r="H72" i="103" s="1"/>
  <c r="E71" i="103"/>
  <c r="H71" i="103" s="1"/>
  <c r="H70" i="103"/>
  <c r="E70" i="103"/>
  <c r="E69" i="103"/>
  <c r="H69" i="103" s="1"/>
  <c r="E68" i="103"/>
  <c r="H68" i="103" s="1"/>
  <c r="E67" i="103"/>
  <c r="H67" i="103" s="1"/>
  <c r="H66" i="103"/>
  <c r="E66" i="103"/>
  <c r="B66" i="103"/>
  <c r="B67" i="103" s="1"/>
  <c r="B68" i="103" s="1"/>
  <c r="B69" i="103" s="1"/>
  <c r="B70" i="103" s="1"/>
  <c r="B71" i="103" s="1"/>
  <c r="B72" i="103" s="1"/>
  <c r="B73" i="103" s="1"/>
  <c r="B75" i="103" s="1"/>
  <c r="B76" i="103" s="1"/>
  <c r="B77" i="103" s="1"/>
  <c r="B78" i="103" s="1"/>
  <c r="B79" i="103" s="1"/>
  <c r="B81" i="103" s="1"/>
  <c r="B82" i="103" s="1"/>
  <c r="B83" i="103" s="1"/>
  <c r="B84" i="103" s="1"/>
  <c r="B85" i="103" s="1"/>
  <c r="B86" i="103" s="1"/>
  <c r="B87" i="103" s="1"/>
  <c r="B88" i="103" s="1"/>
  <c r="B89" i="103" s="1"/>
  <c r="E65" i="103"/>
  <c r="H65" i="103" s="1"/>
  <c r="E62" i="103"/>
  <c r="H62" i="103" s="1"/>
  <c r="E61" i="103"/>
  <c r="H61" i="103" s="1"/>
  <c r="E60" i="103"/>
  <c r="H60" i="103" s="1"/>
  <c r="C60" i="103"/>
  <c r="C61" i="103" s="1"/>
  <c r="C62" i="103" s="1"/>
  <c r="E59" i="103"/>
  <c r="H59" i="103" s="1"/>
  <c r="E58" i="103"/>
  <c r="H58" i="103" s="1"/>
  <c r="E57" i="103"/>
  <c r="H57" i="103" s="1"/>
  <c r="E56" i="103"/>
  <c r="H56" i="103" s="1"/>
  <c r="E54" i="103"/>
  <c r="H54" i="103" s="1"/>
  <c r="E53" i="103"/>
  <c r="E52" i="103"/>
  <c r="H52" i="103" s="1"/>
  <c r="E51" i="103"/>
  <c r="H51" i="103" s="1"/>
  <c r="E50" i="103"/>
  <c r="H50" i="103" s="1"/>
  <c r="E49" i="103"/>
  <c r="H49" i="103" s="1"/>
  <c r="E48" i="103"/>
  <c r="H48" i="103" s="1"/>
  <c r="B48" i="103"/>
  <c r="B49" i="103" s="1"/>
  <c r="B50" i="103" s="1"/>
  <c r="B51" i="103" s="1"/>
  <c r="E47" i="103"/>
  <c r="E44" i="103"/>
  <c r="H44" i="103" s="1"/>
  <c r="E43" i="103"/>
  <c r="H43" i="103" s="1"/>
  <c r="E42" i="103"/>
  <c r="H42" i="103" s="1"/>
  <c r="E41" i="103"/>
  <c r="H41" i="103" s="1"/>
  <c r="E40" i="103"/>
  <c r="H40" i="103" s="1"/>
  <c r="E39" i="103"/>
  <c r="H39" i="103" s="1"/>
  <c r="E38" i="103"/>
  <c r="H38" i="103" s="1"/>
  <c r="E37" i="103"/>
  <c r="H37" i="103" s="1"/>
  <c r="H36" i="103"/>
  <c r="E36" i="103"/>
  <c r="E33" i="103"/>
  <c r="H33" i="103" s="1"/>
  <c r="E32" i="103"/>
  <c r="H32" i="103" s="1"/>
  <c r="E31" i="103"/>
  <c r="H31" i="103" s="1"/>
  <c r="B31" i="103"/>
  <c r="B32" i="103" s="1"/>
  <c r="B33" i="103" s="1"/>
  <c r="E30" i="103"/>
  <c r="H30" i="103" s="1"/>
  <c r="E29" i="103"/>
  <c r="H29" i="103" s="1"/>
  <c r="H28" i="103"/>
  <c r="E28" i="103"/>
  <c r="C28" i="103"/>
  <c r="C29" i="103" s="1"/>
  <c r="C30" i="103" s="1"/>
  <c r="C31" i="103" s="1"/>
  <c r="C32" i="103" s="1"/>
  <c r="C33" i="103" s="1"/>
  <c r="B28" i="103"/>
  <c r="B29" i="103" s="1"/>
  <c r="E27" i="103"/>
  <c r="H27" i="103" s="1"/>
  <c r="E25" i="103"/>
  <c r="G21" i="103"/>
  <c r="G20" i="103"/>
  <c r="G19" i="103"/>
  <c r="G18" i="103"/>
  <c r="G17" i="103"/>
  <c r="G16" i="103"/>
  <c r="G15" i="103"/>
  <c r="G14" i="103"/>
  <c r="A11" i="103"/>
  <c r="A12" i="103" s="1"/>
  <c r="A13" i="103" s="1"/>
  <c r="A14" i="103" s="1"/>
  <c r="A15" i="103" s="1"/>
  <c r="A16" i="103" s="1"/>
  <c r="A17" i="103" s="1"/>
  <c r="A18" i="103" s="1"/>
  <c r="A19" i="103" s="1"/>
  <c r="A20" i="103" s="1"/>
  <c r="A21" i="103" s="1"/>
  <c r="A22" i="103" s="1"/>
  <c r="A23" i="103" s="1"/>
  <c r="A24" i="103" s="1"/>
  <c r="A25" i="103" s="1"/>
  <c r="A26" i="103" s="1"/>
  <c r="A27" i="103" s="1"/>
  <c r="A28" i="103" s="1"/>
  <c r="A29" i="103" s="1"/>
  <c r="A30" i="103" s="1"/>
  <c r="A31" i="103" s="1"/>
  <c r="A32" i="103" s="1"/>
  <c r="A33" i="103" s="1"/>
  <c r="A34" i="103" s="1"/>
  <c r="A35" i="103" s="1"/>
  <c r="A36" i="103" s="1"/>
  <c r="A37" i="103" s="1"/>
  <c r="A38" i="103" s="1"/>
  <c r="A39" i="103" s="1"/>
  <c r="A40" i="103" s="1"/>
  <c r="A41" i="103" s="1"/>
  <c r="A42" i="103" s="1"/>
  <c r="A43" i="103" s="1"/>
  <c r="A44" i="103" s="1"/>
  <c r="A45" i="103" s="1"/>
  <c r="A46" i="103" s="1"/>
  <c r="A47" i="103" s="1"/>
  <c r="A48" i="103" s="1"/>
  <c r="A49" i="103" s="1"/>
  <c r="A50" i="103" s="1"/>
  <c r="A51" i="103" s="1"/>
  <c r="A52" i="103" s="1"/>
  <c r="A53" i="103" s="1"/>
  <c r="A54" i="103" s="1"/>
  <c r="A55" i="103" s="1"/>
  <c r="A56" i="103" s="1"/>
  <c r="A57" i="103" s="1"/>
  <c r="A58" i="103" s="1"/>
  <c r="A59" i="103" s="1"/>
  <c r="A60" i="103" s="1"/>
  <c r="A61" i="103" s="1"/>
  <c r="A62" i="103" s="1"/>
  <c r="A63" i="103" s="1"/>
  <c r="A64" i="103" s="1"/>
  <c r="A65" i="103" s="1"/>
  <c r="A66" i="103" s="1"/>
  <c r="A67" i="103" s="1"/>
  <c r="A68" i="103" s="1"/>
  <c r="A69" i="103" s="1"/>
  <c r="A70" i="103" s="1"/>
  <c r="A71" i="103" s="1"/>
  <c r="A72" i="103" s="1"/>
  <c r="A73" i="103" s="1"/>
  <c r="A74" i="103" s="1"/>
  <c r="A75" i="103" s="1"/>
  <c r="A76" i="103" s="1"/>
  <c r="A77" i="103" s="1"/>
  <c r="A78" i="103" s="1"/>
  <c r="A79" i="103" s="1"/>
  <c r="A80" i="103" s="1"/>
  <c r="A81" i="103" s="1"/>
  <c r="A82" i="103" s="1"/>
  <c r="A83" i="103" s="1"/>
  <c r="A84" i="103" s="1"/>
  <c r="A85" i="103" s="1"/>
  <c r="A86" i="103" s="1"/>
  <c r="A87" i="103" s="1"/>
  <c r="A88" i="103" s="1"/>
  <c r="A89" i="103" s="1"/>
  <c r="A90" i="103" s="1"/>
  <c r="A91" i="103" s="1"/>
  <c r="A92" i="103" s="1"/>
  <c r="A93" i="103" s="1"/>
  <c r="A94" i="103" s="1"/>
  <c r="A95" i="103" s="1"/>
  <c r="A96" i="103" s="1"/>
  <c r="A97" i="103" s="1"/>
  <c r="A98" i="103" s="1"/>
  <c r="A99" i="103" s="1"/>
  <c r="A100" i="103" s="1"/>
  <c r="A101" i="103" s="1"/>
  <c r="A102" i="103" s="1"/>
  <c r="A103" i="103" s="1"/>
  <c r="A104" i="103" s="1"/>
  <c r="A105" i="103" s="1"/>
  <c r="A106" i="103" s="1"/>
  <c r="A107" i="103" s="1"/>
  <c r="A108" i="103" s="1"/>
  <c r="A109" i="103" s="1"/>
  <c r="A110" i="103" s="1"/>
  <c r="A111" i="103" s="1"/>
  <c r="A112" i="103" s="1"/>
  <c r="A113" i="103" s="1"/>
  <c r="A114" i="103" s="1"/>
  <c r="A115" i="103" s="1"/>
  <c r="A116" i="103" s="1"/>
  <c r="A117" i="103" s="1"/>
  <c r="A118" i="103" s="1"/>
  <c r="A119" i="103" s="1"/>
  <c r="A120" i="103" s="1"/>
  <c r="A121" i="103" s="1"/>
  <c r="A122" i="103" s="1"/>
  <c r="A123" i="103" s="1"/>
  <c r="A124" i="103" s="1"/>
  <c r="A125" i="103" s="1"/>
  <c r="A126" i="103" s="1"/>
  <c r="A127" i="103" s="1"/>
  <c r="A128" i="103" s="1"/>
  <c r="A129" i="103" s="1"/>
  <c r="A130" i="103" s="1"/>
  <c r="A131" i="103" s="1"/>
  <c r="A132" i="103" s="1"/>
  <c r="A133" i="103" s="1"/>
  <c r="A134" i="103" s="1"/>
  <c r="A135" i="103" s="1"/>
  <c r="A136" i="103" s="1"/>
  <c r="A137" i="103" s="1"/>
  <c r="A138" i="103" s="1"/>
  <c r="A139" i="103" s="1"/>
  <c r="A140" i="103" s="1"/>
  <c r="A141" i="103" s="1"/>
  <c r="A142" i="103" s="1"/>
  <c r="A143" i="103" s="1"/>
  <c r="A144" i="103" s="1"/>
  <c r="A145" i="103" s="1"/>
  <c r="A146" i="103" s="1"/>
  <c r="A147" i="103" s="1"/>
  <c r="A148" i="103" s="1"/>
  <c r="A149" i="103" s="1"/>
  <c r="A150" i="103" s="1"/>
  <c r="A151" i="103" s="1"/>
  <c r="A152" i="103" s="1"/>
  <c r="A153" i="103" s="1"/>
  <c r="A154" i="103" s="1"/>
  <c r="A155" i="103" s="1"/>
  <c r="A156" i="103" s="1"/>
  <c r="A157" i="103" s="1"/>
  <c r="A158" i="103" s="1"/>
  <c r="A159" i="103" s="1"/>
  <c r="A160" i="103" s="1"/>
  <c r="A161" i="103" s="1"/>
  <c r="A162" i="103" s="1"/>
  <c r="A163" i="103" s="1"/>
  <c r="A164" i="103" s="1"/>
  <c r="A165" i="103" s="1"/>
  <c r="A166" i="103" s="1"/>
  <c r="A167" i="103" s="1"/>
  <c r="A168" i="103" s="1"/>
  <c r="A169" i="103" s="1"/>
  <c r="A170" i="103" s="1"/>
  <c r="A171" i="103" s="1"/>
  <c r="A172" i="103" s="1"/>
  <c r="A173" i="103" s="1"/>
  <c r="A174" i="103" s="1"/>
  <c r="A175" i="103" s="1"/>
  <c r="A176" i="103" s="1"/>
  <c r="A177" i="103" s="1"/>
  <c r="A178" i="103" s="1"/>
  <c r="A179" i="103" s="1"/>
  <c r="A180" i="103" s="1"/>
  <c r="A181" i="103" s="1"/>
  <c r="A182" i="103" s="1"/>
  <c r="A183" i="103" s="1"/>
  <c r="A184" i="103" s="1"/>
  <c r="A185" i="103" s="1"/>
  <c r="A186" i="103" s="1"/>
  <c r="A187" i="103" s="1"/>
  <c r="A188" i="103" s="1"/>
  <c r="A189" i="103" s="1"/>
  <c r="A190" i="103" s="1"/>
  <c r="A191" i="103" s="1"/>
  <c r="A192" i="103" s="1"/>
  <c r="A193" i="103" s="1"/>
  <c r="A194" i="103" s="1"/>
  <c r="A195" i="103" s="1"/>
  <c r="A196" i="103" s="1"/>
  <c r="A197" i="103" s="1"/>
  <c r="A198" i="103" s="1"/>
  <c r="A199" i="103" s="1"/>
  <c r="A200" i="103" s="1"/>
  <c r="H15" i="103" l="1"/>
  <c r="G22" i="103"/>
  <c r="B177" i="103"/>
  <c r="B178" i="103" s="1"/>
  <c r="B179" i="103" s="1"/>
  <c r="B180" i="103" s="1"/>
  <c r="E31" i="97"/>
  <c r="B52" i="103"/>
  <c r="B56" i="103"/>
  <c r="H14" i="103"/>
  <c r="H119" i="103"/>
  <c r="H122" i="103"/>
  <c r="H134" i="103"/>
  <c r="H150" i="103"/>
  <c r="H47" i="103"/>
  <c r="H53" i="103"/>
  <c r="H103" i="103"/>
  <c r="H105" i="103"/>
  <c r="H132" i="103"/>
  <c r="H137" i="103"/>
  <c r="H171" i="103"/>
  <c r="H180" i="103"/>
  <c r="H106" i="103"/>
  <c r="H133" i="103"/>
  <c r="H144" i="103"/>
  <c r="H148" i="103"/>
  <c r="H156" i="103"/>
  <c r="H174" i="103"/>
  <c r="H169" i="103"/>
  <c r="H154" i="103"/>
  <c r="H161" i="103"/>
  <c r="H126" i="103"/>
  <c r="E10" i="97"/>
  <c r="E25" i="97"/>
  <c r="E19" i="97"/>
  <c r="H18" i="103" l="1"/>
  <c r="H17" i="103"/>
  <c r="H19" i="103"/>
  <c r="H20" i="103"/>
  <c r="H21" i="103"/>
  <c r="H16" i="103"/>
  <c r="H10" i="103"/>
  <c r="B53" i="103"/>
  <c r="B57" i="103"/>
  <c r="E37" i="97"/>
  <c r="H22" i="103" l="1"/>
  <c r="B54" i="103"/>
  <c r="B59" i="103" s="1"/>
  <c r="B60" i="103" s="1"/>
  <c r="B61" i="103" s="1"/>
  <c r="B62" i="103" s="1"/>
  <c r="B58" i="103"/>
  <c r="D14" i="97" l="1"/>
  <c r="D16" i="97" l="1"/>
  <c r="D9" i="97"/>
  <c r="D21" i="97"/>
  <c r="D12" i="97"/>
  <c r="E41" i="97" l="1"/>
  <c r="E44" i="97" s="1"/>
  <c r="D33" i="97" l="1"/>
  <c r="E31" i="33" s="1"/>
  <c r="D35" i="97" l="1"/>
  <c r="E38" i="33" s="1"/>
  <c r="D39" i="97" l="1"/>
  <c r="E33" i="33" s="1"/>
  <c r="D29" i="97" l="1"/>
  <c r="E26" i="33" s="1"/>
  <c r="D30" i="97"/>
  <c r="E27" i="33" s="1"/>
  <c r="D31" i="97" l="1"/>
  <c r="D23" i="97" l="1"/>
  <c r="E19" i="33" s="1"/>
  <c r="D18" i="97"/>
  <c r="E14" i="33" s="1"/>
  <c r="D24" i="97"/>
  <c r="E20" i="33" s="1"/>
  <c r="D8" i="97" l="1"/>
  <c r="E9" i="33" s="1"/>
  <c r="D22" i="97" l="1"/>
  <c r="E18" i="33" s="1"/>
  <c r="D25" i="97" l="1"/>
  <c r="D17" i="97"/>
  <c r="E13" i="33" s="1"/>
  <c r="D15" i="97" l="1"/>
  <c r="E12" i="33" s="1"/>
  <c r="D27" i="97" l="1"/>
  <c r="E24" i="33" s="1"/>
  <c r="D13" i="97" l="1"/>
  <c r="E11" i="33" s="1"/>
  <c r="D19" i="97" l="1"/>
  <c r="F14" i="44"/>
  <c r="D20" i="44"/>
  <c r="J32" i="102"/>
  <c r="J31" i="102"/>
  <c r="K21" i="100" s="1"/>
  <c r="C21" i="100" s="1"/>
  <c r="D21" i="100" s="1"/>
  <c r="D25" i="44" s="1"/>
  <c r="J30" i="102"/>
  <c r="J29" i="102"/>
  <c r="K17" i="100" s="1"/>
  <c r="C17" i="100" s="1"/>
  <c r="D17" i="100" s="1"/>
  <c r="J28" i="102"/>
  <c r="K15" i="100" s="1"/>
  <c r="C15" i="100" s="1"/>
  <c r="D15" i="100" s="1"/>
  <c r="D16" i="44" s="1"/>
  <c r="O27" i="102"/>
  <c r="O34" i="102" s="1"/>
  <c r="N27" i="102"/>
  <c r="N34" i="102" s="1"/>
  <c r="J26" i="102"/>
  <c r="K14" i="100" s="1"/>
  <c r="C14" i="100" s="1"/>
  <c r="D14" i="100" s="1"/>
  <c r="D15" i="44" s="1"/>
  <c r="P25" i="102"/>
  <c r="P34" i="102" s="1"/>
  <c r="J24" i="102"/>
  <c r="J23" i="102"/>
  <c r="K12" i="100" s="1"/>
  <c r="J22" i="102"/>
  <c r="J21" i="102"/>
  <c r="K10" i="100" s="1"/>
  <c r="C10" i="100" s="1"/>
  <c r="D10" i="100" s="1"/>
  <c r="D9" i="44" s="1"/>
  <c r="J20" i="102"/>
  <c r="K9" i="100" s="1"/>
  <c r="C9" i="100" s="1"/>
  <c r="D9" i="100" s="1"/>
  <c r="D7" i="44" s="1"/>
  <c r="C29" i="101"/>
  <c r="C28" i="101"/>
  <c r="C27" i="101"/>
  <c r="A27" i="101"/>
  <c r="V26" i="101"/>
  <c r="V19" i="101" s="1"/>
  <c r="U26" i="101"/>
  <c r="T26" i="101"/>
  <c r="T19" i="101" s="1"/>
  <c r="T21" i="101" s="1"/>
  <c r="T23" i="101" s="1"/>
  <c r="S26" i="101"/>
  <c r="S19" i="101" s="1"/>
  <c r="R26" i="101"/>
  <c r="R19" i="101" s="1"/>
  <c r="Q26" i="101"/>
  <c r="P26" i="101"/>
  <c r="O26" i="101"/>
  <c r="N26" i="101"/>
  <c r="N19" i="101" s="1"/>
  <c r="M26" i="101"/>
  <c r="L26" i="101"/>
  <c r="L19" i="101" s="1"/>
  <c r="L15" i="100" s="1"/>
  <c r="K26" i="101"/>
  <c r="K19" i="101" s="1"/>
  <c r="J26" i="101"/>
  <c r="J19" i="101" s="1"/>
  <c r="I26" i="101"/>
  <c r="H26" i="101"/>
  <c r="G26" i="101"/>
  <c r="F26" i="101"/>
  <c r="F19" i="101" s="1"/>
  <c r="E26" i="101"/>
  <c r="P23" i="101"/>
  <c r="L23" i="101"/>
  <c r="U19" i="101"/>
  <c r="U21" i="101" s="1"/>
  <c r="U23" i="101" s="1"/>
  <c r="Q19" i="101"/>
  <c r="Q21" i="101" s="1"/>
  <c r="P19" i="101"/>
  <c r="O19" i="101"/>
  <c r="O21" i="101" s="1"/>
  <c r="M19" i="101"/>
  <c r="M21" i="101" s="1"/>
  <c r="I19" i="101"/>
  <c r="I21" i="101" s="1"/>
  <c r="I23" i="101" s="1"/>
  <c r="H19" i="101"/>
  <c r="H21" i="101" s="1"/>
  <c r="H23" i="101" s="1"/>
  <c r="G19" i="101"/>
  <c r="G21" i="101" s="1"/>
  <c r="G23" i="101" s="1"/>
  <c r="E19" i="101"/>
  <c r="L10" i="100" s="1"/>
  <c r="H10" i="100" s="1"/>
  <c r="I10" i="100" s="1"/>
  <c r="F9" i="44" s="1"/>
  <c r="K24" i="100"/>
  <c r="D24" i="100"/>
  <c r="C24" i="100"/>
  <c r="L20" i="100"/>
  <c r="H20" i="100" s="1"/>
  <c r="K20" i="100"/>
  <c r="C20" i="100" s="1"/>
  <c r="K19" i="100"/>
  <c r="C19" i="100" s="1"/>
  <c r="K18" i="100"/>
  <c r="C18" i="100" s="1"/>
  <c r="D18" i="100" s="1"/>
  <c r="D23" i="44" s="1"/>
  <c r="I15" i="100"/>
  <c r="F16" i="44" s="1"/>
  <c r="L13" i="100"/>
  <c r="H13" i="100" s="1"/>
  <c r="I13" i="100" s="1"/>
  <c r="C11" i="100"/>
  <c r="D11" i="100" s="1"/>
  <c r="D21" i="44" l="1"/>
  <c r="K21" i="101"/>
  <c r="K23" i="101" s="1"/>
  <c r="L16" i="100"/>
  <c r="H16" i="100" s="1"/>
  <c r="F18" i="44" s="1"/>
  <c r="S21" i="101"/>
  <c r="S23" i="101" s="1"/>
  <c r="L9" i="100"/>
  <c r="D26" i="101"/>
  <c r="E21" i="101"/>
  <c r="L17" i="100"/>
  <c r="J27" i="102"/>
  <c r="K16" i="100" s="1"/>
  <c r="C16" i="100" s="1"/>
  <c r="D18" i="44" s="1"/>
  <c r="H17" i="100"/>
  <c r="I17" i="100" s="1"/>
  <c r="F21" i="44" s="1"/>
  <c r="Q23" i="101"/>
  <c r="F21" i="101"/>
  <c r="F23" i="101" s="1"/>
  <c r="D19" i="101"/>
  <c r="L24" i="100" s="1"/>
  <c r="L11" i="100"/>
  <c r="H11" i="100" s="1"/>
  <c r="I11" i="100" s="1"/>
  <c r="L14" i="100"/>
  <c r="H14" i="100" s="1"/>
  <c r="I14" i="100" s="1"/>
  <c r="F15" i="44" s="1"/>
  <c r="J21" i="101"/>
  <c r="J23" i="101" s="1"/>
  <c r="L19" i="100"/>
  <c r="H19" i="100" s="1"/>
  <c r="N21" i="101"/>
  <c r="R21" i="101"/>
  <c r="R23" i="101" s="1"/>
  <c r="L21" i="100"/>
  <c r="H21" i="100" s="1"/>
  <c r="I21" i="100" s="1"/>
  <c r="F25" i="44" s="1"/>
  <c r="C12" i="100"/>
  <c r="E23" i="101"/>
  <c r="H9" i="100"/>
  <c r="L18" i="100"/>
  <c r="H18" i="100" s="1"/>
  <c r="I18" i="100" s="1"/>
  <c r="F23" i="44" s="1"/>
  <c r="L12" i="100"/>
  <c r="H12" i="100" s="1"/>
  <c r="I12" i="100" s="1"/>
  <c r="F11" i="44" s="1"/>
  <c r="J25" i="102"/>
  <c r="K13" i="100" s="1"/>
  <c r="C13" i="100" s="1"/>
  <c r="D13" i="100" s="1"/>
  <c r="D14" i="44" s="1"/>
  <c r="D21" i="101" l="1"/>
  <c r="H24" i="100" s="1"/>
  <c r="K23" i="100"/>
  <c r="K25" i="100" s="1"/>
  <c r="D12" i="100"/>
  <c r="C23" i="100"/>
  <c r="C25" i="100" s="1"/>
  <c r="L23" i="100"/>
  <c r="L25" i="100" s="1"/>
  <c r="H23" i="100"/>
  <c r="H25" i="100" s="1"/>
  <c r="I9" i="100"/>
  <c r="D23" i="101"/>
  <c r="I24" i="100" s="1"/>
  <c r="I23" i="100" l="1"/>
  <c r="I25" i="100" s="1"/>
  <c r="F7" i="44"/>
  <c r="D23" i="100"/>
  <c r="D11" i="44"/>
  <c r="D25" i="100"/>
  <c r="G58" i="96" l="1"/>
  <c r="K31" i="97" l="1"/>
  <c r="J31" i="97"/>
  <c r="I31" i="97"/>
  <c r="H31" i="97"/>
  <c r="G31" i="97"/>
  <c r="F31" i="97"/>
  <c r="L25" i="97"/>
  <c r="I25" i="97"/>
  <c r="P19" i="97"/>
  <c r="K19" i="97"/>
  <c r="H19" i="97"/>
  <c r="A9" i="97"/>
  <c r="A10" i="97" s="1"/>
  <c r="A11" i="97" s="1"/>
  <c r="A12" i="97" s="1"/>
  <c r="A13" i="97" s="1"/>
  <c r="A14" i="97" s="1"/>
  <c r="A15" i="97" s="1"/>
  <c r="A16" i="97" s="1"/>
  <c r="A17" i="97" s="1"/>
  <c r="A18" i="97" s="1"/>
  <c r="A19" i="97" s="1"/>
  <c r="A20" i="97" s="1"/>
  <c r="A21" i="97" s="1"/>
  <c r="A22" i="97" s="1"/>
  <c r="A23" i="97" s="1"/>
  <c r="A24" i="97" s="1"/>
  <c r="A25" i="97" s="1"/>
  <c r="A26" i="97" s="1"/>
  <c r="A27" i="97" s="1"/>
  <c r="A28" i="97" s="1"/>
  <c r="A29" i="97" s="1"/>
  <c r="A30" i="97" s="1"/>
  <c r="A31" i="97" s="1"/>
  <c r="A32" i="97" s="1"/>
  <c r="A33" i="97" s="1"/>
  <c r="A34" i="97" s="1"/>
  <c r="A35" i="97" s="1"/>
  <c r="A36" i="97" s="1"/>
  <c r="A37" i="97" s="1"/>
  <c r="A38" i="97" s="1"/>
  <c r="A39" i="97" s="1"/>
  <c r="A40" i="97" s="1"/>
  <c r="A41" i="97" s="1"/>
  <c r="I10" i="97" l="1"/>
  <c r="F10" i="97"/>
  <c r="J10" i="97"/>
  <c r="D9" i="33"/>
  <c r="K7" i="44"/>
  <c r="C19" i="97"/>
  <c r="D11" i="33"/>
  <c r="K9" i="44"/>
  <c r="K11" i="44"/>
  <c r="D13" i="33"/>
  <c r="K12" i="44"/>
  <c r="D14" i="33"/>
  <c r="D18" i="33"/>
  <c r="K14" i="44"/>
  <c r="D19" i="33"/>
  <c r="K15" i="44"/>
  <c r="K16" i="44"/>
  <c r="D20" i="33"/>
  <c r="D24" i="33"/>
  <c r="K18" i="44"/>
  <c r="C31" i="97"/>
  <c r="D26" i="33"/>
  <c r="K20" i="44"/>
  <c r="K21" i="44"/>
  <c r="D27" i="33"/>
  <c r="K23" i="44"/>
  <c r="D31" i="33"/>
  <c r="D38" i="33"/>
  <c r="K29" i="44"/>
  <c r="K25" i="44"/>
  <c r="D33" i="33"/>
  <c r="K10" i="44"/>
  <c r="D12" i="33"/>
  <c r="G10" i="97"/>
  <c r="L19" i="97"/>
  <c r="L10" i="97"/>
  <c r="I19" i="97"/>
  <c r="O10" i="97"/>
  <c r="G19" i="97"/>
  <c r="O19" i="97"/>
  <c r="C25" i="97"/>
  <c r="H25" i="97"/>
  <c r="K25" i="97"/>
  <c r="P25" i="97"/>
  <c r="F25" i="97"/>
  <c r="J25" i="97"/>
  <c r="C10" i="97"/>
  <c r="H10" i="97"/>
  <c r="K10" i="97"/>
  <c r="P10" i="97"/>
  <c r="F19" i="97"/>
  <c r="J19" i="97"/>
  <c r="G25" i="97"/>
  <c r="O25" i="97"/>
  <c r="E37" i="104" l="1"/>
  <c r="C37" i="97"/>
  <c r="O37" i="97"/>
  <c r="O41" i="97" s="1"/>
  <c r="O44" i="97" s="1"/>
  <c r="I37" i="97"/>
  <c r="I41" i="97" s="1"/>
  <c r="I44" i="97" s="1"/>
  <c r="P37" i="97"/>
  <c r="P41" i="97" s="1"/>
  <c r="P44" i="97" s="1"/>
  <c r="L37" i="97"/>
  <c r="L41" i="97" s="1"/>
  <c r="L44" i="97" s="1"/>
  <c r="E22" i="33"/>
  <c r="G37" i="97"/>
  <c r="G41" i="97" s="1"/>
  <c r="G44" i="97" s="1"/>
  <c r="K37" i="97"/>
  <c r="K41" i="97" s="1"/>
  <c r="K44" i="97" s="1"/>
  <c r="E29" i="33"/>
  <c r="H37" i="97"/>
  <c r="H41" i="97" s="1"/>
  <c r="H44" i="97" s="1"/>
  <c r="F37" i="97"/>
  <c r="F41" i="97" s="1"/>
  <c r="F44" i="97" s="1"/>
  <c r="J37" i="97"/>
  <c r="J41" i="97" s="1"/>
  <c r="J44" i="97" s="1"/>
  <c r="C41" i="97" l="1"/>
  <c r="F61" i="96"/>
  <c r="C83" i="96"/>
  <c r="B83" i="96"/>
  <c r="D82" i="96"/>
  <c r="B18" i="96" s="1"/>
  <c r="M18" i="96" s="1"/>
  <c r="A82" i="96"/>
  <c r="D81" i="96"/>
  <c r="B17" i="96" s="1"/>
  <c r="M17" i="96" s="1"/>
  <c r="A81" i="96"/>
  <c r="D80" i="96"/>
  <c r="B16" i="96" s="1"/>
  <c r="M16" i="96" s="1"/>
  <c r="A80" i="96"/>
  <c r="D79" i="96"/>
  <c r="B15" i="96" s="1"/>
  <c r="M15" i="96" s="1"/>
  <c r="A79" i="96"/>
  <c r="D78" i="96"/>
  <c r="B14" i="96" s="1"/>
  <c r="M14" i="96" s="1"/>
  <c r="A78" i="96"/>
  <c r="D77" i="96"/>
  <c r="B13" i="96" s="1"/>
  <c r="M13" i="96" s="1"/>
  <c r="A77" i="96"/>
  <c r="D76" i="96"/>
  <c r="B12" i="96" s="1"/>
  <c r="M12" i="96" s="1"/>
  <c r="A76" i="96"/>
  <c r="D75" i="96"/>
  <c r="A75" i="96"/>
  <c r="D74" i="96"/>
  <c r="B10" i="96" s="1"/>
  <c r="M10" i="96" s="1"/>
  <c r="A74" i="96"/>
  <c r="D73" i="96"/>
  <c r="B9" i="96" s="1"/>
  <c r="A73" i="96"/>
  <c r="D72" i="96"/>
  <c r="A72" i="96"/>
  <c r="D71" i="96"/>
  <c r="B7" i="96" s="1"/>
  <c r="M7" i="96" s="1"/>
  <c r="A71" i="96"/>
  <c r="B11" i="96"/>
  <c r="M11" i="96" s="1"/>
  <c r="F62" i="96" l="1"/>
  <c r="I27" i="96"/>
  <c r="L9" i="96"/>
  <c r="M9" i="96"/>
  <c r="L14" i="96"/>
  <c r="K17" i="96"/>
  <c r="L17" i="96"/>
  <c r="L15" i="96"/>
  <c r="K13" i="96"/>
  <c r="L13" i="96"/>
  <c r="K11" i="96"/>
  <c r="L11" i="96"/>
  <c r="L10" i="96"/>
  <c r="K7" i="96"/>
  <c r="L7" i="96"/>
  <c r="F12" i="96"/>
  <c r="L12" i="96"/>
  <c r="L16" i="96"/>
  <c r="K9" i="96"/>
  <c r="L18" i="96"/>
  <c r="C44" i="97"/>
  <c r="K15" i="96"/>
  <c r="E15" i="96"/>
  <c r="D85" i="96"/>
  <c r="H15" i="96"/>
  <c r="E17" i="96"/>
  <c r="N15" i="96"/>
  <c r="H17" i="96"/>
  <c r="H9" i="96"/>
  <c r="D15" i="96"/>
  <c r="O15" i="96"/>
  <c r="O17" i="96"/>
  <c r="E7" i="96"/>
  <c r="H7" i="96"/>
  <c r="O7" i="96"/>
  <c r="I13" i="96"/>
  <c r="Q13" i="96" s="1"/>
  <c r="I7" i="96"/>
  <c r="Q7" i="96" s="1"/>
  <c r="D9" i="96"/>
  <c r="N9" i="96"/>
  <c r="E11" i="96"/>
  <c r="O11" i="96"/>
  <c r="E13" i="96"/>
  <c r="O13" i="96"/>
  <c r="I17" i="96"/>
  <c r="Q17" i="96" s="1"/>
  <c r="I11" i="96"/>
  <c r="Q11" i="96" s="1"/>
  <c r="I9" i="96"/>
  <c r="Q9" i="96" s="1"/>
  <c r="D11" i="96"/>
  <c r="N11" i="96"/>
  <c r="D13" i="96"/>
  <c r="N13" i="96"/>
  <c r="D7" i="96"/>
  <c r="N7" i="96"/>
  <c r="E9" i="96"/>
  <c r="O9" i="96"/>
  <c r="H11" i="96"/>
  <c r="H13" i="96"/>
  <c r="I15" i="96"/>
  <c r="Q15" i="96" s="1"/>
  <c r="D17" i="96"/>
  <c r="N17" i="96"/>
  <c r="F64" i="96"/>
  <c r="F65" i="96"/>
  <c r="O10" i="96"/>
  <c r="I10" i="96"/>
  <c r="Q10" i="96" s="1"/>
  <c r="E10" i="96"/>
  <c r="N10" i="96"/>
  <c r="H10" i="96"/>
  <c r="D10" i="96"/>
  <c r="F10" i="96"/>
  <c r="J10" i="96"/>
  <c r="G10" i="96"/>
  <c r="K10" i="96"/>
  <c r="C10" i="96"/>
  <c r="O14" i="96"/>
  <c r="I14" i="96"/>
  <c r="Q14" i="96" s="1"/>
  <c r="E14" i="96"/>
  <c r="N14" i="96"/>
  <c r="H14" i="96"/>
  <c r="D14" i="96"/>
  <c r="J14" i="96"/>
  <c r="K14" i="96"/>
  <c r="G14" i="96"/>
  <c r="F14" i="96"/>
  <c r="C14" i="96"/>
  <c r="O16" i="96"/>
  <c r="I16" i="96"/>
  <c r="Q16" i="96" s="1"/>
  <c r="E16" i="96"/>
  <c r="N16" i="96"/>
  <c r="H16" i="96"/>
  <c r="D16" i="96"/>
  <c r="K16" i="96"/>
  <c r="C16" i="96"/>
  <c r="F16" i="96"/>
  <c r="J16" i="96"/>
  <c r="G16" i="96"/>
  <c r="O18" i="96"/>
  <c r="I18" i="96"/>
  <c r="Q18" i="96" s="1"/>
  <c r="E18" i="96"/>
  <c r="N18" i="96"/>
  <c r="H18" i="96"/>
  <c r="D18" i="96"/>
  <c r="F18" i="96"/>
  <c r="G18" i="96"/>
  <c r="K18" i="96"/>
  <c r="C18" i="96"/>
  <c r="J18" i="96"/>
  <c r="J12" i="96"/>
  <c r="C12" i="96"/>
  <c r="B8" i="96"/>
  <c r="D83" i="96"/>
  <c r="O12" i="96"/>
  <c r="I12" i="96"/>
  <c r="Q12" i="96" s="1"/>
  <c r="E12" i="96"/>
  <c r="N12" i="96"/>
  <c r="H12" i="96"/>
  <c r="D12" i="96"/>
  <c r="K12" i="96"/>
  <c r="G12" i="96"/>
  <c r="J7" i="96"/>
  <c r="F9" i="96"/>
  <c r="J9" i="96"/>
  <c r="F11" i="96"/>
  <c r="J11" i="96"/>
  <c r="F13" i="96"/>
  <c r="J13" i="96"/>
  <c r="F15" i="96"/>
  <c r="J15" i="96"/>
  <c r="F17" i="96"/>
  <c r="J17" i="96"/>
  <c r="F7" i="96"/>
  <c r="C7" i="96"/>
  <c r="G7" i="96"/>
  <c r="C9" i="96"/>
  <c r="G9" i="96"/>
  <c r="C11" i="96"/>
  <c r="G11" i="96"/>
  <c r="C13" i="96"/>
  <c r="G13" i="96"/>
  <c r="C15" i="96"/>
  <c r="G15" i="96"/>
  <c r="C17" i="96"/>
  <c r="G17" i="96"/>
  <c r="Q27" i="96" l="1"/>
  <c r="P27" i="96"/>
  <c r="M8" i="96"/>
  <c r="M20" i="96" s="1"/>
  <c r="L8" i="96"/>
  <c r="L20" i="96" s="1"/>
  <c r="O8" i="96"/>
  <c r="O20" i="96" s="1"/>
  <c r="I8" i="96"/>
  <c r="E8" i="96"/>
  <c r="E20" i="96" s="1"/>
  <c r="N8" i="96"/>
  <c r="N20" i="96" s="1"/>
  <c r="D8" i="96"/>
  <c r="D20" i="96" s="1"/>
  <c r="H8" i="96"/>
  <c r="H20" i="96" s="1"/>
  <c r="K8" i="96"/>
  <c r="K20" i="96" s="1"/>
  <c r="C8" i="96"/>
  <c r="C20" i="96" s="1"/>
  <c r="G8" i="96"/>
  <c r="G20" i="96" s="1"/>
  <c r="F8" i="96"/>
  <c r="F20" i="96" s="1"/>
  <c r="J8" i="96"/>
  <c r="J20" i="96" s="1"/>
  <c r="P15" i="96"/>
  <c r="P7" i="96"/>
  <c r="P16" i="96"/>
  <c r="P14" i="96"/>
  <c r="P10" i="96"/>
  <c r="P11" i="96"/>
  <c r="P12" i="96"/>
  <c r="P17" i="96"/>
  <c r="P13" i="96"/>
  <c r="P9" i="96"/>
  <c r="B20" i="96"/>
  <c r="B22" i="96" s="1"/>
  <c r="B26" i="96" s="1"/>
  <c r="P18" i="96"/>
  <c r="L26" i="96" l="1"/>
  <c r="M26" i="96"/>
  <c r="L22" i="96"/>
  <c r="L24" i="96"/>
  <c r="M24" i="96"/>
  <c r="M22" i="96"/>
  <c r="O26" i="96"/>
  <c r="H26" i="96"/>
  <c r="D26" i="96"/>
  <c r="N26" i="96"/>
  <c r="G26" i="96"/>
  <c r="C26" i="96"/>
  <c r="K26" i="96"/>
  <c r="F26" i="96"/>
  <c r="J26" i="96"/>
  <c r="E26" i="96"/>
  <c r="I26" i="96"/>
  <c r="Q26" i="96" s="1"/>
  <c r="J24" i="96"/>
  <c r="J22" i="96"/>
  <c r="K22" i="96"/>
  <c r="K24" i="96"/>
  <c r="G24" i="96"/>
  <c r="G22" i="96"/>
  <c r="H24" i="96"/>
  <c r="H22" i="96"/>
  <c r="E22" i="96"/>
  <c r="E24" i="96"/>
  <c r="D24" i="96"/>
  <c r="D22" i="96"/>
  <c r="Q8" i="96"/>
  <c r="I20" i="96"/>
  <c r="C22" i="96"/>
  <c r="C24" i="96"/>
  <c r="F24" i="96"/>
  <c r="F22" i="96"/>
  <c r="P8" i="96"/>
  <c r="P20" i="96" s="1"/>
  <c r="N24" i="96"/>
  <c r="N22" i="96"/>
  <c r="O22" i="96"/>
  <c r="O24" i="96"/>
  <c r="P26" i="96" l="1"/>
  <c r="P24" i="96"/>
  <c r="P22" i="96"/>
  <c r="Q20" i="96"/>
  <c r="I22" i="96"/>
  <c r="I24" i="96"/>
  <c r="Q22" i="96" l="1"/>
  <c r="Q24" i="96"/>
  <c r="H13" i="33" l="1"/>
  <c r="H20" i="33"/>
  <c r="H27" i="33"/>
  <c r="H14" i="33"/>
  <c r="H19" i="33"/>
  <c r="H24" i="33"/>
  <c r="H31" i="33"/>
  <c r="H33" i="33"/>
  <c r="H18" i="33" l="1"/>
  <c r="H11" i="33"/>
  <c r="H26" i="33"/>
  <c r="I38" i="33" l="1"/>
  <c r="H38" i="33" l="1"/>
  <c r="D6" i="33" l="1"/>
  <c r="F27" i="44" l="1"/>
  <c r="D27" i="44"/>
  <c r="E18" i="44" s="1"/>
  <c r="A8" i="44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10" i="33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G23" i="44" l="1"/>
  <c r="G20" i="44"/>
  <c r="G16" i="44"/>
  <c r="G14" i="44"/>
  <c r="G11" i="44"/>
  <c r="G9" i="44"/>
  <c r="G25" i="44"/>
  <c r="G21" i="44"/>
  <c r="G18" i="44"/>
  <c r="G15" i="44"/>
  <c r="G12" i="44"/>
  <c r="G10" i="44"/>
  <c r="G7" i="44"/>
  <c r="E23" i="44"/>
  <c r="E20" i="44"/>
  <c r="E16" i="44"/>
  <c r="E14" i="44"/>
  <c r="E11" i="44"/>
  <c r="E9" i="44"/>
  <c r="E25" i="44"/>
  <c r="E21" i="44"/>
  <c r="E15" i="44"/>
  <c r="H15" i="44" s="1"/>
  <c r="J15" i="44" s="1"/>
  <c r="L15" i="44" s="1"/>
  <c r="E12" i="44"/>
  <c r="E10" i="44"/>
  <c r="E7" i="44"/>
  <c r="D31" i="44"/>
  <c r="F31" i="44"/>
  <c r="A24" i="33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H7" i="44" l="1"/>
  <c r="J7" i="44" s="1"/>
  <c r="L7" i="44" s="1"/>
  <c r="G19" i="33"/>
  <c r="I19" i="33" s="1"/>
  <c r="H12" i="44"/>
  <c r="J12" i="44" s="1"/>
  <c r="H18" i="44"/>
  <c r="J18" i="44" s="1"/>
  <c r="L18" i="44" s="1"/>
  <c r="H25" i="44"/>
  <c r="J25" i="44" s="1"/>
  <c r="H10" i="44"/>
  <c r="J10" i="44" s="1"/>
  <c r="L10" i="44" s="1"/>
  <c r="H9" i="44"/>
  <c r="J9" i="44" s="1"/>
  <c r="L9" i="44" s="1"/>
  <c r="H20" i="44"/>
  <c r="J20" i="44" s="1"/>
  <c r="L20" i="44" s="1"/>
  <c r="H11" i="44"/>
  <c r="J11" i="44" s="1"/>
  <c r="L11" i="44" s="1"/>
  <c r="H23" i="44"/>
  <c r="J23" i="44" s="1"/>
  <c r="I11" i="103" s="1"/>
  <c r="H16" i="44"/>
  <c r="J16" i="44" s="1"/>
  <c r="L16" i="44" s="1"/>
  <c r="H21" i="44"/>
  <c r="J21" i="44" s="1"/>
  <c r="L21" i="44" s="1"/>
  <c r="H14" i="44"/>
  <c r="J14" i="44" s="1"/>
  <c r="L14" i="44" s="1"/>
  <c r="G27" i="44"/>
  <c r="E27" i="44"/>
  <c r="J11" i="103" l="1"/>
  <c r="J10" i="103" s="1"/>
  <c r="F143" i="103" s="1"/>
  <c r="G27" i="33"/>
  <c r="G18" i="33"/>
  <c r="I18" i="33" s="1"/>
  <c r="G20" i="33"/>
  <c r="I20" i="33" s="1"/>
  <c r="J20" i="33" s="1"/>
  <c r="G13" i="33"/>
  <c r="I13" i="33" s="1"/>
  <c r="G11" i="33"/>
  <c r="I11" i="33" s="1"/>
  <c r="G9" i="33"/>
  <c r="G61" i="96" s="1"/>
  <c r="G26" i="33"/>
  <c r="I26" i="33" s="1"/>
  <c r="G12" i="33"/>
  <c r="G24" i="33"/>
  <c r="L25" i="44"/>
  <c r="L12" i="44"/>
  <c r="L23" i="44"/>
  <c r="J38" i="33"/>
  <c r="H27" i="44"/>
  <c r="D29" i="33"/>
  <c r="F29" i="33" s="1"/>
  <c r="J27" i="44"/>
  <c r="D22" i="33"/>
  <c r="F22" i="33" s="1"/>
  <c r="R26" i="96" l="1"/>
  <c r="S26" i="96" s="1"/>
  <c r="T26" i="96" s="1"/>
  <c r="R27" i="96"/>
  <c r="S27" i="96" s="1"/>
  <c r="F65" i="103"/>
  <c r="F132" i="103"/>
  <c r="F131" i="103"/>
  <c r="F75" i="103"/>
  <c r="F84" i="103"/>
  <c r="F172" i="103"/>
  <c r="F195" i="103"/>
  <c r="F79" i="103"/>
  <c r="F175" i="103"/>
  <c r="F125" i="103"/>
  <c r="F42" i="103"/>
  <c r="F108" i="103"/>
  <c r="F168" i="103"/>
  <c r="F73" i="103"/>
  <c r="F28" i="103"/>
  <c r="F126" i="103"/>
  <c r="F31" i="103"/>
  <c r="F101" i="103"/>
  <c r="F106" i="103"/>
  <c r="F183" i="103"/>
  <c r="F122" i="103"/>
  <c r="F152" i="103"/>
  <c r="F134" i="103"/>
  <c r="F29" i="103"/>
  <c r="F144" i="103"/>
  <c r="F103" i="103"/>
  <c r="F50" i="103"/>
  <c r="F133" i="103"/>
  <c r="F146" i="103"/>
  <c r="F121" i="103"/>
  <c r="F153" i="103"/>
  <c r="F68" i="103"/>
  <c r="F30" i="103"/>
  <c r="F193" i="103"/>
  <c r="F66" i="103"/>
  <c r="F198" i="103"/>
  <c r="F105" i="103"/>
  <c r="F93" i="103"/>
  <c r="F138" i="103"/>
  <c r="F180" i="103"/>
  <c r="F161" i="103"/>
  <c r="F52" i="103"/>
  <c r="F157" i="103"/>
  <c r="F41" i="103"/>
  <c r="F177" i="103"/>
  <c r="F88" i="103"/>
  <c r="F167" i="103"/>
  <c r="F99" i="103"/>
  <c r="F111" i="103"/>
  <c r="F200" i="103"/>
  <c r="F78" i="103"/>
  <c r="F48" i="103"/>
  <c r="F102" i="103"/>
  <c r="F120" i="103"/>
  <c r="F136" i="103"/>
  <c r="F115" i="103"/>
  <c r="F141" i="103"/>
  <c r="F109" i="103"/>
  <c r="F95" i="103"/>
  <c r="F62" i="103"/>
  <c r="F25" i="103"/>
  <c r="F81" i="103"/>
  <c r="F142" i="103"/>
  <c r="F112" i="103"/>
  <c r="F110" i="103"/>
  <c r="F165" i="103"/>
  <c r="F59" i="103"/>
  <c r="F83" i="103"/>
  <c r="F124" i="103"/>
  <c r="F53" i="103"/>
  <c r="F36" i="103"/>
  <c r="F182" i="103"/>
  <c r="F169" i="103"/>
  <c r="F97" i="103"/>
  <c r="F92" i="103"/>
  <c r="F47" i="103"/>
  <c r="F174" i="103"/>
  <c r="F27" i="103"/>
  <c r="F116" i="103"/>
  <c r="F137" i="103"/>
  <c r="F89" i="103"/>
  <c r="F179" i="103"/>
  <c r="F199" i="103"/>
  <c r="F127" i="103"/>
  <c r="F72" i="103"/>
  <c r="F56" i="103"/>
  <c r="F164" i="103"/>
  <c r="F123" i="103"/>
  <c r="F37" i="103"/>
  <c r="F166" i="103"/>
  <c r="F33" i="103"/>
  <c r="F154" i="103"/>
  <c r="F61" i="103"/>
  <c r="F148" i="103"/>
  <c r="F69" i="103"/>
  <c r="F98" i="103"/>
  <c r="F82" i="103"/>
  <c r="F189" i="103"/>
  <c r="F171" i="103"/>
  <c r="F67" i="103"/>
  <c r="F190" i="103"/>
  <c r="F135" i="103"/>
  <c r="F39" i="103"/>
  <c r="F85" i="103"/>
  <c r="F43" i="103"/>
  <c r="F32" i="103"/>
  <c r="F40" i="103"/>
  <c r="F96" i="103"/>
  <c r="F158" i="103"/>
  <c r="F49" i="103"/>
  <c r="F58" i="103"/>
  <c r="F104" i="103"/>
  <c r="F194" i="103"/>
  <c r="F76" i="103"/>
  <c r="F86" i="103"/>
  <c r="F196" i="103"/>
  <c r="F156" i="103"/>
  <c r="F150" i="103"/>
  <c r="F151" i="103"/>
  <c r="F87" i="103"/>
  <c r="F77" i="103"/>
  <c r="F188" i="103"/>
  <c r="F119" i="103"/>
  <c r="F51" i="103"/>
  <c r="F70" i="103"/>
  <c r="F155" i="103"/>
  <c r="F187" i="103"/>
  <c r="F57" i="103"/>
  <c r="F173" i="103"/>
  <c r="F191" i="103"/>
  <c r="F54" i="103"/>
  <c r="F60" i="103"/>
  <c r="F38" i="103"/>
  <c r="F71" i="103"/>
  <c r="F130" i="103"/>
  <c r="F113" i="103"/>
  <c r="F94" i="103"/>
  <c r="F186" i="103"/>
  <c r="F192" i="103"/>
  <c r="F44" i="103"/>
  <c r="F197" i="103"/>
  <c r="F91" i="103"/>
  <c r="F145" i="103"/>
  <c r="F178" i="103"/>
  <c r="F114" i="103"/>
  <c r="I76" i="103"/>
  <c r="I131" i="103"/>
  <c r="I143" i="103"/>
  <c r="I132" i="103"/>
  <c r="I27" i="33"/>
  <c r="J27" i="33" s="1"/>
  <c r="G31" i="33"/>
  <c r="I31" i="33" s="1"/>
  <c r="R7" i="96"/>
  <c r="S7" i="96" s="1"/>
  <c r="U7" i="96" s="1"/>
  <c r="R14" i="96"/>
  <c r="S14" i="96" s="1"/>
  <c r="U14" i="96" s="1"/>
  <c r="R12" i="96"/>
  <c r="S12" i="96" s="1"/>
  <c r="U12" i="96" s="1"/>
  <c r="R13" i="96"/>
  <c r="S13" i="96" s="1"/>
  <c r="T13" i="96" s="1"/>
  <c r="R10" i="96"/>
  <c r="S10" i="96" s="1"/>
  <c r="U10" i="96" s="1"/>
  <c r="R17" i="96"/>
  <c r="S17" i="96" s="1"/>
  <c r="T17" i="96" s="1"/>
  <c r="R8" i="96"/>
  <c r="S8" i="96" s="1"/>
  <c r="R18" i="96"/>
  <c r="S18" i="96" s="1"/>
  <c r="T18" i="96" s="1"/>
  <c r="R11" i="96"/>
  <c r="S11" i="96" s="1"/>
  <c r="T11" i="96" s="1"/>
  <c r="R9" i="96"/>
  <c r="S9" i="96" s="1"/>
  <c r="T9" i="96" s="1"/>
  <c r="K20" i="33"/>
  <c r="G62" i="96"/>
  <c r="G64" i="96" s="1"/>
  <c r="R16" i="96"/>
  <c r="S16" i="96" s="1"/>
  <c r="T16" i="96" s="1"/>
  <c r="R15" i="96"/>
  <c r="S15" i="96" s="1"/>
  <c r="T15" i="96" s="1"/>
  <c r="I24" i="33"/>
  <c r="J24" i="33" s="1"/>
  <c r="U26" i="96"/>
  <c r="G14" i="33"/>
  <c r="G33" i="33"/>
  <c r="I22" i="33"/>
  <c r="G22" i="33"/>
  <c r="K27" i="44"/>
  <c r="K31" i="44" s="1"/>
  <c r="G29" i="33"/>
  <c r="J19" i="33"/>
  <c r="H22" i="33"/>
  <c r="D16" i="33"/>
  <c r="H29" i="33"/>
  <c r="U27" i="96" l="1"/>
  <c r="T27" i="96"/>
  <c r="I87" i="103"/>
  <c r="I79" i="103"/>
  <c r="I145" i="103"/>
  <c r="I130" i="103"/>
  <c r="I187" i="103"/>
  <c r="I151" i="103"/>
  <c r="I58" i="103"/>
  <c r="I39" i="103"/>
  <c r="I69" i="103"/>
  <c r="I164" i="103"/>
  <c r="I116" i="103"/>
  <c r="I36" i="103"/>
  <c r="I142" i="103"/>
  <c r="I136" i="103"/>
  <c r="I167" i="103"/>
  <c r="I138" i="103"/>
  <c r="I153" i="103"/>
  <c r="I134" i="103"/>
  <c r="I28" i="103"/>
  <c r="I195" i="103"/>
  <c r="I182" i="103"/>
  <c r="I180" i="103"/>
  <c r="I91" i="103"/>
  <c r="I71" i="103"/>
  <c r="I155" i="103"/>
  <c r="I150" i="103"/>
  <c r="I49" i="103"/>
  <c r="I135" i="103"/>
  <c r="I148" i="103"/>
  <c r="I56" i="103"/>
  <c r="I27" i="103"/>
  <c r="I53" i="103"/>
  <c r="I81" i="103"/>
  <c r="I120" i="103"/>
  <c r="I88" i="103"/>
  <c r="I93" i="103"/>
  <c r="I121" i="103"/>
  <c r="I152" i="103"/>
  <c r="I73" i="103"/>
  <c r="I172" i="103"/>
  <c r="I104" i="103"/>
  <c r="I112" i="103"/>
  <c r="I115" i="103"/>
  <c r="I197" i="103"/>
  <c r="I70" i="103"/>
  <c r="I158" i="103"/>
  <c r="I190" i="103"/>
  <c r="I61" i="103"/>
  <c r="I72" i="103"/>
  <c r="I174" i="103"/>
  <c r="I124" i="103"/>
  <c r="I25" i="103"/>
  <c r="I102" i="103"/>
  <c r="I177" i="103"/>
  <c r="I105" i="103"/>
  <c r="I146" i="103"/>
  <c r="I122" i="103"/>
  <c r="I168" i="103"/>
  <c r="I84" i="103"/>
  <c r="I178" i="103"/>
  <c r="I98" i="103"/>
  <c r="I29" i="103"/>
  <c r="I38" i="103"/>
  <c r="I156" i="103"/>
  <c r="I44" i="103"/>
  <c r="I60" i="103"/>
  <c r="I51" i="103"/>
  <c r="I196" i="103"/>
  <c r="I96" i="103"/>
  <c r="I67" i="103"/>
  <c r="I154" i="103"/>
  <c r="I127" i="103"/>
  <c r="I47" i="103"/>
  <c r="I83" i="103"/>
  <c r="I62" i="103"/>
  <c r="I48" i="103"/>
  <c r="I41" i="103"/>
  <c r="I198" i="103"/>
  <c r="I133" i="103"/>
  <c r="I183" i="103"/>
  <c r="I108" i="103"/>
  <c r="I75" i="103"/>
  <c r="I57" i="103"/>
  <c r="I137" i="103"/>
  <c r="I68" i="103"/>
  <c r="I192" i="103"/>
  <c r="I54" i="103"/>
  <c r="I119" i="103"/>
  <c r="I86" i="103"/>
  <c r="I40" i="103"/>
  <c r="I171" i="103"/>
  <c r="I33" i="103"/>
  <c r="I199" i="103"/>
  <c r="I92" i="103"/>
  <c r="I59" i="103"/>
  <c r="I95" i="103"/>
  <c r="I78" i="103"/>
  <c r="I157" i="103"/>
  <c r="I66" i="103"/>
  <c r="I50" i="103"/>
  <c r="I106" i="103"/>
  <c r="I42" i="103"/>
  <c r="I113" i="103"/>
  <c r="I123" i="103"/>
  <c r="I99" i="103"/>
  <c r="I191" i="103"/>
  <c r="I32" i="103"/>
  <c r="I189" i="103"/>
  <c r="I166" i="103"/>
  <c r="I179" i="103"/>
  <c r="I97" i="103"/>
  <c r="I165" i="103"/>
  <c r="I109" i="103"/>
  <c r="I200" i="103"/>
  <c r="I52" i="103"/>
  <c r="I193" i="103"/>
  <c r="I103" i="103"/>
  <c r="I101" i="103"/>
  <c r="I125" i="103"/>
  <c r="I85" i="103"/>
  <c r="I126" i="103"/>
  <c r="I186" i="103"/>
  <c r="I188" i="103"/>
  <c r="I114" i="103"/>
  <c r="I94" i="103"/>
  <c r="I173" i="103"/>
  <c r="I77" i="103"/>
  <c r="I194" i="103"/>
  <c r="I43" i="103"/>
  <c r="I82" i="103"/>
  <c r="I37" i="103"/>
  <c r="I89" i="103"/>
  <c r="I169" i="103"/>
  <c r="I110" i="103"/>
  <c r="I141" i="103"/>
  <c r="I111" i="103"/>
  <c r="I161" i="103"/>
  <c r="I20" i="103" s="1"/>
  <c r="I30" i="103"/>
  <c r="I144" i="103"/>
  <c r="I31" i="103"/>
  <c r="I175" i="103"/>
  <c r="I65" i="103"/>
  <c r="I29" i="33"/>
  <c r="K27" i="33"/>
  <c r="U15" i="96"/>
  <c r="U16" i="96"/>
  <c r="T12" i="96"/>
  <c r="T14" i="96"/>
  <c r="T7" i="96"/>
  <c r="U9" i="96"/>
  <c r="U11" i="96"/>
  <c r="U13" i="96"/>
  <c r="T10" i="96"/>
  <c r="G65" i="96"/>
  <c r="K24" i="33"/>
  <c r="K19" i="33"/>
  <c r="R20" i="96"/>
  <c r="R22" i="96" s="1"/>
  <c r="U18" i="96"/>
  <c r="U17" i="96"/>
  <c r="I14" i="33"/>
  <c r="J14" i="33" s="1"/>
  <c r="I33" i="33"/>
  <c r="J33" i="33" s="1"/>
  <c r="T8" i="96"/>
  <c r="U8" i="96"/>
  <c r="S20" i="96"/>
  <c r="G16" i="33"/>
  <c r="L27" i="44"/>
  <c r="J13" i="33"/>
  <c r="F16" i="33"/>
  <c r="J31" i="33"/>
  <c r="D35" i="33"/>
  <c r="D41" i="33" s="1"/>
  <c r="J18" i="33"/>
  <c r="J26" i="33"/>
  <c r="I15" i="103" l="1"/>
  <c r="I18" i="103"/>
  <c r="I16" i="103"/>
  <c r="I10" i="103"/>
  <c r="I12" i="103" s="1"/>
  <c r="I14" i="103"/>
  <c r="I19" i="103"/>
  <c r="I21" i="103"/>
  <c r="I17" i="103"/>
  <c r="R24" i="96"/>
  <c r="T20" i="96"/>
  <c r="T24" i="96" s="1"/>
  <c r="K33" i="33"/>
  <c r="K14" i="33"/>
  <c r="K13" i="33"/>
  <c r="S22" i="96"/>
  <c r="U22" i="96" s="1"/>
  <c r="U20" i="96"/>
  <c r="S24" i="96"/>
  <c r="K26" i="33"/>
  <c r="J29" i="33"/>
  <c r="J22" i="33"/>
  <c r="K18" i="33"/>
  <c r="K31" i="33"/>
  <c r="F35" i="33"/>
  <c r="G35" i="33"/>
  <c r="J11" i="33"/>
  <c r="I22" i="103" l="1"/>
  <c r="T22" i="96"/>
  <c r="K22" i="33"/>
  <c r="K29" i="33"/>
  <c r="K11" i="33"/>
  <c r="H9" i="33"/>
  <c r="D10" i="97"/>
  <c r="H12" i="33"/>
  <c r="H16" i="33" s="1"/>
  <c r="D37" i="97" l="1"/>
  <c r="I9" i="33"/>
  <c r="J9" i="33" s="1"/>
  <c r="H35" i="33"/>
  <c r="H41" i="33" s="1"/>
  <c r="I12" i="33"/>
  <c r="E16" i="33"/>
  <c r="E35" i="33" s="1"/>
  <c r="E41" i="33" s="1"/>
  <c r="D41" i="97" l="1"/>
  <c r="K9" i="33"/>
  <c r="J12" i="33"/>
  <c r="I16" i="33"/>
  <c r="I35" i="33" s="1"/>
  <c r="I41" i="33" s="1"/>
  <c r="K12" i="33" l="1"/>
  <c r="J16" i="33"/>
  <c r="K16" i="33" l="1"/>
  <c r="J35" i="33"/>
  <c r="K35" i="33" l="1"/>
  <c r="J41" i="33"/>
  <c r="Q43" i="97" l="1"/>
  <c r="Q44" i="97" s="1"/>
  <c r="D43" i="97" l="1"/>
  <c r="D44" i="97" s="1"/>
</calcChain>
</file>

<file path=xl/comments1.xml><?xml version="1.0" encoding="utf-8"?>
<comments xmlns="http://schemas.openxmlformats.org/spreadsheetml/2006/main">
  <authors>
    <author xml:space="preserve">Yakupova, Kelima </author>
  </authors>
  <commentList>
    <comment ref="J12" authorId="0" shapeId="0">
      <text>
        <r>
          <rPr>
            <b/>
            <sz val="9"/>
            <color indexed="81"/>
            <rFont val="Tahoma"/>
            <family val="2"/>
          </rPr>
          <t>PSE PCOS:</t>
        </r>
        <r>
          <rPr>
            <sz val="9"/>
            <color indexed="81"/>
            <rFont val="Tahoma"/>
            <family val="2"/>
          </rPr>
          <t xml:space="preserve">
this cell needa to be modified manually in order to match, as closely as possible, cells I11 and I10 (and also to make cell I13 as close to 0 as possible)</t>
        </r>
      </text>
    </comment>
  </commentList>
</comments>
</file>

<file path=xl/sharedStrings.xml><?xml version="1.0" encoding="utf-8"?>
<sst xmlns="http://schemas.openxmlformats.org/spreadsheetml/2006/main" count="943" uniqueCount="484">
  <si>
    <t>Line No.</t>
  </si>
  <si>
    <t>Residential</t>
  </si>
  <si>
    <t>Sec Gen Svc - Small</t>
  </si>
  <si>
    <t>Sec Gen Svc - Medium</t>
  </si>
  <si>
    <t>Sec Gen Svc - Large</t>
  </si>
  <si>
    <t>Sec Irrigation Svc</t>
  </si>
  <si>
    <t>Pri Gen Svc</t>
  </si>
  <si>
    <t>Pri Irrigation Svc</t>
  </si>
  <si>
    <t>Pri Interruptible Svc</t>
  </si>
  <si>
    <t>Lights</t>
  </si>
  <si>
    <t>Subtotal</t>
  </si>
  <si>
    <t>Transportation</t>
  </si>
  <si>
    <t>Total</t>
  </si>
  <si>
    <t>Puget Sound Energy</t>
  </si>
  <si>
    <t>a</t>
  </si>
  <si>
    <t>b</t>
  </si>
  <si>
    <t>c</t>
  </si>
  <si>
    <t>CUSTOMER CLASS</t>
  </si>
  <si>
    <t>SCHEDULE</t>
  </si>
  <si>
    <t>Increase / Decrease 
$</t>
  </si>
  <si>
    <t>Increase / Decrease
%</t>
  </si>
  <si>
    <t>Secondary Service Total</t>
  </si>
  <si>
    <t>Primary Service Total</t>
  </si>
  <si>
    <t>HV Interruptible Svc</t>
  </si>
  <si>
    <t>HV Gen Svc</t>
  </si>
  <si>
    <t>High Voltage Service Total</t>
  </si>
  <si>
    <t>Small Firm Resale</t>
  </si>
  <si>
    <t>005</t>
  </si>
  <si>
    <t>Excluded Schedules</t>
  </si>
  <si>
    <t>449 / 459</t>
  </si>
  <si>
    <t>$ / kWh</t>
  </si>
  <si>
    <t>kWh</t>
  </si>
  <si>
    <t>Residential Customer Impacts</t>
  </si>
  <si>
    <t>Customer Bill</t>
  </si>
  <si>
    <t>Month</t>
  </si>
  <si>
    <t>$ Difference</t>
  </si>
  <si>
    <t>% Difference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</si>
  <si>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</si>
  <si>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</si>
  <si>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</si>
  <si>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</si>
  <si>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</si>
  <si>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</si>
  <si>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</si>
  <si>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</si>
  <si>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</si>
  <si>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</si>
  <si>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</si>
  <si>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</si>
  <si>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</si>
  <si>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Monthly Average</t>
  </si>
  <si>
    <t>Average Cents</t>
  </si>
  <si>
    <t>Customer Monthly Charge:</t>
  </si>
  <si>
    <t>per Month</t>
  </si>
  <si>
    <t>Energy Charge:</t>
  </si>
  <si>
    <t>Schedule 7 first 600 kWh</t>
  </si>
  <si>
    <t>Schedule 7 over 600 kWh</t>
  </si>
  <si>
    <t>Schedule 95 - Power Cost Adjustment Clause</t>
  </si>
  <si>
    <t>Schedule 95A - Wind Power Production Credit</t>
  </si>
  <si>
    <t>Schedule 120 - Conservation Rider</t>
  </si>
  <si>
    <t>Schedule 129 - Low Income</t>
  </si>
  <si>
    <t>Schedule 194 - BPA Exchange Credit</t>
  </si>
  <si>
    <t>Rate Spread &amp; Rate Design</t>
  </si>
  <si>
    <t>Electronic Workpapers</t>
  </si>
  <si>
    <t>50-59</t>
  </si>
  <si>
    <t>Campus Rate</t>
  </si>
  <si>
    <t>Customer Class</t>
  </si>
  <si>
    <t>Campus</t>
  </si>
  <si>
    <t>HV - Sch 46</t>
  </si>
  <si>
    <t>HV - Sch 49</t>
  </si>
  <si>
    <t>Firm Resale - Small</t>
  </si>
  <si>
    <t>d</t>
  </si>
  <si>
    <t>e = 
b + (a * c / 100)</t>
  </si>
  <si>
    <t>f = 
b + (a * d / 100)</t>
  </si>
  <si>
    <t>g = f - e</t>
  </si>
  <si>
    <t>h = g / e</t>
  </si>
  <si>
    <t>Total Secondary Voltage</t>
  </si>
  <si>
    <t>Total Primary Voltage</t>
  </si>
  <si>
    <t>Total High Voltage</t>
  </si>
  <si>
    <t>Renewable Energy Credit</t>
  </si>
  <si>
    <t>Allocation of REC Revenue Requirement to Rate Schedule</t>
  </si>
  <si>
    <t>Statement of Proforma and Proposed Revenues for Renewable Energy Credit</t>
  </si>
  <si>
    <t>Schedule No. 137</t>
  </si>
  <si>
    <t>e = b + d</t>
  </si>
  <si>
    <t>g = e * f</t>
  </si>
  <si>
    <t>f</t>
  </si>
  <si>
    <t>h</t>
  </si>
  <si>
    <t>i = 
(g / h) * 100</t>
  </si>
  <si>
    <t>Estimated Revenue
Including
Proposed
Sch 137</t>
  </si>
  <si>
    <t>Schedule 132 - Merger Credit</t>
  </si>
  <si>
    <t>Schedule 133 - Regulatory Asset Tracker</t>
  </si>
  <si>
    <t>Schedule 137 - Renewable Energy Credit</t>
  </si>
  <si>
    <t>Schedule 140 - Property Tax Rider</t>
  </si>
  <si>
    <t>Schedule 141 - ERF Rider - 1 Phase Basic Charge</t>
  </si>
  <si>
    <t>Schedule 141 - ERF Rider - First 600 kWh</t>
  </si>
  <si>
    <t>Schedule 141 - ERF Rider - Over 600 kWh</t>
  </si>
  <si>
    <t>Schedule 142 - Decoupling Rider</t>
  </si>
  <si>
    <t>Subtotal Base Monthly Charge</t>
  </si>
  <si>
    <t>Subtotal Base First 600 kWh Charge</t>
  </si>
  <si>
    <t>Subtotal Base Over 600 kWh Charge</t>
  </si>
  <si>
    <t>b = 75% * a / ∑(a)</t>
  </si>
  <si>
    <t>d = 25% * c / ∑(c)</t>
  </si>
  <si>
    <t>HV</t>
  </si>
  <si>
    <t>Note 1 - Source:  Docket No. UE-141368,  JAP-4 &amp; 5 Workpapers "Energy Allocator"</t>
  </si>
  <si>
    <t>Note 2 - Source:  Docket No. UE-141368,  JAP-4 &amp; 5 Workpapers "4CP Demand Allocator"</t>
  </si>
  <si>
    <t>8 / 24</t>
  </si>
  <si>
    <t>12 / 26</t>
  </si>
  <si>
    <t>10 / 31</t>
  </si>
  <si>
    <t>11 / 25 / 7A</t>
  </si>
  <si>
    <t>Proposed Effective</t>
  </si>
  <si>
    <t>Present Base Rates</t>
  </si>
  <si>
    <t>Sch 95</t>
  </si>
  <si>
    <t>Sch 95A</t>
  </si>
  <si>
    <t>Sch 120</t>
  </si>
  <si>
    <t>Sch 129</t>
  </si>
  <si>
    <t>Sch 132</t>
  </si>
  <si>
    <t>Sch 137</t>
  </si>
  <si>
    <t>Sch 140</t>
  </si>
  <si>
    <t>Sch 141</t>
  </si>
  <si>
    <t>Sch 142</t>
  </si>
  <si>
    <t>Sch 194</t>
  </si>
  <si>
    <t>Current Residential Bill</t>
  </si>
  <si>
    <t>Remove:  Schedule 137</t>
  </si>
  <si>
    <t>Add:  Schedule 137</t>
  </si>
  <si>
    <t>Proposed Residential Bill</t>
  </si>
  <si>
    <t xml:space="preserve">Typical Residential </t>
  </si>
  <si>
    <t>Residential Schedule 7 Rates</t>
  </si>
  <si>
    <t>One Phase Basic Charge</t>
  </si>
  <si>
    <t>Other Electric Charges and Credits</t>
  </si>
  <si>
    <t>Subtotal Other Charges</t>
  </si>
  <si>
    <t>Total Block 1 Energy Charge</t>
  </si>
  <si>
    <t>Total Block 2 Energy Charge</t>
  </si>
  <si>
    <t>Forecast kWh</t>
  </si>
  <si>
    <t>Forecast Customer Count</t>
  </si>
  <si>
    <t>Average Use per Customer</t>
  </si>
  <si>
    <t>Average</t>
  </si>
  <si>
    <t>Tariff</t>
  </si>
  <si>
    <t>7A (Note 1)</t>
  </si>
  <si>
    <t>26 &amp; 26P</t>
  </si>
  <si>
    <t>All Sales</t>
  </si>
  <si>
    <t>8/24</t>
  </si>
  <si>
    <t>7A/11/25</t>
  </si>
  <si>
    <t>12/26</t>
  </si>
  <si>
    <t>29</t>
  </si>
  <si>
    <t>10/31</t>
  </si>
  <si>
    <t>35</t>
  </si>
  <si>
    <t>43</t>
  </si>
  <si>
    <t>40</t>
  </si>
  <si>
    <t>46</t>
  </si>
  <si>
    <t>49</t>
  </si>
  <si>
    <t>5</t>
  </si>
  <si>
    <t>7</t>
  </si>
  <si>
    <t>Schedule</t>
  </si>
  <si>
    <t>Lamp Type</t>
  </si>
  <si>
    <t>Mercury Vapor</t>
  </si>
  <si>
    <t>Sodium Vapor</t>
  </si>
  <si>
    <t>REC</t>
  </si>
  <si>
    <t>Description</t>
  </si>
  <si>
    <t>Sched 137</t>
  </si>
  <si>
    <t>New net proceeds to be passed back</t>
  </si>
  <si>
    <t>Over / under pass back of proceeds from prior rate period</t>
  </si>
  <si>
    <t>New interest to be passed back</t>
  </si>
  <si>
    <t>Over / under pass back of interest from prior rate period</t>
  </si>
  <si>
    <t>Gross up for revenue sensitive items</t>
  </si>
  <si>
    <t>Revenue Requirement</t>
  </si>
  <si>
    <t>Sch 137
Effective
1-1-18
$ per kWh</t>
  </si>
  <si>
    <t>Proposed Sch 137
Effective
1-1-19
$ per kWh</t>
  </si>
  <si>
    <t>Estimated Revenue Including Sch 137 Effective January 1, 2018</t>
  </si>
  <si>
    <t>Load Research Allocation Factors</t>
  </si>
  <si>
    <t>Twelve Months ended September 30, 2016</t>
  </si>
  <si>
    <t>2017 GRC</t>
  </si>
  <si>
    <t>Electric Cost of Service Allocation Factors</t>
  </si>
  <si>
    <t>Load Research Data</t>
  </si>
  <si>
    <t>ENERGY_1</t>
  </si>
  <si>
    <t>ENERGY_2</t>
  </si>
  <si>
    <t>DEM_1</t>
  </si>
  <si>
    <t>DEM_1A</t>
  </si>
  <si>
    <t>DEM_1B</t>
  </si>
  <si>
    <t>DEM_2A</t>
  </si>
  <si>
    <t>DEM_2B</t>
  </si>
  <si>
    <t>DEM_12NCP1</t>
  </si>
  <si>
    <t>Adjusted for Sch 40 Settlement</t>
  </si>
  <si>
    <t>Energy - All Rate Schedules</t>
  </si>
  <si>
    <t>Energy - Exclude Transportation</t>
  </si>
  <si>
    <t>Top 75 CP Demand</t>
  </si>
  <si>
    <t>Top 75 CP Demand - Excl Interrupt</t>
  </si>
  <si>
    <t>Top 75 CP Demand - Excl Tranp &amp; Spec &amp; Interrupt</t>
  </si>
  <si>
    <t>4 CP Demand - Exclude Interruptible</t>
  </si>
  <si>
    <t>4 CP Demand - Exclude Interruptible &amp; Transportation</t>
  </si>
  <si>
    <t>Top 12 NCP Demand - Exclude HV &amp; Transportation</t>
  </si>
  <si>
    <t>Energy</t>
  </si>
  <si>
    <t>4 CP  Demand</t>
  </si>
  <si>
    <t>25 &amp; 29</t>
  </si>
  <si>
    <t>Lighting</t>
  </si>
  <si>
    <t>Transp PV</t>
  </si>
  <si>
    <t>Transp HV</t>
  </si>
  <si>
    <t>Firm Resale</t>
  </si>
  <si>
    <t>Check</t>
  </si>
  <si>
    <t>Monthly CP by Class</t>
  </si>
  <si>
    <t>Adjusted for Schedule 40 Settlement</t>
  </si>
  <si>
    <t>with losses</t>
  </si>
  <si>
    <t>YearMo</t>
  </si>
  <si>
    <t>Date</t>
  </si>
  <si>
    <t>Hour</t>
  </si>
  <si>
    <t>_NAME_</t>
  </si>
  <si>
    <t>_24</t>
  </si>
  <si>
    <t>_25</t>
  </si>
  <si>
    <t>_26</t>
  </si>
  <si>
    <t>_29</t>
  </si>
  <si>
    <t>_31</t>
  </si>
  <si>
    <t>_35</t>
  </si>
  <si>
    <t>_40</t>
  </si>
  <si>
    <t>_43</t>
  </si>
  <si>
    <t>_449HV</t>
  </si>
  <si>
    <t>_449PV</t>
  </si>
  <si>
    <t>_459</t>
  </si>
  <si>
    <t>_46</t>
  </si>
  <si>
    <t>_49</t>
  </si>
  <si>
    <t>_5</t>
  </si>
  <si>
    <t>_7</t>
  </si>
  <si>
    <t>AL</t>
  </si>
  <si>
    <t>SL</t>
  </si>
  <si>
    <t>System</t>
  </si>
  <si>
    <t>201510</t>
  </si>
  <si>
    <t>Hour19</t>
  </si>
  <si>
    <t>Load</t>
  </si>
  <si>
    <t>201511</t>
  </si>
  <si>
    <t>Hour08</t>
  </si>
  <si>
    <t>201512</t>
  </si>
  <si>
    <t>201601</t>
  </si>
  <si>
    <t>Hour18</t>
  </si>
  <si>
    <t>201602</t>
  </si>
  <si>
    <t>201603</t>
  </si>
  <si>
    <t>201604</t>
  </si>
  <si>
    <t>201605</t>
  </si>
  <si>
    <t>201606</t>
  </si>
  <si>
    <t>201607</t>
  </si>
  <si>
    <t>201608</t>
  </si>
  <si>
    <t>Hour17</t>
  </si>
  <si>
    <t>201609</t>
  </si>
  <si>
    <t>Hour20</t>
  </si>
  <si>
    <t xml:space="preserve">Sch 40 Settlement </t>
  </si>
  <si>
    <t>4CP Average</t>
  </si>
  <si>
    <t xml:space="preserve"> (Nov, Dec, Jan, Feb)</t>
  </si>
  <si>
    <t>Excl Interruptible</t>
  </si>
  <si>
    <t>Excl Interruptible &amp; Transport</t>
  </si>
  <si>
    <t>TEMPERATURE ADJUSTED ANNUAL ENERGY ALLOCATIONS BY BILLING SCHEDULE</t>
  </si>
  <si>
    <t>12 MONTHS ENDED SEPTEMBER 31, 2016</t>
  </si>
  <si>
    <t>NET GPI</t>
  </si>
  <si>
    <t>BILLED KWH (Cal View)</t>
  </si>
  <si>
    <t>TEMP ADJ</t>
  </si>
  <si>
    <t>(=B8)</t>
  </si>
  <si>
    <t>TEMP ADJUSTED</t>
  </si>
  <si>
    <t>TEMP ADJ GPI</t>
  </si>
  <si>
    <t>TEMP ADJ BILLED KWH</t>
  </si>
  <si>
    <t>Original</t>
  </si>
  <si>
    <t>Schedule 40 Settlement Adjustment</t>
  </si>
  <si>
    <t>(1b)</t>
  </si>
  <si>
    <t>(2b)</t>
  </si>
  <si>
    <t>(3b)</t>
  </si>
  <si>
    <t>(4b)</t>
  </si>
  <si>
    <t>(5b)</t>
  </si>
  <si>
    <t>(6b)</t>
  </si>
  <si>
    <t>(7b)</t>
  </si>
  <si>
    <t>(8b)</t>
  </si>
  <si>
    <t>(9b)</t>
  </si>
  <si>
    <t>(10b)</t>
  </si>
  <si>
    <t xml:space="preserve"> </t>
  </si>
  <si>
    <t>Annual kWh</t>
  </si>
  <si>
    <t>Temperature</t>
  </si>
  <si>
    <t>Annual</t>
  </si>
  <si>
    <t>Temp Adj</t>
  </si>
  <si>
    <t>Percent</t>
  </si>
  <si>
    <t>Billed kWh</t>
  </si>
  <si>
    <t>(incl. losses</t>
  </si>
  <si>
    <t>Adjusted</t>
  </si>
  <si>
    <t>Class</t>
  </si>
  <si>
    <t>actual kWh</t>
  </si>
  <si>
    <t>Losses</t>
  </si>
  <si>
    <t>Difference</t>
  </si>
  <si>
    <t>GPI kWh</t>
  </si>
  <si>
    <t>&amp; misc. usage)</t>
  </si>
  <si>
    <t>on temp adj</t>
  </si>
  <si>
    <t>Incl Losses</t>
  </si>
  <si>
    <t>Allocation</t>
  </si>
  <si>
    <t>(not incl. Losses)</t>
  </si>
  <si>
    <t>(calendar view)</t>
  </si>
  <si>
    <t>11a</t>
  </si>
  <si>
    <t>7b-4b</t>
  </si>
  <si>
    <t>4b/(1-5b)</t>
  </si>
  <si>
    <t>(7b/sum(7b) *B8</t>
  </si>
  <si>
    <t>10a</t>
  </si>
  <si>
    <t>8b+9b</t>
  </si>
  <si>
    <t>New Cust 1</t>
  </si>
  <si>
    <t>New Cust 2</t>
  </si>
  <si>
    <t>Cust 8</t>
  </si>
  <si>
    <t>============</t>
  </si>
  <si>
    <t>===============</t>
  </si>
  <si>
    <t>===================</t>
  </si>
  <si>
    <t>07</t>
  </si>
  <si>
    <t>Small Resale (05)</t>
  </si>
  <si>
    <t>50-54,57-58</t>
  </si>
  <si>
    <t>Transportation Schedules:</t>
  </si>
  <si>
    <t>449 HV</t>
  </si>
  <si>
    <t>449 PV</t>
  </si>
  <si>
    <t>Total Transp.</t>
  </si>
  <si>
    <t xml:space="preserve">Note:  Annual actual kWh includes the impacts of  rate migrations anticipated during the rate year on Schedules 24, 25, 26, 31 &amp; 40 energy sales.  The actual kWh sales </t>
  </si>
  <si>
    <t xml:space="preserve">          also include the billing error corrections made on schedule 46 billed sales in 2016.</t>
  </si>
  <si>
    <t>ANNUAL ENERGY LOSS ALLOCATIONS BY BILLING SCHEDULE</t>
  </si>
  <si>
    <t>12 MONTHS ENDED SEPTEMBER 30, 2016</t>
  </si>
  <si>
    <t>Delivery</t>
  </si>
  <si>
    <t>% of Total</t>
  </si>
  <si>
    <t>% of Annual</t>
  </si>
  <si>
    <t>Voltage Level</t>
  </si>
  <si>
    <t>Energy Losses</t>
  </si>
  <si>
    <t>KWH LOSSES</t>
  </si>
  <si>
    <t>High Voltage (Sch 46,49)</t>
  </si>
  <si>
    <t>MISC USAGE</t>
  </si>
  <si>
    <t>Primary (Sch 05,31,35,40,43)</t>
  </si>
  <si>
    <t>KWH BILLED</t>
  </si>
  <si>
    <t>Secondary (7,24,25,26,29,Lighting)</t>
  </si>
  <si>
    <t>Total (not incl. transportation)</t>
  </si>
  <si>
    <t>(1a)</t>
  </si>
  <si>
    <t>(2a)</t>
  </si>
  <si>
    <t>(3a)</t>
  </si>
  <si>
    <t>(4a)</t>
  </si>
  <si>
    <t>(5a)</t>
  </si>
  <si>
    <t>(6a)</t>
  </si>
  <si>
    <t>(7a)</t>
  </si>
  <si>
    <t>(8a)</t>
  </si>
  <si>
    <t>(9a)</t>
  </si>
  <si>
    <t>(10a)</t>
  </si>
  <si>
    <t>(11a)</t>
  </si>
  <si>
    <t>Ave Monthly</t>
  </si>
  <si>
    <t>Misc. Use</t>
  </si>
  <si>
    <t>Coincident</t>
  </si>
  <si>
    <t>Annual Loss</t>
  </si>
  <si>
    <t>Actual kWh</t>
  </si>
  <si>
    <t>Coincident kW</t>
  </si>
  <si>
    <t>kW</t>
  </si>
  <si>
    <t>Load Factor</t>
  </si>
  <si>
    <t>kW Losses</t>
  </si>
  <si>
    <t>kWh Losses</t>
  </si>
  <si>
    <t>(2a/sum(2a)</t>
  </si>
  <si>
    <t>(SAS Output)</t>
  </si>
  <si>
    <t>((2+3)/8784)</t>
  </si>
  <si>
    <t>(5/4)</t>
  </si>
  <si>
    <t>(6*7*8760)</t>
  </si>
  <si>
    <t>8/sum(8)</t>
  </si>
  <si>
    <t>(2+3+9)</t>
  </si>
  <si>
    <t>(9/(2+3))</t>
  </si>
  <si>
    <t>*misc use)</t>
  </si>
  <si>
    <t>*total kWh losses</t>
  </si>
  <si>
    <t>=================</t>
  </si>
  <si>
    <t>50-54,57-59</t>
  </si>
  <si>
    <t>Column K (11a) is used as an input for LINECST2 and SUBCSTA4 allocation programs.</t>
  </si>
  <si>
    <t>Data in 4a and 7a are calculated in Losses.sas program -- for system schedules (non-transportation)</t>
  </si>
  <si>
    <t>Data in 4a and 7a are calculated in 'Avg CP kW and Losses OFFSYS' sheet for off-system schedules (transportation)</t>
  </si>
  <si>
    <t>Secondary Volt.</t>
  </si>
  <si>
    <t>Primary Volt.</t>
  </si>
  <si>
    <t>Transm. Volt.</t>
  </si>
  <si>
    <t>kWh
Source: F2018
January 1, 2018 to December 31, 2019</t>
  </si>
  <si>
    <t>Estimated Revenue Based on Rates Effective October 1, 2018</t>
  </si>
  <si>
    <t>Wattage (W)</t>
  </si>
  <si>
    <t>Current Base Lamp Demand &amp; Energy Charges from COS Effective 
6-1-2018</t>
  </si>
  <si>
    <t>Demand-Related</t>
  </si>
  <si>
    <t>Energy-Related</t>
  </si>
  <si>
    <t>(a)</t>
  </si>
  <si>
    <t>(b)</t>
  </si>
  <si>
    <t>(d)</t>
  </si>
  <si>
    <t>(e)</t>
  </si>
  <si>
    <t>= (a) * (AA)</t>
  </si>
  <si>
    <t>AA</t>
  </si>
  <si>
    <t>Total Lamp Revenue Requirement Based on Inventory</t>
  </si>
  <si>
    <t>Difference Due to Rounding</t>
  </si>
  <si>
    <t>Schedule 50</t>
  </si>
  <si>
    <t>Schedule 51</t>
  </si>
  <si>
    <t>Schedule 52</t>
  </si>
  <si>
    <t>Schedule 53</t>
  </si>
  <si>
    <t>Schedule 54</t>
  </si>
  <si>
    <t>Schedule 55-56</t>
  </si>
  <si>
    <t>Schedule 57</t>
  </si>
  <si>
    <t>Schedule 58-59</t>
  </si>
  <si>
    <t>All Lighting</t>
  </si>
  <si>
    <t>Sch 50E</t>
  </si>
  <si>
    <t>003</t>
  </si>
  <si>
    <t>Compact Flourescent</t>
  </si>
  <si>
    <t>50E-A</t>
  </si>
  <si>
    <t>50E-B</t>
  </si>
  <si>
    <t>Sch 51E</t>
  </si>
  <si>
    <t>51E</t>
  </si>
  <si>
    <t>Light Emitting Diode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</si>
  <si>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</si>
  <si>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</si>
  <si>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</si>
  <si>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</si>
  <si>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</si>
  <si>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</si>
  <si>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</si>
  <si>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</si>
  <si>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>Sch 52E</t>
  </si>
  <si>
    <t xml:space="preserve">52E </t>
  </si>
  <si>
    <t>Metal Halide</t>
  </si>
  <si>
    <t>Sch 53E</t>
  </si>
  <si>
    <t>53E - Company Owned</t>
  </si>
  <si>
    <t>53E - Customer Owned</t>
  </si>
  <si>
    <t>Sch 54E</t>
  </si>
  <si>
    <t>54E</t>
  </si>
  <si>
    <t>Sch 55 &amp; 56</t>
  </si>
  <si>
    <t>55E &amp; 56E</t>
  </si>
  <si>
    <t>Sch 57</t>
  </si>
  <si>
    <t>57E</t>
  </si>
  <si>
    <t>Per W charge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</si>
  <si>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</si>
  <si>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</si>
  <si>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</si>
  <si>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</si>
  <si>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</si>
  <si>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</si>
  <si>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</si>
  <si>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</si>
  <si>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</si>
  <si>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</si>
  <si>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2019 Schedule 137 Lighting Workpapers</t>
  </si>
  <si>
    <t>Schedule 137 Revenue Requirement Ratio to Base Demand &amp; Energy Light Charge Cost</t>
  </si>
  <si>
    <t>Customers</t>
  </si>
  <si>
    <t>Year</t>
  </si>
  <si>
    <t>Load (MWh)</t>
  </si>
  <si>
    <t>Net of Conservation</t>
  </si>
  <si>
    <t>Allocation b/w</t>
  </si>
  <si>
    <t>Schedule 129 Lighting Revenue Requirement</t>
  </si>
  <si>
    <t>F2019 Final Electric Load Forecast</t>
  </si>
  <si>
    <t>January 1, 2020</t>
  </si>
  <si>
    <t>Sch 137
Effective
1-1-19
$ per kWh</t>
  </si>
  <si>
    <t>Proposed Sch 137
Effective
1-1-20
$ per kWh</t>
  </si>
  <si>
    <t>Estimated Revenue Including Sch 137 Effective January 1, 2019</t>
  </si>
  <si>
    <t>Estimated Revenue
Including
Proposed
Sch 137, Effective January 1, 2020</t>
  </si>
  <si>
    <t>449 / 459 / SC</t>
  </si>
  <si>
    <t>Transportation and Special Contract</t>
  </si>
  <si>
    <t>2017 GRC (UE-170033) Exhibit JAP-33C:</t>
  </si>
  <si>
    <t>Special Contract</t>
  </si>
  <si>
    <t>As Filed</t>
  </si>
  <si>
    <t>Change</t>
  </si>
  <si>
    <t>449-459 and SC</t>
  </si>
  <si>
    <t>January 1, 2020 Rate Impacts</t>
  </si>
  <si>
    <t>Average Residential Usage</t>
  </si>
  <si>
    <t>check</t>
  </si>
  <si>
    <t>40 no SC</t>
  </si>
  <si>
    <t>Transp PV&amp;SV w-SC</t>
  </si>
  <si>
    <t>Renewable Energy Credit (REC) Revenue Requirement (RR)</t>
  </si>
  <si>
    <t>2020 REC RR by Tariff Schedule</t>
  </si>
  <si>
    <t>TOTAL</t>
  </si>
  <si>
    <t>Present Rates Effective 
10-12-2019</t>
  </si>
  <si>
    <t>Proposed Rates Effective 
1-1-20</t>
  </si>
  <si>
    <t>Schedule 141x - Tax Passback First 600 kWh</t>
  </si>
  <si>
    <t xml:space="preserve">Schedule 141y - Temp FIT Adjustment </t>
  </si>
  <si>
    <t>Schedule 141x - Tax Passback Over 600 kWh</t>
  </si>
  <si>
    <t>Sch 141X</t>
  </si>
  <si>
    <t>Sch 141Y</t>
  </si>
  <si>
    <t>Test Year Ending December 31, 2020</t>
  </si>
  <si>
    <t>Proposed Schedule 137 Lamp Charge Effective 
1-1-2020</t>
  </si>
  <si>
    <t>Annual Lamp Inventory @ 9/30/2019</t>
  </si>
  <si>
    <t>Current Base Lamp Demand &amp; Energy Cost @ 1-1-2020</t>
  </si>
  <si>
    <t>Proposed Schedule 137 Lamp Revenue @ 1-1-2020</t>
  </si>
  <si>
    <t>75% Energy (Docket No. UE-170033) [Note 1]</t>
  </si>
  <si>
    <t>25%
Demand
(Docket No.
UE-170033) [Note 2]</t>
  </si>
  <si>
    <t>30 - 60</t>
  </si>
  <si>
    <t>46 and 49</t>
  </si>
  <si>
    <t>459 and 449 HV</t>
  </si>
  <si>
    <t>YE September 2016 Energy Allocator (Docket No. UE-170033)</t>
  </si>
  <si>
    <t>YE September 2016 4CP Demand Allocator (Docket No. UE-170033)</t>
  </si>
  <si>
    <t>Weighted Allocation (Docket No. UE-170033)</t>
  </si>
  <si>
    <t>check:</t>
  </si>
  <si>
    <t>Present Rates, eff. 10-12-2019:</t>
  </si>
  <si>
    <t xml:space="preserve">e = 
b +  (a * c) </t>
  </si>
  <si>
    <t>f = 
b + (a * d)</t>
  </si>
  <si>
    <t>Sch 137 (REC) Proposed Rate
($ per kWh)</t>
  </si>
  <si>
    <t>(c)</t>
  </si>
  <si>
    <t>= (a) * (c)</t>
  </si>
  <si>
    <t>= (b) * (c)</t>
  </si>
  <si>
    <t>Revenue Requirement for Schedule 137</t>
  </si>
  <si>
    <t>To Be Effective January 1, 2020</t>
  </si>
  <si>
    <t>Prin and Int</t>
  </si>
  <si>
    <t>Advice No. 2019-41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</si>
</sst>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\ \¢"/>
    <numFmt numFmtId="167" formatCode="_(&quot;$&quot;* #,##0.000000_);_(&quot;$&quot;* \(#,##0.000000\);_(&quot;$&quot;* &quot;-&quot;??_);_(@_)"/>
    <numFmt numFmtId="168" formatCode="_(* #,##0.000000_);_(* \(#,##0.000000\);_(* &quot;-&quot;??_);_(@_)"/>
    <numFmt numFmtId="169" formatCode="&quot;$&quot;#,##0.00"/>
    <numFmt numFmtId="170" formatCode="_(&quot;$&quot;* #,##0.00000_);_(&quot;$&quot;* \(#,##0.00000\);_(&quot;$&quot;* &quot;-&quot;??_);_(@_)"/>
    <numFmt numFmtId="171" formatCode="#,##0.000000_);[Red]\(#,##0.000000\)"/>
    <numFmt numFmtId="172" formatCode="#,##0.0000"/>
    <numFmt numFmtId="173" formatCode="0.00000"/>
    <numFmt numFmtId="174" formatCode="0.0000%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24"/>
      <name val="Calibri"/>
      <family val="2"/>
    </font>
    <font>
      <sz val="16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3333FF"/>
      <name val="Calibri"/>
      <family val="2"/>
      <scheme val="minor"/>
    </font>
    <font>
      <sz val="10"/>
      <color rgb="FF009900"/>
      <name val="Arial"/>
      <family val="2"/>
    </font>
    <font>
      <sz val="10"/>
      <color rgb="FF3333FF"/>
      <name val="Arial"/>
      <family val="2"/>
    </font>
    <font>
      <sz val="10"/>
      <color theme="3"/>
      <name val="Arial"/>
      <family val="2"/>
    </font>
    <font>
      <sz val="10"/>
      <color rgb="FF008080"/>
      <name val="Arial"/>
      <family val="2"/>
    </font>
    <font>
      <b/>
      <sz val="10"/>
      <color rgb="FF00808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i/>
      <sz val="10"/>
      <color rgb="FF008080"/>
      <name val="Arial"/>
      <family val="2"/>
    </font>
    <font>
      <i/>
      <sz val="8"/>
      <color theme="0" tint="-0.499984740745262"/>
      <name val="Arial"/>
      <family val="2"/>
    </font>
    <font>
      <sz val="10"/>
      <color rgb="FF00B050"/>
      <name val="Arial"/>
      <family val="2"/>
    </font>
    <font>
      <sz val="11"/>
      <color rgb="FF008080"/>
      <name val="Arial"/>
      <family val="2"/>
    </font>
    <font>
      <b/>
      <sz val="11"/>
      <color rgb="FF00808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8"/>
      <color theme="0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03">
    <xf numFmtId="0" fontId="0" fillId="0" borderId="0" xfId="0"/>
    <xf numFmtId="0" fontId="8" fillId="0" borderId="0" xfId="0" quotePrefix="1" applyFont="1" applyFill="1" applyBorder="1" applyAlignment="1">
      <alignment horizontal="left"/>
    </xf>
    <xf numFmtId="164" fontId="5" fillId="0" borderId="0" xfId="0" quotePrefix="1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164" fontId="5" fillId="0" borderId="0" xfId="0" quotePrefix="1" applyNumberFormat="1" applyFont="1" applyFill="1" applyBorder="1" applyAlignment="1">
      <alignment horizontal="center" wrapText="1"/>
    </xf>
    <xf numFmtId="0" fontId="5" fillId="0" borderId="0" xfId="0" quotePrefix="1" applyFont="1" applyFill="1" applyBorder="1" applyAlignment="1">
      <alignment horizontal="center" wrapText="1"/>
    </xf>
    <xf numFmtId="0" fontId="5" fillId="0" borderId="0" xfId="0" applyFont="1" applyFill="1"/>
    <xf numFmtId="164" fontId="5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center"/>
    </xf>
    <xf numFmtId="0" fontId="8" fillId="0" borderId="7" xfId="0" applyFont="1" applyFill="1" applyBorder="1" applyAlignment="1">
      <alignment horizontal="centerContinuous"/>
    </xf>
    <xf numFmtId="0" fontId="8" fillId="0" borderId="8" xfId="0" applyFont="1" applyFill="1" applyBorder="1" applyAlignment="1">
      <alignment horizontal="centerContinuous"/>
    </xf>
    <xf numFmtId="0" fontId="8" fillId="0" borderId="9" xfId="0" applyFont="1" applyFill="1" applyBorder="1" applyAlignment="1">
      <alignment horizontal="centerContinuous"/>
    </xf>
    <xf numFmtId="0" fontId="8" fillId="0" borderId="0" xfId="0" applyFont="1" applyFill="1" applyBorder="1"/>
    <xf numFmtId="0" fontId="8" fillId="0" borderId="10" xfId="0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centerContinuous"/>
    </xf>
    <xf numFmtId="0" fontId="8" fillId="0" borderId="11" xfId="0" applyFont="1" applyFill="1" applyBorder="1" applyAlignment="1">
      <alignment horizontal="centerContinuous"/>
    </xf>
    <xf numFmtId="0" fontId="8" fillId="0" borderId="1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/>
    <xf numFmtId="0" fontId="8" fillId="0" borderId="11" xfId="0" applyFont="1" applyFill="1" applyBorder="1"/>
    <xf numFmtId="0" fontId="8" fillId="0" borderId="1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11" xfId="0" quotePrefix="1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quotePrefix="1" applyFont="1" applyFill="1" applyBorder="1" applyAlignment="1">
      <alignment horizontal="center" wrapText="1"/>
    </xf>
    <xf numFmtId="0" fontId="8" fillId="0" borderId="11" xfId="0" quotePrefix="1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165" fontId="8" fillId="0" borderId="0" xfId="0" applyNumberFormat="1" applyFont="1" applyFill="1" applyBorder="1"/>
    <xf numFmtId="166" fontId="8" fillId="0" borderId="0" xfId="0" applyNumberFormat="1" applyFont="1" applyFill="1" applyBorder="1"/>
    <xf numFmtId="0" fontId="8" fillId="0" borderId="0" xfId="0" quotePrefix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/>
    </xf>
    <xf numFmtId="0" fontId="8" fillId="0" borderId="0" xfId="0" quotePrefix="1" applyFont="1" applyFill="1" applyBorder="1" applyAlignment="1"/>
    <xf numFmtId="0" fontId="8" fillId="0" borderId="0" xfId="0" quotePrefix="1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4" xfId="0" applyFont="1" applyFill="1" applyBorder="1"/>
    <xf numFmtId="0" fontId="8" fillId="0" borderId="4" xfId="0" applyFont="1" applyFill="1" applyBorder="1" applyAlignment="1">
      <alignment horizontal="center"/>
    </xf>
    <xf numFmtId="164" fontId="8" fillId="0" borderId="4" xfId="0" applyNumberFormat="1" applyFont="1" applyFill="1" applyBorder="1"/>
    <xf numFmtId="165" fontId="8" fillId="0" borderId="4" xfId="0" applyNumberFormat="1" applyFont="1" applyFill="1" applyBorder="1"/>
    <xf numFmtId="0" fontId="8" fillId="0" borderId="13" xfId="0" applyFont="1" applyFill="1" applyBorder="1"/>
    <xf numFmtId="165" fontId="8" fillId="0" borderId="0" xfId="0" applyNumberFormat="1" applyFont="1" applyFill="1" applyBorder="1"/>
    <xf numFmtId="168" fontId="8" fillId="0" borderId="0" xfId="0" applyNumberFormat="1" applyFont="1" applyFill="1" applyBorder="1"/>
    <xf numFmtId="168" fontId="8" fillId="0" borderId="0" xfId="0" applyNumberFormat="1" applyFont="1" applyFill="1" applyBorder="1"/>
    <xf numFmtId="166" fontId="8" fillId="0" borderId="0" xfId="0" applyNumberFormat="1" applyFont="1" applyFill="1" applyBorder="1" applyAlignment="1">
      <alignment horizontal="center"/>
    </xf>
    <xf numFmtId="165" fontId="8" fillId="0" borderId="4" xfId="0" applyNumberFormat="1" applyFont="1" applyFill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65" fontId="2" fillId="0" borderId="0" xfId="0" applyNumberFormat="1" applyFont="1" applyFill="1" applyBorder="1"/>
    <xf numFmtId="165" fontId="2" fillId="0" borderId="0" xfId="0" applyNumberFormat="1" applyFont="1" applyFill="1" applyBorder="1"/>
    <xf numFmtId="0" fontId="2" fillId="0" borderId="13" xfId="0" applyFont="1" applyFill="1" applyBorder="1"/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1"/>
    </xf>
    <xf numFmtId="0" fontId="2" fillId="0" borderId="0" xfId="0" quotePrefix="1" applyFont="1" applyFill="1" applyBorder="1" applyAlignment="1"/>
    <xf numFmtId="0" fontId="2" fillId="0" borderId="0" xfId="0" quotePrefix="1" applyFont="1" applyFill="1" applyBorder="1" applyAlignment="1">
      <alignment horizontal="left"/>
    </xf>
    <xf numFmtId="0" fontId="2" fillId="0" borderId="11" xfId="0" applyFont="1" applyFill="1" applyBorder="1"/>
    <xf numFmtId="0" fontId="2" fillId="0" borderId="0" xfId="0" applyFont="1" applyFill="1" applyBorder="1" applyAlignment="1">
      <alignment horizontal="center" vertical="top" wrapText="1"/>
    </xf>
    <xf numFmtId="0" fontId="2" fillId="0" borderId="11" xfId="0" quotePrefix="1" applyFont="1" applyFill="1" applyBorder="1" applyAlignment="1">
      <alignment horizontal="center" vertical="top" wrapText="1"/>
    </xf>
    <xf numFmtId="164" fontId="2" fillId="0" borderId="0" xfId="0" quotePrefix="1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164" fontId="2" fillId="0" borderId="4" xfId="0" quotePrefix="1" applyNumberFormat="1" applyFont="1" applyFill="1" applyBorder="1" applyAlignment="1">
      <alignment horizontal="center" wrapText="1"/>
    </xf>
    <xf numFmtId="0" fontId="2" fillId="0" borderId="4" xfId="0" quotePrefix="1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0" fillId="0" borderId="6" xfId="0" applyBorder="1"/>
    <xf numFmtId="0" fontId="8" fillId="0" borderId="10" xfId="0" applyFont="1" applyFill="1" applyBorder="1" applyAlignment="1">
      <alignment horizontal="center"/>
    </xf>
    <xf numFmtId="164" fontId="2" fillId="0" borderId="0" xfId="0" applyNumberFormat="1" applyFont="1"/>
    <xf numFmtId="0" fontId="2" fillId="0" borderId="7" xfId="0" applyFont="1" applyFill="1" applyBorder="1" applyAlignment="1">
      <alignment horizontal="centerContinuous"/>
    </xf>
    <xf numFmtId="0" fontId="2" fillId="0" borderId="8" xfId="0" applyFont="1" applyFill="1" applyBorder="1" applyAlignment="1">
      <alignment horizontal="centerContinuous"/>
    </xf>
    <xf numFmtId="0" fontId="2" fillId="0" borderId="9" xfId="0" applyFont="1" applyFill="1" applyBorder="1" applyAlignment="1">
      <alignment horizontal="centerContinuous"/>
    </xf>
    <xf numFmtId="0" fontId="2" fillId="0" borderId="1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2" fillId="0" borderId="11" xfId="0" applyFont="1" applyFill="1" applyBorder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 applyAlignment="1">
      <alignment horizontal="center" wrapText="1"/>
    </xf>
    <xf numFmtId="0" fontId="0" fillId="0" borderId="6" xfId="0" quotePrefix="1" applyBorder="1" applyAlignment="1">
      <alignment horizontal="center" wrapText="1"/>
    </xf>
    <xf numFmtId="0" fontId="0" fillId="0" borderId="0" xfId="0" quotePrefix="1" applyAlignment="1">
      <alignment horizontal="left"/>
    </xf>
    <xf numFmtId="164" fontId="0" fillId="0" borderId="5" xfId="0" applyNumberFormat="1" applyBorder="1"/>
    <xf numFmtId="0" fontId="0" fillId="0" borderId="0" xfId="0" applyAlignment="1">
      <alignment horizontal="left"/>
    </xf>
    <xf numFmtId="0" fontId="0" fillId="0" borderId="0" xfId="0" applyFill="1"/>
    <xf numFmtId="164" fontId="8" fillId="0" borderId="4" xfId="0" applyNumberFormat="1" applyFont="1" applyFill="1" applyBorder="1"/>
    <xf numFmtId="164" fontId="8" fillId="0" borderId="0" xfId="0" applyNumberFormat="1" applyFont="1" applyFill="1" applyBorder="1"/>
    <xf numFmtId="0" fontId="0" fillId="2" borderId="6" xfId="0" quotePrefix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44" fontId="2" fillId="0" borderId="0" xfId="0" applyNumberFormat="1" applyFont="1" applyFill="1"/>
    <xf numFmtId="44" fontId="2" fillId="0" borderId="0" xfId="0" applyNumberFormat="1" applyFont="1"/>
    <xf numFmtId="44" fontId="2" fillId="2" borderId="0" xfId="0" applyNumberFormat="1" applyFont="1" applyFill="1"/>
    <xf numFmtId="44" fontId="2" fillId="0" borderId="5" xfId="0" applyNumberFormat="1" applyFont="1" applyBorder="1"/>
    <xf numFmtId="44" fontId="2" fillId="2" borderId="5" xfId="0" applyNumberFormat="1" applyFont="1" applyFill="1" applyBorder="1"/>
    <xf numFmtId="44" fontId="0" fillId="0" borderId="0" xfId="0" applyNumberFormat="1" applyFont="1"/>
    <xf numFmtId="44" fontId="0" fillId="2" borderId="0" xfId="0" applyNumberFormat="1" applyFont="1" applyFill="1"/>
    <xf numFmtId="43" fontId="0" fillId="0" borderId="0" xfId="0" applyNumberFormat="1" applyFont="1" applyFill="1"/>
    <xf numFmtId="43" fontId="0" fillId="2" borderId="0" xfId="0" applyNumberFormat="1" applyFont="1" applyFill="1"/>
    <xf numFmtId="0" fontId="0" fillId="0" borderId="6" xfId="0" quotePrefix="1" applyBorder="1" applyAlignment="1">
      <alignment horizontal="left"/>
    </xf>
    <xf numFmtId="0" fontId="2" fillId="0" borderId="0" xfId="0" applyFont="1"/>
    <xf numFmtId="0" fontId="0" fillId="0" borderId="14" xfId="0" quotePrefix="1" applyBorder="1" applyAlignment="1">
      <alignment horizontal="center" wrapText="1"/>
    </xf>
    <xf numFmtId="0" fontId="0" fillId="0" borderId="21" xfId="0" quotePrefix="1" applyBorder="1" applyAlignment="1">
      <alignment horizontal="center" wrapText="1"/>
    </xf>
    <xf numFmtId="0" fontId="2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 indent="1"/>
    </xf>
    <xf numFmtId="165" fontId="0" fillId="0" borderId="2" xfId="0" applyNumberFormat="1" applyFont="1" applyFill="1" applyBorder="1"/>
    <xf numFmtId="0" fontId="2" fillId="0" borderId="0" xfId="0" quotePrefix="1" applyFont="1" applyFill="1" applyAlignment="1">
      <alignment horizontal="left" indent="1"/>
    </xf>
    <xf numFmtId="165" fontId="0" fillId="0" borderId="2" xfId="0" applyNumberFormat="1" applyFont="1" applyFill="1" applyBorder="1"/>
    <xf numFmtId="16" fontId="8" fillId="0" borderId="0" xfId="0" quotePrefix="1" applyNumberFormat="1" applyFont="1" applyFill="1" applyBorder="1" applyAlignment="1">
      <alignment horizontal="center"/>
    </xf>
    <xf numFmtId="164" fontId="0" fillId="0" borderId="0" xfId="0" applyNumberFormat="1" applyFont="1" applyFill="1" applyBorder="1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Fill="1"/>
    <xf numFmtId="0" fontId="2" fillId="0" borderId="0" xfId="0" applyFont="1" applyFill="1"/>
    <xf numFmtId="0" fontId="2" fillId="0" borderId="7" xfId="0" applyFont="1" applyFill="1" applyBorder="1" applyAlignment="1">
      <alignment horizontal="center"/>
    </xf>
    <xf numFmtId="0" fontId="2" fillId="0" borderId="8" xfId="0" quotePrefix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25" xfId="0" applyFont="1" applyFill="1" applyBorder="1" applyAlignment="1">
      <alignment horizontal="center" wrapText="1"/>
    </xf>
    <xf numFmtId="0" fontId="2" fillId="0" borderId="1" xfId="0" quotePrefix="1" applyFont="1" applyFill="1" applyBorder="1" applyAlignment="1">
      <alignment horizontal="center" wrapText="1"/>
    </xf>
    <xf numFmtId="0" fontId="2" fillId="0" borderId="26" xfId="0" quotePrefix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right"/>
    </xf>
    <xf numFmtId="164" fontId="2" fillId="0" borderId="10" xfId="0" applyNumberFormat="1" applyFont="1" applyFill="1" applyBorder="1"/>
    <xf numFmtId="164" fontId="2" fillId="0" borderId="0" xfId="0" applyNumberFormat="1" applyFont="1" applyFill="1" applyBorder="1"/>
    <xf numFmtId="164" fontId="2" fillId="0" borderId="11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quotePrefix="1" applyFont="1" applyFill="1" applyBorder="1" applyAlignment="1">
      <alignment horizontal="right"/>
    </xf>
    <xf numFmtId="0" fontId="2" fillId="0" borderId="12" xfId="0" applyFont="1" applyFill="1" applyBorder="1"/>
    <xf numFmtId="164" fontId="10" fillId="0" borderId="0" xfId="0" applyNumberFormat="1" applyFont="1" applyFill="1"/>
    <xf numFmtId="0" fontId="10" fillId="0" borderId="0" xfId="0" quotePrefix="1" applyFont="1" applyFill="1" applyAlignment="1">
      <alignment horizontal="left"/>
    </xf>
    <xf numFmtId="14" fontId="10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>
      <alignment horizontal="left"/>
    </xf>
    <xf numFmtId="0" fontId="9" fillId="0" borderId="0" xfId="0" applyFont="1" applyFill="1" applyAlignment="1">
      <alignment horizontal="centerContinuous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/>
    <xf numFmtId="0" fontId="2" fillId="0" borderId="7" xfId="0" applyFont="1" applyFill="1" applyBorder="1" applyAlignment="1"/>
    <xf numFmtId="3" fontId="2" fillId="0" borderId="9" xfId="0" applyNumberFormat="1" applyFont="1" applyFill="1" applyBorder="1" applyAlignment="1"/>
    <xf numFmtId="0" fontId="2" fillId="0" borderId="7" xfId="0" applyFont="1" applyFill="1" applyBorder="1" applyAlignment="1">
      <alignment horizontal="left"/>
    </xf>
    <xf numFmtId="3" fontId="2" fillId="0" borderId="9" xfId="0" applyNumberFormat="1" applyFont="1" applyFill="1" applyBorder="1" applyAlignment="1">
      <alignment horizontal="right"/>
    </xf>
    <xf numFmtId="0" fontId="2" fillId="0" borderId="0" xfId="0" applyFont="1" applyFill="1" applyAlignment="1"/>
    <xf numFmtId="0" fontId="2" fillId="0" borderId="10" xfId="0" applyFont="1" applyFill="1" applyBorder="1" applyAlignment="1"/>
    <xf numFmtId="3" fontId="2" fillId="0" borderId="27" xfId="0" applyNumberFormat="1" applyFont="1" applyFill="1" applyBorder="1" applyAlignment="1"/>
    <xf numFmtId="0" fontId="2" fillId="0" borderId="10" xfId="0" applyFont="1" applyFill="1" applyBorder="1" applyAlignment="1">
      <alignment horizontal="left"/>
    </xf>
    <xf numFmtId="3" fontId="2" fillId="0" borderId="27" xfId="0" applyNumberFormat="1" applyFont="1" applyFill="1" applyBorder="1" applyAlignment="1">
      <alignment horizontal="right"/>
    </xf>
    <xf numFmtId="0" fontId="2" fillId="0" borderId="12" xfId="0" applyFont="1" applyFill="1" applyBorder="1" applyAlignment="1"/>
    <xf numFmtId="3" fontId="2" fillId="0" borderId="13" xfId="0" applyNumberFormat="1" applyFont="1" applyFill="1" applyBorder="1" applyAlignment="1"/>
    <xf numFmtId="0" fontId="2" fillId="0" borderId="12" xfId="0" applyFont="1" applyFill="1" applyBorder="1" applyAlignment="1">
      <alignment horizontal="left"/>
    </xf>
    <xf numFmtId="3" fontId="2" fillId="0" borderId="13" xfId="0" applyNumberFormat="1" applyFont="1" applyFill="1" applyBorder="1" applyAlignment="1">
      <alignment horizontal="right"/>
    </xf>
    <xf numFmtId="0" fontId="2" fillId="0" borderId="0" xfId="0" quotePrefix="1" applyFont="1" applyFill="1" applyAlignment="1">
      <alignment horizontal="center"/>
    </xf>
    <xf numFmtId="0" fontId="2" fillId="0" borderId="7" xfId="0" quotePrefix="1" applyFont="1" applyFill="1" applyBorder="1" applyAlignment="1">
      <alignment horizontal="center"/>
    </xf>
    <xf numFmtId="0" fontId="2" fillId="0" borderId="9" xfId="0" quotePrefix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2" fillId="0" borderId="10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3" fillId="0" borderId="11" xfId="0" quotePrefix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0" fillId="0" borderId="0" xfId="0" applyFont="1" applyFill="1" applyBorder="1"/>
    <xf numFmtId="0" fontId="6" fillId="0" borderId="10" xfId="0" quotePrefix="1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right"/>
    </xf>
    <xf numFmtId="0" fontId="6" fillId="0" borderId="11" xfId="0" quotePrefix="1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3" fillId="0" borderId="28" xfId="0" quotePrefix="1" applyFont="1" applyFill="1" applyBorder="1" applyAlignment="1">
      <alignment horizontal="center"/>
    </xf>
    <xf numFmtId="41" fontId="3" fillId="0" borderId="2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10" fontId="3" fillId="0" borderId="2" xfId="0" applyNumberFormat="1" applyFont="1" applyFill="1" applyBorder="1" applyAlignment="1">
      <alignment horizontal="right"/>
    </xf>
    <xf numFmtId="41" fontId="3" fillId="0" borderId="29" xfId="0" applyNumberFormat="1" applyFont="1" applyFill="1" applyBorder="1" applyAlignment="1">
      <alignment horizontal="right"/>
    </xf>
    <xf numFmtId="10" fontId="3" fillId="0" borderId="0" xfId="0" applyNumberFormat="1" applyFont="1" applyFill="1" applyAlignment="1">
      <alignment horizontal="center"/>
    </xf>
    <xf numFmtId="37" fontId="10" fillId="0" borderId="0" xfId="0" applyNumberFormat="1" applyFont="1" applyFill="1"/>
    <xf numFmtId="0" fontId="3" fillId="0" borderId="28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right"/>
    </xf>
    <xf numFmtId="3" fontId="3" fillId="0" borderId="0" xfId="0" quotePrefix="1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0" fontId="3" fillId="0" borderId="1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10" fontId="2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30" xfId="0" applyFont="1" applyFill="1" applyBorder="1" applyAlignment="1">
      <alignment horizontal="center"/>
    </xf>
    <xf numFmtId="41" fontId="3" fillId="0" borderId="23" xfId="0" applyNumberFormat="1" applyFont="1" applyFill="1" applyBorder="1" applyAlignment="1">
      <alignment horizontal="right"/>
    </xf>
    <xf numFmtId="3" fontId="3" fillId="0" borderId="23" xfId="0" applyNumberFormat="1" applyFont="1" applyFill="1" applyBorder="1" applyAlignment="1">
      <alignment horizontal="right"/>
    </xf>
    <xf numFmtId="10" fontId="3" fillId="0" borderId="23" xfId="0" applyNumberFormat="1" applyFont="1" applyFill="1" applyBorder="1" applyAlignment="1">
      <alignment horizontal="right"/>
    </xf>
    <xf numFmtId="3" fontId="3" fillId="0" borderId="31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3" fontId="3" fillId="0" borderId="29" xfId="0" applyNumberFormat="1" applyFont="1" applyFill="1" applyBorder="1" applyAlignment="1">
      <alignment horizontal="right"/>
    </xf>
    <xf numFmtId="0" fontId="3" fillId="0" borderId="10" xfId="0" quotePrefix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right"/>
    </xf>
    <xf numFmtId="3" fontId="3" fillId="0" borderId="4" xfId="0" quotePrefix="1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3" fontId="10" fillId="0" borderId="0" xfId="0" applyNumberFormat="1" applyFont="1" applyFill="1"/>
    <xf numFmtId="3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Continuous"/>
    </xf>
    <xf numFmtId="0" fontId="4" fillId="0" borderId="7" xfId="0" applyFont="1" applyFill="1" applyBorder="1" applyAlignment="1">
      <alignment horizontal="centerContinuous"/>
    </xf>
    <xf numFmtId="0" fontId="4" fillId="0" borderId="8" xfId="0" applyFont="1" applyFill="1" applyBorder="1" applyAlignment="1">
      <alignment horizontal="centerContinuous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3" fontId="2" fillId="0" borderId="9" xfId="0" applyNumberFormat="1" applyFont="1" applyFill="1" applyBorder="1"/>
    <xf numFmtId="3" fontId="2" fillId="0" borderId="0" xfId="0" applyNumberFormat="1" applyFont="1" applyFill="1" applyAlignment="1"/>
    <xf numFmtId="0" fontId="4" fillId="0" borderId="1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3" fontId="2" fillId="0" borderId="11" xfId="0" applyNumberFormat="1" applyFont="1" applyFill="1" applyBorder="1" applyAlignment="1"/>
    <xf numFmtId="0" fontId="2" fillId="0" borderId="0" xfId="0" applyFont="1" applyFill="1" applyBorder="1" applyAlignment="1"/>
    <xf numFmtId="10" fontId="2" fillId="0" borderId="0" xfId="0" applyNumberFormat="1" applyFont="1" applyFill="1" applyBorder="1" applyAlignment="1"/>
    <xf numFmtId="10" fontId="2" fillId="0" borderId="11" xfId="0" applyNumberFormat="1" applyFont="1" applyFill="1" applyBorder="1" applyAlignment="1"/>
    <xf numFmtId="37" fontId="2" fillId="0" borderId="27" xfId="0" applyNumberFormat="1" applyFont="1" applyFill="1" applyBorder="1" applyAlignment="1"/>
    <xf numFmtId="0" fontId="2" fillId="0" borderId="32" xfId="0" applyFont="1" applyFill="1" applyBorder="1" applyAlignment="1"/>
    <xf numFmtId="3" fontId="2" fillId="0" borderId="33" xfId="0" applyNumberFormat="1" applyFont="1" applyFill="1" applyBorder="1" applyAlignment="1"/>
    <xf numFmtId="172" fontId="2" fillId="0" borderId="0" xfId="0" applyNumberFormat="1" applyFont="1" applyFill="1" applyAlignment="1"/>
    <xf numFmtId="0" fontId="2" fillId="0" borderId="34" xfId="0" applyFont="1" applyFill="1" applyBorder="1" applyAlignment="1"/>
    <xf numFmtId="0" fontId="2" fillId="0" borderId="6" xfId="0" applyFont="1" applyFill="1" applyBorder="1" applyAlignment="1"/>
    <xf numFmtId="10" fontId="2" fillId="0" borderId="6" xfId="0" applyNumberFormat="1" applyFont="1" applyFill="1" applyBorder="1" applyAlignment="1"/>
    <xf numFmtId="10" fontId="2" fillId="0" borderId="27" xfId="0" applyNumberFormat="1" applyFont="1" applyFill="1" applyBorder="1" applyAlignment="1"/>
    <xf numFmtId="0" fontId="2" fillId="0" borderId="4" xfId="0" applyFont="1" applyFill="1" applyBorder="1" applyAlignment="1">
      <alignment horizontal="centerContinuous"/>
    </xf>
    <xf numFmtId="10" fontId="2" fillId="0" borderId="4" xfId="0" applyNumberFormat="1" applyFont="1" applyFill="1" applyBorder="1" applyAlignment="1"/>
    <xf numFmtId="10" fontId="2" fillId="0" borderId="13" xfId="0" applyNumberFormat="1" applyFont="1" applyFill="1" applyBorder="1" applyAlignment="1">
      <alignment horizontal="right"/>
    </xf>
    <xf numFmtId="0" fontId="3" fillId="0" borderId="7" xfId="0" quotePrefix="1" applyFont="1" applyFill="1" applyBorder="1" applyAlignment="1">
      <alignment horizontal="center"/>
    </xf>
    <xf numFmtId="0" fontId="3" fillId="0" borderId="8" xfId="0" quotePrefix="1" applyFont="1" applyFill="1" applyBorder="1" applyAlignment="1">
      <alignment horizontal="center"/>
    </xf>
    <xf numFmtId="0" fontId="3" fillId="0" borderId="9" xfId="0" quotePrefix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173" fontId="3" fillId="0" borderId="2" xfId="0" applyNumberFormat="1" applyFont="1" applyFill="1" applyBorder="1" applyAlignment="1">
      <alignment horizontal="right"/>
    </xf>
    <xf numFmtId="10" fontId="3" fillId="0" borderId="29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173" fontId="3" fillId="0" borderId="0" xfId="0" applyNumberFormat="1" applyFont="1" applyFill="1" applyBorder="1" applyAlignment="1">
      <alignment horizontal="right"/>
    </xf>
    <xf numFmtId="10" fontId="3" fillId="0" borderId="11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/>
    </xf>
    <xf numFmtId="173" fontId="3" fillId="0" borderId="23" xfId="0" applyNumberFormat="1" applyFont="1" applyFill="1" applyBorder="1" applyAlignment="1">
      <alignment horizontal="right"/>
    </xf>
    <xf numFmtId="10" fontId="3" fillId="0" borderId="31" xfId="0" applyNumberFormat="1" applyFont="1" applyFill="1" applyBorder="1" applyAlignment="1">
      <alignment horizontal="right"/>
    </xf>
    <xf numFmtId="0" fontId="3" fillId="0" borderId="0" xfId="0" quotePrefix="1" applyFont="1" applyFill="1" applyBorder="1" applyAlignment="1">
      <alignment horizontal="right"/>
    </xf>
    <xf numFmtId="0" fontId="3" fillId="0" borderId="11" xfId="0" quotePrefix="1" applyFont="1" applyFill="1" applyBorder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10" fontId="3" fillId="0" borderId="0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center"/>
    </xf>
    <xf numFmtId="41" fontId="3" fillId="0" borderId="6" xfId="0" applyNumberFormat="1" applyFont="1" applyFill="1" applyBorder="1" applyAlignment="1">
      <alignment horizontal="right"/>
    </xf>
    <xf numFmtId="173" fontId="3" fillId="0" borderId="6" xfId="0" applyNumberFormat="1" applyFont="1" applyFill="1" applyBorder="1" applyAlignment="1">
      <alignment horizontal="right"/>
    </xf>
    <xf numFmtId="10" fontId="3" fillId="0" borderId="6" xfId="0" applyNumberFormat="1" applyFont="1" applyFill="1" applyBorder="1" applyAlignment="1">
      <alignment horizontal="right"/>
    </xf>
    <xf numFmtId="164" fontId="0" fillId="0" borderId="0" xfId="0" applyNumberFormat="1" applyFont="1" applyFill="1"/>
    <xf numFmtId="164" fontId="0" fillId="0" borderId="2" xfId="0" applyNumberFormat="1" applyFont="1" applyFill="1" applyBorder="1"/>
    <xf numFmtId="164" fontId="0" fillId="0" borderId="5" xfId="0" applyNumberFormat="1" applyFont="1" applyFill="1" applyBorder="1"/>
    <xf numFmtId="165" fontId="0" fillId="0" borderId="0" xfId="0" applyNumberFormat="1" applyFont="1" applyFill="1"/>
    <xf numFmtId="165" fontId="0" fillId="0" borderId="5" xfId="0" applyNumberFormat="1" applyFont="1" applyFill="1" applyBorder="1"/>
    <xf numFmtId="165" fontId="0" fillId="0" borderId="0" xfId="0" applyNumberFormat="1" applyFont="1" applyFill="1" applyBorder="1"/>
    <xf numFmtId="167" fontId="2" fillId="0" borderId="21" xfId="0" applyNumberFormat="1" applyFont="1" applyFill="1" applyBorder="1"/>
    <xf numFmtId="167" fontId="2" fillId="0" borderId="18" xfId="0" applyNumberFormat="1" applyFont="1" applyFill="1" applyBorder="1"/>
    <xf numFmtId="167" fontId="2" fillId="0" borderId="19" xfId="0" applyNumberFormat="1" applyFont="1" applyFill="1" applyBorder="1"/>
    <xf numFmtId="167" fontId="2" fillId="0" borderId="22" xfId="0" applyNumberFormat="1" applyFont="1" applyFill="1" applyBorder="1"/>
    <xf numFmtId="0" fontId="2" fillId="0" borderId="15" xfId="0" applyFont="1" applyFill="1" applyBorder="1"/>
    <xf numFmtId="0" fontId="2" fillId="0" borderId="18" xfId="0" applyFont="1" applyFill="1" applyBorder="1"/>
    <xf numFmtId="167" fontId="2" fillId="0" borderId="15" xfId="0" quotePrefix="1" applyNumberFormat="1" applyFont="1" applyFill="1" applyBorder="1" applyAlignment="1"/>
    <xf numFmtId="167" fontId="2" fillId="0" borderId="18" xfId="0" quotePrefix="1" applyNumberFormat="1" applyFont="1" applyFill="1" applyBorder="1" applyAlignment="1"/>
    <xf numFmtId="167" fontId="2" fillId="0" borderId="19" xfId="0" quotePrefix="1" applyNumberFormat="1" applyFont="1" applyFill="1" applyBorder="1" applyAlignment="1"/>
    <xf numFmtId="167" fontId="2" fillId="0" borderId="19" xfId="0" quotePrefix="1" applyNumberFormat="1" applyFont="1" applyFill="1" applyBorder="1" applyAlignment="1"/>
    <xf numFmtId="167" fontId="2" fillId="0" borderId="22" xfId="0" quotePrefix="1" applyNumberFormat="1" applyFont="1" applyFill="1" applyBorder="1" applyAlignment="1"/>
    <xf numFmtId="0" fontId="0" fillId="0" borderId="15" xfId="0" applyFill="1" applyBorder="1"/>
    <xf numFmtId="0" fontId="0" fillId="0" borderId="18" xfId="0" applyFill="1" applyBorder="1"/>
    <xf numFmtId="167" fontId="0" fillId="0" borderId="15" xfId="0" applyNumberFormat="1" applyFill="1" applyBorder="1"/>
    <xf numFmtId="167" fontId="0" fillId="0" borderId="18" xfId="0" applyNumberFormat="1" applyFill="1" applyBorder="1"/>
    <xf numFmtId="167" fontId="0" fillId="0" borderId="16" xfId="0" applyNumberFormat="1" applyFill="1" applyBorder="1"/>
    <xf numFmtId="167" fontId="0" fillId="0" borderId="20" xfId="0" applyNumberFormat="1" applyFill="1" applyBorder="1"/>
    <xf numFmtId="0" fontId="13" fillId="0" borderId="37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14" fontId="2" fillId="0" borderId="0" xfId="0" applyNumberFormat="1" applyFont="1" applyFill="1"/>
    <xf numFmtId="0" fontId="13" fillId="0" borderId="35" xfId="0" applyFont="1" applyFill="1" applyBorder="1" applyAlignment="1">
      <alignment horizontal="center"/>
    </xf>
    <xf numFmtId="0" fontId="2" fillId="0" borderId="24" xfId="0" applyFont="1" applyFill="1" applyBorder="1"/>
    <xf numFmtId="164" fontId="2" fillId="0" borderId="0" xfId="0" applyNumberFormat="1" applyFont="1" applyFill="1"/>
    <xf numFmtId="165" fontId="8" fillId="0" borderId="0" xfId="2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164" fontId="2" fillId="0" borderId="10" xfId="0" applyNumberFormat="1" applyFont="1" applyFill="1" applyBorder="1" applyAlignment="1">
      <alignment horizontal="center" wrapText="1"/>
    </xf>
    <xf numFmtId="164" fontId="18" fillId="0" borderId="0" xfId="0" applyNumberFormat="1" applyFont="1" applyFill="1" applyBorder="1"/>
    <xf numFmtId="164" fontId="17" fillId="0" borderId="0" xfId="0" applyNumberFormat="1" applyFont="1" applyFill="1"/>
    <xf numFmtId="0" fontId="17" fillId="0" borderId="0" xfId="0" applyFont="1" applyFill="1"/>
    <xf numFmtId="164" fontId="1" fillId="0" borderId="0" xfId="0" applyNumberFormat="1" applyFont="1" applyFill="1"/>
    <xf numFmtId="0" fontId="1" fillId="0" borderId="0" xfId="0" applyFont="1" applyFill="1"/>
    <xf numFmtId="164" fontId="19" fillId="0" borderId="0" xfId="0" applyNumberFormat="1" applyFont="1" applyFill="1" applyBorder="1"/>
    <xf numFmtId="165" fontId="19" fillId="0" borderId="0" xfId="0" applyNumberFormat="1" applyFont="1" applyFill="1" applyBorder="1"/>
    <xf numFmtId="167" fontId="19" fillId="0" borderId="0" xfId="0" applyNumberFormat="1" applyFont="1" applyFill="1" applyBorder="1"/>
    <xf numFmtId="10" fontId="19" fillId="0" borderId="11" xfId="0" applyNumberFormat="1" applyFont="1" applyFill="1" applyBorder="1"/>
    <xf numFmtId="166" fontId="19" fillId="0" borderId="0" xfId="0" applyNumberFormat="1" applyFont="1" applyFill="1" applyBorder="1"/>
    <xf numFmtId="0" fontId="19" fillId="0" borderId="0" xfId="0" applyFont="1" applyFill="1" applyBorder="1"/>
    <xf numFmtId="164" fontId="19" fillId="0" borderId="4" xfId="0" applyNumberFormat="1" applyFont="1" applyFill="1" applyBorder="1"/>
    <xf numFmtId="165" fontId="19" fillId="0" borderId="4" xfId="0" applyNumberFormat="1" applyFont="1" applyFill="1" applyBorder="1"/>
    <xf numFmtId="0" fontId="19" fillId="0" borderId="4" xfId="0" applyFont="1" applyFill="1" applyBorder="1"/>
    <xf numFmtId="0" fontId="19" fillId="0" borderId="13" xfId="0" applyFont="1" applyFill="1" applyBorder="1"/>
    <xf numFmtId="167" fontId="19" fillId="0" borderId="10" xfId="0" applyNumberFormat="1" applyFont="1" applyFill="1" applyBorder="1"/>
    <xf numFmtId="174" fontId="19" fillId="0" borderId="0" xfId="0" applyNumberFormat="1" applyFont="1" applyFill="1" applyBorder="1"/>
    <xf numFmtId="0" fontId="19" fillId="0" borderId="10" xfId="0" applyFont="1" applyFill="1" applyBorder="1"/>
    <xf numFmtId="0" fontId="0" fillId="0" borderId="2" xfId="0" applyBorder="1"/>
    <xf numFmtId="164" fontId="0" fillId="0" borderId="2" xfId="0" applyNumberFormat="1" applyFont="1" applyBorder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/>
    <xf numFmtId="14" fontId="3" fillId="0" borderId="0" xfId="0" applyNumberFormat="1" applyFont="1" applyFill="1"/>
    <xf numFmtId="17" fontId="3" fillId="0" borderId="0" xfId="0" quotePrefix="1" applyNumberFormat="1" applyFont="1" applyFill="1" applyBorder="1" applyAlignment="1">
      <alignment horizontal="center" wrapText="1"/>
    </xf>
    <xf numFmtId="165" fontId="3" fillId="0" borderId="0" xfId="0" applyNumberFormat="1" applyFont="1" applyFill="1" applyBorder="1"/>
    <xf numFmtId="164" fontId="0" fillId="0" borderId="0" xfId="0" applyNumberFormat="1" applyFill="1"/>
    <xf numFmtId="165" fontId="19" fillId="0" borderId="0" xfId="2" applyNumberFormat="1" applyFont="1" applyFill="1" applyBorder="1"/>
    <xf numFmtId="164" fontId="20" fillId="0" borderId="0" xfId="0" applyNumberFormat="1" applyFont="1" applyFill="1" applyBorder="1"/>
    <xf numFmtId="165" fontId="2" fillId="0" borderId="0" xfId="0" applyNumberFormat="1" applyFont="1" applyFill="1"/>
    <xf numFmtId="164" fontId="2" fillId="3" borderId="0" xfId="0" applyNumberFormat="1" applyFont="1" applyFill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3" borderId="23" xfId="0" applyFont="1" applyFill="1" applyBorder="1"/>
    <xf numFmtId="0" fontId="20" fillId="0" borderId="0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67" fontId="19" fillId="0" borderId="14" xfId="0" applyNumberFormat="1" applyFont="1" applyFill="1" applyBorder="1"/>
    <xf numFmtId="167" fontId="19" fillId="0" borderId="15" xfId="0" applyNumberFormat="1" applyFont="1" applyFill="1" applyBorder="1"/>
    <xf numFmtId="167" fontId="19" fillId="0" borderId="15" xfId="0" quotePrefix="1" applyNumberFormat="1" applyFont="1" applyFill="1" applyBorder="1" applyAlignment="1"/>
    <xf numFmtId="0" fontId="0" fillId="0" borderId="3" xfId="0" quotePrefix="1" applyBorder="1" applyAlignment="1">
      <alignment horizontal="center" wrapText="1"/>
    </xf>
    <xf numFmtId="44" fontId="2" fillId="0" borderId="15" xfId="0" applyNumberFormat="1" applyFont="1" applyBorder="1"/>
    <xf numFmtId="44" fontId="2" fillId="0" borderId="19" xfId="0" applyNumberFormat="1" applyFont="1" applyBorder="1"/>
    <xf numFmtId="44" fontId="0" fillId="0" borderId="15" xfId="0" applyNumberFormat="1" applyFont="1" applyBorder="1"/>
    <xf numFmtId="43" fontId="0" fillId="0" borderId="15" xfId="0" applyNumberFormat="1" applyFont="1" applyFill="1" applyBorder="1"/>
    <xf numFmtId="165" fontId="2" fillId="0" borderId="2" xfId="0" applyNumberFormat="1" applyFont="1" applyFill="1" applyBorder="1"/>
    <xf numFmtId="44" fontId="23" fillId="0" borderId="0" xfId="0" applyNumberFormat="1" applyFont="1" applyFill="1"/>
    <xf numFmtId="0" fontId="23" fillId="0" borderId="0" xfId="0" applyFont="1" applyFill="1"/>
    <xf numFmtId="0" fontId="2" fillId="0" borderId="6" xfId="0" quotePrefix="1" applyFont="1" applyFill="1" applyBorder="1" applyAlignment="1">
      <alignment horizontal="center" wrapText="1"/>
    </xf>
    <xf numFmtId="0" fontId="4" fillId="0" borderId="0" xfId="0" quotePrefix="1" applyFont="1" applyFill="1" applyAlignment="1">
      <alignment horizontal="center" wrapText="1"/>
    </xf>
    <xf numFmtId="0" fontId="2" fillId="0" borderId="0" xfId="0" quotePrefix="1" applyFont="1" applyFill="1" applyAlignment="1">
      <alignment horizontal="center" wrapText="1"/>
    </xf>
    <xf numFmtId="0" fontId="4" fillId="0" borderId="0" xfId="0" applyFont="1" applyFill="1" applyBorder="1"/>
    <xf numFmtId="0" fontId="24" fillId="0" borderId="35" xfId="0" applyFont="1" applyFill="1" applyBorder="1" applyAlignment="1">
      <alignment horizontal="center"/>
    </xf>
    <xf numFmtId="41" fontId="2" fillId="0" borderId="0" xfId="0" applyNumberFormat="1" applyFont="1" applyFill="1"/>
    <xf numFmtId="168" fontId="24" fillId="0" borderId="36" xfId="0" applyNumberFormat="1" applyFont="1" applyFill="1" applyBorder="1" applyAlignment="1">
      <alignment horizontal="center"/>
    </xf>
    <xf numFmtId="168" fontId="23" fillId="0" borderId="0" xfId="0" applyNumberFormat="1" applyFont="1" applyFill="1"/>
    <xf numFmtId="0" fontId="24" fillId="0" borderId="0" xfId="0" applyFont="1" applyFill="1"/>
    <xf numFmtId="164" fontId="23" fillId="0" borderId="0" xfId="0" applyNumberFormat="1" applyFont="1" applyFill="1"/>
    <xf numFmtId="165" fontId="23" fillId="0" borderId="0" xfId="0" applyNumberFormat="1" applyFont="1" applyFill="1"/>
    <xf numFmtId="0" fontId="2" fillId="0" borderId="0" xfId="0" quotePrefix="1" applyFont="1" applyFill="1" applyBorder="1" applyAlignment="1">
      <alignment horizontal="right" wrapText="1"/>
    </xf>
    <xf numFmtId="169" fontId="4" fillId="0" borderId="0" xfId="0" applyNumberFormat="1" applyFont="1" applyFill="1" applyBorder="1"/>
    <xf numFmtId="164" fontId="19" fillId="0" borderId="0" xfId="0" applyNumberFormat="1" applyFont="1" applyFill="1"/>
    <xf numFmtId="0" fontId="2" fillId="0" borderId="0" xfId="0" quotePrefix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164" fontId="2" fillId="3" borderId="0" xfId="0" applyNumberFormat="1" applyFont="1" applyFill="1" applyBorder="1" applyAlignment="1">
      <alignment horizontal="center"/>
    </xf>
    <xf numFmtId="44" fontId="19" fillId="0" borderId="0" xfId="0" applyNumberFormat="1" applyFont="1" applyFill="1"/>
    <xf numFmtId="0" fontId="19" fillId="0" borderId="0" xfId="0" applyFont="1" applyFill="1"/>
    <xf numFmtId="170" fontId="2" fillId="0" borderId="0" xfId="0" applyNumberFormat="1" applyFont="1" applyFill="1"/>
    <xf numFmtId="170" fontId="4" fillId="0" borderId="0" xfId="0" applyNumberFormat="1" applyFont="1" applyFill="1"/>
    <xf numFmtId="170" fontId="19" fillId="0" borderId="0" xfId="0" applyNumberFormat="1" applyFont="1" applyFill="1"/>
    <xf numFmtId="0" fontId="8" fillId="0" borderId="0" xfId="0" applyFont="1" applyFill="1" applyBorder="1" applyAlignment="1">
      <alignment horizontal="center"/>
    </xf>
    <xf numFmtId="164" fontId="2" fillId="0" borderId="7" xfId="0" applyNumberFormat="1" applyFont="1" applyFill="1" applyBorder="1"/>
    <xf numFmtId="164" fontId="2" fillId="0" borderId="8" xfId="0" applyNumberFormat="1" applyFont="1" applyFill="1" applyBorder="1"/>
    <xf numFmtId="164" fontId="2" fillId="0" borderId="9" xfId="0" applyNumberFormat="1" applyFont="1" applyFill="1" applyBorder="1"/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right"/>
    </xf>
    <xf numFmtId="164" fontId="25" fillId="0" borderId="0" xfId="0" applyNumberFormat="1" applyFont="1" applyFill="1" applyBorder="1"/>
    <xf numFmtId="0" fontId="25" fillId="0" borderId="0" xfId="0" applyFont="1" applyFill="1"/>
    <xf numFmtId="164" fontId="21" fillId="0" borderId="7" xfId="0" applyNumberFormat="1" applyFont="1" applyFill="1" applyBorder="1"/>
    <xf numFmtId="164" fontId="21" fillId="0" borderId="8" xfId="0" applyNumberFormat="1" applyFont="1" applyFill="1" applyBorder="1"/>
    <xf numFmtId="164" fontId="21" fillId="0" borderId="10" xfId="0" applyNumberFormat="1" applyFont="1" applyFill="1" applyBorder="1"/>
    <xf numFmtId="164" fontId="21" fillId="0" borderId="0" xfId="0" applyNumberFormat="1" applyFont="1" applyFill="1" applyBorder="1"/>
    <xf numFmtId="0" fontId="26" fillId="0" borderId="0" xfId="0" applyFont="1" applyFill="1"/>
    <xf numFmtId="164" fontId="26" fillId="0" borderId="0" xfId="0" applyNumberFormat="1" applyFont="1" applyFill="1" applyBorder="1"/>
    <xf numFmtId="0" fontId="27" fillId="0" borderId="0" xfId="0" applyFont="1"/>
    <xf numFmtId="44" fontId="27" fillId="0" borderId="0" xfId="2" applyFont="1"/>
    <xf numFmtId="0" fontId="2" fillId="0" borderId="0" xfId="0" quotePrefix="1" applyFont="1" applyFill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164" fontId="17" fillId="0" borderId="0" xfId="3" applyNumberFormat="1" applyFont="1" applyFill="1" applyBorder="1"/>
    <xf numFmtId="0" fontId="10" fillId="0" borderId="6" xfId="0" applyFont="1" applyFill="1" applyBorder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12" xfId="0" applyFont="1" applyFill="1" applyBorder="1"/>
    <xf numFmtId="164" fontId="17" fillId="0" borderId="4" xfId="3" applyNumberFormat="1" applyFont="1" applyFill="1" applyBorder="1"/>
    <xf numFmtId="164" fontId="10" fillId="0" borderId="4" xfId="3" applyNumberFormat="1" applyFont="1" applyFill="1" applyBorder="1"/>
    <xf numFmtId="0" fontId="10" fillId="0" borderId="4" xfId="0" applyFont="1" applyFill="1" applyBorder="1"/>
    <xf numFmtId="164" fontId="10" fillId="0" borderId="13" xfId="3" applyNumberFormat="1" applyFont="1" applyFill="1" applyBorder="1"/>
    <xf numFmtId="0" fontId="10" fillId="0" borderId="34" xfId="0" applyFont="1" applyFill="1" applyBorder="1"/>
    <xf numFmtId="164" fontId="10" fillId="0" borderId="6" xfId="0" applyNumberFormat="1" applyFont="1" applyFill="1" applyBorder="1" applyAlignment="1">
      <alignment wrapText="1"/>
    </xf>
    <xf numFmtId="0" fontId="10" fillId="0" borderId="27" xfId="0" applyFont="1" applyFill="1" applyBorder="1"/>
    <xf numFmtId="0" fontId="10" fillId="3" borderId="30" xfId="0" applyFont="1" applyFill="1" applyBorder="1"/>
    <xf numFmtId="164" fontId="10" fillId="3" borderId="23" xfId="0" applyNumberFormat="1" applyFont="1" applyFill="1" applyBorder="1"/>
    <xf numFmtId="0" fontId="10" fillId="3" borderId="31" xfId="0" applyFont="1" applyFill="1" applyBorder="1"/>
    <xf numFmtId="164" fontId="2" fillId="0" borderId="0" xfId="0" applyNumberFormat="1" applyFont="1" applyFill="1" applyBorder="1" applyAlignment="1">
      <alignment horizontal="center" wrapText="1"/>
    </xf>
    <xf numFmtId="164" fontId="2" fillId="0" borderId="11" xfId="0" applyNumberFormat="1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vertical="top" wrapText="1"/>
    </xf>
    <xf numFmtId="167" fontId="2" fillId="0" borderId="0" xfId="0" applyNumberFormat="1" applyFont="1" applyFill="1" applyBorder="1"/>
    <xf numFmtId="174" fontId="2" fillId="0" borderId="11" xfId="0" applyNumberFormat="1" applyFont="1" applyFill="1" applyBorder="1"/>
    <xf numFmtId="17" fontId="2" fillId="0" borderId="6" xfId="0" quotePrefix="1" applyNumberFormat="1" applyFont="1" applyFill="1" applyBorder="1" applyAlignment="1">
      <alignment horizontal="center" wrapText="1"/>
    </xf>
    <xf numFmtId="164" fontId="21" fillId="0" borderId="0" xfId="0" applyNumberFormat="1" applyFont="1" applyFill="1"/>
    <xf numFmtId="0" fontId="4" fillId="0" borderId="6" xfId="0" quotePrefix="1" applyFont="1" applyFill="1" applyBorder="1" applyAlignment="1">
      <alignment horizontal="center" wrapText="1"/>
    </xf>
    <xf numFmtId="44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3" xfId="0" quotePrefix="1" applyFill="1" applyBorder="1" applyAlignment="1">
      <alignment horizontal="center" wrapText="1"/>
    </xf>
    <xf numFmtId="0" fontId="0" fillId="0" borderId="17" xfId="0" quotePrefix="1" applyFill="1" applyBorder="1" applyAlignment="1">
      <alignment horizontal="center" wrapText="1"/>
    </xf>
    <xf numFmtId="167" fontId="22" fillId="5" borderId="15" xfId="0" quotePrefix="1" applyNumberFormat="1" applyFont="1" applyFill="1" applyBorder="1" applyAlignment="1"/>
    <xf numFmtId="0" fontId="0" fillId="5" borderId="0" xfId="0" applyFill="1"/>
    <xf numFmtId="0" fontId="2" fillId="5" borderId="0" xfId="0" applyFont="1" applyFill="1"/>
    <xf numFmtId="0" fontId="0" fillId="0" borderId="0" xfId="0" applyFill="1" applyAlignment="1">
      <alignment horizontal="center" wrapText="1"/>
    </xf>
    <xf numFmtId="0" fontId="0" fillId="0" borderId="2" xfId="0" applyFill="1" applyBorder="1"/>
    <xf numFmtId="0" fontId="5" fillId="0" borderId="4" xfId="0" quotePrefix="1" applyFont="1" applyFill="1" applyBorder="1" applyAlignment="1">
      <alignment horizontal="center" wrapText="1"/>
    </xf>
    <xf numFmtId="167" fontId="8" fillId="0" borderId="0" xfId="0" applyNumberFormat="1" applyFont="1" applyFill="1" applyBorder="1"/>
    <xf numFmtId="0" fontId="8" fillId="0" borderId="1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2" fontId="19" fillId="0" borderId="0" xfId="0" applyNumberFormat="1" applyFont="1" applyFill="1"/>
    <xf numFmtId="41" fontId="19" fillId="0" borderId="0" xfId="0" applyNumberFormat="1" applyFont="1" applyFill="1"/>
    <xf numFmtId="171" fontId="19" fillId="0" borderId="0" xfId="0" applyNumberFormat="1" applyFont="1" applyFill="1"/>
    <xf numFmtId="42" fontId="19" fillId="0" borderId="0" xfId="0" applyNumberFormat="1" applyFont="1"/>
    <xf numFmtId="10" fontId="19" fillId="0" borderId="0" xfId="1" applyNumberFormat="1" applyFont="1"/>
    <xf numFmtId="0" fontId="19" fillId="0" borderId="0" xfId="0" applyFont="1"/>
    <xf numFmtId="41" fontId="19" fillId="0" borderId="0" xfId="0" applyNumberFormat="1" applyFont="1"/>
    <xf numFmtId="164" fontId="19" fillId="0" borderId="2" xfId="0" applyNumberFormat="1" applyFont="1" applyBorder="1"/>
    <xf numFmtId="9" fontId="19" fillId="0" borderId="2" xfId="0" applyNumberFormat="1" applyFont="1" applyBorder="1"/>
    <xf numFmtId="42" fontId="19" fillId="0" borderId="5" xfId="0" applyNumberFormat="1" applyFont="1" applyBorder="1"/>
    <xf numFmtId="41" fontId="19" fillId="0" borderId="2" xfId="0" applyNumberFormat="1" applyFont="1" applyBorder="1"/>
    <xf numFmtId="165" fontId="28" fillId="0" borderId="0" xfId="4" applyNumberFormat="1" applyFont="1" applyFill="1" applyBorder="1"/>
    <xf numFmtId="165" fontId="28" fillId="0" borderId="0" xfId="0" applyNumberFormat="1" applyFont="1" applyFill="1"/>
    <xf numFmtId="165" fontId="28" fillId="0" borderId="2" xfId="0" applyNumberFormat="1" applyFont="1" applyFill="1" applyBorder="1"/>
    <xf numFmtId="164" fontId="28" fillId="0" borderId="0" xfId="3" applyNumberFormat="1" applyFont="1" applyFill="1" applyBorder="1"/>
    <xf numFmtId="164" fontId="28" fillId="0" borderId="0" xfId="0" applyNumberFormat="1" applyFont="1" applyFill="1"/>
    <xf numFmtId="164" fontId="28" fillId="0" borderId="2" xfId="0" applyNumberFormat="1" applyFont="1" applyFill="1" applyBorder="1"/>
    <xf numFmtId="168" fontId="29" fillId="4" borderId="0" xfId="0" applyNumberFormat="1" applyFont="1" applyFill="1"/>
    <xf numFmtId="164" fontId="28" fillId="0" borderId="24" xfId="0" applyNumberFormat="1" applyFont="1" applyFill="1" applyBorder="1"/>
    <xf numFmtId="164" fontId="28" fillId="0" borderId="36" xfId="0" applyNumberFormat="1" applyFont="1" applyFill="1" applyBorder="1"/>
    <xf numFmtId="41" fontId="30" fillId="3" borderId="0" xfId="0" applyNumberFormat="1" applyFont="1" applyFill="1"/>
    <xf numFmtId="164" fontId="21" fillId="0" borderId="0" xfId="0" applyNumberFormat="1" applyFont="1" applyFill="1" applyBorder="1" applyAlignment="1">
      <alignment horizontal="left" indent="1"/>
    </xf>
    <xf numFmtId="165" fontId="21" fillId="0" borderId="0" xfId="0" applyNumberFormat="1" applyFont="1" applyFill="1" applyBorder="1"/>
    <xf numFmtId="167" fontId="21" fillId="0" borderId="0" xfId="0" applyNumberFormat="1" applyFont="1" applyFill="1" applyBorder="1"/>
    <xf numFmtId="0" fontId="4" fillId="0" borderId="13" xfId="0" applyFont="1" applyFill="1" applyBorder="1" applyAlignment="1">
      <alignment horizontal="center" wrapText="1"/>
    </xf>
    <xf numFmtId="0" fontId="4" fillId="0" borderId="11" xfId="0" quotePrefix="1" applyFont="1" applyFill="1" applyBorder="1" applyAlignment="1">
      <alignment horizontal="center" vertical="top" wrapText="1"/>
    </xf>
    <xf numFmtId="0" fontId="4" fillId="0" borderId="11" xfId="0" applyFont="1" applyFill="1" applyBorder="1"/>
    <xf numFmtId="10" fontId="4" fillId="0" borderId="11" xfId="0" applyNumberFormat="1" applyFont="1" applyFill="1" applyBorder="1"/>
    <xf numFmtId="164" fontId="4" fillId="0" borderId="4" xfId="0" quotePrefix="1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167" fontId="22" fillId="0" borderId="0" xfId="0" applyNumberFormat="1" applyFont="1" applyFill="1" applyBorder="1"/>
    <xf numFmtId="167" fontId="4" fillId="0" borderId="0" xfId="0" applyNumberFormat="1" applyFont="1" applyFill="1" applyBorder="1"/>
    <xf numFmtId="166" fontId="4" fillId="0" borderId="0" xfId="0" applyNumberFormat="1" applyFont="1" applyFill="1" applyBorder="1"/>
    <xf numFmtId="0" fontId="4" fillId="0" borderId="13" xfId="0" quotePrefix="1" applyFont="1" applyFill="1" applyBorder="1" applyAlignment="1">
      <alignment horizont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167" fontId="4" fillId="0" borderId="11" xfId="0" applyNumberFormat="1" applyFont="1" applyFill="1" applyBorder="1" applyAlignment="1">
      <alignment horizontal="center"/>
    </xf>
    <xf numFmtId="166" fontId="4" fillId="0" borderId="11" xfId="0" applyNumberFormat="1" applyFont="1" applyFill="1" applyBorder="1" applyAlignment="1">
      <alignment horizontal="center"/>
    </xf>
    <xf numFmtId="165" fontId="4" fillId="0" borderId="11" xfId="0" applyNumberFormat="1" applyFont="1" applyFill="1" applyBorder="1"/>
    <xf numFmtId="0" fontId="4" fillId="0" borderId="13" xfId="0" applyFont="1" applyFill="1" applyBorder="1"/>
    <xf numFmtId="44" fontId="4" fillId="0" borderId="19" xfId="0" applyNumberFormat="1" applyFont="1" applyBorder="1"/>
    <xf numFmtId="10" fontId="4" fillId="0" borderId="5" xfId="0" applyNumberFormat="1" applyFont="1" applyBorder="1"/>
    <xf numFmtId="0" fontId="4" fillId="0" borderId="0" xfId="0" applyFont="1"/>
    <xf numFmtId="44" fontId="33" fillId="0" borderId="0" xfId="2" applyFont="1"/>
    <xf numFmtId="0" fontId="4" fillId="0" borderId="6" xfId="0" applyFont="1" applyBorder="1" applyAlignment="1">
      <alignment horizontal="center" wrapText="1"/>
    </xf>
    <xf numFmtId="10" fontId="4" fillId="0" borderId="0" xfId="0" applyNumberFormat="1" applyFont="1"/>
    <xf numFmtId="0" fontId="2" fillId="0" borderId="0" xfId="0" quotePrefix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quotePrefix="1" applyFont="1" applyFill="1" applyBorder="1" applyAlignment="1">
      <alignment horizontal="left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2" fillId="0" borderId="0" xfId="0" quotePrefix="1" applyFont="1" applyFill="1" applyAlignment="1">
      <alignment horizontal="left" indent="2"/>
    </xf>
    <xf numFmtId="0" fontId="2" fillId="0" borderId="0" xfId="0" quotePrefix="1" applyFont="1" applyFill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quotePrefix="1" applyAlignment="1">
      <alignment horizontal="left" indent="3"/>
    </xf>
    <xf numFmtId="0" fontId="0" fillId="0" borderId="0" xfId="0" quotePrefix="1" applyAlignment="1">
      <alignment horizontal="left" indent="2"/>
    </xf>
    <xf numFmtId="0" fontId="4" fillId="5" borderId="0" xfId="0" quotePrefix="1" applyFont="1" applyFill="1" applyAlignment="1">
      <alignment horizontal="left" indent="2"/>
    </xf>
    <xf numFmtId="0" fontId="0" fillId="0" borderId="0" xfId="0" quotePrefix="1" applyAlignment="1">
      <alignment horizontal="left" indent="1"/>
    </xf>
    <xf numFmtId="0" fontId="21" fillId="0" borderId="0" xfId="0" quotePrefix="1" applyFont="1" applyFill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Fill="1" applyAlignment="1">
      <alignment horizontal="center"/>
    </xf>
    <xf numFmtId="0" fontId="16" fillId="0" borderId="0" xfId="0" quotePrefix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11" fillId="0" borderId="0" xfId="0" quotePrefix="1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2" fillId="0" borderId="2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wrapText="1"/>
    </xf>
  </cellXfs>
  <cellStyles count="5">
    <cellStyle name="Comma" xfId="3" builtinId="3"/>
    <cellStyle name="Comma 10" xfId="4"/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8080"/>
      <color rgb="FF3333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30</xdr:row>
      <xdr:rowOff>38100</xdr:rowOff>
    </xdr:from>
    <xdr:to>
      <xdr:col>22</xdr:col>
      <xdr:colOff>504825</xdr:colOff>
      <xdr:row>63</xdr:row>
      <xdr:rowOff>57150</xdr:rowOff>
    </xdr:to>
    <xdr:grpSp>
      <xdr:nvGrpSpPr>
        <xdr:cNvPr id="6" name="Group 5"/>
        <xdr:cNvGrpSpPr/>
      </xdr:nvGrpSpPr>
      <xdr:grpSpPr>
        <a:xfrm>
          <a:off x="7019925" y="5762625"/>
          <a:ext cx="8229600" cy="5438775"/>
          <a:chOff x="7010400" y="4943475"/>
          <a:chExt cx="8172450" cy="5438775"/>
        </a:xfrm>
      </xdr:grpSpPr>
      <xdr:grpSp>
        <xdr:nvGrpSpPr>
          <xdr:cNvPr id="4" name="Group 3"/>
          <xdr:cNvGrpSpPr/>
        </xdr:nvGrpSpPr>
        <xdr:grpSpPr>
          <a:xfrm>
            <a:off x="7010400" y="4943475"/>
            <a:ext cx="8158695" cy="5429250"/>
            <a:chOff x="7010400" y="4943475"/>
            <a:chExt cx="8158695" cy="5429250"/>
          </a:xfrm>
        </xdr:grpSpPr>
        <xdr:pic>
          <xdr:nvPicPr>
            <xdr:cNvPr id="2" name="Picture 1"/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7019929" y="4943475"/>
              <a:ext cx="8149166" cy="5238750"/>
            </a:xfrm>
            <a:prstGeom prst="rect">
              <a:avLst/>
            </a:prstGeom>
            <a:ln>
              <a:noFill/>
            </a:ln>
          </xdr:spPr>
        </xdr:pic>
        <xdr:sp macro="" textlink="">
          <xdr:nvSpPr>
            <xdr:cNvPr id="3" name="Rectangle 2"/>
            <xdr:cNvSpPr/>
          </xdr:nvSpPr>
          <xdr:spPr>
            <a:xfrm>
              <a:off x="7010400" y="10182225"/>
              <a:ext cx="8153400" cy="190500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800" u="sng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https://www.pse.com/pages/rates/schedule-summaries#sort=%40fdocumentdate85487%20descending&amp;f:ServiceType=[Electric]&amp;f:Rate Document=[Summary]</a:t>
              </a:r>
            </a:p>
          </xdr:txBody>
        </xdr:sp>
      </xdr:grpSp>
      <xdr:sp macro="" textlink="">
        <xdr:nvSpPr>
          <xdr:cNvPr id="5" name="Rectangle 4"/>
          <xdr:cNvSpPr/>
        </xdr:nvSpPr>
        <xdr:spPr>
          <a:xfrm>
            <a:off x="7029450" y="4962525"/>
            <a:ext cx="8153400" cy="5419725"/>
          </a:xfrm>
          <a:prstGeom prst="rect">
            <a:avLst/>
          </a:prstGeom>
          <a:noFill/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23</xdr:col>
      <xdr:colOff>28575</xdr:colOff>
      <xdr:row>27</xdr:row>
      <xdr:rowOff>38101</xdr:rowOff>
    </xdr:from>
    <xdr:to>
      <xdr:col>35</xdr:col>
      <xdr:colOff>371475</xdr:colOff>
      <xdr:row>58</xdr:row>
      <xdr:rowOff>108460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7150" y="4791076"/>
          <a:ext cx="7315200" cy="563295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15</xdr:col>
      <xdr:colOff>381000</xdr:colOff>
      <xdr:row>27</xdr:row>
      <xdr:rowOff>9525</xdr:rowOff>
    </xdr:from>
    <xdr:to>
      <xdr:col>22</xdr:col>
      <xdr:colOff>571500</xdr:colOff>
      <xdr:row>27</xdr:row>
      <xdr:rowOff>114300</xdr:rowOff>
    </xdr:to>
    <xdr:cxnSp macro="">
      <xdr:nvCxnSpPr>
        <xdr:cNvPr id="12" name="Curved Connector 11"/>
        <xdr:cNvCxnSpPr/>
      </xdr:nvCxnSpPr>
      <xdr:spPr>
        <a:xfrm>
          <a:off x="10668000" y="4762500"/>
          <a:ext cx="4591050" cy="104775"/>
        </a:xfrm>
        <a:prstGeom prst="curvedConnector3">
          <a:avLst>
            <a:gd name="adj1" fmla="val 7469"/>
          </a:avLst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183564</xdr:colOff>
      <xdr:row>0</xdr:row>
      <xdr:rowOff>80301</xdr:rowOff>
    </xdr:from>
    <xdr:ext cx="3367589" cy="1094146"/>
    <xdr:sp macro="" textlink="">
      <xdr:nvSpPr>
        <xdr:cNvPr id="5" name="Rectangle 4"/>
        <xdr:cNvSpPr/>
      </xdr:nvSpPr>
      <xdr:spPr>
        <a:xfrm>
          <a:off x="183564" y="80301"/>
          <a:ext cx="3367589" cy="109414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 rtl="0"/>
          <a:r>
            <a:rPr lang="en-US" sz="16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rgbClr val="3333FF"/>
              </a:solidFill>
              <a:effectLst/>
              <a:latin typeface="+mn-lt"/>
              <a:ea typeface="+mn-ea"/>
              <a:cs typeface="+mn-cs"/>
            </a:rPr>
            <a:t>Source:  </a:t>
          </a:r>
          <a:endParaRPr lang="en-US" sz="72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solidFill>
              <a:srgbClr val="3333FF"/>
            </a:solidFill>
            <a:effectLst/>
          </a:endParaRPr>
        </a:p>
        <a:p>
          <a:pPr algn="ctr" rtl="0"/>
          <a:r>
            <a:rPr lang="en-US" sz="16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rgbClr val="3333FF"/>
              </a:solidFill>
              <a:effectLst/>
              <a:latin typeface="+mn-lt"/>
              <a:ea typeface="+mn-ea"/>
              <a:cs typeface="+mn-cs"/>
            </a:rPr>
            <a:t>2019 (REC) </a:t>
          </a:r>
          <a:endParaRPr lang="en-US" sz="72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solidFill>
              <a:srgbClr val="3333FF"/>
            </a:solidFill>
            <a:effectLst/>
          </a:endParaRPr>
        </a:p>
        <a:p>
          <a:pPr algn="ctr" rtl="0"/>
          <a:r>
            <a:rPr lang="en-US" sz="16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rgbClr val="3333FF"/>
              </a:solidFill>
              <a:effectLst/>
              <a:latin typeface="+mn-lt"/>
              <a:ea typeface="+mn-ea"/>
              <a:cs typeface="+mn-cs"/>
            </a:rPr>
            <a:t>Renewable Energy Credit Calculation </a:t>
          </a:r>
          <a:endParaRPr lang="en-US" sz="72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solidFill>
              <a:srgbClr val="3333FF"/>
            </a:solidFill>
            <a:effectLst/>
          </a:endParaRPr>
        </a:p>
        <a:p>
          <a:pPr algn="ctr" rtl="0"/>
          <a:r>
            <a:rPr lang="en-US" sz="16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rgbClr val="3333FF"/>
              </a:solidFill>
              <a:effectLst/>
              <a:latin typeface="+mn-lt"/>
              <a:ea typeface="+mn-ea"/>
              <a:cs typeface="+mn-cs"/>
            </a:rPr>
            <a:t>Effective 01-01-19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529590</xdr:colOff>
      <xdr:row>3</xdr:row>
      <xdr:rowOff>19050</xdr:rowOff>
    </xdr:from>
    <xdr:to>
      <xdr:col>26</xdr:col>
      <xdr:colOff>38637</xdr:colOff>
      <xdr:row>30</xdr:row>
      <xdr:rowOff>170095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54965" y="590550"/>
          <a:ext cx="6005097" cy="65518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1</xdr:rowOff>
    </xdr:from>
    <xdr:to>
      <xdr:col>5</xdr:col>
      <xdr:colOff>147638</xdr:colOff>
      <xdr:row>80</xdr:row>
      <xdr:rowOff>81980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159241"/>
          <a:ext cx="5682615" cy="57512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%20%20Rate%20Filings/Rate%20Impacts/2020/Effective%201.1.2020/Electric%20Rate%20Impacts_Combined_Effective%201-1-20%20DRAF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%20%20Rate%20Filings/Sch%2095A%20PTC%20Treas%20Grant/2020/F19%20Elec%20Monthly%20Sales%20&amp;%20Customer%20Projections%20by%20Rate%20Class_Deliver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Rate Impacts 1-1-2020"/>
      <sheetName val="Tariff Impacts 1-1-2020"/>
      <sheetName val="Typical Residential"/>
      <sheetName val="Forecast-&gt;"/>
      <sheetName val="F2019 Annualized Revenue"/>
      <sheetName val="UE-180899 Annualized Rev"/>
      <sheetName val="F2019 Sch Level Delivered Load"/>
      <sheetName val="F2019 Demand"/>
      <sheetName val="F2019 Customers"/>
      <sheetName val="Rider Revenue Impacts-&gt;"/>
      <sheetName val="Sch 95"/>
      <sheetName val="Sch 95a"/>
      <sheetName val="Sch 120"/>
      <sheetName val="Sch 129"/>
      <sheetName val="Sch 132"/>
      <sheetName val="Sch 137"/>
      <sheetName val="Sch 140"/>
      <sheetName val="Sch 141"/>
      <sheetName val="Sch 141X"/>
      <sheetName val="Sch 141Y"/>
      <sheetName val="Sch 142 Deferral"/>
      <sheetName val="Sch 194"/>
      <sheetName val="Proposed Filing 11-22-2019-&gt; "/>
      <sheetName val="Proposed Sch 95A"/>
      <sheetName val="Proposed Sch 137"/>
      <sheetName val="Compliance Filings-&gt;"/>
      <sheetName val="UE-190499 Sch 95"/>
      <sheetName val="UE-190149 Sch 120 "/>
      <sheetName val="UE-190752 Sch 129"/>
      <sheetName val="UE-180976 Sch 132"/>
      <sheetName val="UE-190227 Sch 140"/>
      <sheetName val="UE-180899 Sch141+141X"/>
      <sheetName val="UE-190220 Sch 141Y"/>
      <sheetName val="UE-190231 Sch 142"/>
      <sheetName val="UE-190753 Sch 194"/>
    </sheetNames>
    <sheetDataSet>
      <sheetData sheetId="0">
        <row r="3">
          <cell r="A3" t="str">
            <v>Test Year ended December 31, 2020</v>
          </cell>
        </row>
        <row r="7">
          <cell r="C7" t="str">
            <v>Annual kWh Delivered Sales 01/01/20 to 12/31/20 (F2019)</v>
          </cell>
          <cell r="D7" t="str">
            <v>Estimated Annual Base Revenue Effective
12/31/19</v>
          </cell>
          <cell r="E7" t="str">
            <v>Schedule 95</v>
          </cell>
          <cell r="F7" t="str">
            <v>Schedule 95A
Federal Incentive Credit</v>
          </cell>
          <cell r="G7" t="str">
            <v>Schedule 120
Conservation</v>
          </cell>
          <cell r="H7" t="str">
            <v>Schedule 129
Low Income</v>
          </cell>
          <cell r="I7" t="str">
            <v>Schedule 132
Merger Credit</v>
          </cell>
          <cell r="K7" t="str">
            <v>Schedule 140
Property Tax</v>
          </cell>
          <cell r="L7" t="str">
            <v>Schedule 141
ERF</v>
          </cell>
          <cell r="M7" t="str">
            <v>Schedule 141X (Pass-back)
ERF</v>
          </cell>
          <cell r="N7" t="str">
            <v>Schedule 
141Y Tax Over Collection</v>
          </cell>
          <cell r="O7" t="str">
            <v>Schedule 142
 Deferral</v>
          </cell>
          <cell r="P7" t="str">
            <v>Schedule 194
BPA Res &amp; Farm Credit</v>
          </cell>
          <cell r="R7" t="str">
            <v>Annual Estimated Revenue @ Rates Effective 12/31/19</v>
          </cell>
        </row>
        <row r="8">
          <cell r="C8">
            <v>10870508000</v>
          </cell>
          <cell r="D8">
            <v>1131215000</v>
          </cell>
          <cell r="E8">
            <v>-11936000</v>
          </cell>
          <cell r="F8">
            <v>-20795000</v>
          </cell>
          <cell r="G8">
            <v>42449000</v>
          </cell>
          <cell r="H8">
            <v>11610000</v>
          </cell>
          <cell r="I8">
            <v>0</v>
          </cell>
          <cell r="K8">
            <v>35090000</v>
          </cell>
          <cell r="L8">
            <v>16918000</v>
          </cell>
          <cell r="M8">
            <v>-16918000</v>
          </cell>
          <cell r="N8">
            <v>-13816000</v>
          </cell>
          <cell r="O8">
            <v>6751000</v>
          </cell>
          <cell r="P8">
            <v>-80291000</v>
          </cell>
        </row>
        <row r="11">
          <cell r="C11">
            <v>247247000</v>
          </cell>
          <cell r="D11">
            <v>24061000</v>
          </cell>
          <cell r="E11">
            <v>-228000</v>
          </cell>
          <cell r="F11">
            <v>-406000</v>
          </cell>
          <cell r="G11">
            <v>823000</v>
          </cell>
          <cell r="H11">
            <v>254000</v>
          </cell>
          <cell r="I11">
            <v>0</v>
          </cell>
          <cell r="K11">
            <v>605000</v>
          </cell>
          <cell r="L11">
            <v>270000</v>
          </cell>
          <cell r="M11">
            <v>-270000</v>
          </cell>
          <cell r="N11">
            <v>-233000</v>
          </cell>
          <cell r="O11">
            <v>696000</v>
          </cell>
          <cell r="P11">
            <v>-1826000</v>
          </cell>
        </row>
        <row r="12">
          <cell r="C12">
            <v>2632342000</v>
          </cell>
          <cell r="D12">
            <v>256164000</v>
          </cell>
          <cell r="E12">
            <v>-2430000</v>
          </cell>
          <cell r="F12">
            <v>-4320000</v>
          </cell>
          <cell r="G12">
            <v>8760000</v>
          </cell>
          <cell r="H12">
            <v>2701000</v>
          </cell>
          <cell r="I12">
            <v>0</v>
          </cell>
          <cell r="K12">
            <v>6436000</v>
          </cell>
          <cell r="L12">
            <v>2873000</v>
          </cell>
          <cell r="M12">
            <v>-2873000</v>
          </cell>
          <cell r="N12">
            <v>-2482000</v>
          </cell>
          <cell r="O12">
            <v>7415000</v>
          </cell>
          <cell r="P12">
            <v>0</v>
          </cell>
        </row>
        <row r="13">
          <cell r="C13">
            <v>146948000</v>
          </cell>
          <cell r="D13">
            <v>13255000</v>
          </cell>
          <cell r="E13">
            <v>-129000</v>
          </cell>
          <cell r="F13">
            <v>-230000</v>
          </cell>
          <cell r="G13">
            <v>467000</v>
          </cell>
          <cell r="H13">
            <v>135000</v>
          </cell>
          <cell r="I13">
            <v>0</v>
          </cell>
          <cell r="K13">
            <v>314000</v>
          </cell>
          <cell r="L13">
            <v>129000</v>
          </cell>
          <cell r="M13">
            <v>-129000</v>
          </cell>
          <cell r="N13">
            <v>-127000</v>
          </cell>
          <cell r="O13">
            <v>-97000</v>
          </cell>
          <cell r="P13">
            <v>-1085000</v>
          </cell>
        </row>
        <row r="14">
          <cell r="C14">
            <v>2596000</v>
          </cell>
          <cell r="D14">
            <v>234000</v>
          </cell>
          <cell r="E14">
            <v>-2000</v>
          </cell>
          <cell r="F14">
            <v>-4000</v>
          </cell>
          <cell r="G14">
            <v>8000</v>
          </cell>
          <cell r="H14">
            <v>2000</v>
          </cell>
          <cell r="I14">
            <v>0</v>
          </cell>
          <cell r="K14">
            <v>6000</v>
          </cell>
          <cell r="L14">
            <v>2000</v>
          </cell>
          <cell r="M14">
            <v>-2000</v>
          </cell>
          <cell r="N14">
            <v>-2000</v>
          </cell>
          <cell r="O14">
            <v>-2000</v>
          </cell>
          <cell r="P14">
            <v>-19000</v>
          </cell>
        </row>
        <row r="15">
          <cell r="C15">
            <v>2898061000</v>
          </cell>
          <cell r="D15">
            <v>261420000</v>
          </cell>
          <cell r="E15">
            <v>-2539000</v>
          </cell>
          <cell r="F15">
            <v>-4544000</v>
          </cell>
          <cell r="G15">
            <v>9213000</v>
          </cell>
          <cell r="H15">
            <v>2658000</v>
          </cell>
          <cell r="I15">
            <v>0</v>
          </cell>
          <cell r="K15">
            <v>6190000</v>
          </cell>
          <cell r="L15">
            <v>2541000</v>
          </cell>
          <cell r="M15">
            <v>-2541000</v>
          </cell>
          <cell r="N15">
            <v>-2513000</v>
          </cell>
          <cell r="O15">
            <v>-1904000</v>
          </cell>
          <cell r="P15">
            <v>0</v>
          </cell>
        </row>
        <row r="16">
          <cell r="C16">
            <v>17736000</v>
          </cell>
          <cell r="D16">
            <v>1470000</v>
          </cell>
          <cell r="E16">
            <v>-17000</v>
          </cell>
          <cell r="F16">
            <v>-30000</v>
          </cell>
          <cell r="G16">
            <v>62000</v>
          </cell>
          <cell r="H16">
            <v>15000</v>
          </cell>
          <cell r="I16">
            <v>0</v>
          </cell>
          <cell r="K16">
            <v>37000</v>
          </cell>
          <cell r="L16">
            <v>14000</v>
          </cell>
          <cell r="M16">
            <v>-14000</v>
          </cell>
          <cell r="N16">
            <v>-15000</v>
          </cell>
          <cell r="O16">
            <v>15000</v>
          </cell>
          <cell r="P16">
            <v>-131000</v>
          </cell>
        </row>
        <row r="17">
          <cell r="C17">
            <v>1781933000</v>
          </cell>
          <cell r="D17">
            <v>147644000</v>
          </cell>
          <cell r="E17">
            <v>-1752000</v>
          </cell>
          <cell r="F17">
            <v>-3047000</v>
          </cell>
          <cell r="G17">
            <v>6217000</v>
          </cell>
          <cell r="H17">
            <v>1522000</v>
          </cell>
          <cell r="I17">
            <v>0</v>
          </cell>
          <cell r="K17">
            <v>3735000</v>
          </cell>
          <cell r="L17">
            <v>1435000</v>
          </cell>
          <cell r="M17">
            <v>-1435000</v>
          </cell>
          <cell r="N17">
            <v>-1527000</v>
          </cell>
          <cell r="O17">
            <v>1380000</v>
          </cell>
          <cell r="P17">
            <v>0</v>
          </cell>
        </row>
        <row r="18">
          <cell r="C18">
            <v>15098000</v>
          </cell>
          <cell r="D18">
            <v>1200000</v>
          </cell>
          <cell r="E18">
            <v>-11000</v>
          </cell>
          <cell r="F18">
            <v>-19000</v>
          </cell>
          <cell r="G18">
            <v>39000</v>
          </cell>
          <cell r="H18">
            <v>12000</v>
          </cell>
          <cell r="I18">
            <v>0</v>
          </cell>
          <cell r="K18">
            <v>32000</v>
          </cell>
          <cell r="L18">
            <v>12000</v>
          </cell>
          <cell r="M18">
            <v>-12000</v>
          </cell>
          <cell r="N18">
            <v>-13000</v>
          </cell>
          <cell r="O18">
            <v>-10000</v>
          </cell>
          <cell r="P18">
            <v>-112000</v>
          </cell>
        </row>
        <row r="21">
          <cell r="C21">
            <v>33276000</v>
          </cell>
          <cell r="D21">
            <v>2699000</v>
          </cell>
          <cell r="E21">
            <v>-29000</v>
          </cell>
          <cell r="F21">
            <v>-51000</v>
          </cell>
          <cell r="G21">
            <v>105000</v>
          </cell>
          <cell r="H21">
            <v>28000</v>
          </cell>
          <cell r="I21">
            <v>0</v>
          </cell>
          <cell r="K21">
            <v>66000</v>
          </cell>
          <cell r="L21">
            <v>26000</v>
          </cell>
          <cell r="M21">
            <v>-26000</v>
          </cell>
          <cell r="N21">
            <v>-27000</v>
          </cell>
          <cell r="O21">
            <v>4000</v>
          </cell>
          <cell r="P21">
            <v>-246000</v>
          </cell>
        </row>
        <row r="22">
          <cell r="C22">
            <v>1292757000</v>
          </cell>
          <cell r="D22">
            <v>104847000</v>
          </cell>
          <cell r="E22">
            <v>-1136000</v>
          </cell>
          <cell r="F22">
            <v>-1995000</v>
          </cell>
          <cell r="G22">
            <v>4075000</v>
          </cell>
          <cell r="H22">
            <v>1074000</v>
          </cell>
          <cell r="I22">
            <v>0</v>
          </cell>
          <cell r="K22">
            <v>2557000</v>
          </cell>
          <cell r="L22">
            <v>1019000</v>
          </cell>
          <cell r="M22">
            <v>-1019000</v>
          </cell>
          <cell r="N22">
            <v>-1050000</v>
          </cell>
          <cell r="O22">
            <v>192000</v>
          </cell>
          <cell r="P22">
            <v>0</v>
          </cell>
        </row>
        <row r="23">
          <cell r="C23">
            <v>4566000</v>
          </cell>
          <cell r="D23">
            <v>272000</v>
          </cell>
          <cell r="E23">
            <v>-3000</v>
          </cell>
          <cell r="F23">
            <v>-5000</v>
          </cell>
          <cell r="G23">
            <v>11000</v>
          </cell>
          <cell r="H23">
            <v>3000</v>
          </cell>
          <cell r="I23">
            <v>0</v>
          </cell>
          <cell r="K23">
            <v>9000</v>
          </cell>
          <cell r="L23">
            <v>6000</v>
          </cell>
          <cell r="M23">
            <v>-6000</v>
          </cell>
          <cell r="N23">
            <v>-4000</v>
          </cell>
          <cell r="O23">
            <v>-3000</v>
          </cell>
          <cell r="P23">
            <v>-34000</v>
          </cell>
        </row>
        <row r="24">
          <cell r="C24">
            <v>118819000</v>
          </cell>
          <cell r="D24">
            <v>10424000</v>
          </cell>
          <cell r="E24">
            <v>-87000</v>
          </cell>
          <cell r="F24">
            <v>-154000</v>
          </cell>
          <cell r="G24">
            <v>311000</v>
          </cell>
          <cell r="H24">
            <v>106000</v>
          </cell>
          <cell r="I24">
            <v>0</v>
          </cell>
          <cell r="K24">
            <v>335000</v>
          </cell>
          <cell r="L24">
            <v>156000</v>
          </cell>
          <cell r="M24">
            <v>-156000</v>
          </cell>
          <cell r="N24">
            <v>-135000</v>
          </cell>
          <cell r="O24">
            <v>-78000</v>
          </cell>
          <cell r="P24">
            <v>0</v>
          </cell>
        </row>
        <row r="27">
          <cell r="C27">
            <v>128305000</v>
          </cell>
          <cell r="D27">
            <v>8645000</v>
          </cell>
          <cell r="E27">
            <v>-171000</v>
          </cell>
          <cell r="F27">
            <v>-225000</v>
          </cell>
          <cell r="G27">
            <v>461000</v>
          </cell>
          <cell r="H27">
            <v>93000</v>
          </cell>
          <cell r="I27">
            <v>0</v>
          </cell>
          <cell r="K27">
            <v>280000</v>
          </cell>
          <cell r="L27">
            <v>78000</v>
          </cell>
          <cell r="M27">
            <v>-78000</v>
          </cell>
          <cell r="N27">
            <v>-110000</v>
          </cell>
          <cell r="O27">
            <v>537000</v>
          </cell>
          <cell r="P27">
            <v>0</v>
          </cell>
        </row>
        <row r="29">
          <cell r="C29">
            <v>73310000</v>
          </cell>
          <cell r="D29">
            <v>4880000</v>
          </cell>
          <cell r="E29">
            <v>-9000</v>
          </cell>
          <cell r="F29">
            <v>-73000</v>
          </cell>
          <cell r="G29">
            <v>150000</v>
          </cell>
          <cell r="H29">
            <v>51000</v>
          </cell>
          <cell r="I29">
            <v>0</v>
          </cell>
          <cell r="K29">
            <v>114000</v>
          </cell>
          <cell r="L29">
            <v>48000</v>
          </cell>
          <cell r="M29">
            <v>-48000</v>
          </cell>
          <cell r="N29">
            <v>-48000</v>
          </cell>
          <cell r="O29">
            <v>13000</v>
          </cell>
          <cell r="P29">
            <v>0</v>
          </cell>
        </row>
        <row r="30">
          <cell r="C30">
            <v>558581000</v>
          </cell>
          <cell r="D30">
            <v>36384000</v>
          </cell>
          <cell r="E30">
            <v>-236000</v>
          </cell>
          <cell r="F30">
            <v>-845000</v>
          </cell>
          <cell r="G30">
            <v>1720000</v>
          </cell>
          <cell r="H30">
            <v>375000</v>
          </cell>
          <cell r="I30">
            <v>0</v>
          </cell>
          <cell r="K30">
            <v>870000</v>
          </cell>
          <cell r="L30">
            <v>353000</v>
          </cell>
          <cell r="M30">
            <v>-353000</v>
          </cell>
          <cell r="N30">
            <v>-365000</v>
          </cell>
          <cell r="O30">
            <v>103000</v>
          </cell>
          <cell r="P30">
            <v>0</v>
          </cell>
        </row>
        <row r="33">
          <cell r="C33">
            <v>68364000</v>
          </cell>
          <cell r="D33">
            <v>15994000</v>
          </cell>
          <cell r="E33">
            <v>-41000</v>
          </cell>
          <cell r="F33">
            <v>-134000</v>
          </cell>
          <cell r="G33">
            <v>274000</v>
          </cell>
          <cell r="H33">
            <v>164000</v>
          </cell>
          <cell r="I33">
            <v>0</v>
          </cell>
          <cell r="K33">
            <v>626000</v>
          </cell>
          <cell r="L33">
            <v>239000</v>
          </cell>
          <cell r="M33">
            <v>-239000</v>
          </cell>
          <cell r="N33">
            <v>-245000</v>
          </cell>
          <cell r="O33">
            <v>0</v>
          </cell>
          <cell r="P33">
            <v>-13000</v>
          </cell>
        </row>
        <row r="34">
          <cell r="D34">
            <v>8535000</v>
          </cell>
          <cell r="E34">
            <v>0</v>
          </cell>
          <cell r="F34">
            <v>0</v>
          </cell>
          <cell r="G34">
            <v>1635000</v>
          </cell>
          <cell r="H34">
            <v>87000</v>
          </cell>
          <cell r="I34">
            <v>0</v>
          </cell>
          <cell r="K34">
            <v>39000</v>
          </cell>
          <cell r="L34">
            <v>6000</v>
          </cell>
          <cell r="M34">
            <v>-6000</v>
          </cell>
          <cell r="N34">
            <v>-228000</v>
          </cell>
          <cell r="O34">
            <v>0</v>
          </cell>
          <cell r="P34">
            <v>0</v>
          </cell>
        </row>
        <row r="35">
          <cell r="D35">
            <v>3860000</v>
          </cell>
          <cell r="E35">
            <v>0</v>
          </cell>
          <cell r="F35">
            <v>0</v>
          </cell>
          <cell r="G35">
            <v>1687000</v>
          </cell>
          <cell r="H35">
            <v>288000</v>
          </cell>
          <cell r="I35">
            <v>0</v>
          </cell>
          <cell r="K35">
            <v>1026000</v>
          </cell>
          <cell r="L35">
            <v>285000</v>
          </cell>
          <cell r="M35">
            <v>-285000</v>
          </cell>
          <cell r="N35">
            <v>-402000</v>
          </cell>
          <cell r="O35">
            <v>0</v>
          </cell>
          <cell r="P35">
            <v>0</v>
          </cell>
        </row>
        <row r="39">
          <cell r="C39">
            <v>7435000</v>
          </cell>
          <cell r="D39">
            <v>339000</v>
          </cell>
          <cell r="E39">
            <v>-4000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4000</v>
          </cell>
          <cell r="M39">
            <v>-4000</v>
          </cell>
          <cell r="N39">
            <v>0</v>
          </cell>
          <cell r="O39">
            <v>0</v>
          </cell>
          <cell r="P39">
            <v>0</v>
          </cell>
        </row>
        <row r="41">
          <cell r="C41">
            <v>23412249000</v>
          </cell>
          <cell r="D41">
            <v>2033542000</v>
          </cell>
          <cell r="E41">
            <v>-20760000</v>
          </cell>
          <cell r="F41">
            <v>-36877000</v>
          </cell>
          <cell r="G41">
            <v>78467000</v>
          </cell>
          <cell r="H41">
            <v>21178000</v>
          </cell>
          <cell r="I41">
            <v>0</v>
          </cell>
          <cell r="K41">
            <v>58367000</v>
          </cell>
          <cell r="L41">
            <v>26414000</v>
          </cell>
          <cell r="M41">
            <v>-26414000</v>
          </cell>
          <cell r="N41">
            <v>-23342000</v>
          </cell>
          <cell r="O41">
            <v>15012000</v>
          </cell>
          <cell r="P41">
            <v>-83757000</v>
          </cell>
          <cell r="Q41">
            <v>6877000</v>
          </cell>
          <cell r="R41">
            <v>2040419000</v>
          </cell>
        </row>
      </sheetData>
      <sheetData sheetId="1">
        <row r="29">
          <cell r="C29">
            <v>2031478000</v>
          </cell>
        </row>
        <row r="30">
          <cell r="C30">
            <v>482889000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vered Sched_Lvl_Final"/>
      <sheetName val="Customer Sched_Lvl_Final "/>
      <sheetName val="Billed Demand Sched Lvl_Final"/>
      <sheetName val="EV_Delivered"/>
      <sheetName val="Delivered Sched_Lvl_NO EV"/>
      <sheetName val="Electric - Load - System NO EV"/>
      <sheetName val="Electric - Customers - System"/>
      <sheetName val="F19 kWh Alloc (Excl. EV)"/>
      <sheetName val="F19 Customer Alloc"/>
      <sheetName val="Historical Load Factor By Sched"/>
      <sheetName val="Historical KWH By Sched"/>
      <sheetName val="Historical KW By Sched"/>
      <sheetName val="Electric - Loads - System FINAL"/>
    </sheetNames>
    <sheetDataSet>
      <sheetData sheetId="0"/>
      <sheetData sheetId="1"/>
      <sheetData sheetId="2"/>
      <sheetData sheetId="3"/>
      <sheetData sheetId="4"/>
      <sheetData sheetId="5"/>
      <sheetData sheetId="6">
        <row r="43">
          <cell r="E43">
            <v>1031989</v>
          </cell>
        </row>
        <row r="44">
          <cell r="E44">
            <v>1033260</v>
          </cell>
        </row>
        <row r="45">
          <cell r="E45">
            <v>1034261</v>
          </cell>
        </row>
        <row r="46">
          <cell r="E46">
            <v>1035099</v>
          </cell>
        </row>
        <row r="47">
          <cell r="E47">
            <v>1035847</v>
          </cell>
        </row>
        <row r="48">
          <cell r="E48">
            <v>1036691</v>
          </cell>
        </row>
        <row r="49">
          <cell r="E49">
            <v>1037136</v>
          </cell>
        </row>
        <row r="50">
          <cell r="E50">
            <v>1037921</v>
          </cell>
        </row>
        <row r="51">
          <cell r="E51">
            <v>1039166</v>
          </cell>
        </row>
        <row r="52">
          <cell r="E52">
            <v>1040602</v>
          </cell>
        </row>
        <row r="53">
          <cell r="E53">
            <v>1042117</v>
          </cell>
        </row>
        <row r="54">
          <cell r="E54">
            <v>1043361</v>
          </cell>
        </row>
      </sheetData>
      <sheetData sheetId="7"/>
      <sheetData sheetId="8"/>
      <sheetData sheetId="9"/>
      <sheetData sheetId="10"/>
      <sheetData sheetId="11"/>
      <sheetData sheetId="12">
        <row r="42">
          <cell r="E42">
            <v>1252327</v>
          </cell>
        </row>
        <row r="43">
          <cell r="E43">
            <v>1088361</v>
          </cell>
        </row>
        <row r="44">
          <cell r="E44">
            <v>1049153</v>
          </cell>
        </row>
        <row r="45">
          <cell r="E45">
            <v>864607</v>
          </cell>
        </row>
        <row r="46">
          <cell r="E46">
            <v>737952</v>
          </cell>
        </row>
        <row r="47">
          <cell r="E47">
            <v>680006</v>
          </cell>
        </row>
        <row r="48">
          <cell r="E48">
            <v>696924</v>
          </cell>
        </row>
        <row r="49">
          <cell r="E49">
            <v>682562</v>
          </cell>
        </row>
        <row r="50">
          <cell r="E50">
            <v>672654</v>
          </cell>
        </row>
        <row r="51">
          <cell r="E51">
            <v>830134</v>
          </cell>
        </row>
        <row r="52">
          <cell r="E52">
            <v>1024677</v>
          </cell>
        </row>
        <row r="53">
          <cell r="E53">
            <v>1293747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tabSelected="1" workbookViewId="0">
      <selection activeCell="A10" sqref="A10"/>
    </sheetView>
  </sheetViews>
  <sheetFormatPr defaultColWidth="9.140625" defaultRowHeight="27.75" x14ac:dyDescent="0.4"/>
  <cols>
    <col min="1" max="1" width="131" style="8" bestFit="1" customWidth="1"/>
    <col min="2" max="16384" width="9.140625" style="6"/>
  </cols>
  <sheetData>
    <row r="1" spans="1:1" x14ac:dyDescent="0.4">
      <c r="A1" s="8" t="s">
        <v>13</v>
      </c>
    </row>
    <row r="3" spans="1:1" x14ac:dyDescent="0.4">
      <c r="A3" s="9" t="s">
        <v>483</v>
      </c>
    </row>
    <row r="4" spans="1:1" x14ac:dyDescent="0.4">
      <c r="A4" s="8" t="s">
        <v>79</v>
      </c>
    </row>
    <row r="5" spans="1:1" x14ac:dyDescent="0.4">
      <c r="A5" s="9" t="s">
        <v>109</v>
      </c>
    </row>
    <row r="6" spans="1:1" x14ac:dyDescent="0.4">
      <c r="A6" s="9" t="s">
        <v>432</v>
      </c>
    </row>
    <row r="7" spans="1:1" x14ac:dyDescent="0.4">
      <c r="A7" s="9" t="s">
        <v>63</v>
      </c>
    </row>
    <row r="8" spans="1:1" x14ac:dyDescent="0.4">
      <c r="A8" s="8" t="s">
        <v>62</v>
      </c>
    </row>
    <row r="10" spans="1:1" x14ac:dyDescent="0.4">
      <c r="A10" s="9" t="s">
        <v>82</v>
      </c>
    </row>
    <row r="11" spans="1:1" x14ac:dyDescent="0.4">
      <c r="A11" s="9"/>
    </row>
    <row r="12" spans="1:1" x14ac:dyDescent="0.4">
      <c r="A12" s="9"/>
    </row>
    <row r="13" spans="1:1" x14ac:dyDescent="0.4">
      <c r="A13" s="9"/>
    </row>
    <row r="14" spans="1:1" x14ac:dyDescent="0.4">
      <c r="A14" s="9"/>
    </row>
    <row r="15" spans="1:1" x14ac:dyDescent="0.4">
      <c r="A15" s="9"/>
    </row>
  </sheetData>
  <phoneticPr fontId="3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E1"/>
    </sheetView>
  </sheetViews>
  <sheetFormatPr defaultColWidth="8.85546875" defaultRowHeight="12.75" x14ac:dyDescent="0.2"/>
  <cols>
    <col min="1" max="1" width="5" style="127" bestFit="1" customWidth="1"/>
    <col min="2" max="2" width="5.85546875" style="127" bestFit="1" customWidth="1"/>
    <col min="3" max="3" width="9.140625" style="127" bestFit="1" customWidth="1"/>
    <col min="4" max="4" width="1" style="127" customWidth="1"/>
    <col min="5" max="5" width="16.7109375" style="127" bestFit="1" customWidth="1"/>
    <col min="6" max="7" width="8.85546875" style="127"/>
    <col min="8" max="8" width="4.7109375" style="127" bestFit="1" customWidth="1"/>
    <col min="9" max="16384" width="8.85546875" style="127"/>
  </cols>
  <sheetData>
    <row r="1" spans="1:5" ht="90" customHeight="1" x14ac:dyDescent="0.2">
      <c r="A1" s="494" t="s">
        <v>431</v>
      </c>
      <c r="B1" s="495"/>
      <c r="C1" s="495"/>
      <c r="D1" s="495"/>
      <c r="E1" s="495"/>
    </row>
    <row r="2" spans="1:5" ht="21" x14ac:dyDescent="0.35">
      <c r="A2" s="496" t="s">
        <v>425</v>
      </c>
      <c r="B2" s="496"/>
      <c r="C2" s="496"/>
      <c r="D2" s="496"/>
      <c r="E2" s="496"/>
    </row>
    <row r="3" spans="1:5" ht="13.5" thickBot="1" x14ac:dyDescent="0.25"/>
    <row r="4" spans="1:5" x14ac:dyDescent="0.2">
      <c r="E4" s="284" t="s">
        <v>425</v>
      </c>
    </row>
    <row r="5" spans="1:5" x14ac:dyDescent="0.2">
      <c r="A5" s="291" t="s">
        <v>426</v>
      </c>
      <c r="B5" s="291" t="s">
        <v>34</v>
      </c>
      <c r="C5" s="291" t="s">
        <v>202</v>
      </c>
      <c r="E5" s="285" t="s">
        <v>1</v>
      </c>
    </row>
    <row r="6" spans="1:5" x14ac:dyDescent="0.2">
      <c r="A6" s="291">
        <v>2020</v>
      </c>
      <c r="B6" s="291">
        <v>1</v>
      </c>
      <c r="C6" s="286">
        <v>43831</v>
      </c>
      <c r="E6" s="443">
        <f>'[2]Electric - Customers - System'!E43</f>
        <v>1031989</v>
      </c>
    </row>
    <row r="7" spans="1:5" x14ac:dyDescent="0.2">
      <c r="A7" s="291">
        <v>2020</v>
      </c>
      <c r="B7" s="291">
        <v>2</v>
      </c>
      <c r="C7" s="286">
        <v>43862</v>
      </c>
      <c r="E7" s="443">
        <f>'[2]Electric - Customers - System'!E44</f>
        <v>1033260</v>
      </c>
    </row>
    <row r="8" spans="1:5" x14ac:dyDescent="0.2">
      <c r="A8" s="291">
        <v>2020</v>
      </c>
      <c r="B8" s="291">
        <v>3</v>
      </c>
      <c r="C8" s="286">
        <v>43891</v>
      </c>
      <c r="E8" s="443">
        <f>'[2]Electric - Customers - System'!E45</f>
        <v>1034261</v>
      </c>
    </row>
    <row r="9" spans="1:5" x14ac:dyDescent="0.2">
      <c r="A9" s="291">
        <v>2020</v>
      </c>
      <c r="B9" s="291">
        <v>4</v>
      </c>
      <c r="C9" s="286">
        <v>43922</v>
      </c>
      <c r="E9" s="443">
        <f>'[2]Electric - Customers - System'!E46</f>
        <v>1035099</v>
      </c>
    </row>
    <row r="10" spans="1:5" x14ac:dyDescent="0.2">
      <c r="A10" s="291">
        <v>2020</v>
      </c>
      <c r="B10" s="291">
        <v>5</v>
      </c>
      <c r="C10" s="286">
        <v>43952</v>
      </c>
      <c r="E10" s="443">
        <f>'[2]Electric - Customers - System'!E47</f>
        <v>1035847</v>
      </c>
    </row>
    <row r="11" spans="1:5" x14ac:dyDescent="0.2">
      <c r="A11" s="291">
        <v>2020</v>
      </c>
      <c r="B11" s="291">
        <v>6</v>
      </c>
      <c r="C11" s="286">
        <v>43983</v>
      </c>
      <c r="E11" s="443">
        <f>'[2]Electric - Customers - System'!E48</f>
        <v>1036691</v>
      </c>
    </row>
    <row r="12" spans="1:5" x14ac:dyDescent="0.2">
      <c r="A12" s="291">
        <v>2020</v>
      </c>
      <c r="B12" s="291">
        <v>7</v>
      </c>
      <c r="C12" s="286">
        <v>44013</v>
      </c>
      <c r="E12" s="443">
        <f>'[2]Electric - Customers - System'!E49</f>
        <v>1037136</v>
      </c>
    </row>
    <row r="13" spans="1:5" x14ac:dyDescent="0.2">
      <c r="A13" s="291">
        <v>2020</v>
      </c>
      <c r="B13" s="291">
        <v>8</v>
      </c>
      <c r="C13" s="286">
        <v>44044</v>
      </c>
      <c r="E13" s="443">
        <f>'[2]Electric - Customers - System'!E50</f>
        <v>1037921</v>
      </c>
    </row>
    <row r="14" spans="1:5" x14ac:dyDescent="0.2">
      <c r="A14" s="291">
        <v>2020</v>
      </c>
      <c r="B14" s="291">
        <v>9</v>
      </c>
      <c r="C14" s="286">
        <v>44075</v>
      </c>
      <c r="E14" s="443">
        <f>'[2]Electric - Customers - System'!E51</f>
        <v>1039166</v>
      </c>
    </row>
    <row r="15" spans="1:5" x14ac:dyDescent="0.2">
      <c r="A15" s="291">
        <v>2020</v>
      </c>
      <c r="B15" s="291">
        <v>10</v>
      </c>
      <c r="C15" s="286">
        <v>44105</v>
      </c>
      <c r="E15" s="443">
        <f>'[2]Electric - Customers - System'!E52</f>
        <v>1040602</v>
      </c>
    </row>
    <row r="16" spans="1:5" x14ac:dyDescent="0.2">
      <c r="A16" s="291">
        <v>2020</v>
      </c>
      <c r="B16" s="291">
        <v>11</v>
      </c>
      <c r="C16" s="286">
        <v>44136</v>
      </c>
      <c r="E16" s="443">
        <f>'[2]Electric - Customers - System'!E53</f>
        <v>1042117</v>
      </c>
    </row>
    <row r="17" spans="1:10" ht="13.5" thickBot="1" x14ac:dyDescent="0.25">
      <c r="A17" s="291">
        <v>2020</v>
      </c>
      <c r="B17" s="291">
        <v>12</v>
      </c>
      <c r="C17" s="286">
        <v>44166</v>
      </c>
      <c r="E17" s="444">
        <f>'[2]Electric - Customers - System'!E54</f>
        <v>1043361</v>
      </c>
    </row>
    <row r="18" spans="1:10" x14ac:dyDescent="0.2">
      <c r="E18" s="289">
        <f>SUM(E6:E17)</f>
        <v>12447450</v>
      </c>
    </row>
    <row r="19" spans="1:10" ht="21" x14ac:dyDescent="0.35">
      <c r="A19" s="497" t="s">
        <v>427</v>
      </c>
      <c r="B19" s="497"/>
      <c r="C19" s="497"/>
      <c r="D19" s="497"/>
      <c r="E19" s="497"/>
    </row>
    <row r="20" spans="1:10" ht="13.5" thickBot="1" x14ac:dyDescent="0.25"/>
    <row r="21" spans="1:10" x14ac:dyDescent="0.2">
      <c r="E21" s="287" t="s">
        <v>428</v>
      </c>
    </row>
    <row r="22" spans="1:10" x14ac:dyDescent="0.2">
      <c r="A22" s="291" t="s">
        <v>426</v>
      </c>
      <c r="B22" s="291" t="s">
        <v>34</v>
      </c>
      <c r="C22" s="291" t="s">
        <v>202</v>
      </c>
      <c r="E22" s="285" t="s">
        <v>1</v>
      </c>
    </row>
    <row r="23" spans="1:10" x14ac:dyDescent="0.2">
      <c r="E23" s="288"/>
    </row>
    <row r="24" spans="1:10" x14ac:dyDescent="0.2">
      <c r="A24" s="291">
        <v>2020</v>
      </c>
      <c r="B24" s="291">
        <v>1</v>
      </c>
      <c r="C24" s="286">
        <v>43831</v>
      </c>
      <c r="E24" s="443">
        <f>'[2]Electric - Loads - System FINAL'!E42</f>
        <v>1252327</v>
      </c>
      <c r="G24" s="289"/>
      <c r="H24" s="289"/>
      <c r="J24" s="289"/>
    </row>
    <row r="25" spans="1:10" x14ac:dyDescent="0.2">
      <c r="A25" s="291">
        <v>2020</v>
      </c>
      <c r="B25" s="291">
        <v>2</v>
      </c>
      <c r="C25" s="286">
        <v>43862</v>
      </c>
      <c r="E25" s="443">
        <f>'[2]Electric - Loads - System FINAL'!E43</f>
        <v>1088361</v>
      </c>
      <c r="G25" s="289"/>
      <c r="H25" s="289"/>
      <c r="J25" s="289"/>
    </row>
    <row r="26" spans="1:10" x14ac:dyDescent="0.2">
      <c r="A26" s="291">
        <v>2020</v>
      </c>
      <c r="B26" s="291">
        <v>3</v>
      </c>
      <c r="C26" s="286">
        <v>43891</v>
      </c>
      <c r="E26" s="443">
        <f>'[2]Electric - Loads - System FINAL'!E44</f>
        <v>1049153</v>
      </c>
      <c r="G26" s="289"/>
      <c r="H26" s="289"/>
      <c r="J26" s="289"/>
    </row>
    <row r="27" spans="1:10" x14ac:dyDescent="0.2">
      <c r="A27" s="291">
        <v>2020</v>
      </c>
      <c r="B27" s="291">
        <v>4</v>
      </c>
      <c r="C27" s="286">
        <v>43922</v>
      </c>
      <c r="E27" s="443">
        <f>'[2]Electric - Loads - System FINAL'!E45</f>
        <v>864607</v>
      </c>
      <c r="G27" s="289"/>
      <c r="H27" s="289"/>
      <c r="J27" s="289"/>
    </row>
    <row r="28" spans="1:10" x14ac:dyDescent="0.2">
      <c r="A28" s="291">
        <v>2020</v>
      </c>
      <c r="B28" s="291">
        <v>5</v>
      </c>
      <c r="C28" s="286">
        <v>43952</v>
      </c>
      <c r="E28" s="443">
        <f>'[2]Electric - Loads - System FINAL'!E46</f>
        <v>737952</v>
      </c>
      <c r="G28" s="289"/>
      <c r="H28" s="289"/>
      <c r="J28" s="289"/>
    </row>
    <row r="29" spans="1:10" x14ac:dyDescent="0.2">
      <c r="A29" s="291">
        <v>2020</v>
      </c>
      <c r="B29" s="291">
        <v>6</v>
      </c>
      <c r="C29" s="286">
        <v>43983</v>
      </c>
      <c r="E29" s="443">
        <f>'[2]Electric - Loads - System FINAL'!E47</f>
        <v>680006</v>
      </c>
      <c r="G29" s="289"/>
      <c r="H29" s="289"/>
      <c r="J29" s="289"/>
    </row>
    <row r="30" spans="1:10" x14ac:dyDescent="0.2">
      <c r="A30" s="291">
        <v>2020</v>
      </c>
      <c r="B30" s="291">
        <v>7</v>
      </c>
      <c r="C30" s="286">
        <v>44013</v>
      </c>
      <c r="E30" s="443">
        <f>'[2]Electric - Loads - System FINAL'!E48</f>
        <v>696924</v>
      </c>
      <c r="G30" s="289"/>
      <c r="H30" s="289"/>
      <c r="J30" s="289"/>
    </row>
    <row r="31" spans="1:10" x14ac:dyDescent="0.2">
      <c r="A31" s="291">
        <v>2020</v>
      </c>
      <c r="B31" s="291">
        <v>8</v>
      </c>
      <c r="C31" s="286">
        <v>44044</v>
      </c>
      <c r="E31" s="443">
        <f>'[2]Electric - Loads - System FINAL'!E49</f>
        <v>682562</v>
      </c>
      <c r="G31" s="289"/>
      <c r="H31" s="289"/>
      <c r="J31" s="289"/>
    </row>
    <row r="32" spans="1:10" x14ac:dyDescent="0.2">
      <c r="A32" s="291">
        <v>2020</v>
      </c>
      <c r="B32" s="291">
        <v>9</v>
      </c>
      <c r="C32" s="286">
        <v>44075</v>
      </c>
      <c r="E32" s="443">
        <f>'[2]Electric - Loads - System FINAL'!E50</f>
        <v>672654</v>
      </c>
      <c r="G32" s="289"/>
      <c r="H32" s="289"/>
      <c r="J32" s="289"/>
    </row>
    <row r="33" spans="1:10" x14ac:dyDescent="0.2">
      <c r="A33" s="291">
        <v>2020</v>
      </c>
      <c r="B33" s="291">
        <v>10</v>
      </c>
      <c r="C33" s="286">
        <v>44105</v>
      </c>
      <c r="E33" s="443">
        <f>'[2]Electric - Loads - System FINAL'!E51</f>
        <v>830134</v>
      </c>
      <c r="G33" s="289"/>
      <c r="H33" s="289"/>
      <c r="J33" s="289"/>
    </row>
    <row r="34" spans="1:10" x14ac:dyDescent="0.2">
      <c r="A34" s="291">
        <v>2020</v>
      </c>
      <c r="B34" s="291">
        <v>11</v>
      </c>
      <c r="C34" s="286">
        <v>44136</v>
      </c>
      <c r="E34" s="443">
        <f>'[2]Electric - Loads - System FINAL'!E52</f>
        <v>1024677</v>
      </c>
      <c r="G34" s="289"/>
      <c r="H34" s="289"/>
      <c r="J34" s="289"/>
    </row>
    <row r="35" spans="1:10" ht="13.5" thickBot="1" x14ac:dyDescent="0.25">
      <c r="A35" s="291">
        <v>2020</v>
      </c>
      <c r="B35" s="291">
        <v>12</v>
      </c>
      <c r="C35" s="286">
        <v>44166</v>
      </c>
      <c r="E35" s="444">
        <f>'[2]Electric - Loads - System FINAL'!E53</f>
        <v>1293747</v>
      </c>
      <c r="G35" s="289"/>
      <c r="H35" s="289"/>
      <c r="J35" s="289"/>
    </row>
    <row r="36" spans="1:10" x14ac:dyDescent="0.2">
      <c r="C36" s="127" t="s">
        <v>451</v>
      </c>
      <c r="E36" s="289">
        <f>SUM(E24:E35)</f>
        <v>10873104</v>
      </c>
    </row>
    <row r="37" spans="1:10" x14ac:dyDescent="0.2">
      <c r="C37" s="127" t="s">
        <v>446</v>
      </c>
      <c r="E37" s="289">
        <f>E36*1000-'2020 Est Proforma Net Revenue'!C10</f>
        <v>0</v>
      </c>
    </row>
  </sheetData>
  <mergeCells count="3">
    <mergeCell ref="A1:E1"/>
    <mergeCell ref="A2:E2"/>
    <mergeCell ref="A19:E19"/>
  </mergeCells>
  <printOptions horizontalCentered="1"/>
  <pageMargins left="0.7" right="0.7" top="0.75" bottom="0.75" header="0.3" footer="0.3"/>
  <pageSetup scale="91" orientation="landscape" r:id="rId1"/>
  <headerFooter>
    <oddFooter>&amp;L&amp;F
&amp;A&amp;RPage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workbookViewId="0">
      <selection activeCell="A3" sqref="A3:M3"/>
    </sheetView>
  </sheetViews>
  <sheetFormatPr defaultColWidth="8.85546875" defaultRowHeight="15" x14ac:dyDescent="0.25"/>
  <cols>
    <col min="1" max="1" width="4.5703125" style="126" bestFit="1" customWidth="1"/>
    <col min="2" max="2" width="11" style="126" bestFit="1" customWidth="1"/>
    <col min="3" max="3" width="16.28515625" style="126" customWidth="1"/>
    <col min="4" max="4" width="15" style="126" customWidth="1"/>
    <col min="5" max="5" width="12.5703125" style="126" bestFit="1" customWidth="1"/>
    <col min="6" max="6" width="8.7109375" style="126" customWidth="1"/>
    <col min="7" max="7" width="10" style="126" customWidth="1"/>
    <col min="8" max="8" width="10.42578125" style="126" bestFit="1" customWidth="1"/>
    <col min="9" max="9" width="15.28515625" style="126" customWidth="1"/>
    <col min="10" max="10" width="9.85546875" style="126" customWidth="1"/>
    <col min="11" max="11" width="15.140625" style="126" bestFit="1" customWidth="1"/>
    <col min="12" max="12" width="10.42578125" style="126" customWidth="1"/>
    <col min="13" max="14" width="1.85546875" style="126" customWidth="1"/>
    <col min="15" max="15" width="16.42578125" style="126" bestFit="1" customWidth="1"/>
    <col min="16" max="16384" width="8.85546875" style="126"/>
  </cols>
  <sheetData>
    <row r="1" spans="1:14" x14ac:dyDescent="0.25">
      <c r="A1" s="488" t="s">
        <v>13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125"/>
    </row>
    <row r="2" spans="1:14" x14ac:dyDescent="0.25">
      <c r="A2" s="488" t="s">
        <v>168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125"/>
    </row>
    <row r="3" spans="1:14" x14ac:dyDescent="0.25">
      <c r="A3" s="480" t="s">
        <v>169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125"/>
    </row>
    <row r="4" spans="1:14" x14ac:dyDescent="0.25">
      <c r="A4" s="480" t="s">
        <v>170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125"/>
    </row>
    <row r="5" spans="1:14" ht="15.75" thickBot="1" x14ac:dyDescent="0.3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</row>
    <row r="6" spans="1:14" ht="15.75" thickBot="1" x14ac:dyDescent="0.3">
      <c r="A6" s="127"/>
      <c r="B6" s="127"/>
      <c r="C6" s="498" t="s">
        <v>171</v>
      </c>
      <c r="D6" s="499"/>
      <c r="E6" s="499"/>
      <c r="F6" s="499"/>
      <c r="G6" s="499"/>
      <c r="H6" s="499"/>
      <c r="I6" s="499"/>
      <c r="J6" s="500"/>
      <c r="K6" s="498" t="s">
        <v>172</v>
      </c>
      <c r="L6" s="499"/>
      <c r="M6" s="499"/>
      <c r="N6" s="500"/>
    </row>
    <row r="7" spans="1:14" ht="15.75" thickBot="1" x14ac:dyDescent="0.3">
      <c r="A7" s="127"/>
      <c r="B7" s="127"/>
      <c r="C7" s="128" t="s">
        <v>173</v>
      </c>
      <c r="D7" s="129" t="s">
        <v>174</v>
      </c>
      <c r="E7" s="130" t="s">
        <v>175</v>
      </c>
      <c r="F7" s="129" t="s">
        <v>176</v>
      </c>
      <c r="G7" s="129" t="s">
        <v>177</v>
      </c>
      <c r="H7" s="129" t="s">
        <v>178</v>
      </c>
      <c r="I7" s="129" t="s">
        <v>179</v>
      </c>
      <c r="J7" s="131" t="s">
        <v>180</v>
      </c>
      <c r="K7" s="498" t="s">
        <v>181</v>
      </c>
      <c r="L7" s="499"/>
      <c r="M7" s="499"/>
      <c r="N7" s="500"/>
    </row>
    <row r="8" spans="1:14" ht="90.75" thickBot="1" x14ac:dyDescent="0.3">
      <c r="A8" s="132" t="s">
        <v>0</v>
      </c>
      <c r="B8" s="132" t="s">
        <v>136</v>
      </c>
      <c r="C8" s="133" t="s">
        <v>182</v>
      </c>
      <c r="D8" s="134" t="s">
        <v>183</v>
      </c>
      <c r="E8" s="134" t="s">
        <v>184</v>
      </c>
      <c r="F8" s="134" t="s">
        <v>185</v>
      </c>
      <c r="G8" s="134" t="s">
        <v>186</v>
      </c>
      <c r="H8" s="134" t="s">
        <v>187</v>
      </c>
      <c r="I8" s="134" t="s">
        <v>188</v>
      </c>
      <c r="J8" s="135" t="s">
        <v>189</v>
      </c>
      <c r="K8" s="133" t="s">
        <v>190</v>
      </c>
      <c r="L8" s="134" t="s">
        <v>191</v>
      </c>
      <c r="M8" s="136"/>
      <c r="N8" s="137"/>
    </row>
    <row r="9" spans="1:14" x14ac:dyDescent="0.25">
      <c r="A9" s="128">
        <v>1</v>
      </c>
      <c r="B9" s="138">
        <v>7</v>
      </c>
      <c r="C9" s="369">
        <f>+K9</f>
        <v>11362694034.5944</v>
      </c>
      <c r="D9" s="370">
        <f>+C9</f>
        <v>11362694034.5944</v>
      </c>
      <c r="E9" s="370"/>
      <c r="F9" s="370"/>
      <c r="G9" s="370"/>
      <c r="H9" s="370">
        <f>+L9</f>
        <v>2401760.8159533199</v>
      </c>
      <c r="I9" s="370">
        <f>+H9</f>
        <v>2401760.8159533199</v>
      </c>
      <c r="J9" s="371"/>
      <c r="K9" s="376">
        <f>+'UE-170033 LR Data -Energy'!J20</f>
        <v>11362694034.5944</v>
      </c>
      <c r="L9" s="377">
        <f>+'UE-170033 LR Data- Dem 4CP'!S19</f>
        <v>2401760.8159533199</v>
      </c>
      <c r="M9" s="370"/>
      <c r="N9" s="371"/>
    </row>
    <row r="10" spans="1:14" x14ac:dyDescent="0.25">
      <c r="A10" s="58">
        <v>2</v>
      </c>
      <c r="B10" s="142">
        <v>24</v>
      </c>
      <c r="C10" s="139">
        <f t="shared" ref="C10:C21" si="0">+K10</f>
        <v>2983833723.3713889</v>
      </c>
      <c r="D10" s="140">
        <f t="shared" ref="D10:D18" si="1">+C10</f>
        <v>2983833723.3713889</v>
      </c>
      <c r="E10" s="140"/>
      <c r="F10" s="140"/>
      <c r="G10" s="140"/>
      <c r="H10" s="140">
        <f t="shared" ref="H10:H21" si="2">+L10</f>
        <v>483797.35950569448</v>
      </c>
      <c r="I10" s="140">
        <f t="shared" ref="I10:I21" si="3">+H10</f>
        <v>483797.35950569448</v>
      </c>
      <c r="J10" s="141"/>
      <c r="K10" s="378">
        <f>+'UE-170033 LR Data -Energy'!J21</f>
        <v>2983833723.3713889</v>
      </c>
      <c r="L10" s="379">
        <f>+'UE-170033 LR Data- Dem 4CP'!E19</f>
        <v>483797.35950569448</v>
      </c>
      <c r="M10" s="140"/>
      <c r="N10" s="141"/>
    </row>
    <row r="11" spans="1:14" x14ac:dyDescent="0.25">
      <c r="A11" s="58">
        <v>3</v>
      </c>
      <c r="B11" s="142" t="s">
        <v>192</v>
      </c>
      <c r="C11" s="139">
        <f t="shared" si="0"/>
        <v>3080584885.4856691</v>
      </c>
      <c r="D11" s="140">
        <f t="shared" si="1"/>
        <v>3080584885.4856691</v>
      </c>
      <c r="E11" s="140"/>
      <c r="F11" s="140"/>
      <c r="G11" s="140"/>
      <c r="H11" s="140">
        <f t="shared" si="2"/>
        <v>452472.55815379717</v>
      </c>
      <c r="I11" s="140">
        <f t="shared" si="3"/>
        <v>452472.55815379717</v>
      </c>
      <c r="J11" s="141"/>
      <c r="K11" s="378">
        <f>'UE-170033 LR Data -Energy'!J22+'UE-170033 LR Data -Energy'!J24</f>
        <v>3080584885.4856691</v>
      </c>
      <c r="L11" s="379">
        <f>+'UE-170033 LR Data- Dem 4CP'!F19+'UE-170033 LR Data- Dem 4CP'!H19</f>
        <v>452472.55815379717</v>
      </c>
      <c r="M11" s="140"/>
      <c r="N11" s="141"/>
    </row>
    <row r="12" spans="1:14" x14ac:dyDescent="0.25">
      <c r="A12" s="58">
        <v>4</v>
      </c>
      <c r="B12" s="142">
        <v>26</v>
      </c>
      <c r="C12" s="139">
        <f t="shared" si="0"/>
        <v>2051022389.543107</v>
      </c>
      <c r="D12" s="140">
        <f t="shared" si="1"/>
        <v>2051022389.543107</v>
      </c>
      <c r="E12" s="140"/>
      <c r="F12" s="140"/>
      <c r="G12" s="140"/>
      <c r="H12" s="140">
        <f t="shared" si="2"/>
        <v>261562.891393383</v>
      </c>
      <c r="I12" s="140">
        <f t="shared" si="3"/>
        <v>261562.891393383</v>
      </c>
      <c r="J12" s="141"/>
      <c r="K12" s="378">
        <f>+'UE-170033 LR Data -Energy'!J23</f>
        <v>2051022389.543107</v>
      </c>
      <c r="L12" s="379">
        <f>+'UE-170033 LR Data- Dem 4CP'!G19</f>
        <v>261562.891393383</v>
      </c>
      <c r="M12" s="140"/>
      <c r="N12" s="141"/>
    </row>
    <row r="13" spans="1:14" x14ac:dyDescent="0.25">
      <c r="A13" s="58">
        <v>5</v>
      </c>
      <c r="B13" s="142">
        <v>31</v>
      </c>
      <c r="C13" s="139">
        <f t="shared" si="0"/>
        <v>1342870567.1184549</v>
      </c>
      <c r="D13" s="140">
        <f t="shared" si="1"/>
        <v>1342870567.1184549</v>
      </c>
      <c r="E13" s="140"/>
      <c r="F13" s="140"/>
      <c r="G13" s="140"/>
      <c r="H13" s="140">
        <f t="shared" si="2"/>
        <v>179157.07260351363</v>
      </c>
      <c r="I13" s="140">
        <f t="shared" si="3"/>
        <v>179157.07260351363</v>
      </c>
      <c r="J13" s="141"/>
      <c r="K13" s="378">
        <f>+'UE-170033 LR Data -Energy'!J25</f>
        <v>1342870567.1184549</v>
      </c>
      <c r="L13" s="379">
        <f>+'UE-170033 LR Data- Dem 4CP'!I19</f>
        <v>179157.07260351363</v>
      </c>
      <c r="M13" s="140"/>
      <c r="N13" s="141"/>
    </row>
    <row r="14" spans="1:14" x14ac:dyDescent="0.25">
      <c r="A14" s="58">
        <v>6</v>
      </c>
      <c r="B14" s="142">
        <v>35</v>
      </c>
      <c r="C14" s="139">
        <f t="shared" si="0"/>
        <v>4594563.3633324662</v>
      </c>
      <c r="D14" s="140">
        <f t="shared" si="1"/>
        <v>4594563.3633324662</v>
      </c>
      <c r="E14" s="140"/>
      <c r="F14" s="140"/>
      <c r="G14" s="140"/>
      <c r="H14" s="140">
        <f t="shared" si="2"/>
        <v>4.0419526549894496</v>
      </c>
      <c r="I14" s="140">
        <f t="shared" si="3"/>
        <v>4.0419526549894496</v>
      </c>
      <c r="J14" s="141"/>
      <c r="K14" s="378">
        <f>+'UE-170033 LR Data -Energy'!J26</f>
        <v>4594563.3633324662</v>
      </c>
      <c r="L14" s="379">
        <f>+'UE-170033 LR Data- Dem 4CP'!J19</f>
        <v>4.0419526549894496</v>
      </c>
      <c r="M14" s="140"/>
      <c r="N14" s="141"/>
    </row>
    <row r="15" spans="1:14" x14ac:dyDescent="0.25">
      <c r="A15" s="58">
        <v>7</v>
      </c>
      <c r="B15" s="142">
        <v>43</v>
      </c>
      <c r="C15" s="139">
        <f t="shared" si="0"/>
        <v>124979540.86316925</v>
      </c>
      <c r="D15" s="140">
        <f t="shared" si="1"/>
        <v>124979540.86316925</v>
      </c>
      <c r="E15" s="140"/>
      <c r="F15" s="140"/>
      <c r="G15" s="140"/>
      <c r="H15" s="140">
        <v>0</v>
      </c>
      <c r="I15" s="140">
        <f t="shared" si="3"/>
        <v>0</v>
      </c>
      <c r="J15" s="141"/>
      <c r="K15" s="378">
        <f>+'UE-170033 LR Data -Energy'!J28</f>
        <v>124979540.86316925</v>
      </c>
      <c r="L15" s="379">
        <f>+'UE-170033 LR Data- Dem 4CP'!L19</f>
        <v>40576.134916547075</v>
      </c>
      <c r="M15" s="140"/>
      <c r="N15" s="141"/>
    </row>
    <row r="16" spans="1:14" x14ac:dyDescent="0.25">
      <c r="A16" s="58">
        <v>8</v>
      </c>
      <c r="B16" s="142">
        <v>40</v>
      </c>
      <c r="C16" s="139">
        <f t="shared" si="0"/>
        <v>639599439.09802258</v>
      </c>
      <c r="D16" s="325">
        <f>+D31</f>
        <v>192800042.09802258</v>
      </c>
      <c r="E16" s="140"/>
      <c r="F16" s="140"/>
      <c r="G16" s="140"/>
      <c r="H16" s="140">
        <f t="shared" si="2"/>
        <v>80420.565981487191</v>
      </c>
      <c r="I16" s="325">
        <f>I31</f>
        <v>19619.565981487205</v>
      </c>
      <c r="J16" s="141"/>
      <c r="K16" s="378">
        <f>+'UE-170033 LR Data -Energy'!J27</f>
        <v>639599439.09802258</v>
      </c>
      <c r="L16" s="379">
        <f>+'UE-170033 LR Data- Dem 4CP'!K19</f>
        <v>80420.565981487191</v>
      </c>
      <c r="M16" s="140"/>
      <c r="N16" s="141"/>
    </row>
    <row r="17" spans="1:15" x14ac:dyDescent="0.25">
      <c r="A17" s="58">
        <v>9</v>
      </c>
      <c r="B17" s="142" t="s">
        <v>102</v>
      </c>
      <c r="C17" s="139">
        <f t="shared" si="0"/>
        <v>632887813.72208166</v>
      </c>
      <c r="D17" s="140">
        <f t="shared" si="1"/>
        <v>632887813.72208166</v>
      </c>
      <c r="E17" s="140"/>
      <c r="F17" s="140"/>
      <c r="G17" s="140"/>
      <c r="H17" s="379">
        <f>+'UE-170033 LR Data- Dem 4CP'!Q21</f>
        <v>67179.705291231017</v>
      </c>
      <c r="I17" s="140">
        <f t="shared" si="3"/>
        <v>67179.705291231017</v>
      </c>
      <c r="J17" s="141"/>
      <c r="K17" s="378">
        <f>+'UE-170033 LR Data -Energy'!J29+'UE-170033 LR Data -Energy'!J30</f>
        <v>632887813.72208166</v>
      </c>
      <c r="L17" s="379">
        <f>+'UE-170033 LR Data- Dem 4CP'!P19+'UE-170033 LR Data- Dem 4CP'!Q19</f>
        <v>72695.711848550389</v>
      </c>
      <c r="M17" s="140"/>
      <c r="N17" s="141"/>
      <c r="O17" s="380" t="s">
        <v>467</v>
      </c>
    </row>
    <row r="18" spans="1:15" x14ac:dyDescent="0.25">
      <c r="A18" s="58">
        <v>10</v>
      </c>
      <c r="B18" s="142" t="s">
        <v>193</v>
      </c>
      <c r="C18" s="139">
        <f t="shared" si="0"/>
        <v>81534389.017231286</v>
      </c>
      <c r="D18" s="140">
        <f t="shared" si="1"/>
        <v>81534389.017231286</v>
      </c>
      <c r="E18" s="140"/>
      <c r="F18" s="140"/>
      <c r="G18" s="140"/>
      <c r="H18" s="140">
        <f t="shared" si="2"/>
        <v>13772.381425311305</v>
      </c>
      <c r="I18" s="140">
        <f t="shared" si="3"/>
        <v>13772.381425311305</v>
      </c>
      <c r="J18" s="141"/>
      <c r="K18" s="378">
        <f>+'UE-170033 LR Data -Energy'!J32</f>
        <v>81534389.017231286</v>
      </c>
      <c r="L18" s="379">
        <f>+'UE-170033 LR Data- Dem 4CP'!T19+'UE-170033 LR Data- Dem 4CP'!U19</f>
        <v>13772.381425311305</v>
      </c>
      <c r="M18" s="140"/>
      <c r="N18" s="141"/>
      <c r="O18" s="380" t="str">
        <f>'UE-170033 LR Data -Energy'!A32</f>
        <v>50-54,57-58</v>
      </c>
    </row>
    <row r="19" spans="1:15" x14ac:dyDescent="0.25">
      <c r="A19" s="58">
        <v>11</v>
      </c>
      <c r="B19" s="142" t="s">
        <v>194</v>
      </c>
      <c r="C19" s="139">
        <f t="shared" si="0"/>
        <v>107396590.46418484</v>
      </c>
      <c r="D19" s="140">
        <v>0</v>
      </c>
      <c r="E19" s="140"/>
      <c r="F19" s="140"/>
      <c r="G19" s="140"/>
      <c r="H19" s="140">
        <f t="shared" si="2"/>
        <v>12414.482378834524</v>
      </c>
      <c r="I19" s="140">
        <v>0</v>
      </c>
      <c r="J19" s="141"/>
      <c r="K19" s="378">
        <f>+'UE-170033 LR Data -Energy'!J41</f>
        <v>107396590.46418484</v>
      </c>
      <c r="L19" s="379">
        <f>+'UE-170033 LR Data- Dem 4CP'!N19</f>
        <v>12414.482378834524</v>
      </c>
      <c r="M19" s="140"/>
      <c r="N19" s="141"/>
      <c r="O19" s="380" t="str">
        <f>'UE-170033 LR Data -Energy'!A41</f>
        <v>449 PV</v>
      </c>
    </row>
    <row r="20" spans="1:15" x14ac:dyDescent="0.25">
      <c r="A20" s="58">
        <v>12</v>
      </c>
      <c r="B20" s="143" t="s">
        <v>195</v>
      </c>
      <c r="C20" s="139">
        <f t="shared" si="0"/>
        <v>2033050978.3414011</v>
      </c>
      <c r="D20" s="140">
        <v>0</v>
      </c>
      <c r="E20" s="140"/>
      <c r="F20" s="140"/>
      <c r="G20" s="140"/>
      <c r="H20" s="140">
        <f t="shared" si="2"/>
        <v>230846.168346208</v>
      </c>
      <c r="I20" s="140">
        <v>0</v>
      </c>
      <c r="J20" s="141"/>
      <c r="K20" s="378">
        <f>+'UE-170033 LR Data -Energy'!J39+'UE-170033 LR Data -Energy'!J40</f>
        <v>2033050978.3414011</v>
      </c>
      <c r="L20" s="379">
        <f>+'UE-170033 LR Data- Dem 4CP'!M19+'UE-170033 LR Data- Dem 4CP'!O19</f>
        <v>230846.168346208</v>
      </c>
      <c r="M20" s="140"/>
      <c r="N20" s="141"/>
      <c r="O20" s="380" t="s">
        <v>468</v>
      </c>
    </row>
    <row r="21" spans="1:15" x14ac:dyDescent="0.25">
      <c r="A21" s="58">
        <v>14</v>
      </c>
      <c r="B21" s="142" t="s">
        <v>196</v>
      </c>
      <c r="C21" s="139">
        <f t="shared" si="0"/>
        <v>7227693.8231415441</v>
      </c>
      <c r="D21" s="140">
        <f t="shared" ref="D21" si="4">+C21</f>
        <v>7227693.8231415441</v>
      </c>
      <c r="E21" s="140"/>
      <c r="F21" s="140"/>
      <c r="G21" s="140"/>
      <c r="H21" s="140">
        <f t="shared" si="2"/>
        <v>1530.4662657410647</v>
      </c>
      <c r="I21" s="140">
        <f t="shared" si="3"/>
        <v>1530.4662657410647</v>
      </c>
      <c r="J21" s="141"/>
      <c r="K21" s="378">
        <f>+'UE-170033 LR Data -Energy'!J31</f>
        <v>7227693.8231415441</v>
      </c>
      <c r="L21" s="379">
        <f>+'UE-170033 LR Data- Dem 4CP'!R19</f>
        <v>1530.4662657410647</v>
      </c>
      <c r="M21" s="140"/>
      <c r="N21" s="141"/>
      <c r="O21" s="380" t="str">
        <f>'UE-170033 LR Data -Energy'!A31</f>
        <v>Small Resale (05)</v>
      </c>
    </row>
    <row r="22" spans="1:15" x14ac:dyDescent="0.25">
      <c r="A22" s="58">
        <v>15</v>
      </c>
      <c r="B22" s="48"/>
      <c r="C22" s="139"/>
      <c r="D22" s="140"/>
      <c r="E22" s="140"/>
      <c r="F22" s="140"/>
      <c r="G22" s="140"/>
      <c r="H22" s="140"/>
      <c r="I22" s="140"/>
      <c r="J22" s="141"/>
      <c r="K22" s="139"/>
      <c r="L22" s="140"/>
      <c r="M22" s="140"/>
      <c r="N22" s="141"/>
      <c r="O22" s="375"/>
    </row>
    <row r="23" spans="1:15" x14ac:dyDescent="0.25">
      <c r="A23" s="58">
        <v>16</v>
      </c>
      <c r="B23" s="48" t="s">
        <v>12</v>
      </c>
      <c r="C23" s="139">
        <f>SUM(C9:C21)</f>
        <v>24452276608.80558</v>
      </c>
      <c r="D23" s="140">
        <f>SUM(D9:D22)</f>
        <v>21865029642.999996</v>
      </c>
      <c r="E23" s="140"/>
      <c r="F23" s="140"/>
      <c r="G23" s="140"/>
      <c r="H23" s="140">
        <f t="shared" ref="H23:I23" si="5">SUM(H9:H21)</f>
        <v>4184918.5092511764</v>
      </c>
      <c r="I23" s="140">
        <f t="shared" si="5"/>
        <v>3880856.8585261339</v>
      </c>
      <c r="J23" s="141"/>
      <c r="K23" s="139">
        <f>SUM(K9:K21)</f>
        <v>24452276608.80558</v>
      </c>
      <c r="L23" s="140">
        <f>SUM(L9:L21)</f>
        <v>4231010.6507250424</v>
      </c>
      <c r="M23" s="140"/>
      <c r="N23" s="141"/>
      <c r="O23" s="375"/>
    </row>
    <row r="24" spans="1:15" x14ac:dyDescent="0.25">
      <c r="A24" s="58">
        <v>17</v>
      </c>
      <c r="B24" s="48" t="s">
        <v>197</v>
      </c>
      <c r="C24" s="139">
        <f>+'UE-170033 LR Data -Energy'!J34+'UE-170033 LR Data -Energy'!J43</f>
        <v>24452276608.805588</v>
      </c>
      <c r="D24" s="140">
        <f>+'UE-170033 LR Data -Energy'!J34</f>
        <v>22311829040</v>
      </c>
      <c r="E24" s="140"/>
      <c r="F24" s="140"/>
      <c r="G24" s="140"/>
      <c r="H24" s="140">
        <f>+'UE-170033 LR Data- Dem 4CP'!D21</f>
        <v>4184918.5092511764</v>
      </c>
      <c r="I24" s="140">
        <f>+'UE-170033 LR Data- Dem 4CP'!D23</f>
        <v>3941657.8585261335</v>
      </c>
      <c r="J24" s="141"/>
      <c r="K24" s="139">
        <f>+'UE-170033 LR Data -Energy'!J34+'UE-170033 LR Data -Energy'!J43</f>
        <v>24452276608.805588</v>
      </c>
      <c r="L24" s="140">
        <f>+'UE-170033 LR Data- Dem 4CP'!D19</f>
        <v>4231010.6507250424</v>
      </c>
      <c r="M24" s="140"/>
      <c r="N24" s="141"/>
      <c r="O24" s="375"/>
    </row>
    <row r="25" spans="1:15" x14ac:dyDescent="0.25">
      <c r="A25" s="58">
        <v>18</v>
      </c>
      <c r="B25" s="48" t="s">
        <v>197</v>
      </c>
      <c r="C25" s="139">
        <f>+C23-C24</f>
        <v>0</v>
      </c>
      <c r="D25" s="140">
        <f>+D23-D24</f>
        <v>-446799397.00000381</v>
      </c>
      <c r="E25" s="140"/>
      <c r="F25" s="140"/>
      <c r="G25" s="140"/>
      <c r="H25" s="140">
        <f t="shared" ref="H25:L25" si="6">+H23-H24</f>
        <v>0</v>
      </c>
      <c r="I25" s="140">
        <f t="shared" si="6"/>
        <v>-60800.999999999534</v>
      </c>
      <c r="J25" s="141"/>
      <c r="K25" s="139">
        <f t="shared" si="6"/>
        <v>0</v>
      </c>
      <c r="L25" s="140">
        <f t="shared" si="6"/>
        <v>0</v>
      </c>
      <c r="M25" s="140"/>
      <c r="N25" s="141"/>
      <c r="O25" s="375"/>
    </row>
    <row r="26" spans="1:15" ht="15.75" thickBot="1" x14ac:dyDescent="0.3">
      <c r="A26" s="144"/>
      <c r="B26" s="54"/>
      <c r="C26" s="144"/>
      <c r="D26" s="54"/>
      <c r="E26" s="54"/>
      <c r="F26" s="54"/>
      <c r="G26" s="54"/>
      <c r="H26" s="54"/>
      <c r="I26" s="54"/>
      <c r="J26" s="53"/>
      <c r="K26" s="144"/>
      <c r="L26" s="54"/>
      <c r="M26" s="54"/>
      <c r="N26" s="53"/>
      <c r="O26" s="375"/>
    </row>
    <row r="27" spans="1:15" x14ac:dyDescent="0.25">
      <c r="A27" s="372"/>
      <c r="B27" s="373">
        <v>25</v>
      </c>
      <c r="C27" s="374">
        <f t="shared" ref="C27:C28" si="7">+K27</f>
        <v>3065348902.0678535</v>
      </c>
      <c r="D27" s="374">
        <f t="shared" ref="D27:D28" si="8">+C27</f>
        <v>3065348902.0678535</v>
      </c>
      <c r="E27" s="374"/>
      <c r="F27" s="374"/>
      <c r="G27" s="374"/>
      <c r="H27" s="374">
        <f t="shared" ref="H27:H28" si="9">+L27</f>
        <v>452114.2470296041</v>
      </c>
      <c r="I27" s="374">
        <f t="shared" ref="I27:I28" si="10">+H27</f>
        <v>452114.2470296041</v>
      </c>
      <c r="J27" s="374"/>
      <c r="K27" s="381">
        <f>'UE-170033 LR Data -Energy'!J22</f>
        <v>3065348902.0678535</v>
      </c>
      <c r="L27" s="381">
        <f>+'UE-170033 LR Data- Dem 4CP'!F19</f>
        <v>452114.2470296041</v>
      </c>
      <c r="M27" s="374"/>
      <c r="N27" s="374"/>
    </row>
    <row r="28" spans="1:15" ht="15.75" thickBot="1" x14ac:dyDescent="0.3">
      <c r="A28" s="372"/>
      <c r="B28" s="373">
        <v>29</v>
      </c>
      <c r="C28" s="374">
        <f t="shared" si="7"/>
        <v>15235983.417815696</v>
      </c>
      <c r="D28" s="374">
        <f t="shared" si="8"/>
        <v>15235983.417815696</v>
      </c>
      <c r="E28" s="374"/>
      <c r="F28" s="374"/>
      <c r="G28" s="374"/>
      <c r="H28" s="374">
        <f t="shared" si="9"/>
        <v>358.31112419307749</v>
      </c>
      <c r="I28" s="374">
        <f t="shared" si="10"/>
        <v>358.31112419307749</v>
      </c>
      <c r="J28" s="374"/>
      <c r="K28" s="381">
        <f>'UE-170033 LR Data -Energy'!J24</f>
        <v>15235983.417815696</v>
      </c>
      <c r="L28" s="381">
        <f>'UE-170033 LR Data- Dem 4CP'!H19</f>
        <v>358.31112419307749</v>
      </c>
      <c r="M28" s="374"/>
      <c r="N28" s="374"/>
    </row>
    <row r="29" spans="1:15" x14ac:dyDescent="0.25">
      <c r="B29" s="146"/>
      <c r="C29" s="401" t="s">
        <v>439</v>
      </c>
      <c r="D29" s="329"/>
      <c r="E29" s="402"/>
      <c r="F29" s="402"/>
      <c r="G29" s="402"/>
      <c r="H29" s="402"/>
      <c r="I29" s="329"/>
      <c r="J29" s="403"/>
      <c r="K29" s="145"/>
      <c r="L29" s="145"/>
      <c r="M29" s="145"/>
      <c r="N29" s="145"/>
    </row>
    <row r="30" spans="1:15" ht="60" x14ac:dyDescent="0.25">
      <c r="C30" s="398"/>
      <c r="D30" s="399" t="str">
        <f>D8</f>
        <v>Energy - Exclude Transportation</v>
      </c>
      <c r="E30" s="390"/>
      <c r="F30" s="390"/>
      <c r="G30" s="390"/>
      <c r="H30" s="390"/>
      <c r="I30" s="399" t="str">
        <f>I8</f>
        <v>4 CP Demand - Exclude Interruptible &amp; Transportation</v>
      </c>
      <c r="J30" s="400"/>
    </row>
    <row r="31" spans="1:15" x14ac:dyDescent="0.25">
      <c r="C31" s="391" t="s">
        <v>447</v>
      </c>
      <c r="D31" s="389">
        <v>192800042.09802258</v>
      </c>
      <c r="E31" s="177"/>
      <c r="F31" s="177"/>
      <c r="G31" s="177"/>
      <c r="H31" s="177"/>
      <c r="I31" s="389">
        <v>19619.565981487205</v>
      </c>
      <c r="J31" s="392"/>
    </row>
    <row r="32" spans="1:15" x14ac:dyDescent="0.25">
      <c r="C32" s="391" t="s">
        <v>448</v>
      </c>
      <c r="D32" s="389">
        <v>554195987.46418488</v>
      </c>
      <c r="E32" s="177"/>
      <c r="F32" s="177"/>
      <c r="G32" s="177"/>
      <c r="H32" s="177"/>
      <c r="I32" s="389">
        <v>73215.482378834509</v>
      </c>
      <c r="J32" s="392"/>
    </row>
    <row r="33" spans="3:10" ht="15.75" thickBot="1" x14ac:dyDescent="0.3">
      <c r="C33" s="393" t="s">
        <v>440</v>
      </c>
      <c r="D33" s="394">
        <v>446799397.00000399</v>
      </c>
      <c r="E33" s="395">
        <f>D31+D33</f>
        <v>639599439.09802651</v>
      </c>
      <c r="F33" s="396"/>
      <c r="G33" s="396"/>
      <c r="H33" s="396"/>
      <c r="I33" s="394">
        <v>60800.999999999498</v>
      </c>
      <c r="J33" s="397">
        <f>I31+I33</f>
        <v>80420.565981486696</v>
      </c>
    </row>
  </sheetData>
  <mergeCells count="7">
    <mergeCell ref="K7:N7"/>
    <mergeCell ref="A1:M1"/>
    <mergeCell ref="A2:M2"/>
    <mergeCell ref="A3:M3"/>
    <mergeCell ref="A4:M4"/>
    <mergeCell ref="C6:J6"/>
    <mergeCell ref="K6:N6"/>
  </mergeCells>
  <printOptions horizontalCentered="1"/>
  <pageMargins left="0.7" right="0.7" top="0.75" bottom="0.75" header="0.3" footer="0.3"/>
  <pageSetup scale="69" orientation="landscape" r:id="rId1"/>
  <headerFooter>
    <oddFooter>&amp;L&amp;F
&amp;A&amp;RPage &amp;P of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9"/>
  <sheetViews>
    <sheetView zoomScale="80" zoomScaleNormal="80" workbookViewId="0">
      <selection activeCell="E1" sqref="E1"/>
    </sheetView>
  </sheetViews>
  <sheetFormatPr defaultColWidth="8.85546875" defaultRowHeight="15" x14ac:dyDescent="0.25"/>
  <cols>
    <col min="1" max="1" width="20.7109375" style="126" customWidth="1"/>
    <col min="2" max="2" width="14.85546875" style="126" bestFit="1" customWidth="1"/>
    <col min="3" max="3" width="13" style="126" bestFit="1" customWidth="1"/>
    <col min="4" max="4" width="18.7109375" style="126" bestFit="1" customWidth="1"/>
    <col min="5" max="6" width="13.5703125" style="126" bestFit="1" customWidth="1"/>
    <col min="7" max="7" width="13" style="126" bestFit="1" customWidth="1"/>
    <col min="8" max="8" width="22.7109375" style="126" bestFit="1" customWidth="1"/>
    <col min="9" max="9" width="16.140625" style="126" bestFit="1" customWidth="1"/>
    <col min="10" max="10" width="26.7109375" style="126" bestFit="1" customWidth="1"/>
    <col min="11" max="11" width="8.85546875" style="126"/>
    <col min="12" max="12" width="22.7109375" style="126" bestFit="1" customWidth="1"/>
    <col min="13" max="13" width="8.85546875" style="126"/>
    <col min="14" max="15" width="12.28515625" style="126" bestFit="1" customWidth="1"/>
    <col min="16" max="16" width="11.28515625" style="126" bestFit="1" customWidth="1"/>
    <col min="17" max="16384" width="8.85546875" style="126"/>
  </cols>
  <sheetData>
    <row r="1" spans="1:16" ht="15.75" x14ac:dyDescent="0.25">
      <c r="A1" s="149" t="s">
        <v>246</v>
      </c>
      <c r="B1" s="149"/>
      <c r="C1" s="149"/>
      <c r="D1" s="149"/>
      <c r="E1" s="149"/>
      <c r="F1" s="149"/>
      <c r="G1" s="149"/>
      <c r="H1" s="149"/>
      <c r="I1" s="149"/>
      <c r="J1" s="149"/>
      <c r="K1" s="150"/>
      <c r="L1" s="150"/>
    </row>
    <row r="2" spans="1:16" ht="15.75" x14ac:dyDescent="0.25">
      <c r="A2" s="149" t="s">
        <v>247</v>
      </c>
      <c r="B2" s="149"/>
      <c r="C2" s="149"/>
      <c r="D2" s="149"/>
      <c r="E2" s="149"/>
      <c r="F2" s="149"/>
      <c r="G2" s="149"/>
      <c r="H2" s="149"/>
      <c r="I2" s="149"/>
      <c r="J2" s="149"/>
      <c r="K2" s="150"/>
      <c r="L2" s="150"/>
    </row>
    <row r="3" spans="1:16" ht="15.75" x14ac:dyDescent="0.25">
      <c r="A3" s="151"/>
      <c r="B3" s="151"/>
      <c r="C3" s="151"/>
      <c r="D3" s="151"/>
      <c r="E3" s="151"/>
      <c r="F3" s="151"/>
      <c r="G3" s="151"/>
      <c r="H3" s="151"/>
      <c r="I3" s="149"/>
      <c r="J3" s="149"/>
      <c r="K3" s="150"/>
      <c r="L3" s="150"/>
    </row>
    <row r="4" spans="1:16" ht="15.75" x14ac:dyDescent="0.25">
      <c r="A4" s="151"/>
      <c r="B4" s="151"/>
      <c r="C4" s="151"/>
      <c r="D4" s="151"/>
      <c r="E4" s="151"/>
      <c r="F4" s="151"/>
      <c r="G4" s="151"/>
      <c r="H4" s="151"/>
      <c r="I4" s="149"/>
      <c r="J4" s="149"/>
      <c r="K4" s="150"/>
      <c r="L4" s="150"/>
    </row>
    <row r="5" spans="1:16" ht="16.5" thickBot="1" x14ac:dyDescent="0.3">
      <c r="A5" s="151"/>
      <c r="B5" s="151"/>
      <c r="C5" s="151"/>
      <c r="D5" s="151"/>
      <c r="E5" s="151"/>
      <c r="F5" s="151"/>
      <c r="G5" s="151"/>
      <c r="H5" s="151"/>
      <c r="I5" s="149"/>
      <c r="J5" s="149"/>
      <c r="K5" s="150"/>
      <c r="L5" s="150"/>
    </row>
    <row r="6" spans="1:16" ht="15.75" x14ac:dyDescent="0.25">
      <c r="A6" s="152" t="s">
        <v>248</v>
      </c>
      <c r="B6" s="153">
        <v>22007938139</v>
      </c>
      <c r="C6" s="151"/>
      <c r="D6" s="151"/>
      <c r="E6" s="151"/>
      <c r="F6" s="151"/>
      <c r="G6" s="151"/>
      <c r="H6" s="154" t="s">
        <v>249</v>
      </c>
      <c r="I6" s="155">
        <v>20365314276.710396</v>
      </c>
      <c r="J6" s="156"/>
      <c r="K6" s="150"/>
      <c r="L6" s="150"/>
    </row>
    <row r="7" spans="1:16" ht="15.75" x14ac:dyDescent="0.25">
      <c r="A7" s="157" t="s">
        <v>250</v>
      </c>
      <c r="B7" s="158">
        <v>303890901</v>
      </c>
      <c r="C7" s="151" t="s">
        <v>251</v>
      </c>
      <c r="D7" s="151"/>
      <c r="E7" s="151"/>
      <c r="F7" s="151"/>
      <c r="G7" s="151"/>
      <c r="H7" s="159" t="s">
        <v>252</v>
      </c>
      <c r="I7" s="160">
        <v>281706864.44926071</v>
      </c>
      <c r="J7" s="156"/>
      <c r="K7" s="150"/>
      <c r="L7" s="150"/>
    </row>
    <row r="8" spans="1:16" ht="16.5" thickBot="1" x14ac:dyDescent="0.3">
      <c r="A8" s="161" t="s">
        <v>253</v>
      </c>
      <c r="B8" s="162">
        <v>22311829040</v>
      </c>
      <c r="C8" s="151"/>
      <c r="D8" s="151"/>
      <c r="E8" s="151"/>
      <c r="F8" s="151"/>
      <c r="G8" s="151"/>
      <c r="H8" s="163" t="s">
        <v>254</v>
      </c>
      <c r="I8" s="164">
        <v>20647021141.159657</v>
      </c>
      <c r="J8" s="156"/>
      <c r="K8" s="150"/>
      <c r="L8" s="150"/>
    </row>
    <row r="9" spans="1:16" ht="15.75" x14ac:dyDescent="0.25">
      <c r="A9" s="149"/>
      <c r="B9" s="149"/>
      <c r="C9" s="149"/>
      <c r="D9" s="149"/>
      <c r="E9" s="149"/>
      <c r="F9" s="149"/>
      <c r="G9" s="149"/>
      <c r="H9" s="127"/>
      <c r="I9" s="127"/>
      <c r="J9" s="149"/>
      <c r="K9" s="150"/>
      <c r="L9" s="150"/>
    </row>
    <row r="10" spans="1:16" ht="15.75" x14ac:dyDescent="0.25">
      <c r="A10" s="149"/>
      <c r="B10" s="149"/>
      <c r="C10" s="149"/>
      <c r="D10" s="149"/>
      <c r="E10" s="149"/>
      <c r="F10" s="149"/>
      <c r="G10" s="149"/>
      <c r="H10" s="149"/>
      <c r="I10" s="149"/>
      <c r="J10" s="149"/>
      <c r="K10" s="150"/>
      <c r="L10" s="150"/>
    </row>
    <row r="11" spans="1:16" ht="15.75" thickBot="1" x14ac:dyDescent="0.3">
      <c r="A11" s="125"/>
      <c r="B11" s="132"/>
      <c r="C11" s="125"/>
      <c r="D11" s="132"/>
      <c r="E11" s="125"/>
      <c r="F11" s="125"/>
      <c r="G11" s="125"/>
      <c r="H11" s="125"/>
      <c r="I11" s="125"/>
      <c r="J11" s="165" t="s">
        <v>181</v>
      </c>
      <c r="K11" s="125"/>
      <c r="L11" s="125" t="s">
        <v>255</v>
      </c>
      <c r="N11" s="501" t="s">
        <v>256</v>
      </c>
      <c r="O11" s="501"/>
      <c r="P11" s="501"/>
    </row>
    <row r="12" spans="1:16" x14ac:dyDescent="0.25">
      <c r="A12" s="166" t="s">
        <v>257</v>
      </c>
      <c r="B12" s="129" t="s">
        <v>258</v>
      </c>
      <c r="C12" s="129" t="s">
        <v>259</v>
      </c>
      <c r="D12" s="129" t="s">
        <v>260</v>
      </c>
      <c r="E12" s="129" t="s">
        <v>261</v>
      </c>
      <c r="F12" s="129" t="s">
        <v>262</v>
      </c>
      <c r="G12" s="129" t="s">
        <v>263</v>
      </c>
      <c r="H12" s="129" t="s">
        <v>264</v>
      </c>
      <c r="I12" s="129" t="s">
        <v>265</v>
      </c>
      <c r="J12" s="167" t="s">
        <v>266</v>
      </c>
      <c r="K12" s="125"/>
      <c r="L12" s="167" t="s">
        <v>266</v>
      </c>
    </row>
    <row r="13" spans="1:16" x14ac:dyDescent="0.25">
      <c r="A13" s="168"/>
      <c r="B13" s="124"/>
      <c r="C13" s="124"/>
      <c r="D13" s="124"/>
      <c r="E13" s="124"/>
      <c r="F13" s="124" t="s">
        <v>267</v>
      </c>
      <c r="G13" s="124" t="s">
        <v>267</v>
      </c>
      <c r="H13" s="124" t="s">
        <v>267</v>
      </c>
      <c r="I13" s="124" t="s">
        <v>268</v>
      </c>
      <c r="J13" s="169" t="s">
        <v>269</v>
      </c>
      <c r="K13" s="125"/>
      <c r="L13" s="169" t="s">
        <v>269</v>
      </c>
    </row>
    <row r="14" spans="1:16" x14ac:dyDescent="0.25">
      <c r="A14" s="168"/>
      <c r="B14" s="124" t="s">
        <v>270</v>
      </c>
      <c r="C14" s="124" t="s">
        <v>271</v>
      </c>
      <c r="D14" s="124" t="s">
        <v>271</v>
      </c>
      <c r="E14" s="124" t="s">
        <v>272</v>
      </c>
      <c r="F14" s="124" t="s">
        <v>268</v>
      </c>
      <c r="G14" s="124" t="s">
        <v>273</v>
      </c>
      <c r="H14" s="124" t="s">
        <v>271</v>
      </c>
      <c r="I14" s="124" t="s">
        <v>274</v>
      </c>
      <c r="J14" s="169" t="s">
        <v>275</v>
      </c>
      <c r="K14" s="125"/>
      <c r="L14" s="169" t="s">
        <v>275</v>
      </c>
    </row>
    <row r="15" spans="1:16" x14ac:dyDescent="0.25">
      <c r="A15" s="168" t="s">
        <v>276</v>
      </c>
      <c r="B15" s="124" t="s">
        <v>277</v>
      </c>
      <c r="C15" s="124" t="s">
        <v>270</v>
      </c>
      <c r="D15" s="124" t="s">
        <v>31</v>
      </c>
      <c r="E15" s="124" t="s">
        <v>268</v>
      </c>
      <c r="F15" s="124" t="s">
        <v>278</v>
      </c>
      <c r="G15" s="124" t="s">
        <v>279</v>
      </c>
      <c r="H15" s="124" t="s">
        <v>280</v>
      </c>
      <c r="I15" s="124" t="s">
        <v>281</v>
      </c>
      <c r="J15" s="169" t="s">
        <v>268</v>
      </c>
      <c r="K15" s="125"/>
      <c r="L15" s="169" t="s">
        <v>268</v>
      </c>
    </row>
    <row r="16" spans="1:16" x14ac:dyDescent="0.25">
      <c r="A16" s="170"/>
      <c r="B16" s="48"/>
      <c r="C16" s="124" t="s">
        <v>31</v>
      </c>
      <c r="D16" s="124" t="s">
        <v>279</v>
      </c>
      <c r="E16" s="124" t="s">
        <v>278</v>
      </c>
      <c r="F16" s="124" t="s">
        <v>282</v>
      </c>
      <c r="G16" s="124" t="s">
        <v>283</v>
      </c>
      <c r="H16" s="124" t="s">
        <v>279</v>
      </c>
      <c r="I16" s="124" t="s">
        <v>284</v>
      </c>
      <c r="J16" s="169" t="s">
        <v>284</v>
      </c>
      <c r="K16" s="125"/>
      <c r="L16" s="169" t="s">
        <v>284</v>
      </c>
    </row>
    <row r="17" spans="1:16" x14ac:dyDescent="0.25">
      <c r="A17" s="170"/>
      <c r="B17" s="48"/>
      <c r="C17" s="50"/>
      <c r="D17" s="124" t="s">
        <v>285</v>
      </c>
      <c r="E17" s="124"/>
      <c r="F17" s="48"/>
      <c r="G17" s="124"/>
      <c r="H17" s="124"/>
      <c r="I17" s="124"/>
      <c r="J17" s="169"/>
      <c r="K17" s="125"/>
      <c r="L17" s="169"/>
    </row>
    <row r="18" spans="1:16" x14ac:dyDescent="0.25">
      <c r="A18" s="171"/>
      <c r="B18" s="172" t="s">
        <v>286</v>
      </c>
      <c r="C18" s="173"/>
      <c r="D18" s="173"/>
      <c r="E18" s="173" t="s">
        <v>287</v>
      </c>
      <c r="F18" s="174" t="s">
        <v>288</v>
      </c>
      <c r="G18" s="174" t="s">
        <v>289</v>
      </c>
      <c r="H18" s="174" t="s">
        <v>290</v>
      </c>
      <c r="I18" s="173" t="s">
        <v>291</v>
      </c>
      <c r="J18" s="175" t="s">
        <v>292</v>
      </c>
      <c r="K18" s="176"/>
      <c r="L18" s="175" t="s">
        <v>292</v>
      </c>
      <c r="N18" s="126" t="s">
        <v>293</v>
      </c>
      <c r="O18" s="146" t="s">
        <v>294</v>
      </c>
      <c r="P18" s="177" t="s">
        <v>295</v>
      </c>
    </row>
    <row r="19" spans="1:16" x14ac:dyDescent="0.25">
      <c r="A19" s="178" t="s">
        <v>296</v>
      </c>
      <c r="B19" s="179" t="s">
        <v>296</v>
      </c>
      <c r="C19" s="179" t="s">
        <v>296</v>
      </c>
      <c r="D19" s="179" t="s">
        <v>296</v>
      </c>
      <c r="E19" s="179" t="s">
        <v>296</v>
      </c>
      <c r="F19" s="179" t="s">
        <v>296</v>
      </c>
      <c r="G19" s="179" t="s">
        <v>296</v>
      </c>
      <c r="H19" s="179" t="s">
        <v>296</v>
      </c>
      <c r="I19" s="179" t="s">
        <v>297</v>
      </c>
      <c r="J19" s="180" t="s">
        <v>298</v>
      </c>
      <c r="K19" s="181"/>
      <c r="L19" s="180" t="s">
        <v>298</v>
      </c>
    </row>
    <row r="20" spans="1:16" x14ac:dyDescent="0.25">
      <c r="A20" s="182" t="s">
        <v>299</v>
      </c>
      <c r="B20" s="183">
        <v>10208761476.354383</v>
      </c>
      <c r="C20" s="183">
        <v>10451731125.354383</v>
      </c>
      <c r="D20" s="184">
        <v>242969649</v>
      </c>
      <c r="E20" s="185">
        <v>7.9467728973609736E-2</v>
      </c>
      <c r="F20" s="184">
        <v>20975088.895054668</v>
      </c>
      <c r="G20" s="184">
        <v>263944737.89505467</v>
      </c>
      <c r="H20" s="184">
        <v>262357551.50107402</v>
      </c>
      <c r="I20" s="183">
        <v>11100336483.093327</v>
      </c>
      <c r="J20" s="186">
        <f>SUM(L20,N20:P20)</f>
        <v>11362694034.5944</v>
      </c>
      <c r="K20" s="187"/>
      <c r="L20" s="186">
        <v>11362694034.5944</v>
      </c>
      <c r="N20" s="188"/>
      <c r="O20" s="188"/>
      <c r="P20" s="188"/>
    </row>
    <row r="21" spans="1:16" x14ac:dyDescent="0.25">
      <c r="A21" s="189">
        <v>24</v>
      </c>
      <c r="B21" s="183">
        <v>2724380971.0860081</v>
      </c>
      <c r="C21" s="183">
        <v>2746929439.2532654</v>
      </c>
      <c r="D21" s="184">
        <v>22548468.167257167</v>
      </c>
      <c r="E21" s="185">
        <v>7.8482732619560958E-2</v>
      </c>
      <c r="F21" s="184">
        <v>1920382.2443632372</v>
      </c>
      <c r="G21" s="184">
        <v>24468850.411620405</v>
      </c>
      <c r="H21" s="184">
        <v>24321711.178008884</v>
      </c>
      <c r="I21" s="183">
        <v>2959386905.1163797</v>
      </c>
      <c r="J21" s="186">
        <f>SUM(L21,N21:P21)</f>
        <v>2983833723.3713889</v>
      </c>
      <c r="K21" s="187"/>
      <c r="L21" s="186">
        <v>2983708616.2943888</v>
      </c>
      <c r="N21" s="188">
        <v>125107.077</v>
      </c>
      <c r="O21" s="188"/>
      <c r="P21" s="188"/>
    </row>
    <row r="22" spans="1:16" x14ac:dyDescent="0.25">
      <c r="A22" s="189">
        <v>25</v>
      </c>
      <c r="B22" s="183">
        <v>2796469413.5689993</v>
      </c>
      <c r="C22" s="183">
        <v>2807716477.6489849</v>
      </c>
      <c r="D22" s="184">
        <v>11247064.07998576</v>
      </c>
      <c r="E22" s="185">
        <v>7.7853391910488873E-2</v>
      </c>
      <c r="F22" s="184">
        <v>949547.588181898</v>
      </c>
      <c r="G22" s="184">
        <v>12196611.668167658</v>
      </c>
      <c r="H22" s="184">
        <v>12123269.436582506</v>
      </c>
      <c r="I22" s="183">
        <v>3044665452.6312709</v>
      </c>
      <c r="J22" s="186">
        <f t="shared" ref="J22:J32" si="0">SUM(L22,N22:P22)</f>
        <v>3065348902.0678535</v>
      </c>
      <c r="K22" s="187"/>
      <c r="L22" s="186">
        <v>3056788722.0678535</v>
      </c>
      <c r="N22" s="188">
        <v>3685260</v>
      </c>
      <c r="O22" s="188">
        <v>4874920</v>
      </c>
      <c r="P22" s="188"/>
    </row>
    <row r="23" spans="1:16" x14ac:dyDescent="0.25">
      <c r="A23" s="189">
        <v>26</v>
      </c>
      <c r="B23" s="183">
        <v>1844086005.7140005</v>
      </c>
      <c r="C23" s="183">
        <v>1843854018.0378911</v>
      </c>
      <c r="D23" s="184">
        <v>-231987.67610922537</v>
      </c>
      <c r="E23" s="185">
        <v>7.7315056676894464E-2</v>
      </c>
      <c r="F23" s="184">
        <v>-19439.073387420503</v>
      </c>
      <c r="G23" s="184">
        <v>-251426.74949664588</v>
      </c>
      <c r="H23" s="184">
        <v>-249914.83787807621</v>
      </c>
      <c r="I23" s="183">
        <v>2026899464.380985</v>
      </c>
      <c r="J23" s="186">
        <f t="shared" si="0"/>
        <v>2051022389.543107</v>
      </c>
      <c r="K23" s="187"/>
      <c r="L23" s="186">
        <v>2026649549.543107</v>
      </c>
      <c r="N23" s="188">
        <v>24372840</v>
      </c>
      <c r="O23" s="188"/>
      <c r="P23" s="188"/>
    </row>
    <row r="24" spans="1:16" x14ac:dyDescent="0.25">
      <c r="A24" s="189">
        <v>29</v>
      </c>
      <c r="B24" s="183">
        <v>14242753.409000002</v>
      </c>
      <c r="C24" s="183">
        <v>14084006.575165801</v>
      </c>
      <c r="D24" s="184">
        <v>-158746.83383420159</v>
      </c>
      <c r="E24" s="185">
        <v>7.468038083531188E-2</v>
      </c>
      <c r="F24" s="184">
        <v>-12812.085426050122</v>
      </c>
      <c r="G24" s="184">
        <v>-171558.91926025171</v>
      </c>
      <c r="H24" s="184">
        <v>-170527.2791351731</v>
      </c>
      <c r="I24" s="183">
        <v>15406510.69695087</v>
      </c>
      <c r="J24" s="186">
        <f t="shared" si="0"/>
        <v>15235983.417815696</v>
      </c>
      <c r="K24" s="187"/>
      <c r="L24" s="186">
        <v>15235983.417815696</v>
      </c>
      <c r="N24" s="188"/>
      <c r="O24" s="188"/>
      <c r="P24" s="188"/>
    </row>
    <row r="25" spans="1:16" x14ac:dyDescent="0.25">
      <c r="A25" s="182">
        <v>31</v>
      </c>
      <c r="B25" s="183">
        <v>1252024547.5769999</v>
      </c>
      <c r="C25" s="183">
        <v>1252981780.2807348</v>
      </c>
      <c r="D25" s="184">
        <v>957232.70373482059</v>
      </c>
      <c r="E25" s="185">
        <v>3.702332015656052E-2</v>
      </c>
      <c r="F25" s="184">
        <v>36802.482964038267</v>
      </c>
      <c r="G25" s="184">
        <v>994035.18669885886</v>
      </c>
      <c r="H25" s="184">
        <v>988057.72665912227</v>
      </c>
      <c r="I25" s="183">
        <v>1322015309.3917959</v>
      </c>
      <c r="J25" s="186">
        <f t="shared" si="0"/>
        <v>1342870567.1184549</v>
      </c>
      <c r="K25" s="187"/>
      <c r="L25" s="186">
        <v>1323003367.1184549</v>
      </c>
      <c r="N25" s="188"/>
      <c r="O25" s="188">
        <v>26500800</v>
      </c>
      <c r="P25" s="188">
        <f>-P27</f>
        <v>-6633600</v>
      </c>
    </row>
    <row r="26" spans="1:16" x14ac:dyDescent="0.25">
      <c r="A26" s="182">
        <v>35</v>
      </c>
      <c r="B26" s="183">
        <v>4429100.4000000004</v>
      </c>
      <c r="C26" s="183">
        <v>4429100.4000000004</v>
      </c>
      <c r="D26" s="184">
        <v>0</v>
      </c>
      <c r="E26" s="185">
        <v>3.5119821310677424E-2</v>
      </c>
      <c r="F26" s="184">
        <v>0</v>
      </c>
      <c r="G26" s="184">
        <v>0</v>
      </c>
      <c r="H26" s="184">
        <v>0</v>
      </c>
      <c r="I26" s="183">
        <v>4594563.3633324662</v>
      </c>
      <c r="J26" s="186">
        <f t="shared" si="0"/>
        <v>4594563.3633324662</v>
      </c>
      <c r="K26" s="187"/>
      <c r="L26" s="186">
        <v>4594563.3633324662</v>
      </c>
      <c r="N26" s="188"/>
      <c r="O26" s="188"/>
      <c r="P26" s="188"/>
    </row>
    <row r="27" spans="1:16" x14ac:dyDescent="0.25">
      <c r="A27" s="182">
        <v>40</v>
      </c>
      <c r="B27" s="183">
        <v>718932164.91099989</v>
      </c>
      <c r="C27" s="183">
        <v>719325536.69961417</v>
      </c>
      <c r="D27" s="184">
        <v>393371.78861424379</v>
      </c>
      <c r="E27" s="185">
        <v>3.6975302211610411E-2</v>
      </c>
      <c r="F27" s="184">
        <v>15103.497136611782</v>
      </c>
      <c r="G27" s="184">
        <v>408475.28575085558</v>
      </c>
      <c r="H27" s="184">
        <v>406018.98970573838</v>
      </c>
      <c r="I27" s="183">
        <v>692118747.18531692</v>
      </c>
      <c r="J27" s="186">
        <f t="shared" si="0"/>
        <v>639599439.09802258</v>
      </c>
      <c r="K27" s="187"/>
      <c r="L27" s="186">
        <v>692524766.1750226</v>
      </c>
      <c r="N27" s="188">
        <f>-SUM(N21:N26)</f>
        <v>-28183207.077</v>
      </c>
      <c r="O27" s="188">
        <f>-SUM(O21:O26)</f>
        <v>-31375720</v>
      </c>
      <c r="P27" s="188">
        <v>6633600</v>
      </c>
    </row>
    <row r="28" spans="1:16" x14ac:dyDescent="0.25">
      <c r="A28" s="189">
        <v>43</v>
      </c>
      <c r="B28" s="183">
        <v>116295695.25500003</v>
      </c>
      <c r="C28" s="183">
        <v>120131815.05243345</v>
      </c>
      <c r="D28" s="184">
        <v>3836119.7974334164</v>
      </c>
      <c r="E28" s="185">
        <v>3.8110780262926053E-2</v>
      </c>
      <c r="F28" s="184">
        <v>151989.97520962683</v>
      </c>
      <c r="G28" s="184">
        <v>3988109.7726430432</v>
      </c>
      <c r="H28" s="184">
        <v>3964127.9588007946</v>
      </c>
      <c r="I28" s="183">
        <v>121015412.90436846</v>
      </c>
      <c r="J28" s="186">
        <f t="shared" si="0"/>
        <v>124979540.86316925</v>
      </c>
      <c r="K28" s="187"/>
      <c r="L28" s="186">
        <v>124979540.86316925</v>
      </c>
      <c r="N28" s="188"/>
      <c r="O28" s="188"/>
      <c r="P28" s="188"/>
    </row>
    <row r="29" spans="1:16" x14ac:dyDescent="0.25">
      <c r="A29" s="189">
        <v>46</v>
      </c>
      <c r="B29" s="183">
        <v>40290452.949999996</v>
      </c>
      <c r="C29" s="183">
        <v>40290452.949999996</v>
      </c>
      <c r="D29" s="184">
        <v>0</v>
      </c>
      <c r="E29" s="185">
        <v>1.7642574624977668E-2</v>
      </c>
      <c r="F29" s="184">
        <v>0</v>
      </c>
      <c r="G29" s="184">
        <v>0</v>
      </c>
      <c r="H29" s="184">
        <v>0</v>
      </c>
      <c r="I29" s="183">
        <v>58540365.538649537</v>
      </c>
      <c r="J29" s="186">
        <f t="shared" si="0"/>
        <v>58540365.538649537</v>
      </c>
      <c r="K29" s="187"/>
      <c r="L29" s="186">
        <v>58540365.538649537</v>
      </c>
      <c r="N29" s="188"/>
      <c r="O29" s="188"/>
      <c r="P29" s="188"/>
    </row>
    <row r="30" spans="1:16" x14ac:dyDescent="0.25">
      <c r="A30" s="189">
        <v>49</v>
      </c>
      <c r="B30" s="183">
        <v>563748979.77299988</v>
      </c>
      <c r="C30" s="183">
        <v>563748979.77299988</v>
      </c>
      <c r="D30" s="184">
        <v>0</v>
      </c>
      <c r="E30" s="185">
        <v>1.754384432205652E-2</v>
      </c>
      <c r="F30" s="184">
        <v>0</v>
      </c>
      <c r="G30" s="184">
        <v>0</v>
      </c>
      <c r="H30" s="184">
        <v>0</v>
      </c>
      <c r="I30" s="183">
        <v>574347448.1834321</v>
      </c>
      <c r="J30" s="186">
        <f t="shared" si="0"/>
        <v>574347448.1834321</v>
      </c>
      <c r="K30" s="187"/>
      <c r="L30" s="186">
        <v>574347448.1834321</v>
      </c>
      <c r="N30" s="188"/>
      <c r="O30" s="188"/>
      <c r="P30" s="188"/>
    </row>
    <row r="31" spans="1:16" x14ac:dyDescent="0.25">
      <c r="A31" s="189" t="s">
        <v>300</v>
      </c>
      <c r="B31" s="183">
        <v>6798760.6290000007</v>
      </c>
      <c r="C31" s="183">
        <v>6944454.0511808293</v>
      </c>
      <c r="D31" s="184">
        <v>145693.42218082873</v>
      </c>
      <c r="E31" s="185">
        <v>3.8438002868003633E-2</v>
      </c>
      <c r="F31" s="184">
        <v>5824.0281919827103</v>
      </c>
      <c r="G31" s="184">
        <v>151517.45037281144</v>
      </c>
      <c r="H31" s="184">
        <v>150606.326182194</v>
      </c>
      <c r="I31" s="183">
        <v>7077087.4969593501</v>
      </c>
      <c r="J31" s="186">
        <f t="shared" si="0"/>
        <v>7227693.8231415441</v>
      </c>
      <c r="K31" s="187"/>
      <c r="L31" s="186">
        <v>7227693.8231415441</v>
      </c>
      <c r="N31" s="188"/>
      <c r="O31" s="188"/>
      <c r="P31" s="188"/>
    </row>
    <row r="32" spans="1:16" x14ac:dyDescent="0.25">
      <c r="A32" s="182" t="s">
        <v>301</v>
      </c>
      <c r="B32" s="183">
        <v>74853955.083000004</v>
      </c>
      <c r="C32" s="183">
        <v>74853955.083000004</v>
      </c>
      <c r="D32" s="184">
        <v>0</v>
      </c>
      <c r="E32" s="185">
        <v>8.1083528844027059E-2</v>
      </c>
      <c r="F32" s="184">
        <v>0</v>
      </c>
      <c r="G32" s="184">
        <v>0</v>
      </c>
      <c r="H32" s="184">
        <v>0</v>
      </c>
      <c r="I32" s="183">
        <v>81534389.017231286</v>
      </c>
      <c r="J32" s="186">
        <f t="shared" si="0"/>
        <v>81534389.017231286</v>
      </c>
      <c r="K32" s="187"/>
      <c r="L32" s="186">
        <v>81534389.017231286</v>
      </c>
      <c r="N32" s="188"/>
      <c r="O32" s="188"/>
      <c r="P32" s="188"/>
    </row>
    <row r="33" spans="1:16" x14ac:dyDescent="0.25">
      <c r="A33" s="178" t="s">
        <v>296</v>
      </c>
      <c r="B33" s="179" t="s">
        <v>296</v>
      </c>
      <c r="C33" s="179" t="s">
        <v>296</v>
      </c>
      <c r="D33" s="179" t="s">
        <v>296</v>
      </c>
      <c r="E33" s="179" t="s">
        <v>296</v>
      </c>
      <c r="F33" s="179" t="s">
        <v>296</v>
      </c>
      <c r="G33" s="179" t="s">
        <v>296</v>
      </c>
      <c r="H33" s="179" t="s">
        <v>296</v>
      </c>
      <c r="I33" s="179" t="s">
        <v>297</v>
      </c>
      <c r="J33" s="180" t="s">
        <v>298</v>
      </c>
      <c r="K33" s="187"/>
      <c r="L33" s="180" t="s">
        <v>298</v>
      </c>
      <c r="N33" s="188"/>
      <c r="O33" s="188"/>
      <c r="P33" s="188"/>
    </row>
    <row r="34" spans="1:16" x14ac:dyDescent="0.25">
      <c r="A34" s="171" t="s">
        <v>12</v>
      </c>
      <c r="B34" s="190">
        <v>20365314276.710396</v>
      </c>
      <c r="C34" s="190">
        <v>20647021141.159657</v>
      </c>
      <c r="D34" s="190">
        <v>281706864.44926071</v>
      </c>
      <c r="E34" s="190"/>
      <c r="F34" s="190">
        <v>24022487.552288592</v>
      </c>
      <c r="G34" s="190">
        <v>305729352.00155139</v>
      </c>
      <c r="H34" s="190">
        <v>303890901</v>
      </c>
      <c r="I34" s="191">
        <v>22007938139</v>
      </c>
      <c r="J34" s="192">
        <v>22311829040</v>
      </c>
      <c r="K34" s="187"/>
      <c r="L34" s="192">
        <v>22311829040</v>
      </c>
      <c r="N34" s="188">
        <f>SUM(N19:N33)</f>
        <v>0</v>
      </c>
      <c r="O34" s="188">
        <f t="shared" ref="O34:P34" si="1">SUM(O19:O33)</f>
        <v>0</v>
      </c>
      <c r="P34" s="188">
        <f t="shared" si="1"/>
        <v>0</v>
      </c>
    </row>
    <row r="35" spans="1:16" ht="15.75" thickBot="1" x14ac:dyDescent="0.3">
      <c r="A35" s="193"/>
      <c r="B35" s="194"/>
      <c r="C35" s="194"/>
      <c r="D35" s="194"/>
      <c r="E35" s="194"/>
      <c r="F35" s="194"/>
      <c r="G35" s="194"/>
      <c r="H35" s="195"/>
      <c r="I35" s="194"/>
      <c r="J35" s="196"/>
      <c r="K35" s="187"/>
      <c r="L35" s="196"/>
    </row>
    <row r="36" spans="1:16" x14ac:dyDescent="0.25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87"/>
      <c r="L36" s="197"/>
    </row>
    <row r="37" spans="1:16" x14ac:dyDescent="0.25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87"/>
      <c r="L37" s="197"/>
    </row>
    <row r="38" spans="1:16" ht="15.75" thickBot="1" x14ac:dyDescent="0.3">
      <c r="A38" s="198" t="s">
        <v>302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87"/>
      <c r="L38" s="197"/>
    </row>
    <row r="39" spans="1:16" x14ac:dyDescent="0.25">
      <c r="A39" s="199">
        <v>459</v>
      </c>
      <c r="B39" s="200">
        <v>277864630.43800002</v>
      </c>
      <c r="C39" s="200">
        <v>277864630.43800002</v>
      </c>
      <c r="D39" s="201">
        <v>0</v>
      </c>
      <c r="E39" s="202">
        <v>1.6704654453749218E-2</v>
      </c>
      <c r="F39" s="201">
        <v>0</v>
      </c>
      <c r="G39" s="201">
        <v>0</v>
      </c>
      <c r="H39" s="201">
        <v>0</v>
      </c>
      <c r="I39" s="201">
        <v>282585117.17416674</v>
      </c>
      <c r="J39" s="203">
        <v>282585117.17416674</v>
      </c>
      <c r="K39" s="187"/>
      <c r="L39" s="187"/>
    </row>
    <row r="40" spans="1:16" x14ac:dyDescent="0.25">
      <c r="A40" s="189" t="s">
        <v>303</v>
      </c>
      <c r="B40" s="183">
        <v>1720611951.727</v>
      </c>
      <c r="C40" s="183">
        <v>1720611951.727</v>
      </c>
      <c r="D40" s="184">
        <v>0</v>
      </c>
      <c r="E40" s="185">
        <v>1.7054836716625443E-2</v>
      </c>
      <c r="F40" s="184">
        <v>0</v>
      </c>
      <c r="G40" s="184">
        <v>0</v>
      </c>
      <c r="H40" s="204">
        <v>0</v>
      </c>
      <c r="I40" s="184">
        <v>1750465861.1672344</v>
      </c>
      <c r="J40" s="205">
        <v>1750465861.1672344</v>
      </c>
      <c r="K40" s="187"/>
      <c r="L40" s="187"/>
    </row>
    <row r="41" spans="1:16" x14ac:dyDescent="0.25">
      <c r="A41" s="189" t="s">
        <v>304</v>
      </c>
      <c r="B41" s="183">
        <v>103596479.89899999</v>
      </c>
      <c r="C41" s="183">
        <v>103596479.89899999</v>
      </c>
      <c r="D41" s="184">
        <v>0</v>
      </c>
      <c r="E41" s="185">
        <v>3.5383903239015149E-2</v>
      </c>
      <c r="F41" s="184">
        <v>0</v>
      </c>
      <c r="G41" s="184">
        <v>0</v>
      </c>
      <c r="H41" s="184">
        <v>0</v>
      </c>
      <c r="I41" s="184">
        <v>107396590.46418484</v>
      </c>
      <c r="J41" s="205">
        <v>107396590.46418484</v>
      </c>
      <c r="K41" s="187"/>
      <c r="L41" s="190"/>
    </row>
    <row r="42" spans="1:16" x14ac:dyDescent="0.25">
      <c r="A42" s="206" t="s">
        <v>296</v>
      </c>
      <c r="B42" s="174" t="s">
        <v>296</v>
      </c>
      <c r="C42" s="174" t="s">
        <v>296</v>
      </c>
      <c r="D42" s="174" t="s">
        <v>296</v>
      </c>
      <c r="E42" s="174" t="s">
        <v>296</v>
      </c>
      <c r="F42" s="174" t="s">
        <v>296</v>
      </c>
      <c r="G42" s="174" t="s">
        <v>296</v>
      </c>
      <c r="H42" s="174" t="s">
        <v>296</v>
      </c>
      <c r="I42" s="174" t="s">
        <v>296</v>
      </c>
      <c r="J42" s="175" t="s">
        <v>296</v>
      </c>
      <c r="K42" s="187"/>
      <c r="L42" s="187"/>
    </row>
    <row r="43" spans="1:16" x14ac:dyDescent="0.25">
      <c r="A43" s="171" t="s">
        <v>305</v>
      </c>
      <c r="B43" s="190">
        <v>2102073062.0639999</v>
      </c>
      <c r="C43" s="190">
        <v>2102073062.0639999</v>
      </c>
      <c r="D43" s="190">
        <v>0</v>
      </c>
      <c r="E43" s="190"/>
      <c r="F43" s="190">
        <v>0</v>
      </c>
      <c r="G43" s="190">
        <v>0</v>
      </c>
      <c r="H43" s="190">
        <v>0</v>
      </c>
      <c r="I43" s="191">
        <v>2140447568.8055859</v>
      </c>
      <c r="J43" s="192">
        <v>2140447568.8055859</v>
      </c>
      <c r="K43" s="176"/>
      <c r="L43" s="176"/>
    </row>
    <row r="44" spans="1:16" ht="15.75" thickBot="1" x14ac:dyDescent="0.3">
      <c r="A44" s="193"/>
      <c r="B44" s="207"/>
      <c r="C44" s="207"/>
      <c r="D44" s="207"/>
      <c r="E44" s="207"/>
      <c r="F44" s="207"/>
      <c r="G44" s="207"/>
      <c r="H44" s="207"/>
      <c r="I44" s="208"/>
      <c r="J44" s="209"/>
      <c r="K44" s="176"/>
      <c r="L44" s="176"/>
    </row>
    <row r="45" spans="1:16" x14ac:dyDescent="0.25">
      <c r="A45" s="173"/>
      <c r="B45" s="190"/>
      <c r="C45" s="190"/>
      <c r="D45" s="190"/>
      <c r="E45" s="190"/>
      <c r="F45" s="190"/>
      <c r="G45" s="190"/>
      <c r="H45" s="190"/>
      <c r="I45" s="191"/>
      <c r="J45" s="190"/>
      <c r="K45" s="176"/>
      <c r="L45" s="176"/>
    </row>
    <row r="46" spans="1:16" x14ac:dyDescent="0.25">
      <c r="A46" s="210" t="s">
        <v>306</v>
      </c>
      <c r="B46" s="190"/>
      <c r="C46" s="190"/>
      <c r="D46" s="190"/>
      <c r="E46" s="190"/>
      <c r="F46" s="190"/>
      <c r="G46" s="190"/>
      <c r="H46" s="190"/>
      <c r="I46" s="191"/>
      <c r="J46" s="190"/>
      <c r="K46" s="176"/>
      <c r="L46" s="176"/>
    </row>
    <row r="47" spans="1:16" x14ac:dyDescent="0.25">
      <c r="A47" s="210" t="s">
        <v>307</v>
      </c>
      <c r="B47" s="190"/>
      <c r="C47" s="190"/>
      <c r="D47" s="190"/>
      <c r="E47" s="190"/>
      <c r="F47" s="190"/>
      <c r="G47" s="190"/>
      <c r="H47" s="190"/>
      <c r="I47" s="191"/>
      <c r="J47" s="190"/>
      <c r="K47" s="176"/>
      <c r="L47" s="176"/>
    </row>
    <row r="48" spans="1:16" x14ac:dyDescent="0.25">
      <c r="A48" s="125"/>
      <c r="B48" s="211"/>
      <c r="C48" s="211"/>
      <c r="E48" s="125"/>
      <c r="F48" s="125"/>
      <c r="G48" s="125"/>
      <c r="H48" s="125"/>
      <c r="I48" s="125"/>
      <c r="J48" s="212"/>
      <c r="K48" s="125"/>
      <c r="L48" s="125"/>
    </row>
    <row r="84" spans="1:11" ht="15.75" x14ac:dyDescent="0.25">
      <c r="A84" s="149" t="s">
        <v>308</v>
      </c>
      <c r="B84" s="213"/>
      <c r="C84" s="213"/>
      <c r="D84" s="213"/>
      <c r="E84" s="213"/>
      <c r="F84" s="213"/>
      <c r="G84" s="213"/>
      <c r="H84" s="213"/>
      <c r="I84" s="213"/>
      <c r="J84" s="213"/>
      <c r="K84" s="213"/>
    </row>
    <row r="85" spans="1:11" ht="15.75" x14ac:dyDescent="0.25">
      <c r="A85" s="149" t="s">
        <v>309</v>
      </c>
      <c r="B85" s="213"/>
      <c r="C85" s="213"/>
      <c r="D85" s="213"/>
      <c r="E85" s="213"/>
      <c r="F85" s="213"/>
      <c r="G85" s="213"/>
      <c r="H85" s="213"/>
      <c r="I85" s="213"/>
      <c r="J85" s="213"/>
      <c r="K85" s="213"/>
    </row>
    <row r="86" spans="1:11" ht="15.75" x14ac:dyDescent="0.25">
      <c r="A86" s="149"/>
      <c r="B86" s="213"/>
      <c r="C86" s="213"/>
      <c r="D86" s="213"/>
      <c r="E86" s="213"/>
      <c r="F86" s="213"/>
      <c r="G86" s="213"/>
      <c r="H86" s="213"/>
      <c r="I86" s="213"/>
      <c r="J86" s="213"/>
      <c r="K86" s="213"/>
    </row>
    <row r="87" spans="1:11" ht="15.75" thickBot="1" x14ac:dyDescent="0.3">
      <c r="A87" s="213"/>
      <c r="B87" s="213"/>
      <c r="C87" s="213"/>
      <c r="D87" s="213"/>
      <c r="E87" s="213"/>
      <c r="F87" s="213"/>
      <c r="G87" s="213"/>
      <c r="H87" s="213"/>
      <c r="I87" s="213"/>
      <c r="J87" s="213"/>
      <c r="K87" s="213"/>
    </row>
    <row r="88" spans="1:11" ht="15.75" thickBot="1" x14ac:dyDescent="0.3">
      <c r="A88" s="148"/>
      <c r="B88" s="156"/>
      <c r="C88" s="213"/>
      <c r="D88" s="213"/>
      <c r="E88" s="213"/>
      <c r="F88" s="213"/>
      <c r="G88" s="213"/>
      <c r="H88" s="214" t="s">
        <v>310</v>
      </c>
      <c r="I88" s="215"/>
      <c r="J88" s="216" t="s">
        <v>311</v>
      </c>
      <c r="K88" s="217" t="s">
        <v>312</v>
      </c>
    </row>
    <row r="89" spans="1:11" x14ac:dyDescent="0.25">
      <c r="A89" s="152" t="s">
        <v>248</v>
      </c>
      <c r="B89" s="218">
        <v>22007938139</v>
      </c>
      <c r="C89" s="219"/>
      <c r="D89" s="219"/>
      <c r="E89" s="219"/>
      <c r="F89" s="219"/>
      <c r="G89" s="213"/>
      <c r="H89" s="220" t="s">
        <v>313</v>
      </c>
      <c r="I89" s="221"/>
      <c r="J89" s="124" t="s">
        <v>273</v>
      </c>
      <c r="K89" s="169" t="s">
        <v>314</v>
      </c>
    </row>
    <row r="90" spans="1:11" x14ac:dyDescent="0.25">
      <c r="A90" s="157" t="s">
        <v>315</v>
      </c>
      <c r="B90" s="222">
        <v>1606579484.1469998</v>
      </c>
      <c r="C90" s="156"/>
      <c r="D90" s="156"/>
      <c r="E90" s="156"/>
      <c r="F90" s="156"/>
      <c r="G90" s="213"/>
      <c r="H90" s="157" t="s">
        <v>316</v>
      </c>
      <c r="I90" s="223"/>
      <c r="J90" s="224">
        <v>3.047732061653087E-2</v>
      </c>
      <c r="K90" s="225">
        <v>6.9147310138769251E-3</v>
      </c>
    </row>
    <row r="91" spans="1:11" x14ac:dyDescent="0.25">
      <c r="A91" s="157" t="s">
        <v>317</v>
      </c>
      <c r="B91" s="226">
        <v>18880488.840606689</v>
      </c>
      <c r="C91" s="219"/>
      <c r="D91" s="219"/>
      <c r="E91" s="213"/>
      <c r="F91" s="156"/>
      <c r="G91" s="213"/>
      <c r="H91" s="157" t="s">
        <v>318</v>
      </c>
      <c r="I91" s="223"/>
      <c r="J91" s="224">
        <v>0.101328498667984</v>
      </c>
      <c r="K91" s="225">
        <v>4.9535101029060086E-2</v>
      </c>
    </row>
    <row r="92" spans="1:11" ht="15.75" thickBot="1" x14ac:dyDescent="0.3">
      <c r="A92" s="227" t="s">
        <v>319</v>
      </c>
      <c r="B92" s="228">
        <v>20382478166.012394</v>
      </c>
      <c r="C92" s="229"/>
      <c r="D92" s="156"/>
      <c r="E92" s="219"/>
      <c r="F92" s="156"/>
      <c r="G92" s="213"/>
      <c r="H92" s="230" t="s">
        <v>320</v>
      </c>
      <c r="I92" s="231"/>
      <c r="J92" s="232">
        <v>0.86819418071548504</v>
      </c>
      <c r="K92" s="233">
        <v>0.94355016795706304</v>
      </c>
    </row>
    <row r="93" spans="1:11" ht="15.75" thickBot="1" x14ac:dyDescent="0.3">
      <c r="A93" s="156"/>
      <c r="B93" s="213"/>
      <c r="C93" s="213"/>
      <c r="D93" s="213"/>
      <c r="E93" s="219"/>
      <c r="F93" s="156"/>
      <c r="G93" s="213"/>
      <c r="H93" s="161" t="s">
        <v>321</v>
      </c>
      <c r="I93" s="234"/>
      <c r="J93" s="235">
        <v>0.99999999999999989</v>
      </c>
      <c r="K93" s="236">
        <v>1</v>
      </c>
    </row>
    <row r="94" spans="1:11" x14ac:dyDescent="0.25">
      <c r="A94" s="148"/>
      <c r="B94" s="148"/>
      <c r="C94" s="148"/>
      <c r="D94" s="148"/>
      <c r="E94" s="148"/>
      <c r="F94" s="148"/>
      <c r="G94" s="148"/>
      <c r="H94" s="502"/>
      <c r="I94" s="502"/>
      <c r="J94" s="148"/>
      <c r="K94" s="148"/>
    </row>
    <row r="95" spans="1:11" x14ac:dyDescent="0.25">
      <c r="A95" s="213"/>
      <c r="B95" s="213"/>
      <c r="C95" s="213"/>
      <c r="D95" s="213"/>
      <c r="E95" s="213"/>
      <c r="F95" s="156"/>
      <c r="G95" s="213"/>
      <c r="H95" s="148"/>
      <c r="I95" s="213"/>
      <c r="J95" s="213"/>
      <c r="K95" s="213"/>
    </row>
    <row r="96" spans="1:11" ht="15.75" thickBot="1" x14ac:dyDescent="0.3">
      <c r="A96" s="125"/>
      <c r="B96" s="125"/>
      <c r="C96" s="132"/>
      <c r="D96" s="132"/>
      <c r="E96" s="125"/>
      <c r="F96" s="125"/>
      <c r="G96" s="132"/>
      <c r="H96" s="125"/>
      <c r="I96" s="125"/>
      <c r="J96" s="125"/>
      <c r="K96" s="125"/>
    </row>
    <row r="97" spans="1:11" x14ac:dyDescent="0.25">
      <c r="A97" s="237" t="s">
        <v>322</v>
      </c>
      <c r="B97" s="238" t="s">
        <v>323</v>
      </c>
      <c r="C97" s="238" t="s">
        <v>324</v>
      </c>
      <c r="D97" s="238" t="s">
        <v>325</v>
      </c>
      <c r="E97" s="238" t="s">
        <v>326</v>
      </c>
      <c r="F97" s="238" t="s">
        <v>327</v>
      </c>
      <c r="G97" s="238" t="s">
        <v>328</v>
      </c>
      <c r="H97" s="238" t="s">
        <v>329</v>
      </c>
      <c r="I97" s="238" t="s">
        <v>330</v>
      </c>
      <c r="J97" s="238" t="s">
        <v>331</v>
      </c>
      <c r="K97" s="239" t="s">
        <v>332</v>
      </c>
    </row>
    <row r="98" spans="1:11" x14ac:dyDescent="0.25">
      <c r="A98" s="240"/>
      <c r="B98" s="241"/>
      <c r="C98" s="241"/>
      <c r="D98" s="241"/>
      <c r="E98" s="241"/>
      <c r="F98" s="241" t="s">
        <v>333</v>
      </c>
      <c r="G98" s="241" t="s">
        <v>333</v>
      </c>
      <c r="H98" s="241" t="s">
        <v>333</v>
      </c>
      <c r="I98" s="241"/>
      <c r="J98" s="241" t="s">
        <v>268</v>
      </c>
      <c r="K98" s="242" t="s">
        <v>272</v>
      </c>
    </row>
    <row r="99" spans="1:11" x14ac:dyDescent="0.25">
      <c r="A99" s="240"/>
      <c r="B99" s="241" t="s">
        <v>270</v>
      </c>
      <c r="C99" s="241" t="s">
        <v>334</v>
      </c>
      <c r="D99" s="241" t="s">
        <v>333</v>
      </c>
      <c r="E99" s="241" t="s">
        <v>135</v>
      </c>
      <c r="F99" s="241" t="s">
        <v>335</v>
      </c>
      <c r="G99" s="241" t="s">
        <v>335</v>
      </c>
      <c r="H99" s="241" t="s">
        <v>335</v>
      </c>
      <c r="I99" s="241" t="s">
        <v>336</v>
      </c>
      <c r="J99" s="241" t="s">
        <v>274</v>
      </c>
      <c r="K99" s="242" t="s">
        <v>268</v>
      </c>
    </row>
    <row r="100" spans="1:11" x14ac:dyDescent="0.25">
      <c r="A100" s="240" t="s">
        <v>276</v>
      </c>
      <c r="B100" s="241" t="s">
        <v>337</v>
      </c>
      <c r="C100" s="241" t="s">
        <v>284</v>
      </c>
      <c r="D100" s="241" t="s">
        <v>338</v>
      </c>
      <c r="E100" s="241" t="s">
        <v>339</v>
      </c>
      <c r="F100" s="241" t="s">
        <v>340</v>
      </c>
      <c r="G100" s="241" t="s">
        <v>341</v>
      </c>
      <c r="H100" s="241" t="s">
        <v>342</v>
      </c>
      <c r="I100" s="241" t="s">
        <v>284</v>
      </c>
      <c r="J100" s="241" t="s">
        <v>281</v>
      </c>
      <c r="K100" s="242" t="s">
        <v>278</v>
      </c>
    </row>
    <row r="101" spans="1:11" x14ac:dyDescent="0.25">
      <c r="A101" s="170"/>
      <c r="B101" s="48"/>
      <c r="C101" s="48"/>
      <c r="D101" s="48"/>
      <c r="E101" s="48"/>
      <c r="F101" s="48"/>
      <c r="G101" s="48"/>
      <c r="H101" s="48"/>
      <c r="I101" s="48"/>
      <c r="J101" s="241" t="s">
        <v>284</v>
      </c>
      <c r="K101" s="243"/>
    </row>
    <row r="102" spans="1:11" x14ac:dyDescent="0.25">
      <c r="A102" s="171"/>
      <c r="B102" s="173"/>
      <c r="C102" s="174" t="s">
        <v>343</v>
      </c>
      <c r="D102" s="173" t="s">
        <v>344</v>
      </c>
      <c r="E102" s="174" t="s">
        <v>345</v>
      </c>
      <c r="F102" s="174" t="s">
        <v>346</v>
      </c>
      <c r="G102" s="173" t="s">
        <v>344</v>
      </c>
      <c r="H102" s="174" t="s">
        <v>347</v>
      </c>
      <c r="I102" s="173" t="s">
        <v>348</v>
      </c>
      <c r="J102" s="174" t="s">
        <v>349</v>
      </c>
      <c r="K102" s="175" t="s">
        <v>350</v>
      </c>
    </row>
    <row r="103" spans="1:11" x14ac:dyDescent="0.25">
      <c r="A103" s="171"/>
      <c r="B103" s="173"/>
      <c r="C103" s="174" t="s">
        <v>351</v>
      </c>
      <c r="D103" s="173"/>
      <c r="E103" s="174"/>
      <c r="F103" s="174"/>
      <c r="G103" s="173"/>
      <c r="H103" s="174"/>
      <c r="I103" s="173" t="s">
        <v>352</v>
      </c>
      <c r="J103" s="174"/>
      <c r="K103" s="175"/>
    </row>
    <row r="104" spans="1:11" x14ac:dyDescent="0.25">
      <c r="A104" s="178" t="s">
        <v>296</v>
      </c>
      <c r="B104" s="179" t="s">
        <v>296</v>
      </c>
      <c r="C104" s="179" t="s">
        <v>296</v>
      </c>
      <c r="D104" s="179" t="s">
        <v>296</v>
      </c>
      <c r="E104" s="179" t="s">
        <v>296</v>
      </c>
      <c r="F104" s="179" t="s">
        <v>296</v>
      </c>
      <c r="G104" s="179" t="s">
        <v>296</v>
      </c>
      <c r="H104" s="179" t="s">
        <v>296</v>
      </c>
      <c r="I104" s="179" t="s">
        <v>353</v>
      </c>
      <c r="J104" s="179" t="s">
        <v>296</v>
      </c>
      <c r="K104" s="180" t="s">
        <v>296</v>
      </c>
    </row>
    <row r="105" spans="1:11" x14ac:dyDescent="0.25">
      <c r="A105" s="182" t="s">
        <v>299</v>
      </c>
      <c r="B105" s="184">
        <v>10208761476.354383</v>
      </c>
      <c r="C105" s="184">
        <v>9456475.5846091062</v>
      </c>
      <c r="D105" s="184">
        <v>1596531.0833333333</v>
      </c>
      <c r="E105" s="184">
        <v>1163276.17849943</v>
      </c>
      <c r="F105" s="244">
        <v>0.72862732873992797</v>
      </c>
      <c r="G105" s="184">
        <v>241622.16666666666</v>
      </c>
      <c r="H105" s="184">
        <v>1542220021.4371381</v>
      </c>
      <c r="I105" s="184">
        <v>882118531.15433276</v>
      </c>
      <c r="J105" s="184">
        <v>11100336483.093327</v>
      </c>
      <c r="K105" s="245">
        <v>7.9467728973609736E-2</v>
      </c>
    </row>
    <row r="106" spans="1:11" x14ac:dyDescent="0.25">
      <c r="A106" s="189">
        <v>24</v>
      </c>
      <c r="B106" s="184">
        <v>2724602308.1630082</v>
      </c>
      <c r="C106" s="184">
        <v>2523825.7612924469</v>
      </c>
      <c r="D106" s="184">
        <v>374204.91666666669</v>
      </c>
      <c r="E106" s="184">
        <v>310465.17918081745</v>
      </c>
      <c r="F106" s="244">
        <v>0.82966622124148315</v>
      </c>
      <c r="G106" s="184">
        <v>55871.166666666664</v>
      </c>
      <c r="H106" s="184">
        <v>406064716.78825325</v>
      </c>
      <c r="I106" s="184">
        <v>232260771.19207883</v>
      </c>
      <c r="J106" s="184">
        <v>2959386905.1163797</v>
      </c>
      <c r="K106" s="245">
        <v>7.8482732619560958E-2</v>
      </c>
    </row>
    <row r="107" spans="1:11" x14ac:dyDescent="0.25">
      <c r="A107" s="189">
        <v>25</v>
      </c>
      <c r="B107" s="184">
        <v>2805029593.5689993</v>
      </c>
      <c r="C107" s="184">
        <v>2598326.3422434032</v>
      </c>
      <c r="D107" s="184">
        <v>390998.58333333331</v>
      </c>
      <c r="E107" s="184">
        <v>319629.77230319247</v>
      </c>
      <c r="F107" s="244">
        <v>0.81747041019507316</v>
      </c>
      <c r="G107" s="184">
        <v>57870.916666666664</v>
      </c>
      <c r="H107" s="184">
        <v>414415994.99617642</v>
      </c>
      <c r="I107" s="184">
        <v>237037532.72002834</v>
      </c>
      <c r="J107" s="184">
        <v>3044665452.6312709</v>
      </c>
      <c r="K107" s="245">
        <v>7.7853391910488873E-2</v>
      </c>
    </row>
    <row r="108" spans="1:11" x14ac:dyDescent="0.25">
      <c r="A108" s="189">
        <v>26</v>
      </c>
      <c r="B108" s="184">
        <v>1868458845.7140005</v>
      </c>
      <c r="C108" s="184">
        <v>1730771.7000016626</v>
      </c>
      <c r="D108" s="184">
        <v>245143.25</v>
      </c>
      <c r="E108" s="184">
        <v>212908.65407718605</v>
      </c>
      <c r="F108" s="244">
        <v>0.86850710381454943</v>
      </c>
      <c r="G108" s="184">
        <v>36011.25</v>
      </c>
      <c r="H108" s="184">
        <v>273977991.63403726</v>
      </c>
      <c r="I108" s="184">
        <v>156709846.9669829</v>
      </c>
      <c r="J108" s="184">
        <v>2026899464.380985</v>
      </c>
      <c r="K108" s="245">
        <v>7.7315056676894464E-2</v>
      </c>
    </row>
    <row r="109" spans="1:11" x14ac:dyDescent="0.25">
      <c r="A109" s="189">
        <v>29</v>
      </c>
      <c r="B109" s="184">
        <v>14242753.409000002</v>
      </c>
      <c r="C109" s="184">
        <v>13193.201759270998</v>
      </c>
      <c r="D109" s="184">
        <v>1722.75</v>
      </c>
      <c r="E109" s="184">
        <v>1622.9447416620301</v>
      </c>
      <c r="F109" s="244">
        <v>0.94206631354638226</v>
      </c>
      <c r="G109" s="184">
        <v>243.75</v>
      </c>
      <c r="H109" s="184">
        <v>2011547.0959999126</v>
      </c>
      <c r="I109" s="184">
        <v>1150564.0861915972</v>
      </c>
      <c r="J109" s="184">
        <v>15406510.69695087</v>
      </c>
      <c r="K109" s="245">
        <v>7.468038083531188E-2</v>
      </c>
    </row>
    <row r="110" spans="1:11" x14ac:dyDescent="0.25">
      <c r="A110" s="182">
        <v>31</v>
      </c>
      <c r="B110" s="184">
        <v>1271891747.5769999</v>
      </c>
      <c r="C110" s="184">
        <v>1178165.7633089151</v>
      </c>
      <c r="D110" s="184">
        <v>163580.33333333334</v>
      </c>
      <c r="E110" s="184">
        <v>144930.54568992587</v>
      </c>
      <c r="F110" s="244">
        <v>0.88599003765688533</v>
      </c>
      <c r="G110" s="184">
        <v>11025.5</v>
      </c>
      <c r="H110" s="184">
        <v>85571912.483229265</v>
      </c>
      <c r="I110" s="184">
        <v>48945396.051486872</v>
      </c>
      <c r="J110" s="184">
        <v>1322015309.3917959</v>
      </c>
      <c r="K110" s="245">
        <v>3.702332015656052E-2</v>
      </c>
    </row>
    <row r="111" spans="1:11" x14ac:dyDescent="0.25">
      <c r="A111" s="182">
        <v>35</v>
      </c>
      <c r="B111" s="184">
        <v>4429100.4000000004</v>
      </c>
      <c r="C111" s="184">
        <v>4102.7190116444344</v>
      </c>
      <c r="D111" s="184">
        <v>528.91666666666663</v>
      </c>
      <c r="E111" s="184">
        <v>504.69070116252789</v>
      </c>
      <c r="F111" s="244">
        <v>0.95419700865768631</v>
      </c>
      <c r="G111" s="184">
        <v>33.75</v>
      </c>
      <c r="H111" s="184">
        <v>282108.34560964495</v>
      </c>
      <c r="I111" s="184">
        <v>161360.24432082128</v>
      </c>
      <c r="J111" s="184">
        <v>4594563.3633324662</v>
      </c>
      <c r="K111" s="245">
        <v>3.5119821310677424E-2</v>
      </c>
    </row>
    <row r="112" spans="1:11" x14ac:dyDescent="0.25">
      <c r="A112" s="182">
        <v>40</v>
      </c>
      <c r="B112" s="184">
        <v>665910607.83399987</v>
      </c>
      <c r="C112" s="184">
        <v>616839.50781884557</v>
      </c>
      <c r="D112" s="184">
        <v>87075.5</v>
      </c>
      <c r="E112" s="184">
        <v>75879.718504305405</v>
      </c>
      <c r="F112" s="244">
        <v>0.87142443631452482</v>
      </c>
      <c r="G112" s="184">
        <v>5861.083333333333</v>
      </c>
      <c r="H112" s="184">
        <v>44741623.26189591</v>
      </c>
      <c r="I112" s="184">
        <v>25591299.843498275</v>
      </c>
      <c r="J112" s="184">
        <v>692118747.18531692</v>
      </c>
      <c r="K112" s="245">
        <v>3.6975302211610411E-2</v>
      </c>
    </row>
    <row r="113" spans="1:11" x14ac:dyDescent="0.25">
      <c r="A113" s="189">
        <v>43</v>
      </c>
      <c r="B113" s="184">
        <v>116295695.25500003</v>
      </c>
      <c r="C113" s="184">
        <v>107725.83974278298</v>
      </c>
      <c r="D113" s="184">
        <v>23842.5</v>
      </c>
      <c r="E113" s="184">
        <v>13251.755589110064</v>
      </c>
      <c r="F113" s="244">
        <v>0.555803946277029</v>
      </c>
      <c r="G113" s="184">
        <v>1656.0833333333333</v>
      </c>
      <c r="H113" s="184">
        <v>8063209.0317852795</v>
      </c>
      <c r="I113" s="184">
        <v>4611991.8096256526</v>
      </c>
      <c r="J113" s="184">
        <v>121015412.90436846</v>
      </c>
      <c r="K113" s="245">
        <v>3.8110780262926053E-2</v>
      </c>
    </row>
    <row r="114" spans="1:11" x14ac:dyDescent="0.25">
      <c r="A114" s="189">
        <v>46</v>
      </c>
      <c r="B114" s="184">
        <v>57454342.252000004</v>
      </c>
      <c r="C114" s="184">
        <v>53220.519060440914</v>
      </c>
      <c r="D114" s="184">
        <v>6545.5</v>
      </c>
      <c r="E114" s="184">
        <v>6546.853685230014</v>
      </c>
      <c r="F114" s="244">
        <v>1.0002068115850606</v>
      </c>
      <c r="G114" s="184">
        <v>206.08333333333334</v>
      </c>
      <c r="H114" s="184">
        <v>1805663.3548863942</v>
      </c>
      <c r="I114" s="184">
        <v>1032802.7675890955</v>
      </c>
      <c r="J114" s="184">
        <v>58540365.538649537</v>
      </c>
      <c r="K114" s="245">
        <v>1.7642574624977668E-2</v>
      </c>
    </row>
    <row r="115" spans="1:11" x14ac:dyDescent="0.25">
      <c r="A115" s="189">
        <v>49</v>
      </c>
      <c r="B115" s="184">
        <v>563748979.77299988</v>
      </c>
      <c r="C115" s="184">
        <v>522206.19273156236</v>
      </c>
      <c r="D115" s="184">
        <v>68869.916666666672</v>
      </c>
      <c r="E115" s="184">
        <v>64238.522992455772</v>
      </c>
      <c r="F115" s="244">
        <v>0.93275157139180165</v>
      </c>
      <c r="G115" s="184">
        <v>2156</v>
      </c>
      <c r="H115" s="184">
        <v>17616468.518185545</v>
      </c>
      <c r="I115" s="184">
        <v>10076262.217700556</v>
      </c>
      <c r="J115" s="184">
        <v>574347448.1834321</v>
      </c>
      <c r="K115" s="245">
        <v>1.754384432205652E-2</v>
      </c>
    </row>
    <row r="116" spans="1:11" x14ac:dyDescent="0.25">
      <c r="A116" s="189" t="s">
        <v>300</v>
      </c>
      <c r="B116" s="184">
        <v>6798760.6290000007</v>
      </c>
      <c r="C116" s="184">
        <v>6297.7584541136102</v>
      </c>
      <c r="D116" s="184">
        <v>838.33333333333337</v>
      </c>
      <c r="E116" s="184">
        <v>774.71065430943918</v>
      </c>
      <c r="F116" s="244">
        <v>0.92410813635320777</v>
      </c>
      <c r="G116" s="184">
        <v>58.75</v>
      </c>
      <c r="H116" s="184">
        <v>475592.25237417832</v>
      </c>
      <c r="I116" s="184">
        <v>272029.10950523615</v>
      </c>
      <c r="J116" s="184">
        <v>7077087.4969593501</v>
      </c>
      <c r="K116" s="245">
        <v>3.8438002868003633E-2</v>
      </c>
    </row>
    <row r="117" spans="1:11" x14ac:dyDescent="0.25">
      <c r="A117" s="182" t="s">
        <v>354</v>
      </c>
      <c r="B117" s="184">
        <v>74853955.083000004</v>
      </c>
      <c r="C117" s="184">
        <v>69337.950572491565</v>
      </c>
      <c r="D117" s="184">
        <v>6785.5833333333339</v>
      </c>
      <c r="E117" s="184">
        <v>8529.5187879750101</v>
      </c>
      <c r="F117" s="244">
        <v>1.25700597413266</v>
      </c>
      <c r="G117" s="184">
        <v>1049.6666666666665</v>
      </c>
      <c r="H117" s="184">
        <v>11558270.492627738</v>
      </c>
      <c r="I117" s="184">
        <v>6611095.9836587962</v>
      </c>
      <c r="J117" s="184">
        <v>81534389.017231286</v>
      </c>
      <c r="K117" s="245">
        <v>8.1083528844027059E-2</v>
      </c>
    </row>
    <row r="118" spans="1:11" x14ac:dyDescent="0.25">
      <c r="A118" s="178" t="s">
        <v>296</v>
      </c>
      <c r="B118" s="179" t="s">
        <v>296</v>
      </c>
      <c r="C118" s="179" t="s">
        <v>296</v>
      </c>
      <c r="D118" s="179" t="s">
        <v>296</v>
      </c>
      <c r="E118" s="179" t="s">
        <v>296</v>
      </c>
      <c r="F118" s="179" t="s">
        <v>296</v>
      </c>
      <c r="G118" s="179" t="s">
        <v>296</v>
      </c>
      <c r="H118" s="179" t="s">
        <v>296</v>
      </c>
      <c r="I118" s="179" t="s">
        <v>353</v>
      </c>
      <c r="J118" s="179" t="s">
        <v>296</v>
      </c>
      <c r="K118" s="180" t="s">
        <v>296</v>
      </c>
    </row>
    <row r="119" spans="1:11" x14ac:dyDescent="0.25">
      <c r="A119" s="171" t="s">
        <v>12</v>
      </c>
      <c r="B119" s="190">
        <v>20382478166.012394</v>
      </c>
      <c r="C119" s="246">
        <v>18880488.840606689</v>
      </c>
      <c r="D119" s="190">
        <v>2966667.166666667</v>
      </c>
      <c r="E119" s="190">
        <v>2322559.045406762</v>
      </c>
      <c r="F119" s="247">
        <v>0.78288493953852545</v>
      </c>
      <c r="G119" s="190">
        <v>413666.16666666663</v>
      </c>
      <c r="H119" s="190">
        <v>2808805119.6921992</v>
      </c>
      <c r="I119" s="190">
        <v>1606579484.1469998</v>
      </c>
      <c r="J119" s="190">
        <v>22007938139</v>
      </c>
      <c r="K119" s="248">
        <v>7.2999999999999995E-2</v>
      </c>
    </row>
    <row r="120" spans="1:11" ht="15.75" thickBot="1" x14ac:dyDescent="0.3">
      <c r="A120" s="193"/>
      <c r="B120" s="194"/>
      <c r="C120" s="194"/>
      <c r="D120" s="194"/>
      <c r="E120" s="194"/>
      <c r="F120" s="194"/>
      <c r="G120" s="194"/>
      <c r="H120" s="195"/>
      <c r="I120" s="194"/>
      <c r="J120" s="194"/>
      <c r="K120" s="196"/>
    </row>
    <row r="121" spans="1:11" x14ac:dyDescent="0.25">
      <c r="A121" s="171"/>
      <c r="B121" s="173"/>
      <c r="C121" s="173"/>
      <c r="D121" s="173"/>
      <c r="E121" s="173"/>
      <c r="F121" s="173"/>
      <c r="G121" s="173"/>
      <c r="H121" s="249"/>
      <c r="I121" s="173"/>
      <c r="J121" s="173"/>
      <c r="K121" s="173"/>
    </row>
    <row r="122" spans="1:11" x14ac:dyDescent="0.25">
      <c r="A122" s="171"/>
      <c r="B122" s="173"/>
      <c r="C122" s="173"/>
      <c r="D122" s="173"/>
      <c r="E122" s="173"/>
      <c r="F122" s="173"/>
      <c r="G122" s="173"/>
      <c r="H122" s="249"/>
      <c r="I122" s="173"/>
      <c r="J122" s="173"/>
      <c r="K122" s="173"/>
    </row>
    <row r="123" spans="1:11" ht="15.75" thickBot="1" x14ac:dyDescent="0.3">
      <c r="A123" s="250" t="s">
        <v>302</v>
      </c>
      <c r="B123" s="173"/>
      <c r="C123" s="173"/>
      <c r="D123" s="132"/>
      <c r="E123" s="173"/>
      <c r="F123" s="173"/>
      <c r="G123" s="132"/>
      <c r="H123" s="249"/>
      <c r="I123" s="173"/>
      <c r="J123" s="173"/>
      <c r="K123" s="173"/>
    </row>
    <row r="124" spans="1:11" x14ac:dyDescent="0.25">
      <c r="A124" s="199">
        <v>459</v>
      </c>
      <c r="B124" s="201">
        <v>277864630.43800002</v>
      </c>
      <c r="C124" s="201">
        <v>0</v>
      </c>
      <c r="D124" s="201">
        <v>33349.677499999998</v>
      </c>
      <c r="E124" s="201">
        <v>31633.040805783246</v>
      </c>
      <c r="F124" s="251">
        <v>0.9485261380948361</v>
      </c>
      <c r="G124" s="201">
        <v>568.11122776207412</v>
      </c>
      <c r="H124" s="201">
        <v>4720486.7361666895</v>
      </c>
      <c r="I124" s="201">
        <v>4720486.7361666895</v>
      </c>
      <c r="J124" s="201">
        <v>282585117.17416674</v>
      </c>
      <c r="K124" s="252">
        <v>1.6704654453749218E-2</v>
      </c>
    </row>
    <row r="125" spans="1:11" x14ac:dyDescent="0.25">
      <c r="A125" s="189" t="s">
        <v>303</v>
      </c>
      <c r="B125" s="184">
        <v>1720611951.727</v>
      </c>
      <c r="C125" s="184">
        <v>0</v>
      </c>
      <c r="D125" s="184">
        <v>202197.85416666672</v>
      </c>
      <c r="E125" s="184">
        <v>195880.23129861112</v>
      </c>
      <c r="F125" s="244">
        <v>0.96875524275916336</v>
      </c>
      <c r="G125" s="184">
        <v>3517.8963470697345</v>
      </c>
      <c r="H125" s="184">
        <v>29853909.440234326</v>
      </c>
      <c r="I125" s="184">
        <v>29853909.440234326</v>
      </c>
      <c r="J125" s="184">
        <v>1750465861.1672344</v>
      </c>
      <c r="K125" s="245">
        <v>1.7054836716625443E-2</v>
      </c>
    </row>
    <row r="126" spans="1:11" x14ac:dyDescent="0.25">
      <c r="A126" s="189" t="s">
        <v>304</v>
      </c>
      <c r="B126" s="184">
        <v>103596479.89899999</v>
      </c>
      <c r="C126" s="184">
        <v>0</v>
      </c>
      <c r="D126" s="184">
        <v>12327.4375</v>
      </c>
      <c r="E126" s="184">
        <v>11793.770480305098</v>
      </c>
      <c r="F126" s="244">
        <v>0.95670900625576871</v>
      </c>
      <c r="G126" s="184">
        <v>453.43210223566166</v>
      </c>
      <c r="H126" s="184">
        <v>3800110.565184853</v>
      </c>
      <c r="I126" s="184">
        <v>3800110.565184853</v>
      </c>
      <c r="J126" s="184">
        <v>107396590.46418484</v>
      </c>
      <c r="K126" s="245">
        <v>3.5383903239015149E-2</v>
      </c>
    </row>
    <row r="127" spans="1:11" x14ac:dyDescent="0.25">
      <c r="A127" s="206" t="s">
        <v>296</v>
      </c>
      <c r="B127" s="253" t="s">
        <v>296</v>
      </c>
      <c r="C127" s="253" t="s">
        <v>296</v>
      </c>
      <c r="D127" s="253" t="s">
        <v>296</v>
      </c>
      <c r="E127" s="253" t="s">
        <v>296</v>
      </c>
      <c r="F127" s="253" t="s">
        <v>296</v>
      </c>
      <c r="G127" s="253" t="s">
        <v>296</v>
      </c>
      <c r="H127" s="253" t="s">
        <v>296</v>
      </c>
      <c r="I127" s="253" t="s">
        <v>353</v>
      </c>
      <c r="J127" s="253" t="s">
        <v>296</v>
      </c>
      <c r="K127" s="254" t="s">
        <v>296</v>
      </c>
    </row>
    <row r="128" spans="1:11" x14ac:dyDescent="0.25">
      <c r="A128" s="171" t="s">
        <v>305</v>
      </c>
      <c r="B128" s="190">
        <v>2102073062.0639999</v>
      </c>
      <c r="C128" s="246">
        <v>0</v>
      </c>
      <c r="D128" s="190">
        <v>247874.96916666671</v>
      </c>
      <c r="E128" s="190">
        <v>239307.04258469946</v>
      </c>
      <c r="F128" s="247">
        <v>0.96543448251038888</v>
      </c>
      <c r="G128" s="190">
        <v>4539.4396770674703</v>
      </c>
      <c r="H128" s="190">
        <v>38374506.741585873</v>
      </c>
      <c r="I128" s="190">
        <v>38374506.741585873</v>
      </c>
      <c r="J128" s="190">
        <v>2140447568.8055859</v>
      </c>
      <c r="K128" s="248">
        <v>1.8255553260316467E-2</v>
      </c>
    </row>
    <row r="129" spans="1:11" ht="15.75" thickBot="1" x14ac:dyDescent="0.3">
      <c r="A129" s="193"/>
      <c r="B129" s="194"/>
      <c r="C129" s="194"/>
      <c r="D129" s="194"/>
      <c r="E129" s="194"/>
      <c r="F129" s="194"/>
      <c r="G129" s="194"/>
      <c r="H129" s="195"/>
      <c r="I129" s="194"/>
      <c r="J129" s="194"/>
      <c r="K129" s="196"/>
    </row>
    <row r="130" spans="1:11" x14ac:dyDescent="0.25">
      <c r="A130" s="173"/>
      <c r="B130" s="173"/>
      <c r="C130" s="173"/>
      <c r="D130" s="173"/>
      <c r="E130" s="173"/>
      <c r="F130" s="173"/>
      <c r="G130" s="173"/>
      <c r="H130" s="249"/>
      <c r="I130" s="173"/>
      <c r="J130" s="173"/>
      <c r="K130" s="173"/>
    </row>
    <row r="131" spans="1:11" x14ac:dyDescent="0.25">
      <c r="A131" s="57" t="s">
        <v>355</v>
      </c>
      <c r="B131" s="173"/>
      <c r="C131" s="173"/>
      <c r="D131" s="173"/>
      <c r="E131" s="173"/>
      <c r="F131" s="173"/>
      <c r="G131" s="173"/>
      <c r="H131" s="249"/>
      <c r="I131" s="173"/>
      <c r="J131" s="173"/>
      <c r="K131" s="173"/>
    </row>
    <row r="132" spans="1:11" x14ac:dyDescent="0.25">
      <c r="A132" s="148" t="s">
        <v>356</v>
      </c>
      <c r="B132" s="125"/>
      <c r="C132" s="125"/>
      <c r="D132" s="125"/>
      <c r="E132" s="125"/>
      <c r="F132" s="125"/>
      <c r="G132" s="125"/>
      <c r="H132" s="125"/>
      <c r="I132" s="125"/>
      <c r="J132" s="125"/>
      <c r="K132" s="125"/>
    </row>
    <row r="133" spans="1:11" x14ac:dyDescent="0.25">
      <c r="A133" s="148" t="s">
        <v>357</v>
      </c>
      <c r="B133" s="125"/>
      <c r="C133" s="125"/>
      <c r="D133" s="125"/>
      <c r="E133" s="125"/>
      <c r="F133" s="125"/>
      <c r="G133" s="125"/>
      <c r="H133" s="125"/>
      <c r="I133" s="125"/>
      <c r="J133" s="125"/>
      <c r="K133" s="125"/>
    </row>
    <row r="134" spans="1:11" x14ac:dyDescent="0.25">
      <c r="A134" s="125"/>
      <c r="B134" s="125"/>
      <c r="C134" s="125"/>
      <c r="D134" s="125"/>
      <c r="E134" s="125"/>
      <c r="F134" s="125"/>
      <c r="G134" s="125"/>
      <c r="H134" s="125"/>
      <c r="I134" s="125"/>
      <c r="J134" s="125"/>
      <c r="K134" s="125"/>
    </row>
    <row r="135" spans="1:11" x14ac:dyDescent="0.25">
      <c r="A135" s="125"/>
      <c r="B135" s="125"/>
      <c r="C135" s="125"/>
      <c r="D135" s="125"/>
      <c r="E135" s="125"/>
      <c r="F135" s="125"/>
      <c r="G135" s="125"/>
      <c r="H135" s="125"/>
      <c r="I135" s="125"/>
      <c r="J135" s="125"/>
      <c r="K135" s="125"/>
    </row>
    <row r="136" spans="1:11" x14ac:dyDescent="0.25">
      <c r="A136" s="125" t="s">
        <v>358</v>
      </c>
      <c r="B136" s="255">
        <v>17695948932.292393</v>
      </c>
      <c r="C136" s="255">
        <v>16391930.54047838</v>
      </c>
      <c r="D136" s="255">
        <v>2615386.166666667</v>
      </c>
      <c r="E136" s="190">
        <v>2016432.2475902631</v>
      </c>
      <c r="F136" s="247">
        <v>0.77098834324730869</v>
      </c>
      <c r="G136" s="255">
        <v>392668.91666666669</v>
      </c>
      <c r="H136" s="255">
        <v>2650248542.4442325</v>
      </c>
      <c r="I136" s="255">
        <v>1515888342.1032734</v>
      </c>
      <c r="J136" s="190">
        <v>19228229204.936142</v>
      </c>
      <c r="K136" s="256">
        <v>7.8836606634277315E-2</v>
      </c>
    </row>
    <row r="137" spans="1:11" x14ac:dyDescent="0.25">
      <c r="A137" s="125" t="s">
        <v>359</v>
      </c>
      <c r="B137" s="255">
        <v>2065325911.6949999</v>
      </c>
      <c r="C137" s="255">
        <v>1913131.5883363015</v>
      </c>
      <c r="D137" s="255">
        <v>275865.58333333331</v>
      </c>
      <c r="E137" s="190">
        <v>235341.42113881331</v>
      </c>
      <c r="F137" s="247">
        <v>0.85310178346693599</v>
      </c>
      <c r="G137" s="255">
        <v>18635.166666666664</v>
      </c>
      <c r="H137" s="255">
        <v>139134445.37489426</v>
      </c>
      <c r="I137" s="255">
        <v>79582077.058436871</v>
      </c>
      <c r="J137" s="190">
        <v>2146821120.341773</v>
      </c>
      <c r="K137" s="256">
        <v>3.7069728960821585E-2</v>
      </c>
    </row>
    <row r="138" spans="1:11" x14ac:dyDescent="0.25">
      <c r="A138" s="257" t="s">
        <v>360</v>
      </c>
      <c r="B138" s="258">
        <v>621203322.02499986</v>
      </c>
      <c r="C138" s="258">
        <v>575426.71179200325</v>
      </c>
      <c r="D138" s="258">
        <v>75415.416666666672</v>
      </c>
      <c r="E138" s="204">
        <v>70785.376677685781</v>
      </c>
      <c r="F138" s="259">
        <v>0.93860618698898801</v>
      </c>
      <c r="G138" s="258">
        <v>2362.0833333333335</v>
      </c>
      <c r="H138" s="258">
        <v>19422131.873071939</v>
      </c>
      <c r="I138" s="258">
        <v>11109064.985289652</v>
      </c>
      <c r="J138" s="204">
        <v>632887813.72208154</v>
      </c>
      <c r="K138" s="260">
        <v>1.7552976600949292E-2</v>
      </c>
    </row>
    <row r="139" spans="1:11" x14ac:dyDescent="0.25">
      <c r="A139" s="125" t="s">
        <v>12</v>
      </c>
      <c r="B139" s="255">
        <v>20382478166.012394</v>
      </c>
      <c r="C139" s="255">
        <v>18880488.840606686</v>
      </c>
      <c r="D139" s="255">
        <v>2966667.166666667</v>
      </c>
      <c r="E139" s="255">
        <v>2322559.0454067625</v>
      </c>
      <c r="F139" s="255"/>
      <c r="G139" s="255">
        <v>413666.16666666669</v>
      </c>
      <c r="H139" s="255">
        <v>2808805119.6921988</v>
      </c>
      <c r="I139" s="255">
        <v>1606579484.1469998</v>
      </c>
      <c r="J139" s="255">
        <v>22007938138.999996</v>
      </c>
      <c r="K139" s="125"/>
    </row>
  </sheetData>
  <mergeCells count="2">
    <mergeCell ref="N11:P11"/>
    <mergeCell ref="H94:I94"/>
  </mergeCells>
  <printOptions horizontalCentered="1"/>
  <pageMargins left="0.7" right="0.7" top="0.75" bottom="0.75" header="0.3" footer="0.3"/>
  <pageSetup scale="60" fitToHeight="0" orientation="landscape" r:id="rId1"/>
  <headerFooter>
    <oddFooter>&amp;L&amp;F
&amp;A&amp;RPage &amp;P of &amp;N</oddFooter>
  </headerFooter>
  <rowBreaks count="2" manualBreakCount="2">
    <brk id="48" max="10" man="1"/>
    <brk id="83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workbookViewId="0"/>
  </sheetViews>
  <sheetFormatPr defaultColWidth="8.85546875" defaultRowHeight="15" x14ac:dyDescent="0.25"/>
  <cols>
    <col min="1" max="1" width="18.85546875" style="126" bestFit="1" customWidth="1"/>
    <col min="2" max="2" width="10.5703125" style="126" bestFit="1" customWidth="1"/>
    <col min="3" max="3" width="17.42578125" style="126" bestFit="1" customWidth="1"/>
    <col min="4" max="4" width="10.5703125" style="126" bestFit="1" customWidth="1"/>
    <col min="5" max="7" width="9" style="126" bestFit="1" customWidth="1"/>
    <col min="8" max="8" width="7" style="126" bestFit="1" customWidth="1"/>
    <col min="9" max="9" width="9" style="126" bestFit="1" customWidth="1"/>
    <col min="10" max="10" width="7" style="126" bestFit="1" customWidth="1"/>
    <col min="11" max="11" width="9" style="126" bestFit="1" customWidth="1"/>
    <col min="12" max="12" width="8" style="126" bestFit="1" customWidth="1"/>
    <col min="13" max="13" width="9" style="126" bestFit="1" customWidth="1"/>
    <col min="14" max="15" width="8" style="126" bestFit="1" customWidth="1"/>
    <col min="16" max="16" width="7" style="126" bestFit="1" customWidth="1"/>
    <col min="17" max="17" width="8" style="126" bestFit="1" customWidth="1"/>
    <col min="18" max="18" width="7" style="126" bestFit="1" customWidth="1"/>
    <col min="19" max="19" width="10.5703125" style="126" bestFit="1" customWidth="1"/>
    <col min="20" max="20" width="7" style="126" bestFit="1" customWidth="1"/>
    <col min="21" max="21" width="8" style="126" bestFit="1" customWidth="1"/>
    <col min="22" max="22" width="10.5703125" style="126" bestFit="1" customWidth="1"/>
    <col min="23" max="16384" width="8.85546875" style="126"/>
  </cols>
  <sheetData>
    <row r="1" spans="1:22" x14ac:dyDescent="0.25">
      <c r="A1" s="126" t="s">
        <v>198</v>
      </c>
      <c r="B1" s="501" t="s">
        <v>199</v>
      </c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  <c r="U1" s="501"/>
      <c r="V1" s="501"/>
    </row>
    <row r="2" spans="1:22" x14ac:dyDescent="0.25">
      <c r="A2" s="126" t="s">
        <v>200</v>
      </c>
    </row>
    <row r="4" spans="1:22" x14ac:dyDescent="0.25">
      <c r="A4" s="126" t="s">
        <v>201</v>
      </c>
      <c r="B4" s="126" t="s">
        <v>202</v>
      </c>
      <c r="C4" s="126" t="s">
        <v>203</v>
      </c>
      <c r="D4" s="126" t="s">
        <v>204</v>
      </c>
      <c r="E4" s="126" t="s">
        <v>205</v>
      </c>
      <c r="F4" s="126" t="s">
        <v>206</v>
      </c>
      <c r="G4" s="126" t="s">
        <v>207</v>
      </c>
      <c r="H4" s="126" t="s">
        <v>208</v>
      </c>
      <c r="I4" s="126" t="s">
        <v>209</v>
      </c>
      <c r="J4" s="126" t="s">
        <v>210</v>
      </c>
      <c r="K4" s="126" t="s">
        <v>211</v>
      </c>
      <c r="L4" s="126" t="s">
        <v>212</v>
      </c>
      <c r="M4" s="126" t="s">
        <v>213</v>
      </c>
      <c r="N4" s="126" t="s">
        <v>214</v>
      </c>
      <c r="O4" s="126" t="s">
        <v>215</v>
      </c>
      <c r="P4" s="126" t="s">
        <v>216</v>
      </c>
      <c r="Q4" s="126" t="s">
        <v>217</v>
      </c>
      <c r="R4" s="126" t="s">
        <v>218</v>
      </c>
      <c r="S4" s="126" t="s">
        <v>219</v>
      </c>
      <c r="T4" s="126" t="s">
        <v>220</v>
      </c>
      <c r="U4" s="126" t="s">
        <v>221</v>
      </c>
      <c r="V4" s="126" t="s">
        <v>222</v>
      </c>
    </row>
    <row r="5" spans="1:22" x14ac:dyDescent="0.25">
      <c r="A5" s="126" t="s">
        <v>223</v>
      </c>
      <c r="B5" s="147">
        <v>42303</v>
      </c>
      <c r="C5" s="126" t="s">
        <v>224</v>
      </c>
      <c r="D5" s="126" t="s">
        <v>225</v>
      </c>
      <c r="E5" s="296">
        <v>269594.21353494999</v>
      </c>
      <c r="F5" s="296">
        <v>358966.41095898498</v>
      </c>
      <c r="G5" s="296">
        <v>247781.948880738</v>
      </c>
      <c r="H5" s="296">
        <v>337.55674279833602</v>
      </c>
      <c r="I5" s="296">
        <v>152506.06420517599</v>
      </c>
      <c r="J5" s="296">
        <v>3.7310332199902598</v>
      </c>
      <c r="K5" s="296">
        <v>83063.264875620094</v>
      </c>
      <c r="L5" s="296">
        <v>10150.847140931501</v>
      </c>
      <c r="M5" s="296">
        <v>207332.847208947</v>
      </c>
      <c r="N5" s="296">
        <v>12065.960039432999</v>
      </c>
      <c r="O5" s="296">
        <v>34717.533081064001</v>
      </c>
      <c r="P5" s="296">
        <v>8601.4517544612299</v>
      </c>
      <c r="Q5" s="296">
        <v>71685.071738800994</v>
      </c>
      <c r="R5" s="296">
        <v>755.732861913683</v>
      </c>
      <c r="S5" s="296">
        <v>1781802.5974067501</v>
      </c>
      <c r="T5" s="296">
        <v>1348.69658216928</v>
      </c>
      <c r="U5" s="296">
        <v>14402.4122834851</v>
      </c>
      <c r="V5" s="296">
        <v>3001000</v>
      </c>
    </row>
    <row r="6" spans="1:22" x14ac:dyDescent="0.25">
      <c r="A6" s="126" t="s">
        <v>226</v>
      </c>
      <c r="B6" s="147">
        <v>42338</v>
      </c>
      <c r="C6" s="126" t="s">
        <v>227</v>
      </c>
      <c r="D6" s="126" t="s">
        <v>225</v>
      </c>
      <c r="E6" s="296">
        <v>545055.83159289602</v>
      </c>
      <c r="F6" s="296">
        <v>557407.83056049398</v>
      </c>
      <c r="G6" s="296">
        <v>308148.99328739801</v>
      </c>
      <c r="H6" s="296">
        <v>241.78159205100701</v>
      </c>
      <c r="I6" s="296">
        <v>204895.16237578599</v>
      </c>
      <c r="J6" s="296">
        <v>3.1091943499918799</v>
      </c>
      <c r="K6" s="296">
        <v>106853.910508733</v>
      </c>
      <c r="L6" s="296">
        <v>66844.398020481996</v>
      </c>
      <c r="M6" s="296">
        <v>198919.95289764099</v>
      </c>
      <c r="N6" s="296">
        <v>11781.843695158001</v>
      </c>
      <c r="O6" s="296">
        <v>34849.204472164798</v>
      </c>
      <c r="P6" s="296">
        <v>7611.9951932417398</v>
      </c>
      <c r="Q6" s="296">
        <v>71519.466384241707</v>
      </c>
      <c r="R6" s="296">
        <v>1600.3440283515699</v>
      </c>
      <c r="S6" s="296">
        <v>2274067.7347942698</v>
      </c>
      <c r="T6" s="296">
        <v>728.29644568999004</v>
      </c>
      <c r="U6" s="296">
        <v>8021.1460220153604</v>
      </c>
      <c r="V6" s="296">
        <v>4153000</v>
      </c>
    </row>
    <row r="7" spans="1:22" x14ac:dyDescent="0.25">
      <c r="A7" s="126" t="s">
        <v>228</v>
      </c>
      <c r="B7" s="147">
        <v>42368</v>
      </c>
      <c r="C7" s="126" t="s">
        <v>224</v>
      </c>
      <c r="D7" s="126" t="s">
        <v>225</v>
      </c>
      <c r="E7" s="296">
        <v>445598.961896608</v>
      </c>
      <c r="F7" s="296">
        <v>389863.24558770802</v>
      </c>
      <c r="G7" s="296">
        <v>235322.261152864</v>
      </c>
      <c r="H7" s="296">
        <v>501.63874625004399</v>
      </c>
      <c r="I7" s="296">
        <v>158704.759102721</v>
      </c>
      <c r="J7" s="296">
        <v>4.3528720899886402</v>
      </c>
      <c r="K7" s="296">
        <v>84245.945845808194</v>
      </c>
      <c r="L7" s="296">
        <v>19399.907031096602</v>
      </c>
      <c r="M7" s="296">
        <v>186230.45853216801</v>
      </c>
      <c r="N7" s="296">
        <v>12384.15873193</v>
      </c>
      <c r="O7" s="296">
        <v>35843.1170073998</v>
      </c>
      <c r="P7" s="296">
        <v>2603.55338488291</v>
      </c>
      <c r="Q7" s="296">
        <v>64841.315952711702</v>
      </c>
      <c r="R7" s="296">
        <v>1702.5493946302199</v>
      </c>
      <c r="S7" s="296">
        <v>2625416.1886497098</v>
      </c>
      <c r="T7" s="296">
        <v>1618.43654597776</v>
      </c>
      <c r="U7" s="296">
        <v>17176.883836939502</v>
      </c>
      <c r="V7" s="296">
        <v>4047000</v>
      </c>
    </row>
    <row r="8" spans="1:22" x14ac:dyDescent="0.25">
      <c r="A8" s="126" t="s">
        <v>229</v>
      </c>
      <c r="B8" s="147">
        <v>42372</v>
      </c>
      <c r="C8" s="126" t="s">
        <v>230</v>
      </c>
      <c r="D8" s="126" t="s">
        <v>225</v>
      </c>
      <c r="E8" s="296">
        <v>396604.63888535497</v>
      </c>
      <c r="F8" s="296">
        <v>331882.39346885798</v>
      </c>
      <c r="G8" s="296">
        <v>174144.22687904199</v>
      </c>
      <c r="H8" s="296">
        <v>312.22506393903302</v>
      </c>
      <c r="I8" s="296">
        <v>134424.07412209001</v>
      </c>
      <c r="J8" s="296">
        <v>4.3528720899886402</v>
      </c>
      <c r="K8" s="296">
        <v>78254.180986737294</v>
      </c>
      <c r="L8" s="296">
        <v>21975.509949114999</v>
      </c>
      <c r="M8" s="296">
        <v>185740.98563272099</v>
      </c>
      <c r="N8" s="296">
        <v>11367.5777814024</v>
      </c>
      <c r="O8" s="296">
        <v>33095.837064884698</v>
      </c>
      <c r="P8" s="296">
        <v>3716.3051916732902</v>
      </c>
      <c r="Q8" s="296">
        <v>62627.0593801129</v>
      </c>
      <c r="R8" s="296">
        <v>1386.67293838253</v>
      </c>
      <c r="S8" s="296">
        <v>2876873.0398796899</v>
      </c>
      <c r="T8" s="296">
        <v>1618.43654597776</v>
      </c>
      <c r="U8" s="296">
        <v>17176.883836939502</v>
      </c>
      <c r="V8" s="296">
        <v>4101000</v>
      </c>
    </row>
    <row r="9" spans="1:22" x14ac:dyDescent="0.25">
      <c r="A9" s="126" t="s">
        <v>231</v>
      </c>
      <c r="B9" s="147">
        <v>42402</v>
      </c>
      <c r="C9" s="126" t="s">
        <v>227</v>
      </c>
      <c r="D9" s="126" t="s">
        <v>225</v>
      </c>
      <c r="E9" s="296">
        <v>547930.00564791902</v>
      </c>
      <c r="F9" s="296">
        <v>523734.24516802299</v>
      </c>
      <c r="G9" s="296">
        <v>307105.20425422798</v>
      </c>
      <c r="H9" s="296">
        <v>377.59909453222599</v>
      </c>
      <c r="I9" s="296">
        <v>204220.428146791</v>
      </c>
      <c r="J9" s="296">
        <v>4.3528720899886402</v>
      </c>
      <c r="K9" s="296">
        <v>93812.246584670298</v>
      </c>
      <c r="L9" s="296">
        <v>54084.724665494701</v>
      </c>
      <c r="M9" s="296">
        <v>213930.65863653901</v>
      </c>
      <c r="N9" s="296">
        <v>14124.3493068477</v>
      </c>
      <c r="O9" s="296">
        <v>34774.4591413136</v>
      </c>
      <c r="P9" s="296">
        <v>8132.1724594795596</v>
      </c>
      <c r="Q9" s="296">
        <v>69730.979447857797</v>
      </c>
      <c r="R9" s="296">
        <v>1432.2987015999399</v>
      </c>
      <c r="S9" s="296">
        <v>1830686.3004896101</v>
      </c>
      <c r="T9" s="296">
        <v>728.29644568999004</v>
      </c>
      <c r="U9" s="296">
        <v>8021.1460220153604</v>
      </c>
      <c r="V9" s="296">
        <v>3650000</v>
      </c>
    </row>
    <row r="10" spans="1:22" x14ac:dyDescent="0.25">
      <c r="A10" s="126" t="s">
        <v>232</v>
      </c>
      <c r="B10" s="147">
        <v>42446</v>
      </c>
      <c r="C10" s="126" t="s">
        <v>227</v>
      </c>
      <c r="D10" s="126" t="s">
        <v>225</v>
      </c>
      <c r="E10" s="296">
        <v>501571.09506495902</v>
      </c>
      <c r="F10" s="296">
        <v>530690.37935532106</v>
      </c>
      <c r="G10" s="296">
        <v>301517.97457367298</v>
      </c>
      <c r="H10" s="296">
        <v>372.46373352324002</v>
      </c>
      <c r="I10" s="296">
        <v>199897.663898595</v>
      </c>
      <c r="J10" s="296">
        <v>4.3528720899886402</v>
      </c>
      <c r="K10" s="296">
        <v>98389.134243628898</v>
      </c>
      <c r="L10" s="296">
        <v>50196.899746374103</v>
      </c>
      <c r="M10" s="296">
        <v>208005.114448451</v>
      </c>
      <c r="N10" s="296">
        <v>12971.044947845699</v>
      </c>
      <c r="O10" s="296">
        <v>35403.188508197403</v>
      </c>
      <c r="P10" s="296">
        <v>5822.5039606296396</v>
      </c>
      <c r="Q10" s="296">
        <v>72083.746018295598</v>
      </c>
      <c r="R10" s="296">
        <v>1266.7805129915</v>
      </c>
      <c r="S10" s="296">
        <v>1849308.29224446</v>
      </c>
      <c r="T10" s="296">
        <v>296.71336622310997</v>
      </c>
      <c r="U10" s="296">
        <v>3582.0004092304598</v>
      </c>
      <c r="V10" s="296">
        <v>3615000</v>
      </c>
    </row>
    <row r="11" spans="1:22" x14ac:dyDescent="0.25">
      <c r="A11" s="126" t="s">
        <v>233</v>
      </c>
      <c r="B11" s="147">
        <v>42474</v>
      </c>
      <c r="C11" s="126" t="s">
        <v>227</v>
      </c>
      <c r="D11" s="126" t="s">
        <v>225</v>
      </c>
      <c r="E11" s="296">
        <v>386330.00695932203</v>
      </c>
      <c r="F11" s="296">
        <v>424520.82594963902</v>
      </c>
      <c r="G11" s="296">
        <v>283989.14357926801</v>
      </c>
      <c r="H11" s="296">
        <v>659.28602668981705</v>
      </c>
      <c r="I11" s="296">
        <v>185343.74341258299</v>
      </c>
      <c r="J11" s="296">
        <v>767.34916557799704</v>
      </c>
      <c r="K11" s="296">
        <v>82421.819151721895</v>
      </c>
      <c r="L11" s="296">
        <v>36934.395551740301</v>
      </c>
      <c r="M11" s="296">
        <v>215135.965811231</v>
      </c>
      <c r="N11" s="296">
        <v>13064.5718054553</v>
      </c>
      <c r="O11" s="296">
        <v>38411.380407757897</v>
      </c>
      <c r="P11" s="296">
        <v>7417.9517676248097</v>
      </c>
      <c r="Q11" s="296">
        <v>70614.723719784903</v>
      </c>
      <c r="R11" s="296">
        <v>861.31107767387095</v>
      </c>
      <c r="S11" s="296">
        <v>1434609.35582857</v>
      </c>
      <c r="T11" s="296">
        <v>0</v>
      </c>
      <c r="U11" s="296">
        <v>530.08780980466202</v>
      </c>
      <c r="V11" s="296">
        <v>2915000</v>
      </c>
    </row>
    <row r="12" spans="1:22" x14ac:dyDescent="0.25">
      <c r="A12" s="126" t="s">
        <v>234</v>
      </c>
      <c r="B12" s="147">
        <v>42492</v>
      </c>
      <c r="C12" s="126" t="s">
        <v>230</v>
      </c>
      <c r="D12" s="126" t="s">
        <v>225</v>
      </c>
      <c r="E12" s="296">
        <v>377578.67515887</v>
      </c>
      <c r="F12" s="296">
        <v>457477.53979317303</v>
      </c>
      <c r="G12" s="296">
        <v>319009.72028940998</v>
      </c>
      <c r="H12" s="296">
        <v>1939.68579244088</v>
      </c>
      <c r="I12" s="296">
        <v>190050.69765538399</v>
      </c>
      <c r="J12" s="296">
        <v>1019.81574679734</v>
      </c>
      <c r="K12" s="296">
        <v>109255.503536716</v>
      </c>
      <c r="L12" s="296">
        <v>12629.0970206768</v>
      </c>
      <c r="M12" s="296">
        <v>213076.10577995499</v>
      </c>
      <c r="N12" s="296">
        <v>14125.3861899698</v>
      </c>
      <c r="O12" s="296">
        <v>30918.844977337299</v>
      </c>
      <c r="P12" s="296">
        <v>4669.2679075021197</v>
      </c>
      <c r="Q12" s="296">
        <v>72305.995121971297</v>
      </c>
      <c r="R12" s="296">
        <v>441.97670172863599</v>
      </c>
      <c r="S12" s="296">
        <v>1262091.9374655299</v>
      </c>
      <c r="T12" s="296">
        <v>0</v>
      </c>
      <c r="U12" s="296">
        <v>530.08780980466202</v>
      </c>
      <c r="V12" s="296">
        <v>2809000</v>
      </c>
    </row>
    <row r="13" spans="1:22" x14ac:dyDescent="0.25">
      <c r="A13" s="126" t="s">
        <v>235</v>
      </c>
      <c r="B13" s="147">
        <v>42527</v>
      </c>
      <c r="C13" s="126" t="s">
        <v>230</v>
      </c>
      <c r="D13" s="126" t="s">
        <v>225</v>
      </c>
      <c r="E13" s="296">
        <v>406273.41822728398</v>
      </c>
      <c r="F13" s="296">
        <v>449594.49990199698</v>
      </c>
      <c r="G13" s="296">
        <v>307132.86554861203</v>
      </c>
      <c r="H13" s="296">
        <v>4062.7693738906601</v>
      </c>
      <c r="I13" s="296">
        <v>175818.990390358</v>
      </c>
      <c r="J13" s="296">
        <v>1018.5720690573399</v>
      </c>
      <c r="K13" s="296">
        <v>106745.57465383501</v>
      </c>
      <c r="L13" s="296">
        <v>12830.925607670801</v>
      </c>
      <c r="M13" s="296">
        <v>207312.70177906199</v>
      </c>
      <c r="N13" s="296">
        <v>14024.4145115438</v>
      </c>
      <c r="O13" s="296">
        <v>31830.302702773599</v>
      </c>
      <c r="P13" s="296">
        <v>6025.4036332451396</v>
      </c>
      <c r="Q13" s="296">
        <v>73832.1599195905</v>
      </c>
      <c r="R13" s="296">
        <v>407.73241992651299</v>
      </c>
      <c r="S13" s="296">
        <v>1593727.00044473</v>
      </c>
      <c r="T13" s="296">
        <v>0</v>
      </c>
      <c r="U13" s="296">
        <v>530.08780980466202</v>
      </c>
      <c r="V13" s="296">
        <v>3138000</v>
      </c>
    </row>
    <row r="14" spans="1:22" x14ac:dyDescent="0.25">
      <c r="A14" s="126" t="s">
        <v>236</v>
      </c>
      <c r="B14" s="147">
        <v>42579</v>
      </c>
      <c r="C14" s="126" t="s">
        <v>230</v>
      </c>
      <c r="D14" s="126" t="s">
        <v>225</v>
      </c>
      <c r="E14" s="296">
        <v>454470.386174844</v>
      </c>
      <c r="F14" s="296">
        <v>480956.40285393398</v>
      </c>
      <c r="G14" s="296">
        <v>326786.86328616802</v>
      </c>
      <c r="H14" s="296">
        <v>7465.3752149258698</v>
      </c>
      <c r="I14" s="296">
        <v>190891.673105325</v>
      </c>
      <c r="J14" s="296">
        <v>1507.9592597460601</v>
      </c>
      <c r="K14" s="296">
        <v>111974.925856124</v>
      </c>
      <c r="L14" s="296">
        <v>8940.2811742207905</v>
      </c>
      <c r="M14" s="296">
        <v>210041.349384681</v>
      </c>
      <c r="N14" s="296">
        <v>13644.6145927654</v>
      </c>
      <c r="O14" s="296">
        <v>30761.370224640399</v>
      </c>
      <c r="P14" s="296">
        <v>7143.8356536276997</v>
      </c>
      <c r="Q14" s="296">
        <v>72873.779238113406</v>
      </c>
      <c r="R14" s="296">
        <v>367.52284413699499</v>
      </c>
      <c r="S14" s="296">
        <v>1499090.90752903</v>
      </c>
      <c r="T14" s="296">
        <v>0</v>
      </c>
      <c r="U14" s="296">
        <v>530.08780980466202</v>
      </c>
      <c r="V14" s="296">
        <v>3163000</v>
      </c>
    </row>
    <row r="15" spans="1:22" x14ac:dyDescent="0.25">
      <c r="A15" s="126" t="s">
        <v>237</v>
      </c>
      <c r="B15" s="147">
        <v>42601</v>
      </c>
      <c r="C15" s="126" t="s">
        <v>238</v>
      </c>
      <c r="D15" s="126" t="s">
        <v>225</v>
      </c>
      <c r="E15" s="296">
        <v>501029.61135854898</v>
      </c>
      <c r="F15" s="296">
        <v>484831.51350807602</v>
      </c>
      <c r="G15" s="296">
        <v>292058.68650197098</v>
      </c>
      <c r="H15" s="296">
        <v>5379.4165498502898</v>
      </c>
      <c r="I15" s="296">
        <v>184534.05463799101</v>
      </c>
      <c r="J15" s="296">
        <v>1244.9214177367501</v>
      </c>
      <c r="K15" s="296">
        <v>105501.028224241</v>
      </c>
      <c r="L15" s="296">
        <v>11364.8833281564</v>
      </c>
      <c r="M15" s="296">
        <v>229278.077939382</v>
      </c>
      <c r="N15" s="296">
        <v>12896.233830589301</v>
      </c>
      <c r="O15" s="296">
        <v>29527.497614460201</v>
      </c>
      <c r="P15" s="296">
        <v>8713.9260913430608</v>
      </c>
      <c r="Q15" s="296">
        <v>76953.143978043605</v>
      </c>
      <c r="R15" s="296">
        <v>397.748664299072</v>
      </c>
      <c r="S15" s="296">
        <v>1593460.97792994</v>
      </c>
      <c r="T15" s="296">
        <v>0</v>
      </c>
      <c r="U15" s="296">
        <v>530.08780980466202</v>
      </c>
      <c r="V15" s="296">
        <v>3266000</v>
      </c>
    </row>
    <row r="16" spans="1:22" x14ac:dyDescent="0.25">
      <c r="A16" s="126" t="s">
        <v>239</v>
      </c>
      <c r="B16" s="147">
        <v>42639</v>
      </c>
      <c r="C16" s="126" t="s">
        <v>240</v>
      </c>
      <c r="D16" s="126" t="s">
        <v>225</v>
      </c>
      <c r="E16" s="296">
        <v>314967.074393071</v>
      </c>
      <c r="F16" s="296">
        <v>378513.345300621</v>
      </c>
      <c r="G16" s="296">
        <v>257769.13237565701</v>
      </c>
      <c r="H16" s="296">
        <v>1793.1647306080399</v>
      </c>
      <c r="I16" s="296">
        <v>168723.97389862</v>
      </c>
      <c r="J16" s="296">
        <v>996.185869737399</v>
      </c>
      <c r="K16" s="296">
        <v>83798.588694497696</v>
      </c>
      <c r="L16" s="296">
        <v>9800.6414975790103</v>
      </c>
      <c r="M16" s="296">
        <v>193700.44498026301</v>
      </c>
      <c r="N16" s="296">
        <v>10935.1871506733</v>
      </c>
      <c r="O16" s="296">
        <v>36899.407160556999</v>
      </c>
      <c r="P16" s="296">
        <v>9496.0344972592593</v>
      </c>
      <c r="Q16" s="296">
        <v>62129.652959301398</v>
      </c>
      <c r="R16" s="296">
        <v>478.78348080846899</v>
      </c>
      <c r="S16" s="296">
        <v>1400869.05180793</v>
      </c>
      <c r="T16" s="296">
        <v>1429.6184094681701</v>
      </c>
      <c r="U16" s="296">
        <v>15234.752084841801</v>
      </c>
      <c r="V16" s="296">
        <v>2706000</v>
      </c>
    </row>
    <row r="18" spans="1:22" x14ac:dyDescent="0.25">
      <c r="E18" s="126" t="s">
        <v>205</v>
      </c>
      <c r="F18" s="126" t="s">
        <v>206</v>
      </c>
      <c r="G18" s="126" t="s">
        <v>207</v>
      </c>
      <c r="H18" s="126" t="s">
        <v>208</v>
      </c>
      <c r="I18" s="126" t="s">
        <v>209</v>
      </c>
      <c r="J18" s="126" t="s">
        <v>210</v>
      </c>
      <c r="K18" s="126" t="s">
        <v>211</v>
      </c>
      <c r="L18" s="126" t="s">
        <v>212</v>
      </c>
      <c r="M18" s="126" t="s">
        <v>213</v>
      </c>
      <c r="N18" s="126" t="s">
        <v>214</v>
      </c>
      <c r="O18" s="126" t="s">
        <v>215</v>
      </c>
      <c r="P18" s="126" t="s">
        <v>216</v>
      </c>
      <c r="Q18" s="126" t="s">
        <v>217</v>
      </c>
      <c r="R18" s="126" t="s">
        <v>218</v>
      </c>
      <c r="S18" s="126" t="s">
        <v>219</v>
      </c>
      <c r="T18" s="126" t="s">
        <v>220</v>
      </c>
      <c r="U18" s="126" t="s">
        <v>221</v>
      </c>
      <c r="V18" s="126" t="s">
        <v>222</v>
      </c>
    </row>
    <row r="19" spans="1:22" x14ac:dyDescent="0.25">
      <c r="A19" s="126" t="s">
        <v>241</v>
      </c>
      <c r="C19" s="126" t="s">
        <v>242</v>
      </c>
      <c r="D19" s="298">
        <f>SUM(E19:U19)</f>
        <v>4231010.6507250424</v>
      </c>
      <c r="E19" s="298">
        <f>SUM(E26:E29)</f>
        <v>483797.35950569448</v>
      </c>
      <c r="F19" s="298">
        <f t="shared" ref="F19:V19" si="0">SUM(F26:F29)</f>
        <v>452114.2470296041</v>
      </c>
      <c r="G19" s="298">
        <f t="shared" si="0"/>
        <v>261562.891393383</v>
      </c>
      <c r="H19" s="298">
        <f t="shared" si="0"/>
        <v>358.31112419307749</v>
      </c>
      <c r="I19" s="298">
        <f t="shared" si="0"/>
        <v>179157.07260351363</v>
      </c>
      <c r="J19" s="298">
        <f t="shared" si="0"/>
        <v>4.0419526549894496</v>
      </c>
      <c r="K19" s="298">
        <f t="shared" si="0"/>
        <v>80420.565981487191</v>
      </c>
      <c r="L19" s="298">
        <f t="shared" si="0"/>
        <v>40576.134916547075</v>
      </c>
      <c r="M19" s="298">
        <f t="shared" si="0"/>
        <v>196205.51392476726</v>
      </c>
      <c r="N19" s="298">
        <f t="shared" si="0"/>
        <v>12414.482378834524</v>
      </c>
      <c r="O19" s="298">
        <f t="shared" si="0"/>
        <v>34640.654421440719</v>
      </c>
      <c r="P19" s="298">
        <f t="shared" si="0"/>
        <v>5516.0065573193751</v>
      </c>
      <c r="Q19" s="298">
        <f t="shared" si="0"/>
        <v>67179.705291231017</v>
      </c>
      <c r="R19" s="298">
        <f t="shared" si="0"/>
        <v>1530.4662657410647</v>
      </c>
      <c r="S19" s="298">
        <f t="shared" si="0"/>
        <v>2401760.8159533199</v>
      </c>
      <c r="T19" s="298">
        <f t="shared" si="0"/>
        <v>1173.366495833875</v>
      </c>
      <c r="U19" s="298">
        <f t="shared" si="0"/>
        <v>12599.014929477431</v>
      </c>
      <c r="V19" s="298">
        <f t="shared" si="0"/>
        <v>3987750</v>
      </c>
    </row>
    <row r="20" spans="1:22" x14ac:dyDescent="0.25">
      <c r="C20" s="126" t="s">
        <v>243</v>
      </c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</row>
    <row r="21" spans="1:22" x14ac:dyDescent="0.25">
      <c r="C21" s="126" t="s">
        <v>244</v>
      </c>
      <c r="D21" s="298">
        <f>SUM(E21:U21)</f>
        <v>4184918.5092511764</v>
      </c>
      <c r="E21" s="298">
        <f t="shared" ref="E21:K21" si="1">+E19</f>
        <v>483797.35950569448</v>
      </c>
      <c r="F21" s="298">
        <f t="shared" si="1"/>
        <v>452114.2470296041</v>
      </c>
      <c r="G21" s="298">
        <f t="shared" si="1"/>
        <v>261562.891393383</v>
      </c>
      <c r="H21" s="298">
        <f t="shared" si="1"/>
        <v>358.31112419307749</v>
      </c>
      <c r="I21" s="298">
        <f t="shared" si="1"/>
        <v>179157.07260351363</v>
      </c>
      <c r="J21" s="298">
        <f t="shared" si="1"/>
        <v>4.0419526549894496</v>
      </c>
      <c r="K21" s="298">
        <f t="shared" si="1"/>
        <v>80420.565981487191</v>
      </c>
      <c r="L21" s="298">
        <v>0</v>
      </c>
      <c r="M21" s="298">
        <f>+M19</f>
        <v>196205.51392476726</v>
      </c>
      <c r="N21" s="298">
        <f>+N19</f>
        <v>12414.482378834524</v>
      </c>
      <c r="O21" s="298">
        <f>+O19</f>
        <v>34640.654421440719</v>
      </c>
      <c r="P21" s="298">
        <v>0</v>
      </c>
      <c r="Q21" s="298">
        <f>+Q19</f>
        <v>67179.705291231017</v>
      </c>
      <c r="R21" s="298">
        <f>+R19</f>
        <v>1530.4662657410647</v>
      </c>
      <c r="S21" s="298">
        <f>+S19</f>
        <v>2401760.8159533199</v>
      </c>
      <c r="T21" s="298">
        <f>+T19</f>
        <v>1173.366495833875</v>
      </c>
      <c r="U21" s="298">
        <f>+U19</f>
        <v>12599.014929477431</v>
      </c>
      <c r="V21" s="299"/>
    </row>
    <row r="22" spans="1:22" x14ac:dyDescent="0.25"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</row>
    <row r="23" spans="1:22" x14ac:dyDescent="0.25">
      <c r="C23" s="146" t="s">
        <v>245</v>
      </c>
      <c r="D23" s="298">
        <f>SUM(E23:U23)</f>
        <v>3941657.8585261335</v>
      </c>
      <c r="E23" s="298">
        <f t="shared" ref="E23:L23" si="2">+E21</f>
        <v>483797.35950569448</v>
      </c>
      <c r="F23" s="298">
        <f t="shared" si="2"/>
        <v>452114.2470296041</v>
      </c>
      <c r="G23" s="298">
        <f t="shared" si="2"/>
        <v>261562.891393383</v>
      </c>
      <c r="H23" s="298">
        <f t="shared" si="2"/>
        <v>358.31112419307749</v>
      </c>
      <c r="I23" s="298">
        <f t="shared" si="2"/>
        <v>179157.07260351363</v>
      </c>
      <c r="J23" s="298">
        <f t="shared" si="2"/>
        <v>4.0419526549894496</v>
      </c>
      <c r="K23" s="298">
        <f t="shared" si="2"/>
        <v>80420.565981487191</v>
      </c>
      <c r="L23" s="298">
        <f t="shared" si="2"/>
        <v>0</v>
      </c>
      <c r="M23" s="298">
        <v>0</v>
      </c>
      <c r="N23" s="298">
        <v>0</v>
      </c>
      <c r="O23" s="298">
        <v>0</v>
      </c>
      <c r="P23" s="298">
        <f t="shared" ref="P23:U23" si="3">+P21</f>
        <v>0</v>
      </c>
      <c r="Q23" s="298">
        <f t="shared" si="3"/>
        <v>67179.705291231017</v>
      </c>
      <c r="R23" s="298">
        <f t="shared" si="3"/>
        <v>1530.4662657410647</v>
      </c>
      <c r="S23" s="298">
        <f t="shared" si="3"/>
        <v>2401760.8159533199</v>
      </c>
      <c r="T23" s="298">
        <f t="shared" si="3"/>
        <v>1173.366495833875</v>
      </c>
      <c r="U23" s="298">
        <f t="shared" si="3"/>
        <v>12599.014929477431</v>
      </c>
      <c r="V23" s="299"/>
    </row>
    <row r="24" spans="1:22" x14ac:dyDescent="0.25"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7"/>
    </row>
    <row r="25" spans="1:22" x14ac:dyDescent="0.25"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</row>
    <row r="26" spans="1:22" x14ac:dyDescent="0.25">
      <c r="C26" s="126" t="s">
        <v>242</v>
      </c>
      <c r="D26" s="298">
        <f>SUM(E26:U26)</f>
        <v>4231010.6507250415</v>
      </c>
      <c r="E26" s="298">
        <f>AVERAGE(E6:E9)</f>
        <v>483797.35950569448</v>
      </c>
      <c r="F26" s="298">
        <f t="shared" ref="F26:V26" si="4">AVERAGE(F6:F9)</f>
        <v>450721.92869627074</v>
      </c>
      <c r="G26" s="298">
        <f t="shared" si="4"/>
        <v>256180.171393383</v>
      </c>
      <c r="H26" s="298">
        <f t="shared" si="4"/>
        <v>358.31112419307749</v>
      </c>
      <c r="I26" s="298">
        <f t="shared" si="4"/>
        <v>175561.10593684699</v>
      </c>
      <c r="J26" s="298">
        <f t="shared" si="4"/>
        <v>4.0419526549894496</v>
      </c>
      <c r="K26" s="298">
        <f t="shared" si="4"/>
        <v>90791.570981487195</v>
      </c>
      <c r="L26" s="298">
        <f t="shared" si="4"/>
        <v>40576.134916547075</v>
      </c>
      <c r="M26" s="298">
        <f t="shared" si="4"/>
        <v>196205.51392476726</v>
      </c>
      <c r="N26" s="298">
        <f t="shared" si="4"/>
        <v>12414.482378834524</v>
      </c>
      <c r="O26" s="298">
        <f t="shared" si="4"/>
        <v>34640.654421440719</v>
      </c>
      <c r="P26" s="298">
        <f t="shared" si="4"/>
        <v>5516.0065573193751</v>
      </c>
      <c r="Q26" s="298">
        <f t="shared" si="4"/>
        <v>67179.705291231017</v>
      </c>
      <c r="R26" s="298">
        <f t="shared" si="4"/>
        <v>1530.4662657410647</v>
      </c>
      <c r="S26" s="298">
        <f t="shared" si="4"/>
        <v>2401760.8159533199</v>
      </c>
      <c r="T26" s="298">
        <f t="shared" si="4"/>
        <v>1173.366495833875</v>
      </c>
      <c r="U26" s="298">
        <f t="shared" si="4"/>
        <v>12599.014929477431</v>
      </c>
      <c r="V26" s="298">
        <f t="shared" si="4"/>
        <v>3987750</v>
      </c>
    </row>
    <row r="27" spans="1:22" x14ac:dyDescent="0.25">
      <c r="A27" s="126" t="str">
        <f>+A19</f>
        <v xml:space="preserve">Sch 40 Settlement </v>
      </c>
      <c r="C27" s="148" t="str">
        <f>+'UE-170033 LR Data -Energy'!P18</f>
        <v>Cust 8</v>
      </c>
      <c r="D27" s="296"/>
      <c r="E27" s="296"/>
      <c r="F27" s="296">
        <v>0</v>
      </c>
      <c r="G27" s="296">
        <v>0</v>
      </c>
      <c r="H27" s="296"/>
      <c r="I27" s="296">
        <v>-940.83333333333337</v>
      </c>
      <c r="J27" s="296"/>
      <c r="K27" s="296">
        <v>940.83333333333337</v>
      </c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</row>
    <row r="28" spans="1:22" x14ac:dyDescent="0.25">
      <c r="C28" s="127" t="str">
        <f>+'UE-170033 LR Data -Energy'!N18</f>
        <v>New Cust 1</v>
      </c>
      <c r="D28" s="296"/>
      <c r="E28" s="296"/>
      <c r="F28" s="296">
        <v>717.94500000000005</v>
      </c>
      <c r="G28" s="296">
        <v>5382.72</v>
      </c>
      <c r="H28" s="296"/>
      <c r="I28" s="296">
        <v>0</v>
      </c>
      <c r="J28" s="296"/>
      <c r="K28" s="296">
        <v>-6100.665</v>
      </c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7"/>
    </row>
    <row r="29" spans="1:22" x14ac:dyDescent="0.25">
      <c r="C29" s="127" t="str">
        <f>+'UE-170033 LR Data -Energy'!O18</f>
        <v>New Cust 2</v>
      </c>
      <c r="D29" s="296"/>
      <c r="E29" s="296"/>
      <c r="F29" s="296">
        <v>674.37333333333333</v>
      </c>
      <c r="G29" s="296">
        <v>0</v>
      </c>
      <c r="H29" s="296"/>
      <c r="I29" s="296">
        <v>4536.8</v>
      </c>
      <c r="J29" s="296"/>
      <c r="K29" s="296">
        <v>-5211.1733333333332</v>
      </c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</row>
  </sheetData>
  <mergeCells count="1">
    <mergeCell ref="B1:V1"/>
  </mergeCells>
  <printOptions horizontalCentered="1"/>
  <pageMargins left="0.7" right="0.7" top="0.75" bottom="0.75" header="0.3" footer="0.3"/>
  <pageSetup scale="60" orientation="landscape" r:id="rId1"/>
  <headerFooter>
    <oddFooter>&amp;L&amp;F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="80" zoomScaleNormal="80" workbookViewId="0">
      <pane xSplit="3" ySplit="6" topLeftCell="D7" activePane="bottomRight" state="frozen"/>
      <selection activeCell="C36" sqref="C36"/>
      <selection pane="topRight" activeCell="C36" sqref="C36"/>
      <selection pane="bottomLeft" activeCell="C36" sqref="C36"/>
      <selection pane="bottomRight" activeCell="P6" sqref="P6"/>
    </sheetView>
  </sheetViews>
  <sheetFormatPr defaultColWidth="9.140625" defaultRowHeight="12.75" x14ac:dyDescent="0.2"/>
  <cols>
    <col min="1" max="1" width="4.85546875" style="18" bestFit="1" customWidth="1"/>
    <col min="2" max="2" width="34.85546875" style="13" bestFit="1" customWidth="1"/>
    <col min="3" max="3" width="13.42578125" style="18" bestFit="1" customWidth="1"/>
    <col min="4" max="4" width="16.85546875" style="19" customWidth="1"/>
    <col min="5" max="5" width="19.85546875" style="19" customWidth="1"/>
    <col min="6" max="6" width="12.42578125" style="19" bestFit="1" customWidth="1"/>
    <col min="7" max="7" width="18.7109375" style="13" customWidth="1"/>
    <col min="8" max="8" width="17.42578125" style="13" customWidth="1"/>
    <col min="9" max="9" width="18.7109375" style="19" customWidth="1"/>
    <col min="10" max="10" width="12.85546875" style="13" customWidth="1"/>
    <col min="11" max="11" width="10.5703125" style="13" customWidth="1"/>
    <col min="12" max="12" width="3.7109375" style="13" customWidth="1"/>
    <col min="13" max="13" width="12.7109375" style="13" bestFit="1" customWidth="1"/>
    <col min="14" max="16384" width="9.140625" style="13"/>
  </cols>
  <sheetData>
    <row r="1" spans="1:13" x14ac:dyDescent="0.2">
      <c r="A1" s="10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x14ac:dyDescent="0.2">
      <c r="A2" s="14" t="s">
        <v>81</v>
      </c>
      <c r="B2" s="15"/>
      <c r="C2" s="15"/>
      <c r="D2" s="15"/>
      <c r="E2" s="15"/>
      <c r="F2" s="15"/>
      <c r="G2" s="15"/>
      <c r="H2" s="15"/>
      <c r="I2" s="15"/>
      <c r="J2" s="15"/>
      <c r="K2" s="16"/>
    </row>
    <row r="3" spans="1:13" x14ac:dyDescent="0.2">
      <c r="A3" s="17"/>
      <c r="K3" s="20"/>
    </row>
    <row r="4" spans="1:13" s="22" customFormat="1" x14ac:dyDescent="0.2">
      <c r="A4" s="21"/>
      <c r="D4" s="2"/>
      <c r="E4" s="2"/>
      <c r="F4" s="7"/>
      <c r="G4" s="3"/>
      <c r="H4" s="2"/>
      <c r="I4" s="2"/>
      <c r="K4" s="23"/>
    </row>
    <row r="5" spans="1:13" s="25" customFormat="1" x14ac:dyDescent="0.2">
      <c r="A5" s="24"/>
      <c r="D5" s="4"/>
      <c r="E5" s="4"/>
      <c r="F5" s="4"/>
      <c r="G5" s="5"/>
      <c r="H5" s="4"/>
      <c r="I5" s="4"/>
      <c r="J5" s="26"/>
      <c r="K5" s="27"/>
    </row>
    <row r="6" spans="1:13" s="25" customFormat="1" ht="64.5" thickBot="1" x14ac:dyDescent="0.25">
      <c r="A6" s="28" t="s">
        <v>0</v>
      </c>
      <c r="B6" s="29" t="s">
        <v>17</v>
      </c>
      <c r="C6" s="29" t="s">
        <v>18</v>
      </c>
      <c r="D6" s="421" t="str">
        <f>+'Peak Credit Rate Spread'!K5</f>
        <v>Annual kWh Delivered Sales 01/01/20 to 12/31/20 (F2019)</v>
      </c>
      <c r="E6" s="73" t="str">
        <f>'2020 Est Proforma Net Revenue'!D7</f>
        <v>Annual Estimated Revenue @ Rates Effective 12/31/19 (Excluding Sch 137)</v>
      </c>
      <c r="F6" s="73" t="s">
        <v>433</v>
      </c>
      <c r="G6" s="453" t="s">
        <v>434</v>
      </c>
      <c r="H6" s="73" t="s">
        <v>435</v>
      </c>
      <c r="I6" s="73" t="s">
        <v>436</v>
      </c>
      <c r="J6" s="29" t="s">
        <v>19</v>
      </c>
      <c r="K6" s="449" t="s">
        <v>20</v>
      </c>
    </row>
    <row r="7" spans="1:13" s="22" customFormat="1" ht="25.5" x14ac:dyDescent="0.2">
      <c r="A7" s="21"/>
      <c r="D7" s="2" t="s">
        <v>14</v>
      </c>
      <c r="E7" s="2" t="s">
        <v>15</v>
      </c>
      <c r="F7" s="7" t="s">
        <v>16</v>
      </c>
      <c r="G7" s="454" t="s">
        <v>71</v>
      </c>
      <c r="H7" s="68" t="s">
        <v>474</v>
      </c>
      <c r="I7" s="68" t="s">
        <v>475</v>
      </c>
      <c r="J7" s="22" t="s">
        <v>74</v>
      </c>
      <c r="K7" s="450" t="s">
        <v>75</v>
      </c>
    </row>
    <row r="8" spans="1:13" x14ac:dyDescent="0.2">
      <c r="A8" s="17"/>
      <c r="C8" s="387"/>
      <c r="D8" s="94"/>
      <c r="E8" s="94"/>
      <c r="F8" s="94"/>
      <c r="G8" s="347"/>
      <c r="I8" s="94"/>
      <c r="K8" s="451"/>
    </row>
    <row r="9" spans="1:13" x14ac:dyDescent="0.2">
      <c r="A9" s="17">
        <v>1</v>
      </c>
      <c r="B9" s="13" t="s">
        <v>1</v>
      </c>
      <c r="C9" s="387">
        <v>7</v>
      </c>
      <c r="D9" s="379">
        <f>+'2020 Est Proforma Net Revenue'!C8</f>
        <v>10870508000</v>
      </c>
      <c r="E9" s="447">
        <f>+'2020 Est Proforma Net Revenue'!D8</f>
        <v>1100277000</v>
      </c>
      <c r="F9" s="448">
        <f>'2019 Rate Impacts'!G9</f>
        <v>-7.2999999999999999E-5</v>
      </c>
      <c r="G9" s="455">
        <f>ROUND(+'Peak Credit Rate Spread'!L7,6)</f>
        <v>-8.2000000000000001E-5</v>
      </c>
      <c r="H9" s="43">
        <f>+E9+ROUND(F9,6)*D9</f>
        <v>1099483452.9159999</v>
      </c>
      <c r="I9" s="43">
        <f>+G9*$D9+$E9</f>
        <v>1099385618.3440001</v>
      </c>
      <c r="J9" s="43">
        <f>+I9-H9</f>
        <v>-97834.571999788284</v>
      </c>
      <c r="K9" s="452">
        <f>+J9/H9</f>
        <v>-8.8982305045442827E-5</v>
      </c>
      <c r="M9" s="290"/>
    </row>
    <row r="10" spans="1:13" x14ac:dyDescent="0.2">
      <c r="A10" s="17">
        <f t="shared" ref="A10:A41" si="0">+A9+1</f>
        <v>2</v>
      </c>
      <c r="C10" s="387"/>
      <c r="D10" s="379"/>
      <c r="E10" s="447"/>
      <c r="F10" s="448"/>
      <c r="G10" s="455"/>
      <c r="H10" s="31"/>
      <c r="I10" s="43"/>
      <c r="J10" s="43"/>
      <c r="K10" s="452"/>
    </row>
    <row r="11" spans="1:13" x14ac:dyDescent="0.2">
      <c r="A11" s="17">
        <f t="shared" si="0"/>
        <v>3</v>
      </c>
      <c r="B11" s="32" t="s">
        <v>2</v>
      </c>
      <c r="C11" s="36" t="s">
        <v>105</v>
      </c>
      <c r="D11" s="379">
        <f>+'2020 Est Proforma Net Revenue'!C12+'2020 Est Proforma Net Revenue'!C13</f>
        <v>2879589000</v>
      </c>
      <c r="E11" s="447">
        <f>+'2020 Est Proforma Net Revenue'!D12+'2020 Est Proforma Net Revenue'!D13</f>
        <v>295990000</v>
      </c>
      <c r="F11" s="448">
        <f>'2019 Rate Impacts'!G11</f>
        <v>-6.3E-5</v>
      </c>
      <c r="G11" s="455">
        <f>ROUND(+'Peak Credit Rate Spread'!L9,6)</f>
        <v>-7.6000000000000004E-5</v>
      </c>
      <c r="H11" s="43">
        <f t="shared" ref="H11:H14" si="1">+E11+ROUND(F11,6)*D11</f>
        <v>295808585.89300001</v>
      </c>
      <c r="I11" s="43">
        <f t="shared" ref="I11:I14" si="2">+G11*$D11+$E11</f>
        <v>295771151.236</v>
      </c>
      <c r="J11" s="43">
        <f>+I11-H11</f>
        <v>-37434.657000005245</v>
      </c>
      <c r="K11" s="452">
        <f>+J11/H11</f>
        <v>-1.2655027198414762E-4</v>
      </c>
    </row>
    <row r="12" spans="1:13" x14ac:dyDescent="0.2">
      <c r="A12" s="17">
        <f t="shared" si="0"/>
        <v>4</v>
      </c>
      <c r="B12" s="33" t="s">
        <v>3</v>
      </c>
      <c r="C12" s="36" t="s">
        <v>108</v>
      </c>
      <c r="D12" s="379">
        <f>+'2020 Est Proforma Net Revenue'!C9+'2020 Est Proforma Net Revenue'!C14+'2020 Est Proforma Net Revenue'!C15</f>
        <v>3047605000</v>
      </c>
      <c r="E12" s="447">
        <f>+'2020 Est Proforma Net Revenue'!D9+'2020 Est Proforma Net Revenue'!D14+'2020 Est Proforma Net Revenue'!D15</f>
        <v>280705000</v>
      </c>
      <c r="F12" s="448">
        <f>'2019 Rate Impacts'!G12</f>
        <v>-6.0000000000000002E-5</v>
      </c>
      <c r="G12" s="455">
        <f>ROUND(+'Peak Credit Rate Spread'!L10,6)</f>
        <v>-7.2000000000000002E-5</v>
      </c>
      <c r="H12" s="43">
        <f t="shared" si="1"/>
        <v>280522143.69999999</v>
      </c>
      <c r="I12" s="43">
        <f t="shared" si="2"/>
        <v>280485572.44</v>
      </c>
      <c r="J12" s="43">
        <f>+I12-H12</f>
        <v>-36571.259999990463</v>
      </c>
      <c r="K12" s="452">
        <f>+J12/H12</f>
        <v>-1.3036853175876564E-4</v>
      </c>
    </row>
    <row r="13" spans="1:13" x14ac:dyDescent="0.2">
      <c r="A13" s="17">
        <f t="shared" si="0"/>
        <v>5</v>
      </c>
      <c r="B13" s="33" t="s">
        <v>4</v>
      </c>
      <c r="C13" s="36" t="s">
        <v>106</v>
      </c>
      <c r="D13" s="379">
        <f>+'2020 Est Proforma Net Revenue'!C16+'2020 Est Proforma Net Revenue'!C17</f>
        <v>1799669000</v>
      </c>
      <c r="E13" s="447">
        <f>+'2020 Est Proforma Net Revenue'!D16+'2020 Est Proforma Net Revenue'!D17</f>
        <v>155578000</v>
      </c>
      <c r="F13" s="448">
        <f>'2019 Rate Impacts'!G13</f>
        <v>-6.4999999999999994E-5</v>
      </c>
      <c r="G13" s="455">
        <f>ROUND(+'Peak Credit Rate Spread'!L11,6)</f>
        <v>-7.8999999999999996E-5</v>
      </c>
      <c r="H13" s="43">
        <f t="shared" si="1"/>
        <v>155461021.51499999</v>
      </c>
      <c r="I13" s="43">
        <f t="shared" si="2"/>
        <v>155435826.14899999</v>
      </c>
      <c r="J13" s="43">
        <f>+I13-H13</f>
        <v>-25195.365999996662</v>
      </c>
      <c r="K13" s="452">
        <f>+J13/H13</f>
        <v>-1.6206870220240792E-4</v>
      </c>
    </row>
    <row r="14" spans="1:13" x14ac:dyDescent="0.2">
      <c r="A14" s="17">
        <f t="shared" si="0"/>
        <v>6</v>
      </c>
      <c r="B14" s="33" t="s">
        <v>5</v>
      </c>
      <c r="C14" s="387">
        <v>29</v>
      </c>
      <c r="D14" s="379">
        <f>+'2020 Est Proforma Net Revenue'!C18</f>
        <v>15098000</v>
      </c>
      <c r="E14" s="447">
        <f>+'2020 Est Proforma Net Revenue'!D18</f>
        <v>1118000</v>
      </c>
      <c r="F14" s="448">
        <f>'2019 Rate Impacts'!G14</f>
        <v>-4.8999999999999998E-5</v>
      </c>
      <c r="G14" s="455">
        <f>ROUND(+'Peak Credit Rate Spread'!L12,6)</f>
        <v>-5.8999999999999998E-5</v>
      </c>
      <c r="H14" s="43">
        <f t="shared" si="1"/>
        <v>1117260.1980000001</v>
      </c>
      <c r="I14" s="43">
        <f t="shared" si="2"/>
        <v>1117109.2180000001</v>
      </c>
      <c r="J14" s="43">
        <f>+I14-H14</f>
        <v>-150.97999999998137</v>
      </c>
      <c r="K14" s="452">
        <f>+J14/H14</f>
        <v>-1.3513414356857036E-4</v>
      </c>
    </row>
    <row r="15" spans="1:13" x14ac:dyDescent="0.2">
      <c r="A15" s="17">
        <f t="shared" si="0"/>
        <v>7</v>
      </c>
      <c r="C15" s="387"/>
      <c r="D15" s="94"/>
      <c r="E15" s="43"/>
      <c r="F15" s="422"/>
      <c r="G15" s="456"/>
      <c r="H15" s="31"/>
      <c r="I15" s="43"/>
      <c r="J15" s="43"/>
      <c r="K15" s="452"/>
    </row>
    <row r="16" spans="1:13" x14ac:dyDescent="0.2">
      <c r="A16" s="17">
        <f t="shared" si="0"/>
        <v>8</v>
      </c>
      <c r="B16" s="13" t="s">
        <v>21</v>
      </c>
      <c r="C16" s="387"/>
      <c r="D16" s="140">
        <f>SUM(D11:D15)</f>
        <v>7741961000</v>
      </c>
      <c r="E16" s="52">
        <f>SUM(E11:E15)</f>
        <v>733391000</v>
      </c>
      <c r="F16" s="407">
        <f>SUMPRODUCT(D11:D14,F11:F14)/D16</f>
        <v>-6.225666778739909E-5</v>
      </c>
      <c r="G16" s="456">
        <f>SUMPRODUCT(D11:D14,G11:G14)/D16</f>
        <v>-7.5089626129607226E-5</v>
      </c>
      <c r="H16" s="43">
        <f>SUM(H11:H15)</f>
        <v>732909011.30599988</v>
      </c>
      <c r="I16" s="43">
        <f>SUM(I11:I15)</f>
        <v>732809659.0430001</v>
      </c>
      <c r="J16" s="43">
        <f>SUM(J11:J14)</f>
        <v>-99352.262999992352</v>
      </c>
      <c r="K16" s="452">
        <f>+J16/H16</f>
        <v>-1.3555879579506407E-4</v>
      </c>
    </row>
    <row r="17" spans="1:11" x14ac:dyDescent="0.2">
      <c r="A17" s="17">
        <f t="shared" si="0"/>
        <v>9</v>
      </c>
      <c r="C17" s="387"/>
      <c r="D17" s="94"/>
      <c r="E17" s="43"/>
      <c r="F17" s="422"/>
      <c r="G17" s="456"/>
      <c r="H17" s="31"/>
      <c r="I17" s="43"/>
      <c r="J17" s="43"/>
      <c r="K17" s="452"/>
    </row>
    <row r="18" spans="1:11" x14ac:dyDescent="0.2">
      <c r="A18" s="17">
        <f t="shared" si="0"/>
        <v>10</v>
      </c>
      <c r="B18" s="33" t="s">
        <v>6</v>
      </c>
      <c r="C18" s="36" t="s">
        <v>107</v>
      </c>
      <c r="D18" s="379">
        <f>+'2020 Est Proforma Net Revenue'!C21+'2020 Est Proforma Net Revenue'!C22</f>
        <v>1326033000</v>
      </c>
      <c r="E18" s="447">
        <f>+'2020 Est Proforma Net Revenue'!D21+'2020 Est Proforma Net Revenue'!D22</f>
        <v>111113000</v>
      </c>
      <c r="F18" s="448">
        <f>'2019 Rate Impacts'!G18</f>
        <v>-5.8999999999999998E-5</v>
      </c>
      <c r="G18" s="455">
        <f>ROUND(+'Peak Credit Rate Spread'!L14,6)</f>
        <v>-7.1000000000000005E-5</v>
      </c>
      <c r="H18" s="43">
        <f t="shared" ref="H18:H20" si="3">+E18+ROUND(F18,6)*D18</f>
        <v>111034764.053</v>
      </c>
      <c r="I18" s="43">
        <f t="shared" ref="I18:I20" si="4">+G18*$D18+$E18</f>
        <v>111018851.65700001</v>
      </c>
      <c r="J18" s="43">
        <f>+I18-H18</f>
        <v>-15912.395999997854</v>
      </c>
      <c r="K18" s="452">
        <f>+J18/H18</f>
        <v>-1.4331003569658979E-4</v>
      </c>
    </row>
    <row r="19" spans="1:11" x14ac:dyDescent="0.2">
      <c r="A19" s="17">
        <f t="shared" si="0"/>
        <v>11</v>
      </c>
      <c r="B19" s="33" t="s">
        <v>7</v>
      </c>
      <c r="C19" s="387">
        <v>35</v>
      </c>
      <c r="D19" s="379">
        <f>+'2020 Est Proforma Net Revenue'!C23</f>
        <v>4566000</v>
      </c>
      <c r="E19" s="447">
        <f>+'2020 Est Proforma Net Revenue'!D23</f>
        <v>246000</v>
      </c>
      <c r="F19" s="448">
        <f>'2019 Rate Impacts'!G19</f>
        <v>-4.3999999999999999E-5</v>
      </c>
      <c r="G19" s="455">
        <f>ROUND(+'Peak Credit Rate Spread'!L15,6)</f>
        <v>-5.5999999999999999E-5</v>
      </c>
      <c r="H19" s="43">
        <f t="shared" si="3"/>
        <v>245799.09599999999</v>
      </c>
      <c r="I19" s="43">
        <f t="shared" si="4"/>
        <v>245744.304</v>
      </c>
      <c r="J19" s="43">
        <f>+I19-H19</f>
        <v>-54.791999999986729</v>
      </c>
      <c r="K19" s="452">
        <f>+J19/H19</f>
        <v>-2.2291375717666077E-4</v>
      </c>
    </row>
    <row r="20" spans="1:11" x14ac:dyDescent="0.2">
      <c r="A20" s="17">
        <f t="shared" si="0"/>
        <v>12</v>
      </c>
      <c r="B20" s="33" t="s">
        <v>8</v>
      </c>
      <c r="C20" s="387">
        <v>43</v>
      </c>
      <c r="D20" s="379">
        <f>+'2020 Est Proforma Net Revenue'!C24</f>
        <v>118819000</v>
      </c>
      <c r="E20" s="447">
        <f>+'2020 Est Proforma Net Revenue'!D24</f>
        <v>10722000</v>
      </c>
      <c r="F20" s="448">
        <f>'2019 Rate Impacts'!G20</f>
        <v>-5.0000000000000002E-5</v>
      </c>
      <c r="G20" s="455">
        <f>ROUND(+'Peak Credit Rate Spread'!L16,6)</f>
        <v>-5.8999999999999998E-5</v>
      </c>
      <c r="H20" s="43">
        <f t="shared" si="3"/>
        <v>10716059.050000001</v>
      </c>
      <c r="I20" s="43">
        <f t="shared" si="4"/>
        <v>10714989.679</v>
      </c>
      <c r="J20" s="43">
        <f>+I20-H20</f>
        <v>-1069.371000001207</v>
      </c>
      <c r="K20" s="452">
        <f>+J20/H20</f>
        <v>-9.9791443385262689E-5</v>
      </c>
    </row>
    <row r="21" spans="1:11" x14ac:dyDescent="0.2">
      <c r="A21" s="17">
        <f t="shared" si="0"/>
        <v>13</v>
      </c>
      <c r="B21" s="386"/>
      <c r="C21" s="387"/>
      <c r="D21" s="94"/>
      <c r="E21" s="43"/>
      <c r="F21" s="422"/>
      <c r="G21" s="456"/>
      <c r="H21" s="31"/>
      <c r="I21" s="43"/>
      <c r="J21" s="43"/>
      <c r="K21" s="452"/>
    </row>
    <row r="22" spans="1:11" x14ac:dyDescent="0.2">
      <c r="A22" s="17">
        <f t="shared" si="0"/>
        <v>14</v>
      </c>
      <c r="B22" s="386" t="s">
        <v>22</v>
      </c>
      <c r="C22" s="387"/>
      <c r="D22" s="140">
        <f>SUM(D18:D21)</f>
        <v>1449418000</v>
      </c>
      <c r="E22" s="52">
        <f>SUM(E18:E21)</f>
        <v>122081000</v>
      </c>
      <c r="F22" s="407">
        <f>SUMPRODUCT(D18:D20,F18:F20)/D22</f>
        <v>-5.8214953174308581E-5</v>
      </c>
      <c r="G22" s="456">
        <f>SUMPRODUCT(D18:D20,G18:G20)/D22</f>
        <v>-6.9969022048849949E-5</v>
      </c>
      <c r="H22" s="43">
        <f>SUM(H18:H21)</f>
        <v>121996622.199</v>
      </c>
      <c r="I22" s="43">
        <f>SUM(I18:I21)</f>
        <v>121979585.64000002</v>
      </c>
      <c r="J22" s="43">
        <f>SUM(J18:J21)</f>
        <v>-17036.558999999048</v>
      </c>
      <c r="K22" s="452">
        <f>+J22/H22</f>
        <v>-1.396477926430548E-4</v>
      </c>
    </row>
    <row r="23" spans="1:11" x14ac:dyDescent="0.2">
      <c r="A23" s="17">
        <f t="shared" si="0"/>
        <v>15</v>
      </c>
      <c r="B23" s="386"/>
      <c r="C23" s="387"/>
      <c r="D23" s="94"/>
      <c r="E23" s="43"/>
      <c r="F23" s="422"/>
      <c r="G23" s="456"/>
      <c r="H23" s="31"/>
      <c r="I23" s="43"/>
      <c r="J23" s="43"/>
      <c r="K23" s="452"/>
    </row>
    <row r="24" spans="1:11" x14ac:dyDescent="0.2">
      <c r="A24" s="17">
        <f t="shared" si="0"/>
        <v>16</v>
      </c>
      <c r="B24" s="385" t="s">
        <v>65</v>
      </c>
      <c r="C24" s="387">
        <v>40</v>
      </c>
      <c r="D24" s="379">
        <f>+'2020 Est Proforma Net Revenue'!C27</f>
        <v>128305000</v>
      </c>
      <c r="E24" s="447">
        <f>+'2020 Est Proforma Net Revenue'!D27</f>
        <v>9510000</v>
      </c>
      <c r="F24" s="448">
        <f>'2019 Rate Impacts'!G24</f>
        <v>-6.7000000000000002E-5</v>
      </c>
      <c r="G24" s="455">
        <f>ROUND(+'Peak Credit Rate Spread'!L18,6)</f>
        <v>-1E-4</v>
      </c>
      <c r="H24" s="43">
        <f>+E24+ROUND(F24,6)*D24</f>
        <v>9501403.5649999995</v>
      </c>
      <c r="I24" s="43">
        <f>+G24*$D24+$E24</f>
        <v>9497169.5</v>
      </c>
      <c r="J24" s="43">
        <f>+I24-H24</f>
        <v>-4234.0649999994785</v>
      </c>
      <c r="K24" s="452">
        <f>+J24/H24</f>
        <v>-4.4562521432058326E-4</v>
      </c>
    </row>
    <row r="25" spans="1:11" x14ac:dyDescent="0.2">
      <c r="A25" s="423">
        <f t="shared" si="0"/>
        <v>17</v>
      </c>
      <c r="B25" s="386"/>
      <c r="C25" s="387"/>
      <c r="D25" s="379"/>
      <c r="E25" s="447"/>
      <c r="F25" s="448"/>
      <c r="G25" s="455"/>
      <c r="H25" s="31"/>
      <c r="I25" s="43"/>
      <c r="J25" s="43"/>
      <c r="K25" s="452"/>
    </row>
    <row r="26" spans="1:11" x14ac:dyDescent="0.2">
      <c r="A26" s="423">
        <f t="shared" si="0"/>
        <v>18</v>
      </c>
      <c r="B26" s="33" t="s">
        <v>23</v>
      </c>
      <c r="C26" s="387">
        <v>46</v>
      </c>
      <c r="D26" s="379">
        <f>+'2020 Est Proforma Net Revenue'!C29</f>
        <v>73310000</v>
      </c>
      <c r="E26" s="447">
        <f>+'2020 Est Proforma Net Revenue'!D29</f>
        <v>5078000</v>
      </c>
      <c r="F26" s="448">
        <f>'2019 Rate Impacts'!G26</f>
        <v>-3.8000000000000002E-5</v>
      </c>
      <c r="G26" s="455">
        <f>ROUND(+'Peak Credit Rate Spread'!L20,6)</f>
        <v>-4.5000000000000003E-5</v>
      </c>
      <c r="H26" s="43">
        <f t="shared" ref="H26:H27" si="5">+E26+ROUND(F26,6)*D26</f>
        <v>5075214.22</v>
      </c>
      <c r="I26" s="43">
        <f t="shared" ref="I26:I27" si="6">+G26*$D26+$E26</f>
        <v>5074701.05</v>
      </c>
      <c r="J26" s="43">
        <f>+I26-H26</f>
        <v>-513.16999999992549</v>
      </c>
      <c r="K26" s="452">
        <f>+J26/H26</f>
        <v>-1.0111297331601611E-4</v>
      </c>
    </row>
    <row r="27" spans="1:11" x14ac:dyDescent="0.2">
      <c r="A27" s="423">
        <f t="shared" si="0"/>
        <v>19</v>
      </c>
      <c r="B27" s="32" t="s">
        <v>24</v>
      </c>
      <c r="C27" s="387">
        <v>49</v>
      </c>
      <c r="D27" s="379">
        <f>+'2020 Est Proforma Net Revenue'!C30</f>
        <v>558581000</v>
      </c>
      <c r="E27" s="447">
        <f>+'2020 Est Proforma Net Revenue'!D30</f>
        <v>38006000</v>
      </c>
      <c r="F27" s="448">
        <f>'2019 Rate Impacts'!G27</f>
        <v>-5.8E-5</v>
      </c>
      <c r="G27" s="455">
        <f>ROUND(+'Peak Credit Rate Spread'!L21,6)</f>
        <v>-6.9999999999999994E-5</v>
      </c>
      <c r="H27" s="43">
        <f t="shared" si="5"/>
        <v>37973602.302000001</v>
      </c>
      <c r="I27" s="43">
        <f t="shared" si="6"/>
        <v>37966899.329999998</v>
      </c>
      <c r="J27" s="43">
        <f>+I27-H27</f>
        <v>-6702.972000002861</v>
      </c>
      <c r="K27" s="452">
        <f>+J27/H27</f>
        <v>-1.7651662190736715E-4</v>
      </c>
    </row>
    <row r="28" spans="1:11" x14ac:dyDescent="0.2">
      <c r="A28" s="423">
        <f t="shared" si="0"/>
        <v>20</v>
      </c>
      <c r="C28" s="387"/>
      <c r="D28" s="94"/>
      <c r="E28" s="43"/>
      <c r="F28" s="422"/>
      <c r="G28" s="456"/>
      <c r="H28" s="31"/>
      <c r="I28" s="43"/>
      <c r="J28" s="43"/>
      <c r="K28" s="452"/>
    </row>
    <row r="29" spans="1:11" x14ac:dyDescent="0.2">
      <c r="A29" s="423">
        <f t="shared" si="0"/>
        <v>21</v>
      </c>
      <c r="B29" s="385" t="s">
        <v>25</v>
      </c>
      <c r="C29" s="387"/>
      <c r="D29" s="140">
        <f>SUM(D26:D28)</f>
        <v>631891000</v>
      </c>
      <c r="E29" s="52">
        <f>SUM(E26:E28)</f>
        <v>43084000</v>
      </c>
      <c r="F29" s="407">
        <f>SUMPRODUCT(D26:D27,F26:F27)/D29</f>
        <v>-5.5679663106453488E-5</v>
      </c>
      <c r="G29" s="456">
        <f>SUMPRODUCT(D26:D27,G26:G27)/D29</f>
        <v>-6.7099578883066851E-5</v>
      </c>
      <c r="H29" s="94">
        <f>SUM(H26:H28)</f>
        <v>43048816.522</v>
      </c>
      <c r="I29" s="94">
        <f>SUM(I26:I28)</f>
        <v>43041600.379999995</v>
      </c>
      <c r="J29" s="43">
        <f>SUM(J26:J28)</f>
        <v>-7216.1420000027865</v>
      </c>
      <c r="K29" s="452">
        <f>+J29/H29</f>
        <v>-1.6762695430465536E-4</v>
      </c>
    </row>
    <row r="30" spans="1:11" x14ac:dyDescent="0.2">
      <c r="A30" s="423">
        <f t="shared" si="0"/>
        <v>22</v>
      </c>
      <c r="C30" s="387"/>
      <c r="D30" s="94"/>
      <c r="E30" s="43"/>
      <c r="F30" s="422"/>
      <c r="G30" s="456"/>
      <c r="H30" s="31"/>
      <c r="I30" s="43"/>
      <c r="J30" s="43"/>
      <c r="K30" s="452"/>
    </row>
    <row r="31" spans="1:11" x14ac:dyDescent="0.2">
      <c r="A31" s="423">
        <f t="shared" si="0"/>
        <v>23</v>
      </c>
      <c r="B31" s="13" t="s">
        <v>9</v>
      </c>
      <c r="C31" s="387" t="s">
        <v>64</v>
      </c>
      <c r="D31" s="379">
        <f>+'2020 Est Proforma Net Revenue'!C33</f>
        <v>68364000</v>
      </c>
      <c r="E31" s="447">
        <f>+'2020 Est Proforma Net Revenue'!D33</f>
        <v>16625000</v>
      </c>
      <c r="F31" s="448">
        <f>'2019 Rate Impacts'!G31</f>
        <v>-7.4999999999999993E-5</v>
      </c>
      <c r="G31" s="455">
        <f>ROUND(+'Peak Credit Rate Spread'!L23,6)</f>
        <v>-8.7999999999999998E-5</v>
      </c>
      <c r="H31" s="43">
        <f>+E31+ROUND(F31,6)*D31</f>
        <v>16619872.699999999</v>
      </c>
      <c r="I31" s="43">
        <f>+G31*$D31+$E31</f>
        <v>16618983.968</v>
      </c>
      <c r="J31" s="43">
        <f>+I31-H31</f>
        <v>-888.73199999891222</v>
      </c>
      <c r="K31" s="452">
        <f>+J31/H31</f>
        <v>-5.347405579098763E-5</v>
      </c>
    </row>
    <row r="32" spans="1:11" x14ac:dyDescent="0.2">
      <c r="A32" s="423">
        <f t="shared" si="0"/>
        <v>24</v>
      </c>
      <c r="C32" s="387"/>
      <c r="D32" s="379"/>
      <c r="E32" s="447"/>
      <c r="F32" s="448"/>
      <c r="G32" s="455"/>
      <c r="I32" s="43"/>
      <c r="J32" s="43"/>
      <c r="K32" s="452"/>
    </row>
    <row r="33" spans="1:11" x14ac:dyDescent="0.2">
      <c r="A33" s="423">
        <f t="shared" si="0"/>
        <v>25</v>
      </c>
      <c r="B33" s="35" t="s">
        <v>26</v>
      </c>
      <c r="C33" s="36" t="s">
        <v>27</v>
      </c>
      <c r="D33" s="379">
        <f>+'2020 Est Proforma Net Revenue'!C39</f>
        <v>7435000</v>
      </c>
      <c r="E33" s="447">
        <f>+'2020 Est Proforma Net Revenue'!D39</f>
        <v>335000</v>
      </c>
      <c r="F33" s="448">
        <f>'2019 Rate Impacts'!G33</f>
        <v>-7.2000000000000002E-5</v>
      </c>
      <c r="G33" s="455">
        <f>ROUND(+'Peak Credit Rate Spread'!L25,6)</f>
        <v>-7.6000000000000004E-5</v>
      </c>
      <c r="H33" s="43">
        <f>+E33+ROUND(F33,6)*D33</f>
        <v>334464.68</v>
      </c>
      <c r="I33" s="43">
        <f>+G33*$D33+$E33</f>
        <v>334434.94</v>
      </c>
      <c r="J33" s="43">
        <f>+I33-H33</f>
        <v>-29.739999999990687</v>
      </c>
      <c r="K33" s="452">
        <f>+J33/H33</f>
        <v>-8.8918208045138535E-5</v>
      </c>
    </row>
    <row r="34" spans="1:11" x14ac:dyDescent="0.2">
      <c r="A34" s="423">
        <f t="shared" si="0"/>
        <v>26</v>
      </c>
      <c r="B34" s="35"/>
      <c r="C34" s="36"/>
      <c r="D34" s="94"/>
      <c r="E34" s="43"/>
      <c r="F34" s="422"/>
      <c r="G34" s="456"/>
      <c r="H34" s="31"/>
      <c r="I34" s="43"/>
      <c r="J34" s="43"/>
      <c r="K34" s="452"/>
    </row>
    <row r="35" spans="1:11" x14ac:dyDescent="0.2">
      <c r="A35" s="423">
        <f t="shared" si="0"/>
        <v>27</v>
      </c>
      <c r="B35" s="33" t="s">
        <v>10</v>
      </c>
      <c r="C35" s="387"/>
      <c r="D35" s="94">
        <f>SUM(D31,D29,D24,D22,D16,D9,D33)</f>
        <v>20897882000</v>
      </c>
      <c r="E35" s="43">
        <f>SUM(E31,E29,E24,E22,E16,E9,E33)</f>
        <v>2025303000</v>
      </c>
      <c r="F35" s="407">
        <f>(F9*D9+F16*D16+F22*D22+F24*D24+F29*D29+F31*D31+F33*D33)/D35</f>
        <v>-6.7440141158802615E-5</v>
      </c>
      <c r="G35" s="456">
        <f>(G9*D9+G16*D16+G22*D22+G24*D24+G29*D29+G31*D31+G33*D33)/D35</f>
        <v>-7.8282965948415242E-5</v>
      </c>
      <c r="H35" s="43">
        <f>SUM(H31,H29,H24,H22,H16,H9,H33)</f>
        <v>2023893643.8879998</v>
      </c>
      <c r="I35" s="43">
        <f>SUM(I31,I29,I24,I22,I16,I9,I33)</f>
        <v>2023667051.8150003</v>
      </c>
      <c r="J35" s="43">
        <f>SUM(J31,J29,J24,J22,J16,J9,J33)</f>
        <v>-226592.07299978085</v>
      </c>
      <c r="K35" s="452">
        <f>+J35/H35</f>
        <v>-1.1195848837416489E-4</v>
      </c>
    </row>
    <row r="36" spans="1:11" x14ac:dyDescent="0.2">
      <c r="A36" s="423">
        <f t="shared" si="0"/>
        <v>28</v>
      </c>
      <c r="B36" s="385"/>
      <c r="C36" s="387"/>
      <c r="D36" s="94"/>
      <c r="E36" s="43"/>
      <c r="F36" s="31"/>
      <c r="G36" s="457"/>
      <c r="H36" s="31"/>
      <c r="I36" s="43"/>
      <c r="J36" s="43"/>
      <c r="K36" s="452"/>
    </row>
    <row r="37" spans="1:11" x14ac:dyDescent="0.2">
      <c r="A37" s="423">
        <f t="shared" si="0"/>
        <v>29</v>
      </c>
      <c r="B37" s="385" t="s">
        <v>28</v>
      </c>
      <c r="C37" s="387"/>
      <c r="D37" s="94"/>
      <c r="E37" s="43"/>
      <c r="F37" s="43"/>
      <c r="G37" s="457"/>
      <c r="H37" s="31"/>
      <c r="I37" s="43"/>
      <c r="J37" s="43"/>
      <c r="K37" s="452"/>
    </row>
    <row r="38" spans="1:11" x14ac:dyDescent="0.2">
      <c r="A38" s="423">
        <f t="shared" si="0"/>
        <v>30</v>
      </c>
      <c r="B38" s="62" t="s">
        <v>438</v>
      </c>
      <c r="C38" s="61" t="s">
        <v>437</v>
      </c>
      <c r="D38" s="379">
        <f>+'2020 Est Proforma Net Revenue'!C35</f>
        <v>2514367000</v>
      </c>
      <c r="E38" s="447">
        <f>+'2020 Est Proforma Net Revenue'!D35</f>
        <v>16527000</v>
      </c>
      <c r="F38" s="43"/>
      <c r="G38" s="457"/>
      <c r="H38" s="43">
        <f>+E38+ROUND(F38,6)*D38</f>
        <v>16527000</v>
      </c>
      <c r="I38" s="43">
        <f>+G38*$D38+$E38</f>
        <v>16527000</v>
      </c>
      <c r="J38" s="43">
        <f>+I38-H38</f>
        <v>0</v>
      </c>
      <c r="K38" s="452"/>
    </row>
    <row r="39" spans="1:11" x14ac:dyDescent="0.2">
      <c r="A39" s="423">
        <f t="shared" si="0"/>
        <v>31</v>
      </c>
      <c r="B39" s="32"/>
      <c r="C39" s="387"/>
      <c r="D39" s="94"/>
      <c r="E39" s="43"/>
      <c r="F39" s="43"/>
      <c r="G39" s="457"/>
      <c r="H39" s="31"/>
      <c r="I39" s="43"/>
      <c r="J39" s="43"/>
      <c r="K39" s="452"/>
    </row>
    <row r="40" spans="1:11" x14ac:dyDescent="0.2">
      <c r="A40" s="423">
        <f t="shared" si="0"/>
        <v>32</v>
      </c>
      <c r="B40" s="385"/>
      <c r="C40" s="387"/>
      <c r="D40" s="94"/>
      <c r="E40" s="43"/>
      <c r="F40" s="43"/>
      <c r="G40" s="31"/>
      <c r="H40" s="31"/>
      <c r="I40" s="43"/>
      <c r="J40" s="43"/>
      <c r="K40" s="452"/>
    </row>
    <row r="41" spans="1:11" x14ac:dyDescent="0.2">
      <c r="A41" s="423">
        <f t="shared" si="0"/>
        <v>33</v>
      </c>
      <c r="B41" s="385" t="s">
        <v>12</v>
      </c>
      <c r="C41" s="387"/>
      <c r="D41" s="94">
        <f>SUM(D35:D38)</f>
        <v>23412249000</v>
      </c>
      <c r="E41" s="43">
        <f>SUM(E35:E38)</f>
        <v>2041830000</v>
      </c>
      <c r="F41" s="43"/>
      <c r="G41" s="31"/>
      <c r="H41" s="43">
        <f>SUM(H35:H38)</f>
        <v>2040420643.8879998</v>
      </c>
      <c r="I41" s="43">
        <f>SUM(I35:I38)</f>
        <v>2040194051.8150003</v>
      </c>
      <c r="J41" s="43">
        <f>SUM(J35:J38)</f>
        <v>-226592.07299978085</v>
      </c>
      <c r="K41" s="452"/>
    </row>
    <row r="42" spans="1:11" ht="13.5" thickBot="1" x14ac:dyDescent="0.25">
      <c r="A42" s="37"/>
      <c r="B42" s="38"/>
      <c r="C42" s="39"/>
      <c r="D42" s="40"/>
      <c r="E42" s="41"/>
      <c r="F42" s="41"/>
      <c r="G42" s="38"/>
      <c r="H42" s="38"/>
      <c r="I42" s="40"/>
      <c r="J42" s="38"/>
      <c r="K42" s="42"/>
    </row>
    <row r="43" spans="1:11" x14ac:dyDescent="0.2">
      <c r="J43" s="30"/>
    </row>
    <row r="44" spans="1:11" x14ac:dyDescent="0.2">
      <c r="E44" s="30"/>
    </row>
    <row r="45" spans="1:11" x14ac:dyDescent="0.2">
      <c r="J45" s="30"/>
    </row>
    <row r="46" spans="1:11" x14ac:dyDescent="0.2">
      <c r="J46" s="43"/>
    </row>
  </sheetData>
  <phoneticPr fontId="3" type="noConversion"/>
  <printOptions horizontalCentered="1"/>
  <pageMargins left="0.25" right="0.25" top="1" bottom="1" header="0.5" footer="0.5"/>
  <pageSetup scale="65" orientation="landscape" r:id="rId1"/>
  <headerFooter alignWithMargins="0">
    <oddFooter>&amp;L&amp;F
&amp;A&amp;RPage &amp;P of &amp;N</oddFooter>
  </headerFooter>
  <ignoredErrors>
    <ignoredError sqref="C3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="95" workbookViewId="0">
      <pane xSplit="2" ySplit="5" topLeftCell="C6" activePane="bottomRight" state="frozen"/>
      <selection activeCell="C36" sqref="C36"/>
      <selection pane="topRight" activeCell="C36" sqref="C36"/>
      <selection pane="bottomLeft" activeCell="C36" sqref="C36"/>
      <selection pane="bottomRight" activeCell="L5" sqref="L5"/>
    </sheetView>
  </sheetViews>
  <sheetFormatPr defaultColWidth="9.140625" defaultRowHeight="12.75" x14ac:dyDescent="0.2"/>
  <cols>
    <col min="1" max="1" width="8.28515625" style="18" bestFit="1" customWidth="1"/>
    <col min="2" max="2" width="32.85546875" style="13" bestFit="1" customWidth="1"/>
    <col min="3" max="3" width="14.85546875" style="13" customWidth="1"/>
    <col min="4" max="4" width="15.7109375" style="19" bestFit="1" customWidth="1"/>
    <col min="5" max="5" width="13.42578125" style="13" customWidth="1"/>
    <col min="6" max="6" width="17.140625" style="19" customWidth="1"/>
    <col min="7" max="7" width="14" style="13" customWidth="1"/>
    <col min="8" max="8" width="11.5703125" style="13" customWidth="1"/>
    <col min="9" max="9" width="14.7109375" style="13" bestFit="1" customWidth="1"/>
    <col min="10" max="10" width="14.28515625" style="13" bestFit="1" customWidth="1"/>
    <col min="11" max="11" width="15.7109375" style="13" bestFit="1" customWidth="1"/>
    <col min="12" max="12" width="12.85546875" style="13" customWidth="1"/>
    <col min="13" max="13" width="10.7109375" style="13" bestFit="1" customWidth="1"/>
    <col min="14" max="14" width="20.85546875" style="13" bestFit="1" customWidth="1"/>
    <col min="15" max="15" width="11" style="13" customWidth="1"/>
    <col min="16" max="16" width="13.85546875" style="13" customWidth="1"/>
    <col min="17" max="17" width="8.42578125" style="13" customWidth="1"/>
    <col min="18" max="16384" width="9.140625" style="13"/>
  </cols>
  <sheetData>
    <row r="1" spans="1:14" x14ac:dyDescent="0.2">
      <c r="A1" s="473" t="s">
        <v>13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5"/>
    </row>
    <row r="2" spans="1:14" x14ac:dyDescent="0.2">
      <c r="A2" s="476" t="s">
        <v>80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8"/>
    </row>
    <row r="3" spans="1:14" x14ac:dyDescent="0.2">
      <c r="A3" s="17"/>
      <c r="L3" s="20"/>
    </row>
    <row r="4" spans="1:14" ht="12.75" customHeight="1" x14ac:dyDescent="0.2">
      <c r="A4" s="17"/>
      <c r="L4" s="20"/>
    </row>
    <row r="5" spans="1:14" s="25" customFormat="1" ht="64.5" thickBot="1" x14ac:dyDescent="0.25">
      <c r="A5" s="28" t="s">
        <v>0</v>
      </c>
      <c r="B5" s="29" t="s">
        <v>66</v>
      </c>
      <c r="C5" s="72" t="s">
        <v>136</v>
      </c>
      <c r="D5" s="73" t="s">
        <v>469</v>
      </c>
      <c r="E5" s="73" t="s">
        <v>464</v>
      </c>
      <c r="F5" s="73" t="s">
        <v>470</v>
      </c>
      <c r="G5" s="73" t="s">
        <v>465</v>
      </c>
      <c r="H5" s="74" t="s">
        <v>471</v>
      </c>
      <c r="I5" s="72" t="s">
        <v>449</v>
      </c>
      <c r="J5" s="74" t="s">
        <v>450</v>
      </c>
      <c r="K5" s="74" t="str">
        <f>'2020 Est Proforma Net Revenue'!C7</f>
        <v>Annual kWh Delivered Sales 01/01/20 to 12/31/20 (F2019)</v>
      </c>
      <c r="L5" s="458" t="s">
        <v>476</v>
      </c>
    </row>
    <row r="6" spans="1:14" s="25" customFormat="1" ht="36.75" customHeight="1" x14ac:dyDescent="0.2">
      <c r="A6" s="24"/>
      <c r="D6" s="326" t="s">
        <v>14</v>
      </c>
      <c r="E6" s="327" t="s">
        <v>100</v>
      </c>
      <c r="F6" s="326" t="s">
        <v>16</v>
      </c>
      <c r="G6" s="327" t="s">
        <v>101</v>
      </c>
      <c r="H6" s="328" t="s">
        <v>83</v>
      </c>
      <c r="I6" s="327" t="s">
        <v>85</v>
      </c>
      <c r="J6" s="328" t="s">
        <v>84</v>
      </c>
      <c r="K6" s="328" t="s">
        <v>86</v>
      </c>
      <c r="L6" s="459" t="s">
        <v>87</v>
      </c>
    </row>
    <row r="7" spans="1:14" x14ac:dyDescent="0.2">
      <c r="A7" s="17">
        <v>1</v>
      </c>
      <c r="B7" s="13" t="s">
        <v>1</v>
      </c>
      <c r="C7" s="36" t="s">
        <v>151</v>
      </c>
      <c r="D7" s="379">
        <f>+'UE-170033 LR Data Summary'!D9</f>
        <v>11362694034.5944</v>
      </c>
      <c r="E7" s="45">
        <f>+D7/D$27*0.75</f>
        <v>0.38975572707142847</v>
      </c>
      <c r="F7" s="379">
        <f>+'UE-170033 LR Data Summary'!I9</f>
        <v>2401760.8159533199</v>
      </c>
      <c r="G7" s="45">
        <f>+F7/F$27*0.25</f>
        <v>0.15471846189564545</v>
      </c>
      <c r="H7" s="45">
        <f>+G7+E7</f>
        <v>0.54447418896707389</v>
      </c>
      <c r="I7" s="45"/>
      <c r="J7" s="43">
        <f>+H7*($I$27)</f>
        <v>-887967.2546779667</v>
      </c>
      <c r="K7" s="379">
        <f>+'2020 Est Proforma Net Revenue'!C8</f>
        <v>10870508000</v>
      </c>
      <c r="L7" s="460">
        <f>(+J7/K7)</f>
        <v>-8.1685902321949135E-5</v>
      </c>
      <c r="N7" s="19"/>
    </row>
    <row r="8" spans="1:14" x14ac:dyDescent="0.2">
      <c r="A8" s="17">
        <f t="shared" ref="A8:A31" si="0">+A7+1</f>
        <v>2</v>
      </c>
      <c r="D8" s="323"/>
      <c r="E8" s="45"/>
      <c r="F8" s="323"/>
      <c r="G8" s="45"/>
      <c r="H8" s="45"/>
      <c r="I8" s="45"/>
      <c r="J8" s="43"/>
      <c r="K8" s="323"/>
      <c r="L8" s="461"/>
      <c r="N8" s="19"/>
    </row>
    <row r="9" spans="1:14" x14ac:dyDescent="0.2">
      <c r="A9" s="17">
        <f t="shared" si="0"/>
        <v>3</v>
      </c>
      <c r="B9" s="1" t="s">
        <v>2</v>
      </c>
      <c r="C9" s="121" t="s">
        <v>140</v>
      </c>
      <c r="D9" s="379">
        <f>+'UE-170033 LR Data Summary'!D10</f>
        <v>2983833723.3713889</v>
      </c>
      <c r="E9" s="45">
        <f>+D9/D$27*0.75</f>
        <v>0.10234952017295748</v>
      </c>
      <c r="F9" s="379">
        <f>+'UE-170033 LR Data Summary'!I10</f>
        <v>483797.35950569448</v>
      </c>
      <c r="G9" s="45">
        <f>+F9/F$27*0.25</f>
        <v>3.1165627665627839E-2</v>
      </c>
      <c r="H9" s="45">
        <f>+G9+E9</f>
        <v>0.13351514783858531</v>
      </c>
      <c r="I9" s="45"/>
      <c r="J9" s="43">
        <f>+H9*($I$27)</f>
        <v>-217746.00465279538</v>
      </c>
      <c r="K9" s="379">
        <f>+'2020 Est Proforma Net Revenue'!C12+'2020 Est Proforma Net Revenue'!C13</f>
        <v>2879589000</v>
      </c>
      <c r="L9" s="460">
        <f t="shared" ref="L9:L12" si="1">(+J9/K9)</f>
        <v>-7.5617042797703212E-5</v>
      </c>
      <c r="N9" s="46"/>
    </row>
    <row r="10" spans="1:14" x14ac:dyDescent="0.2">
      <c r="A10" s="17">
        <f t="shared" si="0"/>
        <v>4</v>
      </c>
      <c r="B10" s="13" t="s">
        <v>3</v>
      </c>
      <c r="C10" s="36" t="s">
        <v>141</v>
      </c>
      <c r="D10" s="379">
        <f>'UE-170033 LR Data Summary'!D27</f>
        <v>3065348902.0678535</v>
      </c>
      <c r="E10" s="45">
        <f>+D10/D$27*0.75</f>
        <v>0.10514560071895029</v>
      </c>
      <c r="F10" s="379">
        <f>'UE-170033 LR Data Summary'!I27</f>
        <v>452114.2470296041</v>
      </c>
      <c r="G10" s="45">
        <f>+F10/F$27*0.25</f>
        <v>2.9124640737284716E-2</v>
      </c>
      <c r="H10" s="45">
        <f>+G10+E10</f>
        <v>0.13427024145623501</v>
      </c>
      <c r="I10" s="45"/>
      <c r="J10" s="43">
        <f>+H10*($I$27)</f>
        <v>-218977.46506042508</v>
      </c>
      <c r="K10" s="379">
        <f>+'2020 Est Proforma Net Revenue'!C9+'2020 Est Proforma Net Revenue'!C14+'2020 Est Proforma Net Revenue'!C15</f>
        <v>3047605000</v>
      </c>
      <c r="L10" s="460">
        <f t="shared" si="1"/>
        <v>-7.185231191720222E-5</v>
      </c>
      <c r="N10" s="46"/>
    </row>
    <row r="11" spans="1:14" x14ac:dyDescent="0.2">
      <c r="A11" s="17">
        <f t="shared" si="0"/>
        <v>5</v>
      </c>
      <c r="B11" s="13" t="s">
        <v>4</v>
      </c>
      <c r="C11" s="36" t="s">
        <v>142</v>
      </c>
      <c r="D11" s="379">
        <f>+'UE-170033 LR Data Summary'!D12</f>
        <v>2051022389.543107</v>
      </c>
      <c r="E11" s="45">
        <f>+D11/D$27*0.75</f>
        <v>7.0352833601110623E-2</v>
      </c>
      <c r="F11" s="379">
        <f>+'UE-170033 LR Data Summary'!I12</f>
        <v>261562.891393383</v>
      </c>
      <c r="G11" s="45">
        <f>+F11/F$27*0.25</f>
        <v>1.6849558031155971E-2</v>
      </c>
      <c r="H11" s="45">
        <f>+G11+E11</f>
        <v>8.720239163226659E-2</v>
      </c>
      <c r="I11" s="45"/>
      <c r="J11" s="43">
        <f>+H11*($I$27)</f>
        <v>-142215.86600083861</v>
      </c>
      <c r="K11" s="379">
        <f>+'2020 Est Proforma Net Revenue'!C16+'2020 Est Proforma Net Revenue'!C17</f>
        <v>1799669000</v>
      </c>
      <c r="L11" s="460">
        <f t="shared" si="1"/>
        <v>-7.9023345960195244E-5</v>
      </c>
      <c r="N11" s="46"/>
    </row>
    <row r="12" spans="1:14" x14ac:dyDescent="0.2">
      <c r="A12" s="17">
        <f t="shared" si="0"/>
        <v>6</v>
      </c>
      <c r="B12" s="13" t="s">
        <v>5</v>
      </c>
      <c r="C12" s="36" t="s">
        <v>143</v>
      </c>
      <c r="D12" s="379">
        <f>'UE-170033 LR Data Summary'!D28</f>
        <v>15235983.417815696</v>
      </c>
      <c r="E12" s="45">
        <f>+D12/D$27*0.75</f>
        <v>5.2261477573711291E-4</v>
      </c>
      <c r="F12" s="379">
        <f>'UE-170033 LR Data Summary'!I28</f>
        <v>358.31112419307749</v>
      </c>
      <c r="G12" s="45">
        <f>+F12/F$27*0.25</f>
        <v>2.3081959555264064E-5</v>
      </c>
      <c r="H12" s="45">
        <f>+G12+E12</f>
        <v>5.4569673529237693E-4</v>
      </c>
      <c r="I12" s="45"/>
      <c r="J12" s="43">
        <f>+H12*($I$27)</f>
        <v>-889.96107022734179</v>
      </c>
      <c r="K12" s="379">
        <f>+'2020 Est Proforma Net Revenue'!C18</f>
        <v>15098000</v>
      </c>
      <c r="L12" s="460">
        <f t="shared" si="1"/>
        <v>-5.8945626588113777E-5</v>
      </c>
      <c r="N12" s="46"/>
    </row>
    <row r="13" spans="1:14" x14ac:dyDescent="0.2">
      <c r="A13" s="17">
        <f t="shared" si="0"/>
        <v>7</v>
      </c>
      <c r="D13" s="323"/>
      <c r="E13" s="45"/>
      <c r="F13" s="323"/>
      <c r="G13" s="45"/>
      <c r="H13" s="45"/>
      <c r="I13" s="45"/>
      <c r="J13" s="43"/>
      <c r="K13" s="323"/>
      <c r="L13" s="461"/>
      <c r="N13" s="19"/>
    </row>
    <row r="14" spans="1:14" x14ac:dyDescent="0.2">
      <c r="A14" s="17">
        <f t="shared" si="0"/>
        <v>8</v>
      </c>
      <c r="B14" s="13" t="s">
        <v>6</v>
      </c>
      <c r="C14" s="36" t="s">
        <v>144</v>
      </c>
      <c r="D14" s="379">
        <f>+'UE-170033 LR Data Summary'!D13</f>
        <v>1342870567.1184549</v>
      </c>
      <c r="E14" s="45">
        <f>+D14/D$27*0.75</f>
        <v>4.6062271205805437E-2</v>
      </c>
      <c r="F14" s="379">
        <f>+'UE-170033 LR Data Summary'!I13</f>
        <v>179157.07260351363</v>
      </c>
      <c r="G14" s="45">
        <f>+F14/F$27*0.25</f>
        <v>1.1541077082623554E-2</v>
      </c>
      <c r="H14" s="45">
        <f>+G14+E14</f>
        <v>5.7603348288428988E-2</v>
      </c>
      <c r="I14" s="45"/>
      <c r="J14" s="43">
        <f>+H14*($I$27)</f>
        <v>-93943.639710400006</v>
      </c>
      <c r="K14" s="379">
        <f>+'2020 Est Proforma Net Revenue'!C21+'2020 Est Proforma Net Revenue'!C22</f>
        <v>1326033000</v>
      </c>
      <c r="L14" s="460">
        <f t="shared" ref="L14:L16" si="2">(+J14/K14)</f>
        <v>-7.0845627303694561E-5</v>
      </c>
      <c r="N14" s="46"/>
    </row>
    <row r="15" spans="1:14" x14ac:dyDescent="0.2">
      <c r="A15" s="17">
        <f t="shared" si="0"/>
        <v>9</v>
      </c>
      <c r="B15" s="13" t="s">
        <v>7</v>
      </c>
      <c r="C15" s="36" t="s">
        <v>145</v>
      </c>
      <c r="D15" s="379">
        <f>+'UE-170033 LR Data Summary'!D14</f>
        <v>4594563.3633324662</v>
      </c>
      <c r="E15" s="45">
        <f>+D15/D$27*0.75</f>
        <v>1.5759971876381826E-4</v>
      </c>
      <c r="F15" s="379">
        <f>+'UE-170033 LR Data Summary'!I14</f>
        <v>4.0419526549894496</v>
      </c>
      <c r="G15" s="45">
        <f>+F15/F$27*0.25</f>
        <v>2.6037759200712292E-7</v>
      </c>
      <c r="H15" s="45">
        <f>+G15+E15</f>
        <v>1.5786009635582537E-4</v>
      </c>
      <c r="I15" s="45"/>
      <c r="J15" s="43">
        <f>+H15*($I$27)</f>
        <v>-257.44947919424396</v>
      </c>
      <c r="K15" s="379">
        <f>+'2020 Est Proforma Net Revenue'!C23</f>
        <v>4566000</v>
      </c>
      <c r="L15" s="460">
        <f t="shared" si="2"/>
        <v>-5.6384029608901439E-5</v>
      </c>
      <c r="N15" s="46"/>
    </row>
    <row r="16" spans="1:14" x14ac:dyDescent="0.2">
      <c r="A16" s="17">
        <f t="shared" si="0"/>
        <v>10</v>
      </c>
      <c r="B16" s="13" t="s">
        <v>8</v>
      </c>
      <c r="C16" s="36" t="s">
        <v>146</v>
      </c>
      <c r="D16" s="379">
        <f>+'UE-170033 LR Data Summary'!D15</f>
        <v>124979540.86316925</v>
      </c>
      <c r="E16" s="45">
        <f>+D16/D$27*0.75</f>
        <v>4.2869667765296493E-3</v>
      </c>
      <c r="F16" s="379">
        <f>+'UE-170033 LR Data Summary'!I15</f>
        <v>0</v>
      </c>
      <c r="G16" s="45">
        <f>+F16/F$27*0.25</f>
        <v>0</v>
      </c>
      <c r="H16" s="45">
        <f>+G16+E16</f>
        <v>4.2869667765296493E-3</v>
      </c>
      <c r="I16" s="45"/>
      <c r="J16" s="43">
        <f>+H16*($I$27)</f>
        <v>-6991.4904996183159</v>
      </c>
      <c r="K16" s="379">
        <f>+'2020 Est Proforma Net Revenue'!C24</f>
        <v>118819000</v>
      </c>
      <c r="L16" s="460">
        <f t="shared" si="2"/>
        <v>-5.8841519450747066E-5</v>
      </c>
      <c r="N16" s="46"/>
    </row>
    <row r="17" spans="1:14" x14ac:dyDescent="0.2">
      <c r="A17" s="17">
        <f t="shared" si="0"/>
        <v>11</v>
      </c>
      <c r="D17" s="323"/>
      <c r="E17" s="45"/>
      <c r="F17" s="323"/>
      <c r="G17" s="45"/>
      <c r="H17" s="45"/>
      <c r="I17" s="45"/>
      <c r="J17" s="43"/>
      <c r="K17" s="323"/>
      <c r="L17" s="461"/>
      <c r="N17" s="19"/>
    </row>
    <row r="18" spans="1:14" x14ac:dyDescent="0.2">
      <c r="A18" s="17">
        <f t="shared" si="0"/>
        <v>12</v>
      </c>
      <c r="B18" s="1" t="s">
        <v>67</v>
      </c>
      <c r="C18" s="36" t="s">
        <v>147</v>
      </c>
      <c r="D18" s="379">
        <f>+'UE-170033 LR Data Summary'!D16</f>
        <v>192800042.09802258</v>
      </c>
      <c r="E18" s="45">
        <f>+D18/D$27*0.75</f>
        <v>6.613301419411066E-3</v>
      </c>
      <c r="F18" s="379">
        <f>+'UE-170033 LR Data Summary'!I16</f>
        <v>19619.565981487205</v>
      </c>
      <c r="G18" s="45">
        <f>+F18/F$27*0.25</f>
        <v>1.2638681801921893E-3</v>
      </c>
      <c r="H18" s="45">
        <f>+G18+E18</f>
        <v>7.8771695996032558E-3</v>
      </c>
      <c r="I18" s="45"/>
      <c r="J18" s="43">
        <f>+H18*($I$27)</f>
        <v>-12846.648758983561</v>
      </c>
      <c r="K18" s="379">
        <f>+'2020 Est Proforma Net Revenue'!C27</f>
        <v>128305000</v>
      </c>
      <c r="L18" s="460">
        <f>(+J18/K18)</f>
        <v>-1.0012586227336083E-4</v>
      </c>
      <c r="N18" s="46"/>
    </row>
    <row r="19" spans="1:14" x14ac:dyDescent="0.2">
      <c r="A19" s="17">
        <f t="shared" si="0"/>
        <v>13</v>
      </c>
      <c r="D19" s="323"/>
      <c r="E19" s="45"/>
      <c r="F19" s="323"/>
      <c r="G19" s="45"/>
      <c r="H19" s="45"/>
      <c r="I19" s="45"/>
      <c r="J19" s="43"/>
      <c r="K19" s="323"/>
      <c r="L19" s="461"/>
      <c r="N19" s="19"/>
    </row>
    <row r="20" spans="1:14" x14ac:dyDescent="0.2">
      <c r="A20" s="17">
        <f t="shared" si="0"/>
        <v>14</v>
      </c>
      <c r="B20" s="34" t="s">
        <v>68</v>
      </c>
      <c r="C20" s="36" t="s">
        <v>148</v>
      </c>
      <c r="D20" s="379">
        <f>+'UE-170033 LR Data -Energy'!J29</f>
        <v>58540365.538649537</v>
      </c>
      <c r="E20" s="45">
        <f>+D20/D$27*0.75</f>
        <v>2.0080134749802751E-3</v>
      </c>
      <c r="F20" s="379">
        <v>0</v>
      </c>
      <c r="G20" s="45">
        <f>+F20/F$27*0.25</f>
        <v>0</v>
      </c>
      <c r="H20" s="45">
        <f>+G20+E20</f>
        <v>2.0080134749802751E-3</v>
      </c>
      <c r="I20" s="45"/>
      <c r="J20" s="43">
        <f>+H20*($I$27)</f>
        <v>-3274.8112745569019</v>
      </c>
      <c r="K20" s="379">
        <f>+'2020 Est Proforma Net Revenue'!C29</f>
        <v>73310000</v>
      </c>
      <c r="L20" s="460">
        <f t="shared" ref="L20:L21" si="3">(+J20/K20)</f>
        <v>-4.467073079466515E-5</v>
      </c>
      <c r="N20" s="46"/>
    </row>
    <row r="21" spans="1:14" x14ac:dyDescent="0.2">
      <c r="A21" s="17">
        <f t="shared" si="0"/>
        <v>15</v>
      </c>
      <c r="B21" s="34" t="s">
        <v>69</v>
      </c>
      <c r="C21" s="36" t="s">
        <v>149</v>
      </c>
      <c r="D21" s="379">
        <f>+'UE-170033 LR Data Summary'!D17-'Peak Credit Rate Spread'!D20</f>
        <v>574347448.1834321</v>
      </c>
      <c r="E21" s="45">
        <f>+D21/D$27*0.75</f>
        <v>1.9700891934325837E-2</v>
      </c>
      <c r="F21" s="379">
        <f>+'UE-170033 LR Data Summary'!I17</f>
        <v>67179.705291231017</v>
      </c>
      <c r="G21" s="45">
        <f>+F21/F$27*0.25</f>
        <v>4.3276335446152236E-3</v>
      </c>
      <c r="H21" s="45">
        <f>+G21+E21</f>
        <v>2.4028525478941062E-2</v>
      </c>
      <c r="I21" s="45"/>
      <c r="J21" s="43">
        <f>+H21*($I$27)</f>
        <v>-39187.429332458509</v>
      </c>
      <c r="K21" s="379">
        <f>+'2020 Est Proforma Net Revenue'!C30</f>
        <v>558581000</v>
      </c>
      <c r="L21" s="460">
        <f t="shared" si="3"/>
        <v>-7.0155320951587161E-5</v>
      </c>
      <c r="N21" s="46"/>
    </row>
    <row r="22" spans="1:14" x14ac:dyDescent="0.2">
      <c r="A22" s="17">
        <f t="shared" si="0"/>
        <v>16</v>
      </c>
      <c r="B22" s="1"/>
      <c r="C22" s="111"/>
      <c r="D22" s="323"/>
      <c r="E22" s="45"/>
      <c r="F22" s="323"/>
      <c r="G22" s="45"/>
      <c r="H22" s="45"/>
      <c r="I22" s="45"/>
      <c r="J22" s="43"/>
      <c r="K22" s="323"/>
      <c r="L22" s="461"/>
      <c r="N22" s="19"/>
    </row>
    <row r="23" spans="1:14" x14ac:dyDescent="0.2">
      <c r="A23" s="17">
        <f t="shared" si="0"/>
        <v>17</v>
      </c>
      <c r="B23" s="13" t="s">
        <v>9</v>
      </c>
      <c r="C23" s="36" t="s">
        <v>64</v>
      </c>
      <c r="D23" s="379">
        <f>+'UE-170033 LR Data Summary'!D18</f>
        <v>81534389.017231286</v>
      </c>
      <c r="E23" s="45">
        <f>+D23/D$27*0.75</f>
        <v>2.796739485898691E-3</v>
      </c>
      <c r="F23" s="446">
        <f>+'UE-170033 LR Data Summary'!I18</f>
        <v>13772.381425311305</v>
      </c>
      <c r="G23" s="45">
        <f>+F23/F$27*0.25</f>
        <v>8.8719978134814274E-4</v>
      </c>
      <c r="H23" s="45">
        <f>+G23+E23</f>
        <v>3.6839392672468338E-3</v>
      </c>
      <c r="I23" s="45"/>
      <c r="J23" s="43">
        <f>+H23*($I$27)</f>
        <v>-6008.0303232433889</v>
      </c>
      <c r="K23" s="379">
        <f>+'2020 Est Proforma Net Revenue'!C33</f>
        <v>68364000</v>
      </c>
      <c r="L23" s="460">
        <f>(+J23/K23)</f>
        <v>-8.7882954818960113E-5</v>
      </c>
      <c r="N23" s="46"/>
    </row>
    <row r="24" spans="1:14" x14ac:dyDescent="0.2">
      <c r="A24" s="17">
        <f t="shared" si="0"/>
        <v>18</v>
      </c>
      <c r="D24" s="323"/>
      <c r="E24" s="45"/>
      <c r="F24" s="323"/>
      <c r="J24" s="43"/>
      <c r="K24" s="330"/>
      <c r="L24" s="461"/>
      <c r="N24" s="19"/>
    </row>
    <row r="25" spans="1:14" x14ac:dyDescent="0.2">
      <c r="A25" s="17">
        <f t="shared" si="0"/>
        <v>19</v>
      </c>
      <c r="B25" s="1" t="s">
        <v>70</v>
      </c>
      <c r="C25" s="36" t="s">
        <v>150</v>
      </c>
      <c r="D25" s="379">
        <f>+'UE-170033 LR Data Summary'!D21</f>
        <v>7227693.8231415441</v>
      </c>
      <c r="E25" s="45">
        <f>+D25/D$27*0.75</f>
        <v>2.4791964410126449E-4</v>
      </c>
      <c r="F25" s="379">
        <f>+'UE-170033 LR Data Summary'!I21</f>
        <v>1530.4662657410647</v>
      </c>
      <c r="G25" s="45">
        <f>+F25/F$27*0.25</f>
        <v>9.8590744359629832E-5</v>
      </c>
      <c r="H25" s="45">
        <f>+G25+E25</f>
        <v>3.4651038846089433E-4</v>
      </c>
      <c r="I25" s="45"/>
      <c r="J25" s="43">
        <f>+H25*($I$27)</f>
        <v>-565.11380078959655</v>
      </c>
      <c r="K25" s="379">
        <f>+'2020 Est Proforma Net Revenue'!C39</f>
        <v>7435000</v>
      </c>
      <c r="L25" s="460">
        <f>(+J25/K25)</f>
        <v>-7.6007236151929601E-5</v>
      </c>
      <c r="N25" s="46"/>
    </row>
    <row r="26" spans="1:14" x14ac:dyDescent="0.2">
      <c r="A26" s="17">
        <f t="shared" si="0"/>
        <v>20</v>
      </c>
      <c r="E26" s="44"/>
      <c r="J26" s="30"/>
      <c r="L26" s="461"/>
      <c r="N26" s="19"/>
    </row>
    <row r="27" spans="1:14" x14ac:dyDescent="0.2">
      <c r="A27" s="17">
        <f t="shared" si="0"/>
        <v>21</v>
      </c>
      <c r="B27" s="13" t="s">
        <v>10</v>
      </c>
      <c r="D27" s="19">
        <f>SUM(D7:D25)</f>
        <v>21865029643</v>
      </c>
      <c r="E27" s="44">
        <f>SUM(E7:E25)</f>
        <v>0.75</v>
      </c>
      <c r="F27" s="19">
        <f>SUM(F7:F25)</f>
        <v>3880856.8585261339</v>
      </c>
      <c r="G27" s="44">
        <f>SUM(G7:G25)</f>
        <v>0.25</v>
      </c>
      <c r="H27" s="44">
        <f>SUM(H7:H25)</f>
        <v>1</v>
      </c>
      <c r="I27" s="447">
        <f>'2020 Rev Requirement'!B15</f>
        <v>-1630871.1646414977</v>
      </c>
      <c r="J27" s="30">
        <f>SUM(J7:J25)</f>
        <v>-1630871.1646414977</v>
      </c>
      <c r="K27" s="19">
        <f>SUM(K7:K25)</f>
        <v>20897882000</v>
      </c>
      <c r="L27" s="460">
        <f>(+J27/K27)</f>
        <v>-7.8040021694136171E-5</v>
      </c>
      <c r="N27" s="46"/>
    </row>
    <row r="28" spans="1:14" x14ac:dyDescent="0.2">
      <c r="A28" s="17">
        <f t="shared" si="0"/>
        <v>22</v>
      </c>
      <c r="J28" s="43"/>
      <c r="L28" s="169"/>
      <c r="N28" s="19"/>
    </row>
    <row r="29" spans="1:14" x14ac:dyDescent="0.2">
      <c r="A29" s="78">
        <f t="shared" si="0"/>
        <v>23</v>
      </c>
      <c r="B29" s="48" t="s">
        <v>438</v>
      </c>
      <c r="C29" s="61" t="s">
        <v>443</v>
      </c>
      <c r="D29" s="295"/>
      <c r="F29" s="323"/>
      <c r="H29" s="19"/>
      <c r="I29" s="19"/>
      <c r="J29" s="43"/>
      <c r="K29" s="379">
        <f>+'2020 Est Proforma Net Revenue'!C35</f>
        <v>2514367000</v>
      </c>
      <c r="L29" s="462"/>
      <c r="N29" s="19"/>
    </row>
    <row r="30" spans="1:14" x14ac:dyDescent="0.2">
      <c r="A30" s="78">
        <f t="shared" si="0"/>
        <v>24</v>
      </c>
      <c r="L30" s="451"/>
      <c r="N30" s="19"/>
    </row>
    <row r="31" spans="1:14" x14ac:dyDescent="0.2">
      <c r="A31" s="78">
        <f t="shared" si="0"/>
        <v>25</v>
      </c>
      <c r="B31" s="13" t="s">
        <v>12</v>
      </c>
      <c r="D31" s="19">
        <f>SUM(D27:D29)</f>
        <v>21865029643</v>
      </c>
      <c r="F31" s="140">
        <f>SUM(F27:F29)</f>
        <v>3880856.8585261339</v>
      </c>
      <c r="J31" s="30"/>
      <c r="K31" s="19">
        <f>SUM(K27:K29)</f>
        <v>23412249000</v>
      </c>
      <c r="L31" s="461"/>
      <c r="N31" s="19"/>
    </row>
    <row r="32" spans="1:14" ht="13.5" thickBot="1" x14ac:dyDescent="0.25">
      <c r="A32" s="37"/>
      <c r="B32" s="38"/>
      <c r="C32" s="38"/>
      <c r="D32" s="40"/>
      <c r="E32" s="38"/>
      <c r="F32" s="40"/>
      <c r="G32" s="38"/>
      <c r="H32" s="38"/>
      <c r="I32" s="38"/>
      <c r="J32" s="47"/>
      <c r="K32" s="93"/>
      <c r="L32" s="463"/>
    </row>
    <row r="33" spans="1:12" x14ac:dyDescent="0.2">
      <c r="J33" s="43"/>
      <c r="K33" s="94"/>
    </row>
    <row r="35" spans="1:12" x14ac:dyDescent="0.2">
      <c r="A35" s="470" t="s">
        <v>103</v>
      </c>
      <c r="B35" s="471"/>
      <c r="C35" s="471"/>
      <c r="D35" s="471"/>
      <c r="E35" s="471"/>
      <c r="F35" s="471"/>
      <c r="G35" s="471"/>
      <c r="H35" s="471"/>
      <c r="I35" s="471"/>
      <c r="J35" s="471"/>
      <c r="K35" s="471"/>
      <c r="L35" s="471"/>
    </row>
    <row r="36" spans="1:12" x14ac:dyDescent="0.2">
      <c r="A36" s="472" t="s">
        <v>104</v>
      </c>
      <c r="B36" s="471"/>
      <c r="C36" s="471"/>
      <c r="D36" s="471"/>
      <c r="E36" s="471"/>
      <c r="F36" s="471"/>
      <c r="G36" s="471"/>
      <c r="H36" s="471"/>
      <c r="I36" s="471"/>
      <c r="J36" s="471"/>
      <c r="K36" s="471"/>
      <c r="L36" s="471"/>
    </row>
    <row r="37" spans="1:12" x14ac:dyDescent="0.2">
      <c r="A37" s="368"/>
      <c r="D37" s="94"/>
      <c r="F37" s="94"/>
    </row>
    <row r="39" spans="1:12" x14ac:dyDescent="0.2">
      <c r="K39" s="94"/>
    </row>
    <row r="40" spans="1:12" x14ac:dyDescent="0.2">
      <c r="K40" s="19"/>
    </row>
  </sheetData>
  <mergeCells count="4">
    <mergeCell ref="A35:L35"/>
    <mergeCell ref="A36:L36"/>
    <mergeCell ref="A1:L1"/>
    <mergeCell ref="A2:L2"/>
  </mergeCells>
  <phoneticPr fontId="3" type="noConversion"/>
  <printOptions horizontalCentered="1"/>
  <pageMargins left="0.25" right="0.25" top="1" bottom="1" header="0.5" footer="0.5"/>
  <pageSetup scale="70" orientation="landscape" r:id="rId1"/>
  <headerFooter alignWithMargins="0">
    <oddFooter>&amp;L&amp;F
&amp;A&amp;RPage &amp;P of &amp;N</oddFooter>
  </headerFooter>
  <ignoredErrors>
    <ignoredError sqref="C7 C12 C15:C2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5"/>
  <sheetViews>
    <sheetView workbookViewId="0">
      <pane xSplit="2" ySplit="6" topLeftCell="C7" activePane="bottomRight" state="frozen"/>
      <selection activeCell="C36" sqref="C36"/>
      <selection pane="topRight" activeCell="C36" sqref="C36"/>
      <selection pane="bottomLeft" activeCell="C36" sqref="C36"/>
      <selection pane="bottomRight" activeCell="P26" sqref="P26"/>
    </sheetView>
  </sheetViews>
  <sheetFormatPr defaultColWidth="8.7109375" defaultRowHeight="12.75" x14ac:dyDescent="0.2"/>
  <cols>
    <col min="1" max="1" width="17.7109375" customWidth="1"/>
    <col min="2" max="2" width="17.28515625" customWidth="1"/>
    <col min="3" max="3" width="11.42578125" bestFit="1" customWidth="1"/>
    <col min="4" max="4" width="9.85546875" customWidth="1"/>
    <col min="5" max="5" width="8.5703125" bestFit="1" customWidth="1"/>
    <col min="6" max="6" width="11.5703125" customWidth="1"/>
    <col min="7" max="7" width="11.5703125" bestFit="1" customWidth="1"/>
    <col min="8" max="8" width="9.140625" bestFit="1" customWidth="1"/>
    <col min="9" max="9" width="7.7109375" bestFit="1" customWidth="1"/>
    <col min="10" max="11" width="7.85546875" bestFit="1" customWidth="1"/>
    <col min="12" max="13" width="8.28515625" bestFit="1" customWidth="1"/>
    <col min="14" max="15" width="8.5703125" bestFit="1" customWidth="1"/>
    <col min="16" max="16" width="10.42578125" bestFit="1" customWidth="1"/>
    <col min="17" max="18" width="8.5703125" bestFit="1" customWidth="1"/>
    <col min="19" max="19" width="10" customWidth="1"/>
    <col min="20" max="20" width="10.42578125" bestFit="1" customWidth="1"/>
    <col min="21" max="21" width="10.140625" customWidth="1"/>
  </cols>
  <sheetData>
    <row r="1" spans="1:22" x14ac:dyDescent="0.2">
      <c r="A1" s="86" t="s">
        <v>13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</row>
    <row r="2" spans="1:22" x14ac:dyDescent="0.2">
      <c r="A2" s="86" t="s">
        <v>32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22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</row>
    <row r="5" spans="1:22" x14ac:dyDescent="0.2">
      <c r="C5" s="487" t="s">
        <v>33</v>
      </c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</row>
    <row r="6" spans="1:22" ht="38.25" x14ac:dyDescent="0.2">
      <c r="A6" s="87" t="s">
        <v>34</v>
      </c>
      <c r="B6" s="87" t="s">
        <v>31</v>
      </c>
      <c r="C6" s="88" t="s">
        <v>110</v>
      </c>
      <c r="D6" s="88" t="s">
        <v>111</v>
      </c>
      <c r="E6" s="88" t="s">
        <v>112</v>
      </c>
      <c r="F6" s="88" t="s">
        <v>113</v>
      </c>
      <c r="G6" s="88" t="s">
        <v>114</v>
      </c>
      <c r="H6" s="88" t="s">
        <v>115</v>
      </c>
      <c r="I6" s="88" t="s">
        <v>116</v>
      </c>
      <c r="J6" s="88" t="s">
        <v>117</v>
      </c>
      <c r="K6" s="88" t="s">
        <v>118</v>
      </c>
      <c r="L6" s="344" t="s">
        <v>457</v>
      </c>
      <c r="M6" s="344" t="s">
        <v>458</v>
      </c>
      <c r="N6" s="88" t="s">
        <v>119</v>
      </c>
      <c r="O6" s="88" t="s">
        <v>120</v>
      </c>
      <c r="P6" s="336" t="s">
        <v>121</v>
      </c>
      <c r="Q6" s="95" t="s">
        <v>122</v>
      </c>
      <c r="R6" s="95" t="s">
        <v>123</v>
      </c>
      <c r="S6" s="88" t="s">
        <v>35</v>
      </c>
      <c r="T6" s="88" t="s">
        <v>124</v>
      </c>
      <c r="U6" s="468" t="s">
        <v>36</v>
      </c>
      <c r="V6" s="96"/>
    </row>
    <row r="7" spans="1:22" x14ac:dyDescent="0.2">
      <c r="A7" t="s">
        <v>37</v>
      </c>
      <c r="B7" s="79">
        <f>ROUND(+D71,0)</f>
        <v>1214</v>
      </c>
      <c r="C7" s="97">
        <f t="shared" ref="C7:C18" si="0">ROUND($F$31+IF($B7&gt;600,(600*$F$35+(($B7-600)*$F$44)),$B7*$F$35),2)</f>
        <v>125.16</v>
      </c>
      <c r="D7" s="97">
        <f t="shared" ref="D7:D18" si="1">ROUND($B7*$F$57,2)</f>
        <v>-1.33</v>
      </c>
      <c r="E7" s="97">
        <f t="shared" ref="E7:E18" si="2">ROUND($B7*$F$58,2)</f>
        <v>-2.3199999999999998</v>
      </c>
      <c r="F7" s="97">
        <f t="shared" ref="F7:F18" si="3">ROUND($B7*$F$59,2)</f>
        <v>4.74</v>
      </c>
      <c r="G7" s="97">
        <f t="shared" ref="G7:G18" si="4">ROUND($B7*$F$36,2)</f>
        <v>1.3</v>
      </c>
      <c r="H7" s="97">
        <f t="shared" ref="H7:H18" si="5">ROUND($B7*$F$60,2)</f>
        <v>0</v>
      </c>
      <c r="I7" s="97">
        <f t="shared" ref="I7:I18" si="6">ROUND($B7*$F$61,2)</f>
        <v>-0.09</v>
      </c>
      <c r="J7" s="97">
        <f t="shared" ref="J7:J18" si="7">ROUND($B7*$F$37,2)</f>
        <v>3.92</v>
      </c>
      <c r="K7" s="97">
        <f t="shared" ref="K7:K18" si="8">ROUND($F$32+IF($B7&gt;600,(600*$F$38+(($B7-600)*$F$47)),$B7*$F$38),2)</f>
        <v>1.92</v>
      </c>
      <c r="L7" s="97">
        <f>ROUND($F$32+IF($B7&gt;600,(600*$F$39+(($B7-600)*$F$48)),$B7*$F$39),2)</f>
        <v>-1.92</v>
      </c>
      <c r="M7" s="97">
        <f t="shared" ref="M7:M15" si="9">ROUND($F$32+IF($B7&gt;600,(600*$F$40+(($B7-600)*$F$49)),$B7*$F$40),2)</f>
        <v>-1.54</v>
      </c>
      <c r="N7" s="97">
        <f t="shared" ref="N7:N18" si="10">ROUND($B7*$F$41,2)</f>
        <v>0.75</v>
      </c>
      <c r="O7" s="97">
        <f t="shared" ref="O7:O18" si="11">ROUND($B7*$F$53,2)</f>
        <v>-8.9700000000000006</v>
      </c>
      <c r="P7" s="337">
        <f>SUM(C7:O7)</f>
        <v>121.62</v>
      </c>
      <c r="Q7" s="99">
        <f>-I7</f>
        <v>0.09</v>
      </c>
      <c r="R7" s="99">
        <f t="shared" ref="R7:R18" si="12">ROUND($B7*$G$61,2)</f>
        <v>-0.1</v>
      </c>
      <c r="S7" s="98">
        <f>SUM(Q7:R7)</f>
        <v>-1.0000000000000009E-2</v>
      </c>
      <c r="T7" s="98">
        <f>+P7+S7</f>
        <v>121.61</v>
      </c>
      <c r="U7" s="469">
        <f>+S7/P7</f>
        <v>-8.2223318533136068E-5</v>
      </c>
    </row>
    <row r="8" spans="1:22" x14ac:dyDescent="0.2">
      <c r="A8" t="s">
        <v>38</v>
      </c>
      <c r="B8" s="79">
        <f t="shared" ref="B8:B18" si="13">ROUND(+D72,0)</f>
        <v>1053</v>
      </c>
      <c r="C8" s="97">
        <f t="shared" si="0"/>
        <v>108.04</v>
      </c>
      <c r="D8" s="97">
        <f t="shared" si="1"/>
        <v>-1.1599999999999999</v>
      </c>
      <c r="E8" s="97">
        <f t="shared" si="2"/>
        <v>-2.0099999999999998</v>
      </c>
      <c r="F8" s="97">
        <f t="shared" si="3"/>
        <v>4.1100000000000003</v>
      </c>
      <c r="G8" s="97">
        <f t="shared" si="4"/>
        <v>1.1200000000000001</v>
      </c>
      <c r="H8" s="97">
        <f t="shared" si="5"/>
        <v>0</v>
      </c>
      <c r="I8" s="97">
        <f t="shared" si="6"/>
        <v>-0.08</v>
      </c>
      <c r="J8" s="97">
        <f t="shared" si="7"/>
        <v>3.4</v>
      </c>
      <c r="K8" s="97">
        <f t="shared" si="8"/>
        <v>1.64</v>
      </c>
      <c r="L8" s="97">
        <f>ROUND($F$32+IF($B8&gt;600,(600*$F$39+(($B8-600)*$F$48)),$B8*$F$39),2)</f>
        <v>-1.64</v>
      </c>
      <c r="M8" s="97">
        <f t="shared" si="9"/>
        <v>-1.34</v>
      </c>
      <c r="N8" s="97">
        <f t="shared" si="10"/>
        <v>0.65</v>
      </c>
      <c r="O8" s="97">
        <f t="shared" si="11"/>
        <v>-7.78</v>
      </c>
      <c r="P8" s="337">
        <f t="shared" ref="P8:P18" si="14">SUM(C8:O8)</f>
        <v>104.95000000000002</v>
      </c>
      <c r="Q8" s="99">
        <f t="shared" ref="Q8:Q18" si="15">-I8</f>
        <v>0.08</v>
      </c>
      <c r="R8" s="99">
        <f t="shared" si="12"/>
        <v>-0.09</v>
      </c>
      <c r="S8" s="98">
        <f t="shared" ref="S8:S18" si="16">SUM(Q8:R8)</f>
        <v>-9.999999999999995E-3</v>
      </c>
      <c r="T8" s="98">
        <f t="shared" ref="T8:T18" si="17">+P8+S8</f>
        <v>104.94000000000001</v>
      </c>
      <c r="U8" s="469">
        <f t="shared" ref="U8:U18" si="18">+S8/P8</f>
        <v>-9.528346831824672E-5</v>
      </c>
    </row>
    <row r="9" spans="1:22" x14ac:dyDescent="0.2">
      <c r="A9" t="s">
        <v>39</v>
      </c>
      <c r="B9" s="79">
        <f t="shared" si="13"/>
        <v>1014</v>
      </c>
      <c r="C9" s="97">
        <f t="shared" si="0"/>
        <v>103.9</v>
      </c>
      <c r="D9" s="97">
        <f t="shared" si="1"/>
        <v>-1.1100000000000001</v>
      </c>
      <c r="E9" s="97">
        <f t="shared" si="2"/>
        <v>-1.94</v>
      </c>
      <c r="F9" s="97">
        <f t="shared" si="3"/>
        <v>3.96</v>
      </c>
      <c r="G9" s="97">
        <f t="shared" si="4"/>
        <v>1.08</v>
      </c>
      <c r="H9" s="97">
        <f t="shared" si="5"/>
        <v>0</v>
      </c>
      <c r="I9" s="97">
        <f t="shared" si="6"/>
        <v>-7.0000000000000007E-2</v>
      </c>
      <c r="J9" s="97">
        <f t="shared" si="7"/>
        <v>3.27</v>
      </c>
      <c r="K9" s="97">
        <f t="shared" si="8"/>
        <v>1.57</v>
      </c>
      <c r="L9" s="97">
        <f>ROUND($F$32+IF($B9&gt;600,(600*$F$39+(($B9-600)*$F$48)),$B9*$F$39),2)</f>
        <v>-1.57</v>
      </c>
      <c r="M9" s="97">
        <f t="shared" si="9"/>
        <v>-1.29</v>
      </c>
      <c r="N9" s="97">
        <f t="shared" si="10"/>
        <v>0.63</v>
      </c>
      <c r="O9" s="97">
        <f t="shared" si="11"/>
        <v>-7.49</v>
      </c>
      <c r="P9" s="337">
        <f t="shared" si="14"/>
        <v>100.94</v>
      </c>
      <c r="Q9" s="99">
        <f t="shared" si="15"/>
        <v>7.0000000000000007E-2</v>
      </c>
      <c r="R9" s="99">
        <f t="shared" si="12"/>
        <v>-0.08</v>
      </c>
      <c r="S9" s="98">
        <f t="shared" si="16"/>
        <v>-9.999999999999995E-3</v>
      </c>
      <c r="T9" s="98">
        <f t="shared" si="17"/>
        <v>100.92999999999999</v>
      </c>
      <c r="U9" s="469">
        <f t="shared" si="18"/>
        <v>-9.9068753715078218E-5</v>
      </c>
    </row>
    <row r="10" spans="1:22" x14ac:dyDescent="0.2">
      <c r="A10" t="s">
        <v>40</v>
      </c>
      <c r="B10" s="79">
        <f t="shared" si="13"/>
        <v>835</v>
      </c>
      <c r="C10" s="97">
        <f t="shared" si="0"/>
        <v>84.87</v>
      </c>
      <c r="D10" s="97">
        <f t="shared" si="1"/>
        <v>-0.92</v>
      </c>
      <c r="E10" s="97">
        <f t="shared" si="2"/>
        <v>-1.6</v>
      </c>
      <c r="F10" s="97">
        <f t="shared" si="3"/>
        <v>3.26</v>
      </c>
      <c r="G10" s="97">
        <f t="shared" si="4"/>
        <v>0.89</v>
      </c>
      <c r="H10" s="97">
        <f t="shared" si="5"/>
        <v>0</v>
      </c>
      <c r="I10" s="97">
        <f t="shared" si="6"/>
        <v>-0.06</v>
      </c>
      <c r="J10" s="97">
        <f t="shared" si="7"/>
        <v>2.7</v>
      </c>
      <c r="K10" s="97">
        <f t="shared" si="8"/>
        <v>1.26</v>
      </c>
      <c r="L10" s="97">
        <f>ROUND($F$32+IF($B10&gt;600,(600*$F$39+(($B10-600)*$F$48)),$B10*$F$39),2)</f>
        <v>-1.26</v>
      </c>
      <c r="M10" s="97">
        <f t="shared" si="9"/>
        <v>-1.06</v>
      </c>
      <c r="N10" s="97">
        <f t="shared" si="10"/>
        <v>0.52</v>
      </c>
      <c r="O10" s="97">
        <f t="shared" si="11"/>
        <v>-6.17</v>
      </c>
      <c r="P10" s="337">
        <f t="shared" si="14"/>
        <v>82.43</v>
      </c>
      <c r="Q10" s="99">
        <f t="shared" si="15"/>
        <v>0.06</v>
      </c>
      <c r="R10" s="99">
        <f t="shared" si="12"/>
        <v>-7.0000000000000007E-2</v>
      </c>
      <c r="S10" s="98">
        <f t="shared" si="16"/>
        <v>-1.0000000000000009E-2</v>
      </c>
      <c r="T10" s="98">
        <f t="shared" si="17"/>
        <v>82.42</v>
      </c>
      <c r="U10" s="469">
        <f t="shared" si="18"/>
        <v>-1.2131505519835022E-4</v>
      </c>
    </row>
    <row r="11" spans="1:22" x14ac:dyDescent="0.2">
      <c r="A11" t="s">
        <v>41</v>
      </c>
      <c r="B11" s="79">
        <f t="shared" si="13"/>
        <v>712</v>
      </c>
      <c r="C11" s="97">
        <f t="shared" si="0"/>
        <v>71.8</v>
      </c>
      <c r="D11" s="97">
        <f t="shared" si="1"/>
        <v>-0.78</v>
      </c>
      <c r="E11" s="97">
        <f t="shared" si="2"/>
        <v>-1.36</v>
      </c>
      <c r="F11" s="97">
        <f t="shared" si="3"/>
        <v>2.78</v>
      </c>
      <c r="G11" s="97">
        <f t="shared" si="4"/>
        <v>0.76</v>
      </c>
      <c r="H11" s="97">
        <f t="shared" si="5"/>
        <v>0</v>
      </c>
      <c r="I11" s="97">
        <f t="shared" si="6"/>
        <v>-0.05</v>
      </c>
      <c r="J11" s="97">
        <f t="shared" si="7"/>
        <v>2.2999999999999998</v>
      </c>
      <c r="K11" s="97">
        <f t="shared" si="8"/>
        <v>1.05</v>
      </c>
      <c r="L11" s="97">
        <f t="shared" ref="L11:L18" si="19">ROUND($F$32+IF($B11&gt;600,(600*$F$39+(($B11-600)*$F$48)),$B11*$F$39),2)</f>
        <v>-1.05</v>
      </c>
      <c r="M11" s="97">
        <f t="shared" si="9"/>
        <v>-0.9</v>
      </c>
      <c r="N11" s="97">
        <f t="shared" si="10"/>
        <v>0.44</v>
      </c>
      <c r="O11" s="97">
        <f t="shared" si="11"/>
        <v>-5.26</v>
      </c>
      <c r="P11" s="337">
        <f t="shared" si="14"/>
        <v>69.72999999999999</v>
      </c>
      <c r="Q11" s="99">
        <f t="shared" si="15"/>
        <v>0.05</v>
      </c>
      <c r="R11" s="99">
        <f t="shared" si="12"/>
        <v>-0.06</v>
      </c>
      <c r="S11" s="98">
        <f t="shared" si="16"/>
        <v>-9.999999999999995E-3</v>
      </c>
      <c r="T11" s="98">
        <f t="shared" si="17"/>
        <v>69.719999999999985</v>
      </c>
      <c r="U11" s="469">
        <f t="shared" si="18"/>
        <v>-1.4341029685931446E-4</v>
      </c>
    </row>
    <row r="12" spans="1:22" x14ac:dyDescent="0.2">
      <c r="A12" t="s">
        <v>42</v>
      </c>
      <c r="B12" s="79">
        <f t="shared" si="13"/>
        <v>656</v>
      </c>
      <c r="C12" s="97">
        <f t="shared" si="0"/>
        <v>65.84</v>
      </c>
      <c r="D12" s="97">
        <f t="shared" si="1"/>
        <v>-0.72</v>
      </c>
      <c r="E12" s="97">
        <f t="shared" si="2"/>
        <v>-1.25</v>
      </c>
      <c r="F12" s="97">
        <f t="shared" si="3"/>
        <v>2.56</v>
      </c>
      <c r="G12" s="97">
        <f t="shared" si="4"/>
        <v>0.7</v>
      </c>
      <c r="H12" s="97">
        <f t="shared" si="5"/>
        <v>0</v>
      </c>
      <c r="I12" s="97">
        <f t="shared" si="6"/>
        <v>-0.05</v>
      </c>
      <c r="J12" s="97">
        <f t="shared" si="7"/>
        <v>2.12</v>
      </c>
      <c r="K12" s="97">
        <f t="shared" si="8"/>
        <v>0.95</v>
      </c>
      <c r="L12" s="97">
        <f t="shared" si="19"/>
        <v>-0.95</v>
      </c>
      <c r="M12" s="97">
        <f t="shared" si="9"/>
        <v>-0.83</v>
      </c>
      <c r="N12" s="97">
        <f t="shared" si="10"/>
        <v>0.41</v>
      </c>
      <c r="O12" s="97">
        <f t="shared" si="11"/>
        <v>-4.8499999999999996</v>
      </c>
      <c r="P12" s="337">
        <f t="shared" si="14"/>
        <v>63.930000000000014</v>
      </c>
      <c r="Q12" s="99">
        <f t="shared" si="15"/>
        <v>0.05</v>
      </c>
      <c r="R12" s="99">
        <f t="shared" si="12"/>
        <v>-0.05</v>
      </c>
      <c r="S12" s="98">
        <f t="shared" si="16"/>
        <v>0</v>
      </c>
      <c r="T12" s="98">
        <f t="shared" si="17"/>
        <v>63.930000000000014</v>
      </c>
      <c r="U12" s="469">
        <f t="shared" si="18"/>
        <v>0</v>
      </c>
    </row>
    <row r="13" spans="1:22" x14ac:dyDescent="0.2">
      <c r="A13" t="s">
        <v>43</v>
      </c>
      <c r="B13" s="79">
        <f t="shared" si="13"/>
        <v>672</v>
      </c>
      <c r="C13" s="97">
        <f t="shared" si="0"/>
        <v>67.540000000000006</v>
      </c>
      <c r="D13" s="97">
        <f t="shared" si="1"/>
        <v>-0.74</v>
      </c>
      <c r="E13" s="97">
        <f t="shared" si="2"/>
        <v>-1.29</v>
      </c>
      <c r="F13" s="97">
        <f t="shared" si="3"/>
        <v>2.62</v>
      </c>
      <c r="G13" s="97">
        <f t="shared" si="4"/>
        <v>0.72</v>
      </c>
      <c r="H13" s="97">
        <f t="shared" si="5"/>
        <v>0</v>
      </c>
      <c r="I13" s="97">
        <f t="shared" si="6"/>
        <v>-0.05</v>
      </c>
      <c r="J13" s="97">
        <f t="shared" si="7"/>
        <v>2.17</v>
      </c>
      <c r="K13" s="97">
        <f t="shared" si="8"/>
        <v>0.98</v>
      </c>
      <c r="L13" s="97">
        <f t="shared" si="19"/>
        <v>-0.98</v>
      </c>
      <c r="M13" s="97">
        <f t="shared" si="9"/>
        <v>-0.85</v>
      </c>
      <c r="N13" s="97">
        <f t="shared" si="10"/>
        <v>0.42</v>
      </c>
      <c r="O13" s="97">
        <f t="shared" si="11"/>
        <v>-4.96</v>
      </c>
      <c r="P13" s="337">
        <f t="shared" si="14"/>
        <v>65.580000000000027</v>
      </c>
      <c r="Q13" s="99">
        <f t="shared" si="15"/>
        <v>0.05</v>
      </c>
      <c r="R13" s="99">
        <f t="shared" si="12"/>
        <v>-0.06</v>
      </c>
      <c r="S13" s="98">
        <f t="shared" si="16"/>
        <v>-9.999999999999995E-3</v>
      </c>
      <c r="T13" s="98">
        <f t="shared" si="17"/>
        <v>65.570000000000022</v>
      </c>
      <c r="U13" s="469">
        <f t="shared" si="18"/>
        <v>-1.5248551387618163E-4</v>
      </c>
    </row>
    <row r="14" spans="1:22" x14ac:dyDescent="0.2">
      <c r="A14" t="s">
        <v>44</v>
      </c>
      <c r="B14" s="79">
        <f t="shared" si="13"/>
        <v>658</v>
      </c>
      <c r="C14" s="97">
        <f t="shared" si="0"/>
        <v>66.06</v>
      </c>
      <c r="D14" s="97">
        <f t="shared" si="1"/>
        <v>-0.72</v>
      </c>
      <c r="E14" s="97">
        <f t="shared" si="2"/>
        <v>-1.26</v>
      </c>
      <c r="F14" s="97">
        <f t="shared" si="3"/>
        <v>2.57</v>
      </c>
      <c r="G14" s="97">
        <f t="shared" si="4"/>
        <v>0.7</v>
      </c>
      <c r="H14" s="97">
        <f t="shared" si="5"/>
        <v>0</v>
      </c>
      <c r="I14" s="97">
        <f t="shared" si="6"/>
        <v>-0.05</v>
      </c>
      <c r="J14" s="97">
        <f t="shared" si="7"/>
        <v>2.12</v>
      </c>
      <c r="K14" s="97">
        <f t="shared" si="8"/>
        <v>0.96</v>
      </c>
      <c r="L14" s="97">
        <f t="shared" si="19"/>
        <v>-0.96</v>
      </c>
      <c r="M14" s="97">
        <f t="shared" si="9"/>
        <v>-0.84</v>
      </c>
      <c r="N14" s="97">
        <f t="shared" si="10"/>
        <v>0.41</v>
      </c>
      <c r="O14" s="97">
        <f t="shared" si="11"/>
        <v>-4.8600000000000003</v>
      </c>
      <c r="P14" s="337">
        <f t="shared" si="14"/>
        <v>64.13</v>
      </c>
      <c r="Q14" s="99">
        <f t="shared" si="15"/>
        <v>0.05</v>
      </c>
      <c r="R14" s="99">
        <f t="shared" si="12"/>
        <v>-0.05</v>
      </c>
      <c r="S14" s="98">
        <f t="shared" si="16"/>
        <v>0</v>
      </c>
      <c r="T14" s="98">
        <f t="shared" si="17"/>
        <v>64.13</v>
      </c>
      <c r="U14" s="469">
        <f t="shared" si="18"/>
        <v>0</v>
      </c>
    </row>
    <row r="15" spans="1:22" x14ac:dyDescent="0.2">
      <c r="A15" t="s">
        <v>45</v>
      </c>
      <c r="B15" s="79">
        <f t="shared" si="13"/>
        <v>647</v>
      </c>
      <c r="C15" s="97">
        <f t="shared" si="0"/>
        <v>64.89</v>
      </c>
      <c r="D15" s="97">
        <f t="shared" si="1"/>
        <v>-0.71</v>
      </c>
      <c r="E15" s="97">
        <f t="shared" si="2"/>
        <v>-1.24</v>
      </c>
      <c r="F15" s="97">
        <f t="shared" si="3"/>
        <v>2.5299999999999998</v>
      </c>
      <c r="G15" s="97">
        <f t="shared" si="4"/>
        <v>0.69</v>
      </c>
      <c r="H15" s="97">
        <f t="shared" si="5"/>
        <v>0</v>
      </c>
      <c r="I15" s="97">
        <f t="shared" si="6"/>
        <v>-0.05</v>
      </c>
      <c r="J15" s="97">
        <f t="shared" si="7"/>
        <v>2.09</v>
      </c>
      <c r="K15" s="97">
        <f t="shared" si="8"/>
        <v>0.94</v>
      </c>
      <c r="L15" s="97">
        <f t="shared" si="19"/>
        <v>-0.94</v>
      </c>
      <c r="M15" s="97">
        <f t="shared" si="9"/>
        <v>-0.82</v>
      </c>
      <c r="N15" s="97">
        <f t="shared" si="10"/>
        <v>0.4</v>
      </c>
      <c r="O15" s="97">
        <f t="shared" si="11"/>
        <v>-4.78</v>
      </c>
      <c r="P15" s="337">
        <f t="shared" si="14"/>
        <v>63.000000000000014</v>
      </c>
      <c r="Q15" s="99">
        <f t="shared" si="15"/>
        <v>0.05</v>
      </c>
      <c r="R15" s="99">
        <f t="shared" si="12"/>
        <v>-0.05</v>
      </c>
      <c r="S15" s="98">
        <f t="shared" si="16"/>
        <v>0</v>
      </c>
      <c r="T15" s="98">
        <f t="shared" si="17"/>
        <v>63.000000000000014</v>
      </c>
      <c r="U15" s="469">
        <f t="shared" si="18"/>
        <v>0</v>
      </c>
    </row>
    <row r="16" spans="1:22" x14ac:dyDescent="0.2">
      <c r="A16" t="s">
        <v>46</v>
      </c>
      <c r="B16" s="79">
        <f t="shared" si="13"/>
        <v>798</v>
      </c>
      <c r="C16" s="97">
        <f t="shared" si="0"/>
        <v>80.94</v>
      </c>
      <c r="D16" s="97">
        <f t="shared" si="1"/>
        <v>-0.88</v>
      </c>
      <c r="E16" s="97">
        <f t="shared" si="2"/>
        <v>-1.53</v>
      </c>
      <c r="F16" s="97">
        <f t="shared" si="3"/>
        <v>3.12</v>
      </c>
      <c r="G16" s="97">
        <f t="shared" si="4"/>
        <v>0.85</v>
      </c>
      <c r="H16" s="97">
        <f t="shared" si="5"/>
        <v>0</v>
      </c>
      <c r="I16" s="97">
        <f t="shared" si="6"/>
        <v>-0.06</v>
      </c>
      <c r="J16" s="97">
        <f t="shared" si="7"/>
        <v>2.58</v>
      </c>
      <c r="K16" s="97">
        <f t="shared" si="8"/>
        <v>1.2</v>
      </c>
      <c r="L16" s="97">
        <f t="shared" si="19"/>
        <v>-1.2</v>
      </c>
      <c r="M16" s="97">
        <f t="shared" ref="M16:M18" si="20">ROUND($F$32+IF($B16&gt;600,(600*$F$40+(($B16-600)*$F$49)),$B16*$F$40),2)</f>
        <v>-1.01</v>
      </c>
      <c r="N16" s="97">
        <f t="shared" si="10"/>
        <v>0.5</v>
      </c>
      <c r="O16" s="97">
        <f t="shared" si="11"/>
        <v>-5.89</v>
      </c>
      <c r="P16" s="337">
        <f t="shared" si="14"/>
        <v>78.61999999999999</v>
      </c>
      <c r="Q16" s="99">
        <f t="shared" si="15"/>
        <v>0.06</v>
      </c>
      <c r="R16" s="99">
        <f t="shared" si="12"/>
        <v>-7.0000000000000007E-2</v>
      </c>
      <c r="S16" s="98">
        <f t="shared" si="16"/>
        <v>-1.0000000000000009E-2</v>
      </c>
      <c r="T16" s="98">
        <f t="shared" si="17"/>
        <v>78.609999999999985</v>
      </c>
      <c r="U16" s="469">
        <f t="shared" si="18"/>
        <v>-1.2719409819384394E-4</v>
      </c>
    </row>
    <row r="17" spans="1:24" x14ac:dyDescent="0.2">
      <c r="A17" t="s">
        <v>47</v>
      </c>
      <c r="B17" s="79">
        <f t="shared" si="13"/>
        <v>983</v>
      </c>
      <c r="C17" s="97">
        <f t="shared" si="0"/>
        <v>100.6</v>
      </c>
      <c r="D17" s="97">
        <f t="shared" si="1"/>
        <v>-1.08</v>
      </c>
      <c r="E17" s="97">
        <f t="shared" si="2"/>
        <v>-1.88</v>
      </c>
      <c r="F17" s="97">
        <f t="shared" si="3"/>
        <v>3.84</v>
      </c>
      <c r="G17" s="97">
        <f t="shared" si="4"/>
        <v>1.05</v>
      </c>
      <c r="H17" s="97">
        <f t="shared" si="5"/>
        <v>0</v>
      </c>
      <c r="I17" s="97">
        <f t="shared" si="6"/>
        <v>-7.0000000000000007E-2</v>
      </c>
      <c r="J17" s="97">
        <f t="shared" si="7"/>
        <v>3.17</v>
      </c>
      <c r="K17" s="97">
        <f t="shared" si="8"/>
        <v>1.52</v>
      </c>
      <c r="L17" s="97">
        <f t="shared" si="19"/>
        <v>-1.52</v>
      </c>
      <c r="M17" s="97">
        <f t="shared" si="20"/>
        <v>-1.25</v>
      </c>
      <c r="N17" s="97">
        <f t="shared" si="10"/>
        <v>0.61</v>
      </c>
      <c r="O17" s="97">
        <f t="shared" si="11"/>
        <v>-7.26</v>
      </c>
      <c r="P17" s="337">
        <f t="shared" si="14"/>
        <v>97.73</v>
      </c>
      <c r="Q17" s="99">
        <f t="shared" si="15"/>
        <v>7.0000000000000007E-2</v>
      </c>
      <c r="R17" s="99">
        <f t="shared" si="12"/>
        <v>-0.08</v>
      </c>
      <c r="S17" s="98">
        <f t="shared" si="16"/>
        <v>-9.999999999999995E-3</v>
      </c>
      <c r="T17" s="98">
        <f t="shared" si="17"/>
        <v>97.72</v>
      </c>
      <c r="U17" s="469">
        <f t="shared" si="18"/>
        <v>-1.0232272587741732E-4</v>
      </c>
    </row>
    <row r="18" spans="1:24" x14ac:dyDescent="0.2">
      <c r="A18" t="s">
        <v>48</v>
      </c>
      <c r="B18" s="79">
        <f t="shared" si="13"/>
        <v>1240</v>
      </c>
      <c r="C18" s="97">
        <f t="shared" si="0"/>
        <v>127.92</v>
      </c>
      <c r="D18" s="97">
        <f t="shared" si="1"/>
        <v>-1.36</v>
      </c>
      <c r="E18" s="97">
        <f t="shared" si="2"/>
        <v>-2.37</v>
      </c>
      <c r="F18" s="97">
        <f t="shared" si="3"/>
        <v>4.84</v>
      </c>
      <c r="G18" s="97">
        <f t="shared" si="4"/>
        <v>1.32</v>
      </c>
      <c r="H18" s="97">
        <f t="shared" si="5"/>
        <v>0</v>
      </c>
      <c r="I18" s="97">
        <f t="shared" si="6"/>
        <v>-0.09</v>
      </c>
      <c r="J18" s="97">
        <f t="shared" si="7"/>
        <v>4</v>
      </c>
      <c r="K18" s="97">
        <f t="shared" si="8"/>
        <v>1.96</v>
      </c>
      <c r="L18" s="97">
        <f t="shared" si="19"/>
        <v>-1.96</v>
      </c>
      <c r="M18" s="97">
        <f t="shared" si="20"/>
        <v>-1.58</v>
      </c>
      <c r="N18" s="97">
        <f t="shared" si="10"/>
        <v>0.77</v>
      </c>
      <c r="O18" s="97">
        <f t="shared" si="11"/>
        <v>-9.16</v>
      </c>
      <c r="P18" s="337">
        <f t="shared" si="14"/>
        <v>124.28999999999999</v>
      </c>
      <c r="Q18" s="99">
        <f t="shared" si="15"/>
        <v>0.09</v>
      </c>
      <c r="R18" s="99">
        <f t="shared" si="12"/>
        <v>-0.1</v>
      </c>
      <c r="S18" s="98">
        <f t="shared" si="16"/>
        <v>-1.0000000000000009E-2</v>
      </c>
      <c r="T18" s="98">
        <f t="shared" si="17"/>
        <v>124.27999999999999</v>
      </c>
      <c r="U18" s="469">
        <f t="shared" si="18"/>
        <v>-8.0456995735779302E-5</v>
      </c>
    </row>
    <row r="19" spans="1:24" x14ac:dyDescent="0.2">
      <c r="C19" s="98"/>
      <c r="D19" s="98"/>
      <c r="E19" s="98"/>
      <c r="F19" s="98"/>
      <c r="G19" s="98"/>
      <c r="H19" s="98"/>
      <c r="I19" s="98"/>
      <c r="J19" s="98"/>
      <c r="K19" s="98"/>
      <c r="L19" s="97"/>
      <c r="M19" s="97"/>
      <c r="N19" s="98"/>
      <c r="O19" s="98"/>
      <c r="P19" s="337"/>
      <c r="Q19" s="99"/>
      <c r="R19" s="99"/>
      <c r="S19" s="98"/>
      <c r="T19" s="98"/>
      <c r="U19" s="469"/>
    </row>
    <row r="20" spans="1:24" ht="13.5" thickBot="1" x14ac:dyDescent="0.25">
      <c r="A20" s="89" t="s">
        <v>49</v>
      </c>
      <c r="B20" s="90">
        <f>SUM(B7:B19)</f>
        <v>10482</v>
      </c>
      <c r="C20" s="100">
        <f>SUM(C7:C19)</f>
        <v>1067.56</v>
      </c>
      <c r="D20" s="100">
        <f t="shared" ref="D20:T20" si="21">SUM(D7:D19)</f>
        <v>-11.510000000000002</v>
      </c>
      <c r="E20" s="100">
        <f t="shared" si="21"/>
        <v>-20.05</v>
      </c>
      <c r="F20" s="100">
        <f t="shared" si="21"/>
        <v>40.930000000000007</v>
      </c>
      <c r="G20" s="100">
        <f t="shared" si="21"/>
        <v>11.18</v>
      </c>
      <c r="H20" s="100">
        <f t="shared" si="21"/>
        <v>0</v>
      </c>
      <c r="I20" s="100">
        <f t="shared" si="21"/>
        <v>-0.76999999999999991</v>
      </c>
      <c r="J20" s="100">
        <f t="shared" si="21"/>
        <v>33.840000000000003</v>
      </c>
      <c r="K20" s="100">
        <f t="shared" si="21"/>
        <v>15.949999999999996</v>
      </c>
      <c r="L20" s="412">
        <f t="shared" ref="L20" si="22">SUM(L7:L19)</f>
        <v>-15.949999999999996</v>
      </c>
      <c r="M20" s="412">
        <f>SUM(M7:M19)</f>
        <v>-13.31</v>
      </c>
      <c r="N20" s="100">
        <f t="shared" si="21"/>
        <v>6.51</v>
      </c>
      <c r="O20" s="100">
        <f t="shared" si="21"/>
        <v>-77.430000000000007</v>
      </c>
      <c r="P20" s="338">
        <f t="shared" si="21"/>
        <v>1036.95</v>
      </c>
      <c r="Q20" s="101">
        <f t="shared" si="21"/>
        <v>0.76999999999999991</v>
      </c>
      <c r="R20" s="101">
        <f t="shared" si="21"/>
        <v>-0.8600000000000001</v>
      </c>
      <c r="S20" s="100">
        <f t="shared" si="21"/>
        <v>-9.0000000000000011E-2</v>
      </c>
      <c r="T20" s="100">
        <f t="shared" si="21"/>
        <v>1036.8600000000001</v>
      </c>
      <c r="U20" s="465">
        <f t="shared" ref="U20:U22" si="23">+S20/P20</f>
        <v>-8.6792998698105028E-5</v>
      </c>
    </row>
    <row r="21" spans="1:24" ht="13.5" thickTop="1" x14ac:dyDescent="0.2">
      <c r="A21" s="89"/>
      <c r="C21" s="102"/>
      <c r="D21" s="102"/>
      <c r="E21" s="102"/>
      <c r="F21" s="102"/>
      <c r="G21" s="102"/>
      <c r="H21" s="102"/>
      <c r="I21" s="102"/>
      <c r="J21" s="102"/>
      <c r="K21" s="102"/>
      <c r="L21" s="413"/>
      <c r="M21" s="413"/>
      <c r="N21" s="102"/>
      <c r="O21" s="102"/>
      <c r="P21" s="339"/>
      <c r="Q21" s="103"/>
      <c r="R21" s="103"/>
      <c r="S21" s="102"/>
      <c r="T21" s="102"/>
      <c r="U21" s="469"/>
    </row>
    <row r="22" spans="1:24" ht="13.5" thickBot="1" x14ac:dyDescent="0.25">
      <c r="A22" s="91" t="s">
        <v>50</v>
      </c>
      <c r="B22" s="90">
        <f>ROUND(+B20/12,0)</f>
        <v>874</v>
      </c>
      <c r="C22" s="100">
        <f>+C20/12</f>
        <v>88.963333333333324</v>
      </c>
      <c r="D22" s="100">
        <f t="shared" ref="D22:T22" si="24">+D20/12</f>
        <v>-0.95916666666666683</v>
      </c>
      <c r="E22" s="100">
        <f t="shared" si="24"/>
        <v>-1.6708333333333334</v>
      </c>
      <c r="F22" s="100">
        <f t="shared" si="24"/>
        <v>3.410833333333334</v>
      </c>
      <c r="G22" s="100">
        <f t="shared" si="24"/>
        <v>0.93166666666666664</v>
      </c>
      <c r="H22" s="100">
        <f t="shared" si="24"/>
        <v>0</v>
      </c>
      <c r="I22" s="100">
        <f t="shared" si="24"/>
        <v>-6.4166666666666664E-2</v>
      </c>
      <c r="J22" s="100">
        <f t="shared" si="24"/>
        <v>2.8200000000000003</v>
      </c>
      <c r="K22" s="100">
        <f t="shared" si="24"/>
        <v>1.3291666666666664</v>
      </c>
      <c r="L22" s="412">
        <f t="shared" ref="L22:M22" si="25">+L20/12</f>
        <v>-1.3291666666666664</v>
      </c>
      <c r="M22" s="412">
        <f t="shared" si="25"/>
        <v>-1.1091666666666666</v>
      </c>
      <c r="N22" s="100">
        <f t="shared" si="24"/>
        <v>0.54249999999999998</v>
      </c>
      <c r="O22" s="100">
        <f t="shared" si="24"/>
        <v>-6.4525000000000006</v>
      </c>
      <c r="P22" s="338">
        <f t="shared" si="24"/>
        <v>86.412500000000009</v>
      </c>
      <c r="Q22" s="101">
        <f t="shared" si="24"/>
        <v>6.4166666666666664E-2</v>
      </c>
      <c r="R22" s="101">
        <f t="shared" si="24"/>
        <v>-7.166666666666667E-2</v>
      </c>
      <c r="S22" s="100">
        <f t="shared" si="24"/>
        <v>-7.5000000000000006E-3</v>
      </c>
      <c r="T22" s="100">
        <f t="shared" si="24"/>
        <v>86.405000000000015</v>
      </c>
      <c r="U22" s="465">
        <f t="shared" si="23"/>
        <v>-8.6792998698105014E-5</v>
      </c>
    </row>
    <row r="23" spans="1:24" ht="13.5" thickTop="1" x14ac:dyDescent="0.2">
      <c r="C23" s="102"/>
      <c r="D23" s="102"/>
      <c r="E23" s="102"/>
      <c r="F23" s="102"/>
      <c r="G23" s="102"/>
      <c r="H23" s="102"/>
      <c r="I23" s="102"/>
      <c r="J23" s="102"/>
      <c r="K23" s="102"/>
      <c r="L23" s="413"/>
      <c r="M23" s="413"/>
      <c r="N23" s="102"/>
      <c r="O23" s="102"/>
      <c r="P23" s="339"/>
      <c r="Q23" s="103"/>
      <c r="R23" s="103"/>
      <c r="S23" s="102"/>
      <c r="T23" s="102"/>
      <c r="U23" s="466"/>
    </row>
    <row r="24" spans="1:24" x14ac:dyDescent="0.2">
      <c r="A24" s="92" t="s">
        <v>51</v>
      </c>
      <c r="B24" s="92"/>
      <c r="C24" s="104">
        <f>+C20/$B$20*100</f>
        <v>10.184697576798319</v>
      </c>
      <c r="D24" s="104">
        <f t="shared" ref="D24:T24" si="26">+D20/$B$20*100</f>
        <v>-0.10980728868536539</v>
      </c>
      <c r="E24" s="104">
        <f t="shared" si="26"/>
        <v>-0.19128029002098837</v>
      </c>
      <c r="F24" s="104">
        <f t="shared" si="26"/>
        <v>0.39047891623735936</v>
      </c>
      <c r="G24" s="104">
        <f t="shared" si="26"/>
        <v>0.10665903453539399</v>
      </c>
      <c r="H24" s="104">
        <f t="shared" si="26"/>
        <v>0</v>
      </c>
      <c r="I24" s="104">
        <f t="shared" si="26"/>
        <v>-7.3459263499332178E-3</v>
      </c>
      <c r="J24" s="104">
        <f t="shared" si="26"/>
        <v>0.32283915283342873</v>
      </c>
      <c r="K24" s="104">
        <f t="shared" si="26"/>
        <v>0.15216561724861663</v>
      </c>
      <c r="L24" s="104">
        <f t="shared" ref="L24:M24" si="27">+L20/$B$20*100</f>
        <v>-0.15216561724861663</v>
      </c>
      <c r="M24" s="104">
        <f t="shared" si="27"/>
        <v>-0.12697958404884563</v>
      </c>
      <c r="N24" s="104">
        <f t="shared" si="26"/>
        <v>6.2106468231253577E-2</v>
      </c>
      <c r="O24" s="104">
        <f t="shared" si="26"/>
        <v>-0.7386949055523756</v>
      </c>
      <c r="P24" s="340">
        <f t="shared" si="26"/>
        <v>9.8926731539782491</v>
      </c>
      <c r="Q24" s="105">
        <f t="shared" si="26"/>
        <v>7.3459263499332178E-3</v>
      </c>
      <c r="R24" s="105">
        <f t="shared" si="26"/>
        <v>-8.2045411181072316E-3</v>
      </c>
      <c r="S24" s="104">
        <f t="shared" si="26"/>
        <v>-8.5861476817401263E-4</v>
      </c>
      <c r="T24" s="104">
        <f t="shared" si="26"/>
        <v>9.8918145392100758</v>
      </c>
      <c r="U24" s="466"/>
    </row>
    <row r="25" spans="1:24" x14ac:dyDescent="0.2">
      <c r="C25" s="102"/>
      <c r="D25" s="102"/>
      <c r="E25" s="102"/>
      <c r="F25" s="102"/>
      <c r="G25" s="102"/>
      <c r="H25" s="102"/>
      <c r="I25" s="102"/>
      <c r="J25" s="102"/>
      <c r="K25" s="102"/>
      <c r="L25" s="413"/>
      <c r="M25" s="413"/>
      <c r="N25" s="102"/>
      <c r="O25" s="102"/>
      <c r="P25" s="339"/>
      <c r="Q25" s="103"/>
      <c r="R25" s="103"/>
      <c r="S25" s="102"/>
      <c r="T25" s="102"/>
      <c r="U25" s="466"/>
    </row>
    <row r="26" spans="1:24" ht="13.5" thickBot="1" x14ac:dyDescent="0.25">
      <c r="A26" s="91" t="s">
        <v>125</v>
      </c>
      <c r="B26" s="90">
        <f>ROUND(B22,-2)</f>
        <v>900</v>
      </c>
      <c r="C26" s="100">
        <f>ROUND($F$31+IF($B26&gt;600,(600*$F$35+(($B26-600)*$F$44)),$B26*$F$35),2)</f>
        <v>91.78</v>
      </c>
      <c r="D26" s="100">
        <f>ROUND($B26*$F$57,2)</f>
        <v>-0.99</v>
      </c>
      <c r="E26" s="100">
        <f>ROUND($B26*$F$58,2)</f>
        <v>-1.72</v>
      </c>
      <c r="F26" s="100">
        <f>ROUND($B26*$F$59,2)</f>
        <v>3.51</v>
      </c>
      <c r="G26" s="100">
        <f>ROUND($B26*$F$36,2)</f>
        <v>0.96</v>
      </c>
      <c r="H26" s="100">
        <f>ROUND($B26*$F$60,2)</f>
        <v>0</v>
      </c>
      <c r="I26" s="100">
        <f>ROUND($B26*$F$61,2)</f>
        <v>-7.0000000000000007E-2</v>
      </c>
      <c r="J26" s="100">
        <f>ROUND($B26*$F$37,2)</f>
        <v>2.91</v>
      </c>
      <c r="K26" s="100">
        <f>ROUND($F$32+IF($B26&gt;600,(600*$F$38+(($B26-600)*$F$47)),$B26*$F$35),2)</f>
        <v>1.38</v>
      </c>
      <c r="L26" s="412">
        <f>ROUND($F$32+IF($B26&gt;600,(600*$F$39+(($B26-600)*$F$48)),$B26*$F$35),2)</f>
        <v>-1.38</v>
      </c>
      <c r="M26" s="412">
        <f>ROUND($F$32+IF($B26&gt;600,(600*$F$40+(($B26-600)*$F$49)),$B26*$F$40),2)</f>
        <v>-1.1399999999999999</v>
      </c>
      <c r="N26" s="100">
        <f>ROUND($B26*$F$41,2)</f>
        <v>0.56000000000000005</v>
      </c>
      <c r="O26" s="100">
        <f>ROUND($B26*$F$53,2)</f>
        <v>-6.65</v>
      </c>
      <c r="P26" s="464">
        <f>SUM(C26:O26)</f>
        <v>89.15</v>
      </c>
      <c r="Q26" s="101">
        <f>-I26</f>
        <v>7.0000000000000007E-2</v>
      </c>
      <c r="R26" s="101">
        <f>ROUND($B26*$G$61,2)</f>
        <v>-7.0000000000000007E-2</v>
      </c>
      <c r="S26" s="100">
        <f>SUM(Q26:R26)</f>
        <v>0</v>
      </c>
      <c r="T26" s="100">
        <f>+P26+S26</f>
        <v>89.15</v>
      </c>
      <c r="U26" s="465">
        <f>+S26/P26</f>
        <v>0</v>
      </c>
    </row>
    <row r="27" spans="1:24" ht="13.5" thickTop="1" x14ac:dyDescent="0.2">
      <c r="B27" s="382">
        <v>1000</v>
      </c>
      <c r="C27" s="383">
        <f>ROUND($F$31+IF($B27&gt;600,(600*$F$35+(($B27-600)*$F$44)),$B27*$F$35),2)</f>
        <v>102.41</v>
      </c>
      <c r="D27" s="383">
        <f>ROUND($B27*$F$57,2)</f>
        <v>-1.1000000000000001</v>
      </c>
      <c r="E27" s="383">
        <f>ROUND($B27*$F$58,2)</f>
        <v>-1.91</v>
      </c>
      <c r="F27" s="383">
        <f>ROUND($B27*$F$59,2)</f>
        <v>3.91</v>
      </c>
      <c r="G27" s="383">
        <f>ROUND($B27*$F$36,2)</f>
        <v>1.07</v>
      </c>
      <c r="H27" s="383">
        <f>ROUND($B27*$F$60,2)</f>
        <v>0</v>
      </c>
      <c r="I27" s="383">
        <f>ROUND($B27*$F$61,2)</f>
        <v>-7.0000000000000007E-2</v>
      </c>
      <c r="J27" s="383">
        <f>ROUND($B27*$F$37,2)</f>
        <v>3.23</v>
      </c>
      <c r="K27" s="383">
        <f>ROUND($F$32+IF($B27&gt;600,(600*$F$38+(($B27-600)*$F$47)),$B27*$F$35),2)</f>
        <v>1.55</v>
      </c>
      <c r="L27" s="383">
        <f>ROUND($F$32+IF($B27&gt;600,(600*$F$39+(($B27-600)*$F$48)),$B27*$F$35),2)</f>
        <v>-1.55</v>
      </c>
      <c r="M27" s="383">
        <f>ROUND($F$32+IF($B27&gt;600,(600*$F$40+(($B27-600)*$F$49)),$B27*$F$40),2)</f>
        <v>-1.27</v>
      </c>
      <c r="N27" s="383">
        <f>ROUND($B27*$F$41,2)</f>
        <v>0.62</v>
      </c>
      <c r="O27" s="383">
        <f>ROUND($B27*$F$53,2)</f>
        <v>-7.39</v>
      </c>
      <c r="P27" s="467">
        <f>SUM(C27:O27)</f>
        <v>99.500000000000014</v>
      </c>
      <c r="Q27" s="383">
        <f>-I27</f>
        <v>7.0000000000000007E-2</v>
      </c>
      <c r="R27" s="383">
        <f>ROUND($B27*$G$61,2)</f>
        <v>-0.08</v>
      </c>
      <c r="S27" s="383">
        <f>SUM(Q27:R27)</f>
        <v>-9.999999999999995E-3</v>
      </c>
      <c r="T27" s="383">
        <f>+P27+S27</f>
        <v>99.490000000000009</v>
      </c>
      <c r="U27" s="467">
        <f>+S27/P27</f>
        <v>-1.00502512562814E-4</v>
      </c>
      <c r="X27" s="107" t="s">
        <v>472</v>
      </c>
    </row>
    <row r="29" spans="1:24" ht="51" x14ac:dyDescent="0.2">
      <c r="A29" s="106" t="s">
        <v>126</v>
      </c>
      <c r="B29" s="77"/>
      <c r="C29" s="77"/>
      <c r="D29" s="77"/>
      <c r="F29" s="414" t="s">
        <v>452</v>
      </c>
      <c r="G29" s="415" t="s">
        <v>453</v>
      </c>
      <c r="H29" s="107"/>
      <c r="I29" s="107"/>
      <c r="J29" s="107"/>
      <c r="K29" s="107"/>
      <c r="L29" s="107"/>
      <c r="M29" s="107"/>
      <c r="N29" s="107"/>
      <c r="O29" s="107"/>
    </row>
    <row r="30" spans="1:24" x14ac:dyDescent="0.2">
      <c r="A30" s="485" t="s">
        <v>52</v>
      </c>
      <c r="B30" s="485"/>
      <c r="C30" s="485"/>
      <c r="D30" s="485"/>
      <c r="F30" s="108"/>
      <c r="G30" s="109"/>
      <c r="H30" s="107"/>
      <c r="I30" s="107"/>
      <c r="J30" s="107" t="s">
        <v>473</v>
      </c>
      <c r="K30" s="107"/>
      <c r="L30" s="107"/>
      <c r="M30" s="107"/>
      <c r="N30" s="107"/>
      <c r="O30" s="107"/>
    </row>
    <row r="31" spans="1:24" x14ac:dyDescent="0.2">
      <c r="A31" s="483" t="s">
        <v>127</v>
      </c>
      <c r="B31" s="483"/>
      <c r="C31" s="483"/>
      <c r="D31" s="483"/>
      <c r="F31" s="333">
        <v>7.49</v>
      </c>
      <c r="G31" s="267">
        <f>+F31</f>
        <v>7.49</v>
      </c>
      <c r="H31" s="107" t="s">
        <v>53</v>
      </c>
      <c r="I31" s="107"/>
      <c r="J31" s="107"/>
      <c r="K31" s="107"/>
      <c r="L31" s="107"/>
      <c r="M31" s="107"/>
      <c r="N31" s="107"/>
      <c r="O31" s="107"/>
    </row>
    <row r="32" spans="1:24" x14ac:dyDescent="0.2">
      <c r="A32" s="483" t="s">
        <v>93</v>
      </c>
      <c r="B32" s="483"/>
      <c r="C32" s="483"/>
      <c r="D32" s="483"/>
      <c r="F32" s="334">
        <v>0</v>
      </c>
      <c r="G32" s="268">
        <f>+F32</f>
        <v>0</v>
      </c>
      <c r="H32" s="107" t="s">
        <v>53</v>
      </c>
      <c r="I32" s="107"/>
      <c r="J32" s="107"/>
      <c r="K32" s="107"/>
      <c r="L32" s="107"/>
      <c r="M32" s="107"/>
      <c r="N32" s="107"/>
      <c r="O32" s="107"/>
    </row>
    <row r="33" spans="1:15" ht="13.5" thickBot="1" x14ac:dyDescent="0.25">
      <c r="A33" s="482" t="s">
        <v>97</v>
      </c>
      <c r="B33" s="482"/>
      <c r="C33" s="482"/>
      <c r="D33" s="482"/>
      <c r="F33" s="269">
        <f>SUM(F31:F32)</f>
        <v>7.49</v>
      </c>
      <c r="G33" s="270">
        <f>SUM(G31:G32)</f>
        <v>7.49</v>
      </c>
      <c r="H33" s="107"/>
      <c r="I33" s="107"/>
      <c r="J33" s="107"/>
      <c r="K33" s="107"/>
      <c r="L33" s="107"/>
      <c r="M33" s="107"/>
      <c r="N33" s="107"/>
      <c r="O33" s="107"/>
    </row>
    <row r="34" spans="1:15" ht="13.5" thickTop="1" x14ac:dyDescent="0.2">
      <c r="A34" s="485" t="s">
        <v>54</v>
      </c>
      <c r="B34" s="485"/>
      <c r="C34" s="485"/>
      <c r="D34" s="485"/>
      <c r="F34" s="271"/>
      <c r="G34" s="272"/>
      <c r="H34" s="107"/>
      <c r="I34" s="107"/>
      <c r="J34" s="107"/>
      <c r="K34" s="107"/>
      <c r="L34" s="107"/>
      <c r="M34" s="107"/>
      <c r="N34" s="107"/>
      <c r="O34" s="107"/>
    </row>
    <row r="35" spans="1:15" x14ac:dyDescent="0.2">
      <c r="A35" s="483" t="s">
        <v>55</v>
      </c>
      <c r="B35" s="483"/>
      <c r="C35" s="483"/>
      <c r="D35" s="483"/>
      <c r="F35" s="335">
        <v>8.7335999999999997E-2</v>
      </c>
      <c r="G35" s="274">
        <f>+F35</f>
        <v>8.7335999999999997E-2</v>
      </c>
      <c r="H35" s="107" t="s">
        <v>30</v>
      </c>
      <c r="I35" s="107"/>
      <c r="J35" s="107"/>
      <c r="K35" s="107"/>
      <c r="L35" s="107"/>
      <c r="M35" s="107"/>
      <c r="N35" s="107"/>
      <c r="O35" s="107"/>
    </row>
    <row r="36" spans="1:15" x14ac:dyDescent="0.2">
      <c r="A36" s="483" t="s">
        <v>60</v>
      </c>
      <c r="B36" s="483"/>
      <c r="C36" s="483"/>
      <c r="D36" s="483"/>
      <c r="F36" s="335">
        <v>1.0679999999999999E-3</v>
      </c>
      <c r="G36" s="274">
        <f t="shared" ref="G36:G41" si="28">+F36</f>
        <v>1.0679999999999999E-3</v>
      </c>
      <c r="H36" s="107" t="s">
        <v>30</v>
      </c>
      <c r="I36" s="107"/>
      <c r="J36" s="107"/>
      <c r="K36" s="107"/>
      <c r="L36" s="107"/>
      <c r="M36" s="107"/>
      <c r="N36" s="107"/>
      <c r="O36" s="107"/>
    </row>
    <row r="37" spans="1:15" x14ac:dyDescent="0.2">
      <c r="A37" s="483" t="s">
        <v>92</v>
      </c>
      <c r="B37" s="483"/>
      <c r="C37" s="483"/>
      <c r="D37" s="483"/>
      <c r="F37" s="335">
        <v>3.228E-3</v>
      </c>
      <c r="G37" s="274">
        <f t="shared" si="28"/>
        <v>3.228E-3</v>
      </c>
      <c r="H37" s="110" t="s">
        <v>30</v>
      </c>
      <c r="I37" s="110"/>
      <c r="J37" s="110"/>
      <c r="K37" s="107"/>
      <c r="L37" s="107"/>
      <c r="M37" s="107"/>
      <c r="N37" s="107"/>
      <c r="O37" s="107"/>
    </row>
    <row r="38" spans="1:15" x14ac:dyDescent="0.2">
      <c r="A38" s="483" t="s">
        <v>94</v>
      </c>
      <c r="B38" s="483"/>
      <c r="C38" s="483"/>
      <c r="D38" s="483"/>
      <c r="F38" s="335">
        <v>1.4250000000000001E-3</v>
      </c>
      <c r="G38" s="274">
        <f t="shared" si="28"/>
        <v>1.4250000000000001E-3</v>
      </c>
      <c r="H38" s="110" t="s">
        <v>30</v>
      </c>
      <c r="I38" s="110"/>
      <c r="J38" s="110"/>
      <c r="K38" s="107"/>
      <c r="L38" s="107"/>
      <c r="M38" s="107"/>
      <c r="N38" s="107"/>
      <c r="O38" s="107"/>
    </row>
    <row r="39" spans="1:15" x14ac:dyDescent="0.2">
      <c r="A39" s="479" t="s">
        <v>454</v>
      </c>
      <c r="B39" s="479"/>
      <c r="C39" s="479"/>
      <c r="D39" s="479"/>
      <c r="E39" s="92"/>
      <c r="F39" s="335">
        <v>-1.4250000000000001E-3</v>
      </c>
      <c r="G39" s="274">
        <f>+F39</f>
        <v>-1.4250000000000001E-3</v>
      </c>
      <c r="H39" s="127" t="s">
        <v>30</v>
      </c>
      <c r="I39" s="127"/>
      <c r="J39" s="127"/>
      <c r="K39" s="107"/>
      <c r="L39" s="107"/>
      <c r="M39" s="107"/>
      <c r="N39" s="107"/>
      <c r="O39" s="107"/>
    </row>
    <row r="40" spans="1:15" x14ac:dyDescent="0.2">
      <c r="A40" s="479" t="s">
        <v>455</v>
      </c>
      <c r="B40" s="479"/>
      <c r="C40" s="479"/>
      <c r="D40" s="479"/>
      <c r="E40" s="92"/>
      <c r="F40" s="335">
        <v>-1.271E-3</v>
      </c>
      <c r="G40" s="274">
        <f>+F40</f>
        <v>-1.271E-3</v>
      </c>
      <c r="H40" s="127" t="s">
        <v>30</v>
      </c>
      <c r="I40" s="127"/>
      <c r="J40" s="127"/>
      <c r="K40" s="107"/>
      <c r="L40" s="107"/>
      <c r="M40" s="107"/>
      <c r="N40" s="107"/>
      <c r="O40" s="107"/>
    </row>
    <row r="41" spans="1:15" x14ac:dyDescent="0.2">
      <c r="A41" s="483" t="s">
        <v>96</v>
      </c>
      <c r="B41" s="483"/>
      <c r="C41" s="483"/>
      <c r="D41" s="483"/>
      <c r="F41" s="335">
        <v>6.2100000000000002E-4</v>
      </c>
      <c r="G41" s="274">
        <f t="shared" si="28"/>
        <v>6.2100000000000002E-4</v>
      </c>
      <c r="H41" s="110" t="s">
        <v>30</v>
      </c>
      <c r="I41" s="110"/>
      <c r="J41" s="110"/>
      <c r="K41" s="107"/>
      <c r="L41" s="107"/>
      <c r="M41" s="107"/>
      <c r="N41" s="107"/>
      <c r="O41" s="107"/>
    </row>
    <row r="42" spans="1:15" ht="13.5" thickBot="1" x14ac:dyDescent="0.25">
      <c r="A42" s="482" t="s">
        <v>98</v>
      </c>
      <c r="B42" s="482"/>
      <c r="C42" s="482"/>
      <c r="D42" s="482"/>
      <c r="F42" s="275">
        <f>SUM(F35:F41)</f>
        <v>9.0981999999999993E-2</v>
      </c>
      <c r="G42" s="275">
        <f>SUM(G35:G41)</f>
        <v>9.0981999999999993E-2</v>
      </c>
      <c r="H42" s="110" t="s">
        <v>30</v>
      </c>
      <c r="I42" s="110"/>
      <c r="J42" s="110"/>
      <c r="K42" s="107"/>
      <c r="L42" s="107"/>
      <c r="M42" s="107"/>
      <c r="N42" s="107"/>
      <c r="O42" s="107"/>
    </row>
    <row r="43" spans="1:15" ht="13.5" thickTop="1" x14ac:dyDescent="0.2">
      <c r="A43" s="485"/>
      <c r="B43" s="485"/>
      <c r="C43" s="485"/>
      <c r="D43" s="485"/>
      <c r="F43" s="273"/>
      <c r="G43" s="274"/>
      <c r="H43" s="107"/>
      <c r="I43" s="107"/>
      <c r="J43" s="107"/>
      <c r="K43" s="107"/>
      <c r="L43" s="107"/>
      <c r="M43" s="107"/>
      <c r="N43" s="107"/>
      <c r="O43" s="107"/>
    </row>
    <row r="44" spans="1:15" x14ac:dyDescent="0.2">
      <c r="A44" s="485" t="s">
        <v>56</v>
      </c>
      <c r="B44" s="485"/>
      <c r="C44" s="485"/>
      <c r="D44" s="485"/>
      <c r="F44" s="335">
        <v>0.106297</v>
      </c>
      <c r="G44" s="274">
        <f>+F44</f>
        <v>0.106297</v>
      </c>
      <c r="H44" s="107" t="s">
        <v>30</v>
      </c>
      <c r="I44" s="107"/>
      <c r="J44" s="107"/>
      <c r="K44" s="107"/>
      <c r="L44" s="107"/>
      <c r="M44" s="107"/>
      <c r="N44" s="107"/>
      <c r="O44" s="107"/>
    </row>
    <row r="45" spans="1:15" x14ac:dyDescent="0.2">
      <c r="A45" s="483" t="s">
        <v>60</v>
      </c>
      <c r="B45" s="483"/>
      <c r="C45" s="483"/>
      <c r="D45" s="483"/>
      <c r="F45" s="335">
        <f>+F36</f>
        <v>1.0679999999999999E-3</v>
      </c>
      <c r="G45" s="274">
        <f>+F45</f>
        <v>1.0679999999999999E-3</v>
      </c>
      <c r="H45" s="107" t="s">
        <v>30</v>
      </c>
      <c r="I45" s="107"/>
      <c r="J45" s="107"/>
      <c r="K45" s="107"/>
      <c r="L45" s="107"/>
      <c r="M45" s="107"/>
      <c r="N45" s="107"/>
      <c r="O45" s="107"/>
    </row>
    <row r="46" spans="1:15" x14ac:dyDescent="0.2">
      <c r="A46" s="483" t="s">
        <v>92</v>
      </c>
      <c r="B46" s="483"/>
      <c r="C46" s="483"/>
      <c r="D46" s="483"/>
      <c r="F46" s="335">
        <f>+F37</f>
        <v>3.228E-3</v>
      </c>
      <c r="G46" s="274">
        <f t="shared" ref="G46:G50" si="29">+F46</f>
        <v>3.228E-3</v>
      </c>
      <c r="H46" s="107" t="s">
        <v>30</v>
      </c>
      <c r="I46" s="107"/>
      <c r="J46" s="107"/>
      <c r="K46" s="107"/>
      <c r="L46" s="107"/>
      <c r="M46" s="107"/>
      <c r="N46" s="107"/>
      <c r="O46" s="107"/>
    </row>
    <row r="47" spans="1:15" x14ac:dyDescent="0.2">
      <c r="A47" s="483" t="s">
        <v>95</v>
      </c>
      <c r="B47" s="483"/>
      <c r="C47" s="483"/>
      <c r="D47" s="483"/>
      <c r="F47" s="335">
        <v>1.7340000000000001E-3</v>
      </c>
      <c r="G47" s="274">
        <f t="shared" si="29"/>
        <v>1.7340000000000001E-3</v>
      </c>
      <c r="H47" s="110" t="s">
        <v>30</v>
      </c>
      <c r="I47" s="110"/>
      <c r="J47" s="110"/>
      <c r="K47" s="107"/>
      <c r="L47" s="107"/>
      <c r="M47" s="107"/>
      <c r="N47" s="107"/>
      <c r="O47" s="107"/>
    </row>
    <row r="48" spans="1:15" x14ac:dyDescent="0.2">
      <c r="A48" s="479" t="s">
        <v>456</v>
      </c>
      <c r="B48" s="479"/>
      <c r="C48" s="479"/>
      <c r="D48" s="479"/>
      <c r="E48" s="92"/>
      <c r="F48" s="335">
        <v>-1.7340000000000001E-3</v>
      </c>
      <c r="G48" s="274">
        <f t="shared" ref="G48:G49" si="30">+F48</f>
        <v>-1.7340000000000001E-3</v>
      </c>
      <c r="H48" s="127" t="s">
        <v>30</v>
      </c>
      <c r="I48" s="127"/>
      <c r="J48" s="127"/>
      <c r="K48" s="107"/>
      <c r="L48" s="107"/>
      <c r="M48" s="107"/>
      <c r="N48" s="107"/>
      <c r="O48" s="107"/>
    </row>
    <row r="49" spans="1:21" x14ac:dyDescent="0.2">
      <c r="A49" s="479" t="s">
        <v>455</v>
      </c>
      <c r="B49" s="479"/>
      <c r="C49" s="479"/>
      <c r="D49" s="479"/>
      <c r="E49" s="92"/>
      <c r="F49" s="335">
        <v>-1.271E-3</v>
      </c>
      <c r="G49" s="274">
        <f t="shared" si="30"/>
        <v>-1.271E-3</v>
      </c>
      <c r="H49" s="127" t="s">
        <v>30</v>
      </c>
      <c r="I49" s="127"/>
      <c r="J49" s="127"/>
      <c r="K49" s="107"/>
      <c r="L49" s="107"/>
      <c r="M49" s="107"/>
      <c r="N49" s="107"/>
      <c r="O49" s="107"/>
    </row>
    <row r="50" spans="1:21" x14ac:dyDescent="0.2">
      <c r="A50" s="483" t="s">
        <v>96</v>
      </c>
      <c r="B50" s="483"/>
      <c r="C50" s="483"/>
      <c r="D50" s="483"/>
      <c r="F50" s="335">
        <f>+F41</f>
        <v>6.2100000000000002E-4</v>
      </c>
      <c r="G50" s="274">
        <f t="shared" si="29"/>
        <v>6.2100000000000002E-4</v>
      </c>
      <c r="H50" s="110" t="s">
        <v>30</v>
      </c>
      <c r="I50" s="110"/>
      <c r="J50" s="110"/>
      <c r="K50" s="107"/>
      <c r="L50" s="107"/>
      <c r="M50" s="107"/>
      <c r="N50" s="107"/>
      <c r="O50" s="107"/>
    </row>
    <row r="51" spans="1:21" ht="13.5" thickBot="1" x14ac:dyDescent="0.25">
      <c r="A51" s="482" t="s">
        <v>99</v>
      </c>
      <c r="B51" s="482"/>
      <c r="C51" s="482"/>
      <c r="D51" s="482"/>
      <c r="F51" s="275">
        <f>SUM(F44:F50)</f>
        <v>0.109943</v>
      </c>
      <c r="G51" s="275">
        <f>SUM(G44:G50)</f>
        <v>0.109943</v>
      </c>
      <c r="H51" s="110" t="s">
        <v>30</v>
      </c>
      <c r="I51" s="110"/>
      <c r="J51" s="110"/>
      <c r="K51" s="107"/>
      <c r="L51" s="107"/>
      <c r="M51" s="107"/>
      <c r="N51" s="107"/>
      <c r="O51" s="107"/>
    </row>
    <row r="52" spans="1:21" ht="13.5" thickTop="1" x14ac:dyDescent="0.2">
      <c r="A52" s="485"/>
      <c r="B52" s="485"/>
      <c r="C52" s="485"/>
      <c r="D52" s="485"/>
      <c r="F52" s="273"/>
      <c r="G52" s="274"/>
      <c r="H52" s="110"/>
      <c r="I52" s="110"/>
      <c r="J52" s="110"/>
      <c r="K52" s="107"/>
      <c r="L52" s="107"/>
      <c r="M52" s="107"/>
      <c r="N52" s="107"/>
      <c r="O52" s="107"/>
    </row>
    <row r="53" spans="1:21" x14ac:dyDescent="0.2">
      <c r="A53" s="482" t="s">
        <v>61</v>
      </c>
      <c r="B53" s="482"/>
      <c r="C53" s="482"/>
      <c r="D53" s="482"/>
      <c r="F53" s="335">
        <f>-0.007386</f>
        <v>-7.3860000000000002E-3</v>
      </c>
      <c r="G53" s="274">
        <f>+F53</f>
        <v>-7.3860000000000002E-3</v>
      </c>
      <c r="H53" s="110" t="s">
        <v>30</v>
      </c>
      <c r="I53" s="110"/>
      <c r="J53" s="110"/>
      <c r="K53" s="107"/>
      <c r="L53" s="107"/>
      <c r="M53" s="107"/>
      <c r="N53" s="107"/>
      <c r="O53" s="107"/>
    </row>
    <row r="54" spans="1:21" x14ac:dyDescent="0.2">
      <c r="A54" s="482" t="s">
        <v>90</v>
      </c>
      <c r="B54" s="482"/>
      <c r="C54" s="482"/>
      <c r="D54" s="482"/>
      <c r="F54" s="335">
        <v>0</v>
      </c>
      <c r="G54" s="274">
        <f>+F54</f>
        <v>0</v>
      </c>
      <c r="H54" s="110" t="s">
        <v>30</v>
      </c>
      <c r="K54" s="107"/>
      <c r="L54" s="107"/>
      <c r="M54" s="107"/>
      <c r="N54" s="107"/>
      <c r="O54" s="107"/>
    </row>
    <row r="55" spans="1:21" x14ac:dyDescent="0.2">
      <c r="A55" s="485"/>
      <c r="B55" s="485"/>
      <c r="C55" s="485"/>
      <c r="D55" s="485"/>
      <c r="F55" s="273"/>
      <c r="G55" s="274"/>
      <c r="I55" s="107"/>
      <c r="J55" s="107"/>
      <c r="K55" s="107"/>
      <c r="L55" s="107"/>
      <c r="M55" s="107"/>
      <c r="N55" s="107"/>
      <c r="O55" s="107"/>
    </row>
    <row r="56" spans="1:21" x14ac:dyDescent="0.2">
      <c r="A56" s="485" t="s">
        <v>128</v>
      </c>
      <c r="B56" s="485"/>
      <c r="C56" s="485"/>
      <c r="D56" s="485"/>
      <c r="F56" s="273"/>
      <c r="G56" s="274"/>
      <c r="H56" s="107" t="s">
        <v>30</v>
      </c>
      <c r="I56" s="107"/>
      <c r="J56" s="107"/>
      <c r="K56" s="107"/>
      <c r="L56" s="107"/>
      <c r="M56" s="107"/>
      <c r="N56" s="107"/>
      <c r="O56" s="107"/>
    </row>
    <row r="57" spans="1:21" x14ac:dyDescent="0.2">
      <c r="A57" s="483" t="s">
        <v>57</v>
      </c>
      <c r="B57" s="483"/>
      <c r="C57" s="483"/>
      <c r="D57" s="483"/>
      <c r="E57" s="92"/>
      <c r="F57" s="335">
        <v>-1.098E-3</v>
      </c>
      <c r="G57" s="274">
        <f>+F57</f>
        <v>-1.098E-3</v>
      </c>
      <c r="H57" s="107" t="s">
        <v>30</v>
      </c>
      <c r="I57" s="110"/>
      <c r="J57" s="110"/>
      <c r="K57" s="110"/>
      <c r="L57" s="127"/>
      <c r="M57" s="127"/>
      <c r="N57" s="110"/>
      <c r="O57" s="110"/>
      <c r="P57" s="92"/>
      <c r="Q57" s="92"/>
      <c r="R57" s="92"/>
      <c r="S57" s="92"/>
      <c r="T57" s="92"/>
      <c r="U57" s="92"/>
    </row>
    <row r="58" spans="1:21" x14ac:dyDescent="0.2">
      <c r="A58" s="483" t="s">
        <v>58</v>
      </c>
      <c r="B58" s="483"/>
      <c r="C58" s="483"/>
      <c r="D58" s="483"/>
      <c r="F58" s="335">
        <v>-1.913E-3</v>
      </c>
      <c r="G58" s="274">
        <f t="shared" ref="G58:G60" si="31">+F58</f>
        <v>-1.913E-3</v>
      </c>
      <c r="H58" s="110" t="s">
        <v>30</v>
      </c>
      <c r="I58" s="110"/>
      <c r="J58" s="110"/>
      <c r="K58" s="107"/>
      <c r="L58" s="107"/>
      <c r="M58" s="107"/>
      <c r="N58" s="107"/>
      <c r="O58" s="107"/>
    </row>
    <row r="59" spans="1:21" x14ac:dyDescent="0.2">
      <c r="A59" s="483" t="s">
        <v>59</v>
      </c>
      <c r="B59" s="483"/>
      <c r="C59" s="483"/>
      <c r="D59" s="483"/>
      <c r="F59" s="335">
        <v>3.9050000000000001E-3</v>
      </c>
      <c r="G59" s="274">
        <f t="shared" si="31"/>
        <v>3.9050000000000001E-3</v>
      </c>
      <c r="H59" s="110" t="s">
        <v>30</v>
      </c>
      <c r="I59" s="110"/>
      <c r="J59" s="110"/>
      <c r="K59" s="107"/>
      <c r="L59" s="107"/>
      <c r="M59" s="107"/>
      <c r="N59" s="107"/>
      <c r="O59" s="107"/>
    </row>
    <row r="60" spans="1:21" x14ac:dyDescent="0.2">
      <c r="A60" s="483" t="s">
        <v>89</v>
      </c>
      <c r="B60" s="483"/>
      <c r="C60" s="483"/>
      <c r="D60" s="483"/>
      <c r="F60" s="335">
        <v>0</v>
      </c>
      <c r="G60" s="274">
        <f t="shared" si="31"/>
        <v>0</v>
      </c>
      <c r="H60" s="110" t="s">
        <v>30</v>
      </c>
      <c r="I60" s="110"/>
      <c r="J60" s="110"/>
      <c r="K60" s="107"/>
      <c r="L60" s="107"/>
      <c r="M60" s="107"/>
      <c r="N60" s="107"/>
      <c r="O60" s="107"/>
    </row>
    <row r="61" spans="1:21" x14ac:dyDescent="0.2">
      <c r="A61" s="484" t="s">
        <v>91</v>
      </c>
      <c r="B61" s="484"/>
      <c r="C61" s="484"/>
      <c r="D61" s="484"/>
      <c r="E61" s="417"/>
      <c r="F61" s="416">
        <f>+'2020 Rate Impacts'!F9</f>
        <v>-7.2999999999999999E-5</v>
      </c>
      <c r="G61" s="416">
        <f>+'2020 Rate Impacts'!G9</f>
        <v>-8.2000000000000001E-5</v>
      </c>
      <c r="H61" s="418" t="s">
        <v>30</v>
      </c>
      <c r="I61" s="110"/>
      <c r="J61" s="110"/>
      <c r="K61" s="107"/>
      <c r="L61" s="107"/>
      <c r="M61" s="107"/>
      <c r="N61" s="107"/>
      <c r="O61" s="107"/>
    </row>
    <row r="62" spans="1:21" ht="13.5" thickBot="1" x14ac:dyDescent="0.25">
      <c r="A62" s="482" t="s">
        <v>129</v>
      </c>
      <c r="B62" s="482"/>
      <c r="C62" s="482"/>
      <c r="D62" s="482"/>
      <c r="F62" s="276">
        <f>SUM(F57:F61)</f>
        <v>8.2100000000000022E-4</v>
      </c>
      <c r="G62" s="277">
        <f>SUM(G57:G61)</f>
        <v>8.1200000000000022E-4</v>
      </c>
      <c r="H62" s="110" t="s">
        <v>30</v>
      </c>
    </row>
    <row r="63" spans="1:21" ht="13.5" thickTop="1" x14ac:dyDescent="0.2">
      <c r="A63" s="485"/>
      <c r="B63" s="485"/>
      <c r="C63" s="485"/>
      <c r="D63" s="485"/>
      <c r="F63" s="278"/>
      <c r="G63" s="279"/>
    </row>
    <row r="64" spans="1:21" x14ac:dyDescent="0.2">
      <c r="A64" s="482" t="s">
        <v>130</v>
      </c>
      <c r="B64" s="482"/>
      <c r="C64" s="482"/>
      <c r="D64" s="482"/>
      <c r="F64" s="280">
        <f>SUM(F42,F53:F54,F62)</f>
        <v>8.4416999999999992E-2</v>
      </c>
      <c r="G64" s="281">
        <f>SUM(G42,G53:G54,G62)</f>
        <v>8.4407999999999983E-2</v>
      </c>
      <c r="H64" s="110" t="s">
        <v>30</v>
      </c>
    </row>
    <row r="65" spans="1:21" x14ac:dyDescent="0.2">
      <c r="A65" s="482" t="s">
        <v>131</v>
      </c>
      <c r="B65" s="482"/>
      <c r="C65" s="482"/>
      <c r="D65" s="482"/>
      <c r="F65" s="282">
        <f>SUM(F51,F53:F54,F62)</f>
        <v>0.103378</v>
      </c>
      <c r="G65" s="283">
        <f>SUM(G51,G53:G54,G62)</f>
        <v>0.10336899999999999</v>
      </c>
      <c r="H65" s="110" t="s">
        <v>30</v>
      </c>
    </row>
    <row r="68" spans="1:21" x14ac:dyDescent="0.2">
      <c r="A68" s="480" t="s">
        <v>445</v>
      </c>
      <c r="B68" s="481"/>
      <c r="C68" s="481"/>
      <c r="D68" s="481"/>
    </row>
    <row r="69" spans="1:21" x14ac:dyDescent="0.2">
      <c r="A69" s="486" t="str">
        <f>'2020 Est Proforma Net Revenue'!A3:P3</f>
        <v>Test Year ended December 31, 2020</v>
      </c>
      <c r="B69" s="486"/>
      <c r="C69" s="486"/>
      <c r="D69" s="486"/>
    </row>
    <row r="70" spans="1:21" ht="38.25" x14ac:dyDescent="0.2">
      <c r="A70" s="419"/>
      <c r="B70" s="419" t="s">
        <v>132</v>
      </c>
      <c r="C70" s="419" t="s">
        <v>133</v>
      </c>
      <c r="D70" s="419" t="s">
        <v>134</v>
      </c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</row>
    <row r="71" spans="1:21" x14ac:dyDescent="0.2">
      <c r="A71" s="92" t="str">
        <f t="shared" ref="A71:A82" si="32">+A7</f>
        <v>January</v>
      </c>
      <c r="B71" s="410">
        <f>ROUND(+'F2019 Del Load &amp; Cust'!E24,0)*1000</f>
        <v>1252327000</v>
      </c>
      <c r="C71" s="410">
        <f>+'F2019 Del Load &amp; Cust'!E6</f>
        <v>1031989</v>
      </c>
      <c r="D71" s="261">
        <f>+B71/C71</f>
        <v>1213.5080897180105</v>
      </c>
    </row>
    <row r="72" spans="1:21" x14ac:dyDescent="0.2">
      <c r="A72" s="92" t="str">
        <f t="shared" si="32"/>
        <v>February</v>
      </c>
      <c r="B72" s="410">
        <f>ROUND(+'F2019 Del Load &amp; Cust'!E25,0)*1000</f>
        <v>1088361000</v>
      </c>
      <c r="C72" s="410">
        <f>+'F2019 Del Load &amp; Cust'!E7</f>
        <v>1033260</v>
      </c>
      <c r="D72" s="261">
        <f t="shared" ref="D72:D82" si="33">+B72/C72</f>
        <v>1053.3273329074966</v>
      </c>
    </row>
    <row r="73" spans="1:21" x14ac:dyDescent="0.2">
      <c r="A73" s="92" t="str">
        <f t="shared" si="32"/>
        <v>March</v>
      </c>
      <c r="B73" s="410">
        <f>ROUND(+'F2019 Del Load &amp; Cust'!E26,0)*1000</f>
        <v>1049153000</v>
      </c>
      <c r="C73" s="410">
        <f>+'F2019 Del Load &amp; Cust'!E8</f>
        <v>1034261</v>
      </c>
      <c r="D73" s="261">
        <f t="shared" si="33"/>
        <v>1014.3986865984505</v>
      </c>
    </row>
    <row r="74" spans="1:21" x14ac:dyDescent="0.2">
      <c r="A74" s="92" t="str">
        <f t="shared" si="32"/>
        <v>April</v>
      </c>
      <c r="B74" s="410">
        <f>ROUND(+'F2019 Del Load &amp; Cust'!E27,0)*1000</f>
        <v>864607000</v>
      </c>
      <c r="C74" s="410">
        <f>+'F2019 Del Load &amp; Cust'!E9</f>
        <v>1035099</v>
      </c>
      <c r="D74" s="261">
        <f t="shared" si="33"/>
        <v>835.28918489922216</v>
      </c>
    </row>
    <row r="75" spans="1:21" x14ac:dyDescent="0.2">
      <c r="A75" s="92" t="str">
        <f t="shared" si="32"/>
        <v>May</v>
      </c>
      <c r="B75" s="410">
        <f>ROUND(+'F2019 Del Load &amp; Cust'!E28,0)*1000</f>
        <v>737952000</v>
      </c>
      <c r="C75" s="410">
        <f>+'F2019 Del Load &amp; Cust'!E10</f>
        <v>1035847</v>
      </c>
      <c r="D75" s="261">
        <f t="shared" si="33"/>
        <v>712.41409204255069</v>
      </c>
    </row>
    <row r="76" spans="1:21" x14ac:dyDescent="0.2">
      <c r="A76" s="92" t="str">
        <f t="shared" si="32"/>
        <v>June</v>
      </c>
      <c r="B76" s="410">
        <f>ROUND(+'F2019 Del Load &amp; Cust'!E29,0)*1000</f>
        <v>680006000</v>
      </c>
      <c r="C76" s="410">
        <f>+'F2019 Del Load &amp; Cust'!E11</f>
        <v>1036691</v>
      </c>
      <c r="D76" s="261">
        <f t="shared" si="33"/>
        <v>655.93894419841592</v>
      </c>
    </row>
    <row r="77" spans="1:21" x14ac:dyDescent="0.2">
      <c r="A77" s="92" t="str">
        <f t="shared" si="32"/>
        <v>July</v>
      </c>
      <c r="B77" s="410">
        <f>ROUND(+'F2019 Del Load &amp; Cust'!E30,0)*1000</f>
        <v>696924000</v>
      </c>
      <c r="C77" s="410">
        <f>+'F2019 Del Load &amp; Cust'!E12</f>
        <v>1037136</v>
      </c>
      <c r="D77" s="261">
        <f t="shared" si="33"/>
        <v>671.96973203128618</v>
      </c>
    </row>
    <row r="78" spans="1:21" x14ac:dyDescent="0.2">
      <c r="A78" s="92" t="str">
        <f t="shared" si="32"/>
        <v>August</v>
      </c>
      <c r="B78" s="410">
        <f>ROUND(+'F2019 Del Load &amp; Cust'!E31,0)*1000</f>
        <v>682562000</v>
      </c>
      <c r="C78" s="410">
        <f>+'F2019 Del Load &amp; Cust'!E13</f>
        <v>1037921</v>
      </c>
      <c r="D78" s="261">
        <f t="shared" si="33"/>
        <v>657.62423151665689</v>
      </c>
    </row>
    <row r="79" spans="1:21" x14ac:dyDescent="0.2">
      <c r="A79" s="92" t="str">
        <f t="shared" si="32"/>
        <v>September</v>
      </c>
      <c r="B79" s="410">
        <f>ROUND(+'F2019 Del Load &amp; Cust'!E32,0)*1000</f>
        <v>672654000</v>
      </c>
      <c r="C79" s="410">
        <f>+'F2019 Del Load &amp; Cust'!E14</f>
        <v>1039166</v>
      </c>
      <c r="D79" s="261">
        <f t="shared" si="33"/>
        <v>647.30177854163821</v>
      </c>
    </row>
    <row r="80" spans="1:21" x14ac:dyDescent="0.2">
      <c r="A80" s="92" t="str">
        <f t="shared" si="32"/>
        <v>October</v>
      </c>
      <c r="B80" s="410">
        <f>ROUND(+'F2019 Del Load &amp; Cust'!E33,0)*1000</f>
        <v>830134000</v>
      </c>
      <c r="C80" s="410">
        <f>+'F2019 Del Load &amp; Cust'!E15</f>
        <v>1040602</v>
      </c>
      <c r="D80" s="261">
        <f t="shared" si="33"/>
        <v>797.74399818566565</v>
      </c>
    </row>
    <row r="81" spans="1:4" x14ac:dyDescent="0.2">
      <c r="A81" s="92" t="str">
        <f t="shared" si="32"/>
        <v>November</v>
      </c>
      <c r="B81" s="410">
        <f>ROUND(+'F2019 Del Load &amp; Cust'!E34,0)*1000</f>
        <v>1024677000</v>
      </c>
      <c r="C81" s="410">
        <f>+'F2019 Del Load &amp; Cust'!E16</f>
        <v>1042117</v>
      </c>
      <c r="D81" s="261">
        <f t="shared" si="33"/>
        <v>983.26483494655588</v>
      </c>
    </row>
    <row r="82" spans="1:4" x14ac:dyDescent="0.2">
      <c r="A82" s="92" t="str">
        <f t="shared" si="32"/>
        <v>December</v>
      </c>
      <c r="B82" s="410">
        <f>ROUND(+'F2019 Del Load &amp; Cust'!E35,0)*1000</f>
        <v>1293747000</v>
      </c>
      <c r="C82" s="410">
        <f>+'F2019 Del Load &amp; Cust'!E17</f>
        <v>1043361</v>
      </c>
      <c r="D82" s="261">
        <f t="shared" si="33"/>
        <v>1239.9802177769727</v>
      </c>
    </row>
    <row r="83" spans="1:4" x14ac:dyDescent="0.2">
      <c r="A83" s="420" t="s">
        <v>12</v>
      </c>
      <c r="B83" s="262">
        <f>SUM(B71:B82)</f>
        <v>10873104000</v>
      </c>
      <c r="C83" s="262">
        <f>SUM(C71:C82)</f>
        <v>12447450</v>
      </c>
      <c r="D83" s="262">
        <f>SUM(D71:D82)</f>
        <v>10482.761123362921</v>
      </c>
    </row>
    <row r="84" spans="1:4" x14ac:dyDescent="0.2">
      <c r="A84" s="92"/>
      <c r="B84" s="92"/>
      <c r="C84" s="92"/>
      <c r="D84" s="261"/>
    </row>
    <row r="85" spans="1:4" x14ac:dyDescent="0.2">
      <c r="A85" s="313" t="s">
        <v>135</v>
      </c>
      <c r="B85" s="314"/>
      <c r="C85" s="314"/>
      <c r="D85" s="314">
        <f>AVERAGE(D71:D82)</f>
        <v>873.56342694691011</v>
      </c>
    </row>
  </sheetData>
  <mergeCells count="39">
    <mergeCell ref="A69:D69"/>
    <mergeCell ref="A42:D42"/>
    <mergeCell ref="C5:P5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41:D41"/>
    <mergeCell ref="A56:D56"/>
    <mergeCell ref="A43:D43"/>
    <mergeCell ref="A44:D44"/>
    <mergeCell ref="A55:D55"/>
    <mergeCell ref="A63:D63"/>
    <mergeCell ref="A45:D45"/>
    <mergeCell ref="A46:D46"/>
    <mergeCell ref="A47:D47"/>
    <mergeCell ref="A50:D50"/>
    <mergeCell ref="A51:D51"/>
    <mergeCell ref="A39:D39"/>
    <mergeCell ref="A40:D40"/>
    <mergeCell ref="A48:D48"/>
    <mergeCell ref="A49:D49"/>
    <mergeCell ref="A68:D68"/>
    <mergeCell ref="A64:D64"/>
    <mergeCell ref="A65:D65"/>
    <mergeCell ref="A57:D57"/>
    <mergeCell ref="A58:D58"/>
    <mergeCell ref="A59:D59"/>
    <mergeCell ref="A60:D60"/>
    <mergeCell ref="A61:D61"/>
    <mergeCell ref="A62:D62"/>
    <mergeCell ref="A52:D52"/>
    <mergeCell ref="A53:D53"/>
    <mergeCell ref="A54:D54"/>
  </mergeCells>
  <printOptions horizontalCentered="1"/>
  <pageMargins left="0.25" right="0.25" top="1" bottom="1" header="0.5" footer="0.5"/>
  <pageSetup scale="53" orientation="landscape" r:id="rId1"/>
  <headerFooter alignWithMargins="0">
    <oddFooter>&amp;L&amp;F
&amp;A&amp;RPage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08"/>
  <sheetViews>
    <sheetView workbookViewId="0">
      <pane xSplit="4" ySplit="7" topLeftCell="E170" activePane="bottomRight" state="frozen"/>
      <selection activeCell="C36" sqref="C36"/>
      <selection pane="topRight" activeCell="C36" sqref="C36"/>
      <selection pane="bottomLeft" activeCell="C36" sqref="C36"/>
      <selection pane="bottomRight" activeCell="F186" sqref="F186"/>
    </sheetView>
  </sheetViews>
  <sheetFormatPr defaultColWidth="8.85546875" defaultRowHeight="14.25" x14ac:dyDescent="0.2"/>
  <cols>
    <col min="1" max="1" width="4.7109375" style="343" bestFit="1" customWidth="1"/>
    <col min="2" max="2" width="44.28515625" style="343" bestFit="1" customWidth="1"/>
    <col min="3" max="3" width="18.7109375" style="343" bestFit="1" customWidth="1"/>
    <col min="4" max="4" width="12.5703125" style="127" bestFit="1" customWidth="1"/>
    <col min="5" max="5" width="12.140625" style="127" bestFit="1" customWidth="1"/>
    <col min="6" max="6" width="11.7109375" style="127" bestFit="1" customWidth="1"/>
    <col min="7" max="7" width="12.7109375" style="127" bestFit="1" customWidth="1"/>
    <col min="8" max="8" width="13" style="127" bestFit="1" customWidth="1"/>
    <col min="9" max="9" width="12.28515625" style="127" bestFit="1" customWidth="1"/>
    <col min="10" max="10" width="13" style="127" customWidth="1"/>
    <col min="11" max="11" width="1.85546875" style="97" customWidth="1"/>
    <col min="12" max="13" width="11" style="127" bestFit="1" customWidth="1"/>
    <col min="14" max="14" width="1.85546875" style="343" customWidth="1"/>
    <col min="15" max="15" width="9.42578125" style="343" bestFit="1" customWidth="1"/>
    <col min="16" max="16384" width="8.85546875" style="343"/>
  </cols>
  <sheetData>
    <row r="1" spans="1:15" x14ac:dyDescent="0.2">
      <c r="A1" s="488" t="s">
        <v>13</v>
      </c>
      <c r="B1" s="488"/>
      <c r="C1" s="488"/>
      <c r="D1" s="488"/>
      <c r="E1" s="488"/>
      <c r="F1" s="488"/>
      <c r="G1" s="488"/>
      <c r="H1" s="488"/>
      <c r="I1" s="488"/>
      <c r="J1" s="488"/>
      <c r="K1" s="342"/>
      <c r="L1" s="343"/>
      <c r="M1" s="343"/>
    </row>
    <row r="2" spans="1:15" x14ac:dyDescent="0.2">
      <c r="A2" s="480" t="s">
        <v>423</v>
      </c>
      <c r="B2" s="488"/>
      <c r="C2" s="488"/>
      <c r="D2" s="488"/>
      <c r="E2" s="488"/>
      <c r="F2" s="488"/>
      <c r="G2" s="488"/>
      <c r="H2" s="488"/>
      <c r="I2" s="488"/>
      <c r="J2" s="488"/>
      <c r="K2" s="342"/>
      <c r="L2" s="343"/>
      <c r="M2" s="343"/>
    </row>
    <row r="3" spans="1:15" x14ac:dyDescent="0.2">
      <c r="A3" s="480" t="s">
        <v>459</v>
      </c>
      <c r="B3" s="488"/>
      <c r="C3" s="488"/>
      <c r="D3" s="488"/>
      <c r="E3" s="488"/>
      <c r="F3" s="488"/>
      <c r="G3" s="488"/>
      <c r="H3" s="488"/>
      <c r="I3" s="488"/>
      <c r="J3" s="488"/>
      <c r="K3" s="342"/>
      <c r="L3" s="343"/>
      <c r="M3" s="343"/>
    </row>
    <row r="4" spans="1:15" x14ac:dyDescent="0.2">
      <c r="A4" s="331"/>
      <c r="B4" s="488"/>
      <c r="C4" s="488"/>
      <c r="D4" s="488"/>
      <c r="E4" s="488"/>
      <c r="F4" s="488"/>
      <c r="J4" s="343"/>
      <c r="K4" s="342"/>
      <c r="L4" s="343"/>
      <c r="M4" s="343"/>
    </row>
    <row r="5" spans="1:15" ht="96" customHeight="1" x14ac:dyDescent="0.2">
      <c r="A5" s="114" t="s">
        <v>0</v>
      </c>
      <c r="B5" s="114" t="s">
        <v>152</v>
      </c>
      <c r="C5" s="114" t="s">
        <v>153</v>
      </c>
      <c r="D5" s="114" t="s">
        <v>363</v>
      </c>
      <c r="E5" s="344" t="s">
        <v>364</v>
      </c>
      <c r="F5" s="411" t="s">
        <v>460</v>
      </c>
      <c r="G5" s="344" t="s">
        <v>461</v>
      </c>
      <c r="H5" s="344" t="s">
        <v>462</v>
      </c>
      <c r="I5" s="344" t="s">
        <v>463</v>
      </c>
      <c r="J5" s="344" t="s">
        <v>424</v>
      </c>
      <c r="K5" s="342"/>
      <c r="L5" s="114" t="s">
        <v>365</v>
      </c>
      <c r="M5" s="114" t="s">
        <v>366</v>
      </c>
    </row>
    <row r="6" spans="1:15" x14ac:dyDescent="0.2">
      <c r="A6" s="331"/>
      <c r="B6" s="50"/>
      <c r="C6" s="50"/>
      <c r="D6" s="61"/>
      <c r="E6" s="50" t="s">
        <v>367</v>
      </c>
      <c r="F6" s="124" t="s">
        <v>368</v>
      </c>
      <c r="G6" s="384" t="s">
        <v>477</v>
      </c>
      <c r="H6" s="384" t="s">
        <v>369</v>
      </c>
      <c r="I6" s="384" t="s">
        <v>370</v>
      </c>
      <c r="J6" s="332"/>
      <c r="K6" s="342"/>
      <c r="L6" s="343"/>
      <c r="M6" s="343"/>
    </row>
    <row r="7" spans="1:15" x14ac:dyDescent="0.2">
      <c r="A7" s="331"/>
      <c r="B7" s="50"/>
      <c r="C7" s="50"/>
      <c r="D7" s="61"/>
      <c r="E7" s="61"/>
      <c r="F7" s="345" t="s">
        <v>371</v>
      </c>
      <c r="H7" s="346" t="s">
        <v>478</v>
      </c>
      <c r="I7" s="346" t="s">
        <v>479</v>
      </c>
      <c r="J7" s="343"/>
      <c r="K7" s="342"/>
      <c r="L7" s="343"/>
      <c r="M7" s="343"/>
    </row>
    <row r="8" spans="1:15" ht="15" thickBot="1" x14ac:dyDescent="0.25">
      <c r="A8" s="331"/>
      <c r="B8" s="48"/>
      <c r="C8" s="48"/>
      <c r="D8" s="48"/>
      <c r="E8" s="48"/>
      <c r="F8" s="347"/>
      <c r="G8" s="289"/>
      <c r="H8" s="289"/>
      <c r="I8" s="289"/>
      <c r="J8" s="343"/>
      <c r="K8" s="342"/>
      <c r="L8" s="343"/>
      <c r="M8" s="343"/>
    </row>
    <row r="9" spans="1:15" ht="15" x14ac:dyDescent="0.25">
      <c r="A9" s="331"/>
      <c r="B9" s="48"/>
      <c r="C9" s="48"/>
      <c r="D9" s="48"/>
      <c r="E9" s="48"/>
      <c r="F9" s="347"/>
      <c r="J9" s="348" t="s">
        <v>372</v>
      </c>
      <c r="K9" s="343"/>
      <c r="L9" s="343"/>
      <c r="M9" s="343"/>
    </row>
    <row r="10" spans="1:15" ht="15.75" thickBot="1" x14ac:dyDescent="0.3">
      <c r="A10" s="331">
        <v>1</v>
      </c>
      <c r="B10" s="116" t="s">
        <v>373</v>
      </c>
      <c r="C10" s="48"/>
      <c r="D10" s="48"/>
      <c r="E10" s="48"/>
      <c r="F10" s="347"/>
      <c r="G10" s="349"/>
      <c r="H10" s="354">
        <f>SUM(H25:H200)</f>
        <v>4755111</v>
      </c>
      <c r="I10" s="354">
        <f>SUM(I25:I200)</f>
        <v>-6641</v>
      </c>
      <c r="J10" s="350">
        <f>+J12+J11</f>
        <v>-1.962488974966807E-3</v>
      </c>
      <c r="K10" s="343"/>
      <c r="L10" s="343"/>
      <c r="M10" s="343"/>
      <c r="O10" s="354"/>
    </row>
    <row r="11" spans="1:15" ht="15" x14ac:dyDescent="0.25">
      <c r="A11" s="331">
        <f>+A10+1</f>
        <v>2</v>
      </c>
      <c r="B11" s="116" t="s">
        <v>430</v>
      </c>
      <c r="C11" s="48"/>
      <c r="D11" s="48"/>
      <c r="E11" s="48"/>
      <c r="F11" s="347"/>
      <c r="G11" s="349"/>
      <c r="H11" s="343"/>
      <c r="I11" s="445">
        <f>+'Peak Credit Rate Spread'!J23</f>
        <v>-6008.0303232433889</v>
      </c>
      <c r="J11" s="351">
        <f>+I11/H10</f>
        <v>-1.2634889749668071E-3</v>
      </c>
      <c r="K11" s="343"/>
      <c r="L11" s="343"/>
      <c r="M11" s="343"/>
    </row>
    <row r="12" spans="1:15" x14ac:dyDescent="0.2">
      <c r="A12" s="331">
        <f t="shared" ref="A12:A75" si="0">+A11+1</f>
        <v>3</v>
      </c>
      <c r="B12" s="64" t="s">
        <v>374</v>
      </c>
      <c r="C12" s="48"/>
      <c r="D12" s="48"/>
      <c r="E12" s="48"/>
      <c r="F12" s="347"/>
      <c r="G12" s="349"/>
      <c r="H12" s="354"/>
      <c r="I12" s="354">
        <f>+I10-I11</f>
        <v>-632.96967675661108</v>
      </c>
      <c r="J12" s="442">
        <v>-6.9899999999999997E-4</v>
      </c>
      <c r="K12" s="343"/>
      <c r="L12" s="343"/>
      <c r="M12" s="343"/>
    </row>
    <row r="13" spans="1:15" x14ac:dyDescent="0.2">
      <c r="A13" s="331">
        <f t="shared" si="0"/>
        <v>4</v>
      </c>
      <c r="B13" s="48"/>
      <c r="C13" s="48"/>
      <c r="D13" s="48"/>
      <c r="E13" s="48"/>
      <c r="F13" s="347"/>
      <c r="J13" s="343"/>
      <c r="K13" s="343"/>
      <c r="L13" s="343"/>
      <c r="M13" s="343"/>
    </row>
    <row r="14" spans="1:15" x14ac:dyDescent="0.2">
      <c r="A14" s="331">
        <f t="shared" si="0"/>
        <v>5</v>
      </c>
      <c r="B14" s="48" t="s">
        <v>375</v>
      </c>
      <c r="C14" s="48"/>
      <c r="D14" s="48"/>
      <c r="E14" s="48"/>
      <c r="F14" s="347"/>
      <c r="G14" s="353">
        <f>SUM(G25:G33)</f>
        <v>1218</v>
      </c>
      <c r="H14" s="354">
        <f>SUM(H25:H33)</f>
        <v>3927</v>
      </c>
      <c r="I14" s="354">
        <f>SUM(I25:I33)</f>
        <v>-7</v>
      </c>
      <c r="J14" s="324"/>
      <c r="K14" s="343"/>
      <c r="L14" s="343"/>
      <c r="M14" s="343"/>
    </row>
    <row r="15" spans="1:15" x14ac:dyDescent="0.2">
      <c r="A15" s="331">
        <f t="shared" si="0"/>
        <v>6</v>
      </c>
      <c r="B15" s="48" t="s">
        <v>376</v>
      </c>
      <c r="C15" s="48"/>
      <c r="D15" s="48"/>
      <c r="E15" s="48"/>
      <c r="F15" s="347"/>
      <c r="G15" s="353">
        <f>SUM(G36:G44)</f>
        <v>66020</v>
      </c>
      <c r="H15" s="354">
        <f>SUM(H36:H44)</f>
        <v>130596</v>
      </c>
      <c r="I15" s="354">
        <f>SUM(I36:I44)</f>
        <v>-174</v>
      </c>
      <c r="J15" s="324"/>
      <c r="K15" s="343"/>
      <c r="L15" s="343"/>
      <c r="M15" s="343"/>
    </row>
    <row r="16" spans="1:15" x14ac:dyDescent="0.2">
      <c r="A16" s="331">
        <f t="shared" si="0"/>
        <v>7</v>
      </c>
      <c r="B16" s="48" t="s">
        <v>377</v>
      </c>
      <c r="C16" s="48"/>
      <c r="D16" s="48"/>
      <c r="E16" s="48"/>
      <c r="F16" s="347"/>
      <c r="G16" s="353">
        <f>SUM(G47:G62)</f>
        <v>231971</v>
      </c>
      <c r="H16" s="354">
        <f>SUM(H47:H62)</f>
        <v>833969</v>
      </c>
      <c r="I16" s="354">
        <f>SUM(I47:I62)</f>
        <v>-1109</v>
      </c>
      <c r="J16" s="324"/>
      <c r="K16" s="343"/>
      <c r="L16" s="343"/>
      <c r="M16" s="343"/>
    </row>
    <row r="17" spans="1:13" ht="15" x14ac:dyDescent="0.25">
      <c r="A17" s="331">
        <f t="shared" si="0"/>
        <v>8</v>
      </c>
      <c r="B17" s="48" t="s">
        <v>378</v>
      </c>
      <c r="D17" s="343"/>
      <c r="E17" s="343"/>
      <c r="F17" s="352"/>
      <c r="G17" s="353">
        <f>SUM(G65:G116)</f>
        <v>904455</v>
      </c>
      <c r="H17" s="354">
        <f>SUM(H65:H116)</f>
        <v>2443031</v>
      </c>
      <c r="I17" s="354">
        <f>SUM(I65:I116)</f>
        <v>-2493</v>
      </c>
      <c r="J17" s="354"/>
      <c r="K17" s="343"/>
      <c r="L17" s="343"/>
      <c r="M17" s="343"/>
    </row>
    <row r="18" spans="1:13" ht="15" x14ac:dyDescent="0.25">
      <c r="A18" s="331">
        <f t="shared" si="0"/>
        <v>9</v>
      </c>
      <c r="B18" s="64" t="s">
        <v>379</v>
      </c>
      <c r="D18" s="343"/>
      <c r="E18" s="343"/>
      <c r="F18" s="352"/>
      <c r="G18" s="353">
        <f>SUM(G119:G138)</f>
        <v>129946</v>
      </c>
      <c r="H18" s="354">
        <f>SUM(H119:H138)</f>
        <v>486642</v>
      </c>
      <c r="I18" s="354">
        <f>SUM(I119:I138)</f>
        <v>-889</v>
      </c>
      <c r="J18" s="354"/>
      <c r="K18" s="343"/>
      <c r="L18" s="343"/>
      <c r="M18" s="343"/>
    </row>
    <row r="19" spans="1:13" ht="15" x14ac:dyDescent="0.25">
      <c r="A19" s="331">
        <f t="shared" si="0"/>
        <v>10</v>
      </c>
      <c r="B19" s="64" t="s">
        <v>380</v>
      </c>
      <c r="D19" s="343"/>
      <c r="E19" s="343"/>
      <c r="F19" s="352"/>
      <c r="G19" s="353">
        <f>SUM(G141:G158)</f>
        <v>74441</v>
      </c>
      <c r="H19" s="354">
        <f>SUM(H141:H158)</f>
        <v>235626</v>
      </c>
      <c r="I19" s="354">
        <f>SUM(I141:I158)</f>
        <v>-690</v>
      </c>
      <c r="J19" s="354"/>
      <c r="K19" s="343"/>
      <c r="L19" s="343"/>
      <c r="M19" s="343"/>
    </row>
    <row r="20" spans="1:13" ht="15" x14ac:dyDescent="0.25">
      <c r="A20" s="331">
        <f t="shared" si="0"/>
        <v>11</v>
      </c>
      <c r="B20" s="48" t="s">
        <v>381</v>
      </c>
      <c r="D20" s="343"/>
      <c r="E20" s="343"/>
      <c r="F20" s="352"/>
      <c r="G20" s="353">
        <f>SUM(G161)</f>
        <v>12366286</v>
      </c>
      <c r="H20" s="354">
        <f>SUM(H161)</f>
        <v>472763</v>
      </c>
      <c r="I20" s="354">
        <f>SUM(I161)</f>
        <v>-989</v>
      </c>
      <c r="J20" s="354"/>
      <c r="K20" s="343"/>
      <c r="L20" s="343"/>
      <c r="M20" s="343"/>
    </row>
    <row r="21" spans="1:13" ht="15" x14ac:dyDescent="0.25">
      <c r="A21" s="331">
        <f t="shared" si="0"/>
        <v>12</v>
      </c>
      <c r="B21" s="64" t="s">
        <v>382</v>
      </c>
      <c r="D21" s="343"/>
      <c r="E21" s="343"/>
      <c r="F21" s="352"/>
      <c r="G21" s="353">
        <f>SUM(G164:G200)</f>
        <v>17480</v>
      </c>
      <c r="H21" s="354">
        <f>SUM(H164:H200)</f>
        <v>148557</v>
      </c>
      <c r="I21" s="354">
        <f>SUM(I164:I200)</f>
        <v>-290</v>
      </c>
      <c r="J21" s="354"/>
      <c r="K21" s="343"/>
      <c r="L21" s="343"/>
      <c r="M21" s="343"/>
    </row>
    <row r="22" spans="1:13" ht="15" x14ac:dyDescent="0.25">
      <c r="A22" s="331">
        <f t="shared" si="0"/>
        <v>13</v>
      </c>
      <c r="B22" s="48" t="s">
        <v>383</v>
      </c>
      <c r="D22" s="343"/>
      <c r="E22" s="343"/>
      <c r="F22" s="352"/>
      <c r="G22" s="353">
        <f>SUM(G14:G21)</f>
        <v>13791817</v>
      </c>
      <c r="H22" s="354">
        <f>SUM(H14:H21)</f>
        <v>4755111</v>
      </c>
      <c r="I22" s="354">
        <f>SUM(I14:I21)</f>
        <v>-6641</v>
      </c>
      <c r="J22" s="354"/>
      <c r="K22" s="343"/>
      <c r="L22" s="343"/>
      <c r="M22" s="343"/>
    </row>
    <row r="23" spans="1:13" x14ac:dyDescent="0.2">
      <c r="A23" s="331">
        <f t="shared" si="0"/>
        <v>14</v>
      </c>
      <c r="B23" s="48"/>
      <c r="C23" s="48"/>
      <c r="D23" s="48"/>
      <c r="E23" s="48"/>
      <c r="F23" s="347"/>
      <c r="G23" s="349"/>
      <c r="H23" s="324"/>
      <c r="I23" s="324"/>
      <c r="J23" s="343"/>
      <c r="K23" s="343"/>
      <c r="L23" s="343"/>
      <c r="M23" s="343"/>
    </row>
    <row r="24" spans="1:13" x14ac:dyDescent="0.2">
      <c r="A24" s="331">
        <f t="shared" si="0"/>
        <v>15</v>
      </c>
      <c r="B24" s="48" t="s">
        <v>384</v>
      </c>
      <c r="C24" s="48"/>
      <c r="D24" s="48"/>
      <c r="E24" s="48"/>
      <c r="F24" s="347"/>
      <c r="J24" s="343"/>
      <c r="K24" s="342"/>
      <c r="L24" s="343"/>
      <c r="M24" s="343"/>
    </row>
    <row r="25" spans="1:13" x14ac:dyDescent="0.2">
      <c r="A25" s="331">
        <f t="shared" si="0"/>
        <v>16</v>
      </c>
      <c r="B25" s="59" t="s">
        <v>385</v>
      </c>
      <c r="C25" s="64" t="s">
        <v>386</v>
      </c>
      <c r="D25" s="355">
        <v>22</v>
      </c>
      <c r="E25" s="97">
        <f>SUM(L25:M25)</f>
        <v>0.56000000000000005</v>
      </c>
      <c r="F25" s="356">
        <f>ROUND(+E25*$J$10,2)</f>
        <v>0</v>
      </c>
      <c r="G25" s="357">
        <v>708</v>
      </c>
      <c r="H25" s="324">
        <f>ROUND($G25*E25,0)</f>
        <v>396</v>
      </c>
      <c r="I25" s="324">
        <f>ROUND($G25*F25,0)</f>
        <v>0</v>
      </c>
      <c r="K25" s="127"/>
      <c r="L25" s="363">
        <v>0.22</v>
      </c>
      <c r="M25" s="363">
        <v>0.34</v>
      </c>
    </row>
    <row r="26" spans="1:13" x14ac:dyDescent="0.2">
      <c r="A26" s="331">
        <f t="shared" si="0"/>
        <v>17</v>
      </c>
      <c r="B26" s="60"/>
      <c r="C26" s="61"/>
      <c r="D26" s="358"/>
      <c r="E26" s="97"/>
      <c r="F26" s="347"/>
      <c r="G26" s="357"/>
      <c r="H26" s="289"/>
      <c r="I26" s="289"/>
      <c r="K26" s="127"/>
      <c r="L26" s="364"/>
      <c r="M26" s="364"/>
    </row>
    <row r="27" spans="1:13" x14ac:dyDescent="0.2">
      <c r="A27" s="331">
        <f t="shared" si="0"/>
        <v>18</v>
      </c>
      <c r="B27" s="59" t="s">
        <v>387</v>
      </c>
      <c r="C27" s="359" t="s">
        <v>154</v>
      </c>
      <c r="D27" s="360">
        <v>100</v>
      </c>
      <c r="E27" s="97">
        <f t="shared" ref="E27:E33" si="1">SUM(L27:M27)</f>
        <v>2.54</v>
      </c>
      <c r="F27" s="356">
        <f t="shared" ref="F27:F33" si="2">ROUND(+E27*$J$10,2)</f>
        <v>0</v>
      </c>
      <c r="G27" s="357">
        <v>36</v>
      </c>
      <c r="H27" s="324">
        <f t="shared" ref="H27:I33" si="3">ROUND($G27*E27,0)</f>
        <v>91</v>
      </c>
      <c r="I27" s="324">
        <f t="shared" si="3"/>
        <v>0</v>
      </c>
      <c r="K27" s="127"/>
      <c r="L27" s="363">
        <v>1.01</v>
      </c>
      <c r="M27" s="363">
        <v>1.53</v>
      </c>
    </row>
    <row r="28" spans="1:13" x14ac:dyDescent="0.2">
      <c r="A28" s="331">
        <f t="shared" si="0"/>
        <v>19</v>
      </c>
      <c r="B28" s="59" t="str">
        <f>+B27</f>
        <v>50E-A</v>
      </c>
      <c r="C28" s="359" t="str">
        <f>+C27</f>
        <v>Mercury Vapor</v>
      </c>
      <c r="D28" s="360">
        <v>175</v>
      </c>
      <c r="E28" s="97">
        <f t="shared" si="1"/>
        <v>4.4399999999999995</v>
      </c>
      <c r="F28" s="356">
        <f t="shared" si="2"/>
        <v>-0.01</v>
      </c>
      <c r="G28" s="357">
        <v>228</v>
      </c>
      <c r="H28" s="324">
        <f t="shared" si="3"/>
        <v>1012</v>
      </c>
      <c r="I28" s="324">
        <f t="shared" si="3"/>
        <v>-2</v>
      </c>
      <c r="K28" s="127"/>
      <c r="L28" s="363">
        <v>1.77</v>
      </c>
      <c r="M28" s="363">
        <v>2.67</v>
      </c>
    </row>
    <row r="29" spans="1:13" x14ac:dyDescent="0.2">
      <c r="A29" s="331">
        <f t="shared" si="0"/>
        <v>20</v>
      </c>
      <c r="B29" s="59" t="str">
        <f>+B28</f>
        <v>50E-A</v>
      </c>
      <c r="C29" s="359" t="str">
        <f>+C28</f>
        <v>Mercury Vapor</v>
      </c>
      <c r="D29" s="360">
        <v>400</v>
      </c>
      <c r="E29" s="97">
        <f t="shared" si="1"/>
        <v>10.15</v>
      </c>
      <c r="F29" s="356">
        <f t="shared" si="2"/>
        <v>-0.02</v>
      </c>
      <c r="G29" s="357">
        <v>234</v>
      </c>
      <c r="H29" s="324">
        <f t="shared" si="3"/>
        <v>2375</v>
      </c>
      <c r="I29" s="324">
        <f t="shared" si="3"/>
        <v>-5</v>
      </c>
      <c r="K29" s="127"/>
      <c r="L29" s="363">
        <v>4.04</v>
      </c>
      <c r="M29" s="363">
        <v>6.11</v>
      </c>
    </row>
    <row r="30" spans="1:13" x14ac:dyDescent="0.2">
      <c r="A30" s="331">
        <f t="shared" si="0"/>
        <v>21</v>
      </c>
      <c r="B30" s="59" t="s">
        <v>388</v>
      </c>
      <c r="C30" s="359" t="str">
        <f>+C29</f>
        <v>Mercury Vapor</v>
      </c>
      <c r="D30" s="360">
        <v>100</v>
      </c>
      <c r="E30" s="97">
        <f t="shared" si="1"/>
        <v>2.54</v>
      </c>
      <c r="F30" s="356">
        <f t="shared" si="2"/>
        <v>0</v>
      </c>
      <c r="G30" s="357">
        <v>0</v>
      </c>
      <c r="H30" s="324">
        <f t="shared" si="3"/>
        <v>0</v>
      </c>
      <c r="I30" s="324">
        <f t="shared" si="3"/>
        <v>0</v>
      </c>
      <c r="K30" s="127"/>
      <c r="L30" s="363">
        <v>1.01</v>
      </c>
      <c r="M30" s="363">
        <v>1.53</v>
      </c>
    </row>
    <row r="31" spans="1:13" x14ac:dyDescent="0.2">
      <c r="A31" s="331">
        <f t="shared" si="0"/>
        <v>22</v>
      </c>
      <c r="B31" s="59" t="str">
        <f>+B30</f>
        <v>50E-B</v>
      </c>
      <c r="C31" s="359" t="str">
        <f>+C30</f>
        <v>Mercury Vapor</v>
      </c>
      <c r="D31" s="360">
        <v>175</v>
      </c>
      <c r="E31" s="97">
        <f t="shared" si="1"/>
        <v>4.4399999999999995</v>
      </c>
      <c r="F31" s="356">
        <f t="shared" si="2"/>
        <v>-0.01</v>
      </c>
      <c r="G31" s="357">
        <v>12</v>
      </c>
      <c r="H31" s="324">
        <f t="shared" si="3"/>
        <v>53</v>
      </c>
      <c r="I31" s="324">
        <f t="shared" si="3"/>
        <v>0</v>
      </c>
      <c r="K31" s="127"/>
      <c r="L31" s="363">
        <v>1.77</v>
      </c>
      <c r="M31" s="363">
        <v>2.67</v>
      </c>
    </row>
    <row r="32" spans="1:13" x14ac:dyDescent="0.2">
      <c r="A32" s="331">
        <f t="shared" si="0"/>
        <v>23</v>
      </c>
      <c r="B32" s="59" t="str">
        <f>+B31</f>
        <v>50E-B</v>
      </c>
      <c r="C32" s="359" t="str">
        <f>+C31</f>
        <v>Mercury Vapor</v>
      </c>
      <c r="D32" s="360">
        <v>400</v>
      </c>
      <c r="E32" s="97">
        <f t="shared" si="1"/>
        <v>10.15</v>
      </c>
      <c r="F32" s="356">
        <f t="shared" si="2"/>
        <v>-0.02</v>
      </c>
      <c r="G32" s="357">
        <v>0</v>
      </c>
      <c r="H32" s="324">
        <f t="shared" si="3"/>
        <v>0</v>
      </c>
      <c r="I32" s="324">
        <f t="shared" si="3"/>
        <v>0</v>
      </c>
      <c r="K32" s="127"/>
      <c r="L32" s="363">
        <v>4.04</v>
      </c>
      <c r="M32" s="363">
        <v>6.11</v>
      </c>
    </row>
    <row r="33" spans="1:13" x14ac:dyDescent="0.2">
      <c r="A33" s="331">
        <f t="shared" si="0"/>
        <v>24</v>
      </c>
      <c r="B33" s="59" t="str">
        <f>+B32</f>
        <v>50E-B</v>
      </c>
      <c r="C33" s="359" t="str">
        <f>+C32</f>
        <v>Mercury Vapor</v>
      </c>
      <c r="D33" s="360">
        <v>700</v>
      </c>
      <c r="E33" s="97">
        <f t="shared" si="1"/>
        <v>17.759999999999998</v>
      </c>
      <c r="F33" s="356">
        <f t="shared" si="2"/>
        <v>-0.03</v>
      </c>
      <c r="G33" s="357">
        <v>0</v>
      </c>
      <c r="H33" s="324">
        <f t="shared" si="3"/>
        <v>0</v>
      </c>
      <c r="I33" s="324">
        <f t="shared" si="3"/>
        <v>0</v>
      </c>
      <c r="K33" s="127"/>
      <c r="L33" s="363">
        <v>7.07</v>
      </c>
      <c r="M33" s="363">
        <v>10.69</v>
      </c>
    </row>
    <row r="34" spans="1:13" x14ac:dyDescent="0.2">
      <c r="A34" s="331">
        <f t="shared" si="0"/>
        <v>25</v>
      </c>
      <c r="B34" s="361"/>
      <c r="C34" s="223"/>
      <c r="D34" s="48"/>
      <c r="E34" s="97"/>
      <c r="F34" s="347"/>
      <c r="G34" s="357"/>
      <c r="H34" s="289"/>
      <c r="I34" s="289"/>
      <c r="K34" s="127"/>
      <c r="L34" s="363">
        <v>0</v>
      </c>
      <c r="M34" s="363">
        <v>0</v>
      </c>
    </row>
    <row r="35" spans="1:13" x14ac:dyDescent="0.2">
      <c r="A35" s="331">
        <f t="shared" si="0"/>
        <v>26</v>
      </c>
      <c r="B35" s="361" t="s">
        <v>389</v>
      </c>
      <c r="C35" s="223"/>
      <c r="D35" s="48"/>
      <c r="E35" s="97"/>
      <c r="F35" s="347"/>
      <c r="G35" s="357"/>
      <c r="H35" s="289"/>
      <c r="I35" s="289"/>
      <c r="K35" s="127"/>
      <c r="L35" s="363">
        <v>0</v>
      </c>
      <c r="M35" s="363">
        <v>0</v>
      </c>
    </row>
    <row r="36" spans="1:13" x14ac:dyDescent="0.2">
      <c r="A36" s="331">
        <f t="shared" si="0"/>
        <v>27</v>
      </c>
      <c r="B36" s="59" t="s">
        <v>390</v>
      </c>
      <c r="C36" s="359" t="s">
        <v>391</v>
      </c>
      <c r="D36" s="362" t="s">
        <v>466</v>
      </c>
      <c r="E36" s="97">
        <f t="shared" ref="E36:E44" si="4">SUM(L36:M36)</f>
        <v>1.1399999999999999</v>
      </c>
      <c r="F36" s="356">
        <f t="shared" ref="F36:F44" si="5">ROUND(+E36*$J$10,2)</f>
        <v>0</v>
      </c>
      <c r="G36" s="357">
        <v>30582</v>
      </c>
      <c r="H36" s="324">
        <f t="shared" ref="H36:I44" si="6">ROUND($G36*E36,0)</f>
        <v>34863</v>
      </c>
      <c r="I36" s="324">
        <f t="shared" si="6"/>
        <v>0</v>
      </c>
      <c r="K36" s="127"/>
      <c r="L36" s="363">
        <v>0.45</v>
      </c>
      <c r="M36" s="363">
        <v>0.69</v>
      </c>
    </row>
    <row r="37" spans="1:13" x14ac:dyDescent="0.2">
      <c r="A37" s="331">
        <f t="shared" si="0"/>
        <v>28</v>
      </c>
      <c r="B37" s="59" t="s">
        <v>390</v>
      </c>
      <c r="C37" s="359" t="s">
        <v>391</v>
      </c>
      <c r="D37" s="360" t="s">
        <v>392</v>
      </c>
      <c r="E37" s="97">
        <f t="shared" si="4"/>
        <v>1.91</v>
      </c>
      <c r="F37" s="356">
        <f t="shared" si="5"/>
        <v>0</v>
      </c>
      <c r="G37" s="357">
        <v>17879</v>
      </c>
      <c r="H37" s="324">
        <f t="shared" si="6"/>
        <v>34149</v>
      </c>
      <c r="I37" s="324">
        <f t="shared" si="6"/>
        <v>0</v>
      </c>
      <c r="K37" s="127"/>
      <c r="L37" s="363">
        <v>0.76</v>
      </c>
      <c r="M37" s="363">
        <v>1.1499999999999999</v>
      </c>
    </row>
    <row r="38" spans="1:13" x14ac:dyDescent="0.2">
      <c r="A38" s="331">
        <f t="shared" si="0"/>
        <v>29</v>
      </c>
      <c r="B38" s="59" t="s">
        <v>390</v>
      </c>
      <c r="C38" s="359" t="s">
        <v>391</v>
      </c>
      <c r="D38" s="360" t="s">
        <v>393</v>
      </c>
      <c r="E38" s="97">
        <f t="shared" si="4"/>
        <v>2.66</v>
      </c>
      <c r="F38" s="356">
        <f t="shared" si="5"/>
        <v>-0.01</v>
      </c>
      <c r="G38" s="357">
        <v>9232</v>
      </c>
      <c r="H38" s="324">
        <f t="shared" si="6"/>
        <v>24557</v>
      </c>
      <c r="I38" s="324">
        <f t="shared" si="6"/>
        <v>-92</v>
      </c>
      <c r="K38" s="127"/>
      <c r="L38" s="363">
        <v>1.06</v>
      </c>
      <c r="M38" s="363">
        <v>1.6</v>
      </c>
    </row>
    <row r="39" spans="1:13" x14ac:dyDescent="0.2">
      <c r="A39" s="331">
        <f t="shared" si="0"/>
        <v>30</v>
      </c>
      <c r="B39" s="59" t="s">
        <v>390</v>
      </c>
      <c r="C39" s="359" t="s">
        <v>391</v>
      </c>
      <c r="D39" s="360" t="s">
        <v>394</v>
      </c>
      <c r="E39" s="97">
        <f t="shared" si="4"/>
        <v>3.42</v>
      </c>
      <c r="F39" s="356">
        <f t="shared" si="5"/>
        <v>-0.01</v>
      </c>
      <c r="G39" s="357">
        <v>4046</v>
      </c>
      <c r="H39" s="324">
        <f t="shared" si="6"/>
        <v>13837</v>
      </c>
      <c r="I39" s="324">
        <f t="shared" si="6"/>
        <v>-40</v>
      </c>
      <c r="K39" s="127"/>
      <c r="L39" s="363">
        <v>1.36</v>
      </c>
      <c r="M39" s="363">
        <v>2.06</v>
      </c>
    </row>
    <row r="40" spans="1:13" x14ac:dyDescent="0.2">
      <c r="A40" s="331">
        <f t="shared" si="0"/>
        <v>31</v>
      </c>
      <c r="B40" s="59" t="s">
        <v>390</v>
      </c>
      <c r="C40" s="359" t="s">
        <v>391</v>
      </c>
      <c r="D40" s="360" t="s">
        <v>395</v>
      </c>
      <c r="E40" s="97">
        <f t="shared" si="4"/>
        <v>4.1899999999999995</v>
      </c>
      <c r="F40" s="356">
        <f t="shared" si="5"/>
        <v>-0.01</v>
      </c>
      <c r="G40" s="357">
        <v>600</v>
      </c>
      <c r="H40" s="324">
        <f t="shared" si="6"/>
        <v>2514</v>
      </c>
      <c r="I40" s="324">
        <f t="shared" si="6"/>
        <v>-6</v>
      </c>
      <c r="K40" s="127"/>
      <c r="L40" s="363">
        <v>1.67</v>
      </c>
      <c r="M40" s="363">
        <v>2.52</v>
      </c>
    </row>
    <row r="41" spans="1:13" x14ac:dyDescent="0.2">
      <c r="A41" s="331">
        <f t="shared" si="0"/>
        <v>32</v>
      </c>
      <c r="B41" s="59" t="s">
        <v>390</v>
      </c>
      <c r="C41" s="359" t="s">
        <v>391</v>
      </c>
      <c r="D41" s="360" t="s">
        <v>396</v>
      </c>
      <c r="E41" s="97">
        <f t="shared" si="4"/>
        <v>4.95</v>
      </c>
      <c r="F41" s="356">
        <f t="shared" si="5"/>
        <v>-0.01</v>
      </c>
      <c r="G41" s="357">
        <v>2410</v>
      </c>
      <c r="H41" s="324">
        <f t="shared" si="6"/>
        <v>11930</v>
      </c>
      <c r="I41" s="324">
        <f t="shared" si="6"/>
        <v>-24</v>
      </c>
      <c r="K41" s="127"/>
      <c r="L41" s="363">
        <v>1.97</v>
      </c>
      <c r="M41" s="363">
        <v>2.98</v>
      </c>
    </row>
    <row r="42" spans="1:13" x14ac:dyDescent="0.2">
      <c r="A42" s="331">
        <f t="shared" si="0"/>
        <v>33</v>
      </c>
      <c r="B42" s="59" t="s">
        <v>390</v>
      </c>
      <c r="C42" s="359" t="s">
        <v>391</v>
      </c>
      <c r="D42" s="360" t="s">
        <v>397</v>
      </c>
      <c r="E42" s="97">
        <f t="shared" si="4"/>
        <v>5.71</v>
      </c>
      <c r="F42" s="356">
        <f t="shared" si="5"/>
        <v>-0.01</v>
      </c>
      <c r="G42" s="357">
        <v>231</v>
      </c>
      <c r="H42" s="324">
        <f t="shared" si="6"/>
        <v>1319</v>
      </c>
      <c r="I42" s="324">
        <f t="shared" si="6"/>
        <v>-2</v>
      </c>
      <c r="K42" s="127"/>
      <c r="L42" s="363">
        <v>2.27</v>
      </c>
      <c r="M42" s="363">
        <v>3.44</v>
      </c>
    </row>
    <row r="43" spans="1:13" x14ac:dyDescent="0.2">
      <c r="A43" s="331">
        <f t="shared" si="0"/>
        <v>34</v>
      </c>
      <c r="B43" s="59" t="s">
        <v>390</v>
      </c>
      <c r="C43" s="359" t="s">
        <v>391</v>
      </c>
      <c r="D43" s="360" t="s">
        <v>398</v>
      </c>
      <c r="E43" s="97">
        <f t="shared" si="4"/>
        <v>6.46</v>
      </c>
      <c r="F43" s="356">
        <f t="shared" si="5"/>
        <v>-0.01</v>
      </c>
      <c r="G43" s="357">
        <v>120</v>
      </c>
      <c r="H43" s="324">
        <f t="shared" si="6"/>
        <v>775</v>
      </c>
      <c r="I43" s="324">
        <f t="shared" si="6"/>
        <v>-1</v>
      </c>
      <c r="K43" s="127"/>
      <c r="L43" s="363">
        <v>2.57</v>
      </c>
      <c r="M43" s="363">
        <v>3.89</v>
      </c>
    </row>
    <row r="44" spans="1:13" x14ac:dyDescent="0.2">
      <c r="A44" s="331">
        <f t="shared" si="0"/>
        <v>35</v>
      </c>
      <c r="B44" s="59" t="s">
        <v>390</v>
      </c>
      <c r="C44" s="359" t="s">
        <v>391</v>
      </c>
      <c r="D44" s="360" t="s">
        <v>399</v>
      </c>
      <c r="E44" s="97">
        <f t="shared" si="4"/>
        <v>7.2299999999999995</v>
      </c>
      <c r="F44" s="356">
        <f t="shared" si="5"/>
        <v>-0.01</v>
      </c>
      <c r="G44" s="357">
        <v>920</v>
      </c>
      <c r="H44" s="324">
        <f t="shared" si="6"/>
        <v>6652</v>
      </c>
      <c r="I44" s="324">
        <f t="shared" si="6"/>
        <v>-9</v>
      </c>
      <c r="K44" s="127"/>
      <c r="L44" s="363">
        <v>2.88</v>
      </c>
      <c r="M44" s="363">
        <v>4.3499999999999996</v>
      </c>
    </row>
    <row r="45" spans="1:13" x14ac:dyDescent="0.2">
      <c r="A45" s="331">
        <f t="shared" si="0"/>
        <v>36</v>
      </c>
      <c r="B45" s="361"/>
      <c r="C45" s="48"/>
      <c r="D45" s="48"/>
      <c r="E45" s="97"/>
      <c r="F45" s="347"/>
      <c r="G45" s="357"/>
      <c r="H45" s="289"/>
      <c r="I45" s="289"/>
      <c r="K45" s="127"/>
      <c r="L45" s="363"/>
      <c r="M45" s="363"/>
    </row>
    <row r="46" spans="1:13" x14ac:dyDescent="0.2">
      <c r="A46" s="331">
        <f t="shared" si="0"/>
        <v>37</v>
      </c>
      <c r="B46" s="361" t="s">
        <v>400</v>
      </c>
      <c r="C46" s="48"/>
      <c r="D46" s="48"/>
      <c r="E46" s="97"/>
      <c r="F46" s="347"/>
      <c r="G46" s="357"/>
      <c r="H46" s="289"/>
      <c r="I46" s="289"/>
      <c r="K46" s="127"/>
      <c r="L46" s="363"/>
      <c r="M46" s="363"/>
    </row>
    <row r="47" spans="1:13" x14ac:dyDescent="0.2">
      <c r="A47" s="331">
        <f t="shared" si="0"/>
        <v>38</v>
      </c>
      <c r="B47" s="59" t="s">
        <v>401</v>
      </c>
      <c r="C47" s="140" t="s">
        <v>155</v>
      </c>
      <c r="D47" s="140">
        <v>50</v>
      </c>
      <c r="E47" s="97">
        <f t="shared" ref="E47:E54" si="7">SUM(L47:M47)</f>
        <v>1.26</v>
      </c>
      <c r="F47" s="356">
        <f t="shared" ref="F47:F54" si="8">ROUND(+E47*$J$10,2)</f>
        <v>0</v>
      </c>
      <c r="G47" s="357">
        <v>0</v>
      </c>
      <c r="H47" s="324">
        <f t="shared" ref="H47:I54" si="9">ROUND($G47*E47,0)</f>
        <v>0</v>
      </c>
      <c r="I47" s="324">
        <f t="shared" si="9"/>
        <v>0</v>
      </c>
      <c r="K47" s="331"/>
      <c r="L47" s="363">
        <v>0.5</v>
      </c>
      <c r="M47" s="363">
        <v>0.76</v>
      </c>
    </row>
    <row r="48" spans="1:13" x14ac:dyDescent="0.2">
      <c r="A48" s="331">
        <f t="shared" si="0"/>
        <v>39</v>
      </c>
      <c r="B48" s="59" t="str">
        <f t="shared" ref="B48:B54" si="10">+B47</f>
        <v xml:space="preserve">52E </v>
      </c>
      <c r="C48" s="140" t="s">
        <v>155</v>
      </c>
      <c r="D48" s="140">
        <v>70</v>
      </c>
      <c r="E48" s="97">
        <f t="shared" si="7"/>
        <v>1.78</v>
      </c>
      <c r="F48" s="356">
        <f t="shared" si="8"/>
        <v>0</v>
      </c>
      <c r="G48" s="357">
        <v>8512</v>
      </c>
      <c r="H48" s="324">
        <f t="shared" si="9"/>
        <v>15151</v>
      </c>
      <c r="I48" s="324">
        <f t="shared" si="9"/>
        <v>0</v>
      </c>
      <c r="K48" s="331"/>
      <c r="L48" s="363">
        <v>0.71</v>
      </c>
      <c r="M48" s="363">
        <v>1.07</v>
      </c>
    </row>
    <row r="49" spans="1:13" x14ac:dyDescent="0.2">
      <c r="A49" s="331">
        <f t="shared" si="0"/>
        <v>40</v>
      </c>
      <c r="B49" s="59" t="str">
        <f t="shared" si="10"/>
        <v xml:space="preserve">52E </v>
      </c>
      <c r="C49" s="140" t="s">
        <v>155</v>
      </c>
      <c r="D49" s="140">
        <v>100</v>
      </c>
      <c r="E49" s="97">
        <f t="shared" si="7"/>
        <v>2.54</v>
      </c>
      <c r="F49" s="356">
        <f t="shared" si="8"/>
        <v>0</v>
      </c>
      <c r="G49" s="357">
        <v>122250</v>
      </c>
      <c r="H49" s="324">
        <f t="shared" si="9"/>
        <v>310515</v>
      </c>
      <c r="I49" s="324">
        <f t="shared" si="9"/>
        <v>0</v>
      </c>
      <c r="K49" s="331"/>
      <c r="L49" s="363">
        <v>1.01</v>
      </c>
      <c r="M49" s="363">
        <v>1.53</v>
      </c>
    </row>
    <row r="50" spans="1:13" x14ac:dyDescent="0.2">
      <c r="A50" s="331">
        <f t="shared" si="0"/>
        <v>41</v>
      </c>
      <c r="B50" s="59" t="str">
        <f t="shared" si="10"/>
        <v xml:space="preserve">52E </v>
      </c>
      <c r="C50" s="140" t="s">
        <v>155</v>
      </c>
      <c r="D50" s="140">
        <v>150</v>
      </c>
      <c r="E50" s="97">
        <f t="shared" si="7"/>
        <v>3.8</v>
      </c>
      <c r="F50" s="356">
        <f t="shared" si="8"/>
        <v>-0.01</v>
      </c>
      <c r="G50" s="357">
        <v>55132</v>
      </c>
      <c r="H50" s="324">
        <f t="shared" si="9"/>
        <v>209502</v>
      </c>
      <c r="I50" s="324">
        <f t="shared" si="9"/>
        <v>-551</v>
      </c>
      <c r="K50" s="331"/>
      <c r="L50" s="363">
        <v>1.51</v>
      </c>
      <c r="M50" s="363">
        <v>2.29</v>
      </c>
    </row>
    <row r="51" spans="1:13" x14ac:dyDescent="0.2">
      <c r="A51" s="331">
        <f t="shared" si="0"/>
        <v>42</v>
      </c>
      <c r="B51" s="59" t="str">
        <f t="shared" si="10"/>
        <v xml:space="preserve">52E </v>
      </c>
      <c r="C51" s="140" t="s">
        <v>155</v>
      </c>
      <c r="D51" s="140">
        <v>200</v>
      </c>
      <c r="E51" s="97">
        <f t="shared" si="7"/>
        <v>5.07</v>
      </c>
      <c r="F51" s="356">
        <f t="shared" si="8"/>
        <v>-0.01</v>
      </c>
      <c r="G51" s="357">
        <v>11897</v>
      </c>
      <c r="H51" s="324">
        <f t="shared" si="9"/>
        <v>60318</v>
      </c>
      <c r="I51" s="324">
        <f t="shared" si="9"/>
        <v>-119</v>
      </c>
      <c r="K51" s="331"/>
      <c r="L51" s="363">
        <v>2.02</v>
      </c>
      <c r="M51" s="363">
        <v>3.05</v>
      </c>
    </row>
    <row r="52" spans="1:13" x14ac:dyDescent="0.2">
      <c r="A52" s="331">
        <f t="shared" si="0"/>
        <v>43</v>
      </c>
      <c r="B52" s="59" t="str">
        <f t="shared" si="10"/>
        <v xml:space="preserve">52E </v>
      </c>
      <c r="C52" s="140" t="s">
        <v>155</v>
      </c>
      <c r="D52" s="140">
        <v>250</v>
      </c>
      <c r="E52" s="97">
        <f t="shared" si="7"/>
        <v>6.34</v>
      </c>
      <c r="F52" s="356">
        <f t="shared" si="8"/>
        <v>-0.01</v>
      </c>
      <c r="G52" s="357">
        <v>17533</v>
      </c>
      <c r="H52" s="324">
        <f t="shared" si="9"/>
        <v>111159</v>
      </c>
      <c r="I52" s="324">
        <f t="shared" si="9"/>
        <v>-175</v>
      </c>
      <c r="K52" s="331"/>
      <c r="L52" s="363">
        <v>2.52</v>
      </c>
      <c r="M52" s="363">
        <v>3.82</v>
      </c>
    </row>
    <row r="53" spans="1:13" x14ac:dyDescent="0.2">
      <c r="A53" s="331">
        <f t="shared" si="0"/>
        <v>44</v>
      </c>
      <c r="B53" s="59" t="str">
        <f t="shared" si="10"/>
        <v xml:space="preserve">52E </v>
      </c>
      <c r="C53" s="140" t="s">
        <v>155</v>
      </c>
      <c r="D53" s="140">
        <v>310</v>
      </c>
      <c r="E53" s="97">
        <f t="shared" si="7"/>
        <v>7.86</v>
      </c>
      <c r="F53" s="356">
        <f t="shared" si="8"/>
        <v>-0.02</v>
      </c>
      <c r="G53" s="357">
        <v>1767</v>
      </c>
      <c r="H53" s="324">
        <f t="shared" si="9"/>
        <v>13889</v>
      </c>
      <c r="I53" s="324">
        <f t="shared" si="9"/>
        <v>-35</v>
      </c>
      <c r="K53" s="331"/>
      <c r="L53" s="363">
        <v>3.13</v>
      </c>
      <c r="M53" s="363">
        <v>4.7300000000000004</v>
      </c>
    </row>
    <row r="54" spans="1:13" x14ac:dyDescent="0.2">
      <c r="A54" s="331">
        <f t="shared" si="0"/>
        <v>45</v>
      </c>
      <c r="B54" s="59" t="str">
        <f t="shared" si="10"/>
        <v xml:space="preserve">52E </v>
      </c>
      <c r="C54" s="140" t="s">
        <v>155</v>
      </c>
      <c r="D54" s="140">
        <v>400</v>
      </c>
      <c r="E54" s="97">
        <f t="shared" si="7"/>
        <v>10.15</v>
      </c>
      <c r="F54" s="356">
        <f t="shared" si="8"/>
        <v>-0.02</v>
      </c>
      <c r="G54" s="357">
        <v>7252</v>
      </c>
      <c r="H54" s="324">
        <f t="shared" si="9"/>
        <v>73608</v>
      </c>
      <c r="I54" s="324">
        <f t="shared" si="9"/>
        <v>-145</v>
      </c>
      <c r="K54" s="331"/>
      <c r="L54" s="363">
        <v>4.04</v>
      </c>
      <c r="M54" s="363">
        <v>6.11</v>
      </c>
    </row>
    <row r="55" spans="1:13" x14ac:dyDescent="0.2">
      <c r="A55" s="331">
        <f t="shared" si="0"/>
        <v>46</v>
      </c>
      <c r="B55" s="57"/>
      <c r="C55" s="140"/>
      <c r="D55" s="140"/>
      <c r="E55" s="97"/>
      <c r="F55" s="347"/>
      <c r="G55" s="357"/>
      <c r="H55" s="289"/>
      <c r="I55" s="289"/>
      <c r="K55" s="331"/>
      <c r="L55" s="363"/>
      <c r="M55" s="363"/>
    </row>
    <row r="56" spans="1:13" x14ac:dyDescent="0.2">
      <c r="A56" s="331">
        <f t="shared" si="0"/>
        <v>47</v>
      </c>
      <c r="B56" s="59" t="str">
        <f>+B51</f>
        <v xml:space="preserve">52E </v>
      </c>
      <c r="C56" s="140" t="s">
        <v>402</v>
      </c>
      <c r="D56" s="140">
        <v>70</v>
      </c>
      <c r="E56" s="97">
        <f t="shared" ref="E56:E62" si="11">SUM(L56:M56)</f>
        <v>1.78</v>
      </c>
      <c r="F56" s="356">
        <f t="shared" ref="F56:F62" si="12">ROUND(+E56*$J$10,2)</f>
        <v>0</v>
      </c>
      <c r="G56" s="357">
        <v>824</v>
      </c>
      <c r="H56" s="324">
        <f t="shared" ref="H56:I62" si="13">ROUND($G56*E56,0)</f>
        <v>1467</v>
      </c>
      <c r="I56" s="324">
        <f t="shared" si="13"/>
        <v>0</v>
      </c>
      <c r="K56" s="331"/>
      <c r="L56" s="363">
        <v>0.71</v>
      </c>
      <c r="M56" s="363">
        <v>1.07</v>
      </c>
    </row>
    <row r="57" spans="1:13" x14ac:dyDescent="0.2">
      <c r="A57" s="331">
        <f t="shared" si="0"/>
        <v>48</v>
      </c>
      <c r="B57" s="59" t="str">
        <f>+B52</f>
        <v xml:space="preserve">52E </v>
      </c>
      <c r="C57" s="140" t="s">
        <v>402</v>
      </c>
      <c r="D57" s="140">
        <v>100</v>
      </c>
      <c r="E57" s="97">
        <f t="shared" si="11"/>
        <v>2.54</v>
      </c>
      <c r="F57" s="356">
        <f t="shared" si="12"/>
        <v>0</v>
      </c>
      <c r="G57" s="357">
        <v>48</v>
      </c>
      <c r="H57" s="324">
        <f t="shared" si="13"/>
        <v>122</v>
      </c>
      <c r="I57" s="324">
        <f t="shared" si="13"/>
        <v>0</v>
      </c>
      <c r="K57" s="331"/>
      <c r="L57" s="363">
        <v>1.01</v>
      </c>
      <c r="M57" s="363">
        <v>1.53</v>
      </c>
    </row>
    <row r="58" spans="1:13" x14ac:dyDescent="0.2">
      <c r="A58" s="331">
        <f t="shared" si="0"/>
        <v>49</v>
      </c>
      <c r="B58" s="59" t="str">
        <f>+B53</f>
        <v xml:space="preserve">52E </v>
      </c>
      <c r="C58" s="140" t="s">
        <v>402</v>
      </c>
      <c r="D58" s="140">
        <v>150</v>
      </c>
      <c r="E58" s="97">
        <f t="shared" si="11"/>
        <v>3.8</v>
      </c>
      <c r="F58" s="356">
        <f t="shared" si="12"/>
        <v>-0.01</v>
      </c>
      <c r="G58" s="357">
        <v>2460</v>
      </c>
      <c r="H58" s="324">
        <f t="shared" si="13"/>
        <v>9348</v>
      </c>
      <c r="I58" s="324">
        <f t="shared" si="13"/>
        <v>-25</v>
      </c>
      <c r="K58" s="331"/>
      <c r="L58" s="363">
        <v>1.51</v>
      </c>
      <c r="M58" s="363">
        <v>2.29</v>
      </c>
    </row>
    <row r="59" spans="1:13" x14ac:dyDescent="0.2">
      <c r="A59" s="331">
        <f t="shared" si="0"/>
        <v>50</v>
      </c>
      <c r="B59" s="59" t="str">
        <f>+B54</f>
        <v xml:space="preserve">52E </v>
      </c>
      <c r="C59" s="140" t="s">
        <v>402</v>
      </c>
      <c r="D59" s="140">
        <v>175</v>
      </c>
      <c r="E59" s="97">
        <f t="shared" si="11"/>
        <v>4.4399999999999995</v>
      </c>
      <c r="F59" s="356">
        <f t="shared" si="12"/>
        <v>-0.01</v>
      </c>
      <c r="G59" s="357">
        <v>2664</v>
      </c>
      <c r="H59" s="324">
        <f t="shared" si="13"/>
        <v>11828</v>
      </c>
      <c r="I59" s="324">
        <f t="shared" si="13"/>
        <v>-27</v>
      </c>
      <c r="K59" s="331"/>
      <c r="L59" s="363">
        <v>1.77</v>
      </c>
      <c r="M59" s="363">
        <v>2.67</v>
      </c>
    </row>
    <row r="60" spans="1:13" x14ac:dyDescent="0.2">
      <c r="A60" s="331">
        <f t="shared" si="0"/>
        <v>51</v>
      </c>
      <c r="B60" s="59" t="str">
        <f t="shared" ref="B60:C62" si="14">+B59</f>
        <v xml:space="preserve">52E </v>
      </c>
      <c r="C60" s="140" t="str">
        <f t="shared" si="14"/>
        <v>Metal Halide</v>
      </c>
      <c r="D60" s="140">
        <v>250</v>
      </c>
      <c r="E60" s="97">
        <f t="shared" si="11"/>
        <v>6.34</v>
      </c>
      <c r="F60" s="356">
        <f t="shared" si="12"/>
        <v>-0.01</v>
      </c>
      <c r="G60" s="357">
        <v>732</v>
      </c>
      <c r="H60" s="324">
        <f t="shared" si="13"/>
        <v>4641</v>
      </c>
      <c r="I60" s="324">
        <f t="shared" si="13"/>
        <v>-7</v>
      </c>
      <c r="K60" s="331"/>
      <c r="L60" s="363">
        <v>2.52</v>
      </c>
      <c r="M60" s="363">
        <v>3.82</v>
      </c>
    </row>
    <row r="61" spans="1:13" x14ac:dyDescent="0.2">
      <c r="A61" s="331">
        <f t="shared" si="0"/>
        <v>52</v>
      </c>
      <c r="B61" s="59" t="str">
        <f t="shared" si="14"/>
        <v xml:space="preserve">52E </v>
      </c>
      <c r="C61" s="140" t="str">
        <f t="shared" si="14"/>
        <v>Metal Halide</v>
      </c>
      <c r="D61" s="140">
        <v>400</v>
      </c>
      <c r="E61" s="97">
        <f t="shared" si="11"/>
        <v>10.15</v>
      </c>
      <c r="F61" s="356">
        <f t="shared" si="12"/>
        <v>-0.02</v>
      </c>
      <c r="G61" s="357">
        <v>684</v>
      </c>
      <c r="H61" s="324">
        <f t="shared" si="13"/>
        <v>6943</v>
      </c>
      <c r="I61" s="324">
        <f t="shared" si="13"/>
        <v>-14</v>
      </c>
      <c r="K61" s="331"/>
      <c r="L61" s="363">
        <v>4.04</v>
      </c>
      <c r="M61" s="363">
        <v>6.11</v>
      </c>
    </row>
    <row r="62" spans="1:13" x14ac:dyDescent="0.2">
      <c r="A62" s="331">
        <f t="shared" si="0"/>
        <v>53</v>
      </c>
      <c r="B62" s="59" t="str">
        <f t="shared" si="14"/>
        <v xml:space="preserve">52E </v>
      </c>
      <c r="C62" s="140" t="str">
        <f t="shared" si="14"/>
        <v>Metal Halide</v>
      </c>
      <c r="D62" s="140">
        <v>1000</v>
      </c>
      <c r="E62" s="97">
        <f t="shared" si="11"/>
        <v>25.36</v>
      </c>
      <c r="F62" s="356">
        <f t="shared" si="12"/>
        <v>-0.05</v>
      </c>
      <c r="G62" s="357">
        <v>216</v>
      </c>
      <c r="H62" s="324">
        <f t="shared" si="13"/>
        <v>5478</v>
      </c>
      <c r="I62" s="324">
        <f t="shared" si="13"/>
        <v>-11</v>
      </c>
      <c r="K62" s="331"/>
      <c r="L62" s="363">
        <v>10.09</v>
      </c>
      <c r="M62" s="363">
        <v>15.27</v>
      </c>
    </row>
    <row r="63" spans="1:13" x14ac:dyDescent="0.2">
      <c r="A63" s="331">
        <f t="shared" si="0"/>
        <v>54</v>
      </c>
      <c r="B63" s="361"/>
      <c r="C63" s="48"/>
      <c r="D63" s="48"/>
      <c r="E63" s="97"/>
      <c r="F63" s="347"/>
      <c r="G63" s="357"/>
      <c r="H63" s="289"/>
      <c r="I63" s="289"/>
      <c r="K63" s="331"/>
      <c r="L63" s="363"/>
      <c r="M63" s="363"/>
    </row>
    <row r="64" spans="1:13" x14ac:dyDescent="0.2">
      <c r="A64" s="331">
        <f t="shared" si="0"/>
        <v>55</v>
      </c>
      <c r="B64" s="361" t="s">
        <v>403</v>
      </c>
      <c r="C64" s="48"/>
      <c r="D64" s="48"/>
      <c r="E64" s="97"/>
      <c r="F64" s="347"/>
      <c r="G64" s="357"/>
      <c r="H64" s="289"/>
      <c r="I64" s="289"/>
      <c r="K64" s="331"/>
      <c r="L64" s="363"/>
      <c r="M64" s="363"/>
    </row>
    <row r="65" spans="1:13" x14ac:dyDescent="0.2">
      <c r="A65" s="331">
        <f t="shared" si="0"/>
        <v>56</v>
      </c>
      <c r="B65" s="59" t="s">
        <v>404</v>
      </c>
      <c r="C65" s="140" t="s">
        <v>155</v>
      </c>
      <c r="D65" s="140">
        <v>50</v>
      </c>
      <c r="E65" s="97">
        <f t="shared" ref="E65:E73" si="15">SUM(L65:M65)</f>
        <v>1.26</v>
      </c>
      <c r="F65" s="356">
        <f t="shared" ref="F65:F73" si="16">ROUND(+E65*$J$10,2)</f>
        <v>0</v>
      </c>
      <c r="G65" s="357">
        <v>0</v>
      </c>
      <c r="H65" s="324">
        <f t="shared" ref="H65:I73" si="17">ROUND($G65*E65,0)</f>
        <v>0</v>
      </c>
      <c r="I65" s="324">
        <f t="shared" si="17"/>
        <v>0</v>
      </c>
      <c r="K65" s="331"/>
      <c r="L65" s="363">
        <v>0.5</v>
      </c>
      <c r="M65" s="363">
        <v>0.76</v>
      </c>
    </row>
    <row r="66" spans="1:13" x14ac:dyDescent="0.2">
      <c r="A66" s="331">
        <f t="shared" si="0"/>
        <v>57</v>
      </c>
      <c r="B66" s="59" t="str">
        <f t="shared" ref="B66:B73" si="18">+B65</f>
        <v>53E - Company Owned</v>
      </c>
      <c r="C66" s="140" t="s">
        <v>155</v>
      </c>
      <c r="D66" s="140">
        <v>70</v>
      </c>
      <c r="E66" s="97">
        <f t="shared" si="15"/>
        <v>1.78</v>
      </c>
      <c r="F66" s="356">
        <f t="shared" si="16"/>
        <v>0</v>
      </c>
      <c r="G66" s="357">
        <v>53766</v>
      </c>
      <c r="H66" s="324">
        <f t="shared" si="17"/>
        <v>95703</v>
      </c>
      <c r="I66" s="324">
        <f t="shared" si="17"/>
        <v>0</v>
      </c>
      <c r="K66" s="331"/>
      <c r="L66" s="363">
        <v>0.71</v>
      </c>
      <c r="M66" s="363">
        <v>1.07</v>
      </c>
    </row>
    <row r="67" spans="1:13" x14ac:dyDescent="0.2">
      <c r="A67" s="331">
        <f t="shared" si="0"/>
        <v>58</v>
      </c>
      <c r="B67" s="59" t="str">
        <f t="shared" si="18"/>
        <v>53E - Company Owned</v>
      </c>
      <c r="C67" s="140" t="s">
        <v>155</v>
      </c>
      <c r="D67" s="140">
        <v>100</v>
      </c>
      <c r="E67" s="97">
        <f t="shared" si="15"/>
        <v>2.54</v>
      </c>
      <c r="F67" s="356">
        <f t="shared" si="16"/>
        <v>0</v>
      </c>
      <c r="G67" s="357">
        <v>377969</v>
      </c>
      <c r="H67" s="324">
        <f t="shared" si="17"/>
        <v>960041</v>
      </c>
      <c r="I67" s="324">
        <f t="shared" si="17"/>
        <v>0</v>
      </c>
      <c r="K67" s="331"/>
      <c r="L67" s="363">
        <v>1.01</v>
      </c>
      <c r="M67" s="363">
        <v>1.53</v>
      </c>
    </row>
    <row r="68" spans="1:13" x14ac:dyDescent="0.2">
      <c r="A68" s="331">
        <f t="shared" si="0"/>
        <v>59</v>
      </c>
      <c r="B68" s="59" t="str">
        <f t="shared" si="18"/>
        <v>53E - Company Owned</v>
      </c>
      <c r="C68" s="140" t="s">
        <v>155</v>
      </c>
      <c r="D68" s="140">
        <v>150</v>
      </c>
      <c r="E68" s="97">
        <f t="shared" si="15"/>
        <v>3.8</v>
      </c>
      <c r="F68" s="356">
        <f t="shared" si="16"/>
        <v>-0.01</v>
      </c>
      <c r="G68" s="357">
        <v>45021</v>
      </c>
      <c r="H68" s="324">
        <f t="shared" si="17"/>
        <v>171080</v>
      </c>
      <c r="I68" s="324">
        <f t="shared" si="17"/>
        <v>-450</v>
      </c>
      <c r="K68" s="331"/>
      <c r="L68" s="363">
        <v>1.51</v>
      </c>
      <c r="M68" s="363">
        <v>2.29</v>
      </c>
    </row>
    <row r="69" spans="1:13" x14ac:dyDescent="0.2">
      <c r="A69" s="331">
        <f t="shared" si="0"/>
        <v>60</v>
      </c>
      <c r="B69" s="59" t="str">
        <f t="shared" si="18"/>
        <v>53E - Company Owned</v>
      </c>
      <c r="C69" s="140" t="s">
        <v>155</v>
      </c>
      <c r="D69" s="140">
        <v>200</v>
      </c>
      <c r="E69" s="97">
        <f t="shared" si="15"/>
        <v>5.07</v>
      </c>
      <c r="F69" s="356">
        <f t="shared" si="16"/>
        <v>-0.01</v>
      </c>
      <c r="G69" s="357">
        <v>58988</v>
      </c>
      <c r="H69" s="324">
        <f t="shared" si="17"/>
        <v>299069</v>
      </c>
      <c r="I69" s="324">
        <f t="shared" si="17"/>
        <v>-590</v>
      </c>
      <c r="K69" s="331"/>
      <c r="L69" s="363">
        <v>2.02</v>
      </c>
      <c r="M69" s="363">
        <v>3.05</v>
      </c>
    </row>
    <row r="70" spans="1:13" x14ac:dyDescent="0.2">
      <c r="A70" s="331">
        <f t="shared" si="0"/>
        <v>61</v>
      </c>
      <c r="B70" s="59" t="str">
        <f t="shared" si="18"/>
        <v>53E - Company Owned</v>
      </c>
      <c r="C70" s="140" t="s">
        <v>155</v>
      </c>
      <c r="D70" s="140">
        <v>250</v>
      </c>
      <c r="E70" s="97">
        <f t="shared" si="15"/>
        <v>6.34</v>
      </c>
      <c r="F70" s="356">
        <f t="shared" si="16"/>
        <v>-0.01</v>
      </c>
      <c r="G70" s="357">
        <v>20176</v>
      </c>
      <c r="H70" s="324">
        <f t="shared" si="17"/>
        <v>127916</v>
      </c>
      <c r="I70" s="324">
        <f t="shared" si="17"/>
        <v>-202</v>
      </c>
      <c r="K70" s="331"/>
      <c r="L70" s="363">
        <v>2.52</v>
      </c>
      <c r="M70" s="363">
        <v>3.82</v>
      </c>
    </row>
    <row r="71" spans="1:13" x14ac:dyDescent="0.2">
      <c r="A71" s="331">
        <f t="shared" si="0"/>
        <v>62</v>
      </c>
      <c r="B71" s="59" t="str">
        <f t="shared" si="18"/>
        <v>53E - Company Owned</v>
      </c>
      <c r="C71" s="140" t="s">
        <v>155</v>
      </c>
      <c r="D71" s="140">
        <v>310</v>
      </c>
      <c r="E71" s="97">
        <f t="shared" si="15"/>
        <v>7.86</v>
      </c>
      <c r="F71" s="356">
        <f t="shared" si="16"/>
        <v>-0.02</v>
      </c>
      <c r="G71" s="357">
        <v>192</v>
      </c>
      <c r="H71" s="324">
        <f t="shared" si="17"/>
        <v>1509</v>
      </c>
      <c r="I71" s="324">
        <f t="shared" si="17"/>
        <v>-4</v>
      </c>
      <c r="K71" s="331"/>
      <c r="L71" s="363">
        <v>3.13</v>
      </c>
      <c r="M71" s="363">
        <v>4.7300000000000004</v>
      </c>
    </row>
    <row r="72" spans="1:13" x14ac:dyDescent="0.2">
      <c r="A72" s="331">
        <f t="shared" si="0"/>
        <v>63</v>
      </c>
      <c r="B72" s="59" t="str">
        <f t="shared" si="18"/>
        <v>53E - Company Owned</v>
      </c>
      <c r="C72" s="140" t="s">
        <v>155</v>
      </c>
      <c r="D72" s="140">
        <v>400</v>
      </c>
      <c r="E72" s="97">
        <f t="shared" si="15"/>
        <v>10.15</v>
      </c>
      <c r="F72" s="356">
        <f t="shared" si="16"/>
        <v>-0.02</v>
      </c>
      <c r="G72" s="357">
        <v>11538</v>
      </c>
      <c r="H72" s="324">
        <f t="shared" si="17"/>
        <v>117111</v>
      </c>
      <c r="I72" s="324">
        <f t="shared" si="17"/>
        <v>-231</v>
      </c>
      <c r="K72" s="331"/>
      <c r="L72" s="363">
        <v>4.04</v>
      </c>
      <c r="M72" s="363">
        <v>6.11</v>
      </c>
    </row>
    <row r="73" spans="1:13" x14ac:dyDescent="0.2">
      <c r="A73" s="331">
        <f t="shared" si="0"/>
        <v>64</v>
      </c>
      <c r="B73" s="59" t="str">
        <f t="shared" si="18"/>
        <v>53E - Company Owned</v>
      </c>
      <c r="C73" s="140" t="s">
        <v>155</v>
      </c>
      <c r="D73" s="140">
        <v>1000</v>
      </c>
      <c r="E73" s="97">
        <f t="shared" si="15"/>
        <v>25.36</v>
      </c>
      <c r="F73" s="356">
        <f t="shared" si="16"/>
        <v>-0.05</v>
      </c>
      <c r="G73" s="357">
        <v>0</v>
      </c>
      <c r="H73" s="324">
        <f t="shared" si="17"/>
        <v>0</v>
      </c>
      <c r="I73" s="324">
        <f t="shared" si="17"/>
        <v>0</v>
      </c>
      <c r="K73" s="331"/>
      <c r="L73" s="363">
        <v>10.09</v>
      </c>
      <c r="M73" s="363">
        <v>15.27</v>
      </c>
    </row>
    <row r="74" spans="1:13" x14ac:dyDescent="0.2">
      <c r="A74" s="331">
        <f t="shared" si="0"/>
        <v>65</v>
      </c>
      <c r="B74" s="59"/>
      <c r="C74" s="140"/>
      <c r="D74" s="140"/>
      <c r="E74" s="97"/>
      <c r="F74" s="347"/>
      <c r="G74" s="357"/>
      <c r="H74" s="289"/>
      <c r="I74" s="289"/>
      <c r="K74" s="331"/>
      <c r="L74" s="363"/>
      <c r="M74" s="363"/>
    </row>
    <row r="75" spans="1:13" x14ac:dyDescent="0.2">
      <c r="A75" s="331">
        <f t="shared" si="0"/>
        <v>66</v>
      </c>
      <c r="B75" s="59" t="str">
        <f>+B73</f>
        <v>53E - Company Owned</v>
      </c>
      <c r="C75" s="140" t="s">
        <v>402</v>
      </c>
      <c r="D75" s="140">
        <v>70</v>
      </c>
      <c r="E75" s="97">
        <f t="shared" ref="E75:E79" si="19">SUM(L75:M75)</f>
        <v>1.78</v>
      </c>
      <c r="F75" s="356">
        <f>ROUND(+E75*$J$10,2)</f>
        <v>0</v>
      </c>
      <c r="G75" s="357">
        <v>0</v>
      </c>
      <c r="H75" s="324">
        <f t="shared" ref="H75:I79" si="20">ROUND($G75*E75,0)</f>
        <v>0</v>
      </c>
      <c r="I75" s="324">
        <f t="shared" si="20"/>
        <v>0</v>
      </c>
      <c r="K75" s="331"/>
      <c r="L75" s="363">
        <v>0.71</v>
      </c>
      <c r="M75" s="363">
        <v>1.07</v>
      </c>
    </row>
    <row r="76" spans="1:13" x14ac:dyDescent="0.2">
      <c r="A76" s="331">
        <f t="shared" ref="A76:A139" si="21">+A75+1</f>
        <v>67</v>
      </c>
      <c r="B76" s="59" t="str">
        <f>+B75</f>
        <v>53E - Company Owned</v>
      </c>
      <c r="C76" s="140" t="s">
        <v>402</v>
      </c>
      <c r="D76" s="140">
        <v>100</v>
      </c>
      <c r="E76" s="97">
        <f t="shared" si="19"/>
        <v>2.54</v>
      </c>
      <c r="F76" s="356">
        <f>ROUND(+E76*$J$10,2)</f>
        <v>0</v>
      </c>
      <c r="G76" s="357">
        <v>0</v>
      </c>
      <c r="H76" s="324">
        <f t="shared" si="20"/>
        <v>0</v>
      </c>
      <c r="I76" s="324">
        <f t="shared" si="20"/>
        <v>0</v>
      </c>
      <c r="K76" s="331"/>
      <c r="L76" s="363">
        <v>1.01</v>
      </c>
      <c r="M76" s="363">
        <v>1.53</v>
      </c>
    </row>
    <row r="77" spans="1:13" x14ac:dyDescent="0.2">
      <c r="A77" s="331">
        <f t="shared" si="21"/>
        <v>68</v>
      </c>
      <c r="B77" s="59" t="str">
        <f>+B76</f>
        <v>53E - Company Owned</v>
      </c>
      <c r="C77" s="140" t="s">
        <v>402</v>
      </c>
      <c r="D77" s="140">
        <v>150</v>
      </c>
      <c r="E77" s="97">
        <f t="shared" si="19"/>
        <v>3.8</v>
      </c>
      <c r="F77" s="356">
        <f>ROUND(+E77*$J$10,2)</f>
        <v>-0.01</v>
      </c>
      <c r="G77" s="357">
        <v>0</v>
      </c>
      <c r="H77" s="324">
        <f t="shared" si="20"/>
        <v>0</v>
      </c>
      <c r="I77" s="324">
        <f t="shared" si="20"/>
        <v>0</v>
      </c>
      <c r="K77" s="331"/>
      <c r="L77" s="363">
        <v>1.51</v>
      </c>
      <c r="M77" s="363">
        <v>2.29</v>
      </c>
    </row>
    <row r="78" spans="1:13" x14ac:dyDescent="0.2">
      <c r="A78" s="331">
        <f t="shared" si="21"/>
        <v>69</v>
      </c>
      <c r="B78" s="59" t="str">
        <f>B77</f>
        <v>53E - Company Owned</v>
      </c>
      <c r="C78" s="140" t="s">
        <v>402</v>
      </c>
      <c r="D78" s="140">
        <v>250</v>
      </c>
      <c r="E78" s="97">
        <f t="shared" si="19"/>
        <v>6.34</v>
      </c>
      <c r="F78" s="356">
        <f>ROUND(+E78*$J$10,2)</f>
        <v>-0.01</v>
      </c>
      <c r="G78" s="357">
        <v>0</v>
      </c>
      <c r="H78" s="324">
        <f t="shared" si="20"/>
        <v>0</v>
      </c>
      <c r="I78" s="324">
        <f t="shared" si="20"/>
        <v>0</v>
      </c>
      <c r="K78" s="331"/>
      <c r="L78" s="363">
        <v>2.52</v>
      </c>
      <c r="M78" s="363">
        <v>3.82</v>
      </c>
    </row>
    <row r="79" spans="1:13" x14ac:dyDescent="0.2">
      <c r="A79" s="331">
        <f t="shared" si="21"/>
        <v>70</v>
      </c>
      <c r="B79" s="59" t="str">
        <f>B78</f>
        <v>53E - Company Owned</v>
      </c>
      <c r="C79" s="140" t="s">
        <v>402</v>
      </c>
      <c r="D79" s="140">
        <v>400</v>
      </c>
      <c r="E79" s="97">
        <f t="shared" si="19"/>
        <v>10.15</v>
      </c>
      <c r="F79" s="356">
        <f>ROUND(+E79*$J$10,2)</f>
        <v>-0.02</v>
      </c>
      <c r="G79" s="357">
        <v>0</v>
      </c>
      <c r="H79" s="324">
        <f t="shared" si="20"/>
        <v>0</v>
      </c>
      <c r="I79" s="324">
        <f t="shared" si="20"/>
        <v>0</v>
      </c>
      <c r="K79" s="331"/>
      <c r="L79" s="363">
        <v>4.04</v>
      </c>
      <c r="M79" s="363">
        <v>6.11</v>
      </c>
    </row>
    <row r="80" spans="1:13" x14ac:dyDescent="0.2">
      <c r="A80" s="331">
        <f t="shared" si="21"/>
        <v>71</v>
      </c>
      <c r="B80" s="59"/>
      <c r="C80" s="140"/>
      <c r="D80" s="140"/>
      <c r="E80" s="97"/>
      <c r="F80" s="347"/>
      <c r="G80" s="357"/>
      <c r="H80" s="289"/>
      <c r="I80" s="289"/>
      <c r="K80" s="331"/>
      <c r="L80" s="363"/>
      <c r="M80" s="363"/>
    </row>
    <row r="81" spans="1:13" x14ac:dyDescent="0.2">
      <c r="A81" s="331">
        <f t="shared" si="21"/>
        <v>72</v>
      </c>
      <c r="B81" s="59" t="str">
        <f>+B79</f>
        <v>53E - Company Owned</v>
      </c>
      <c r="C81" s="140" t="s">
        <v>391</v>
      </c>
      <c r="D81" s="362" t="s">
        <v>466</v>
      </c>
      <c r="E81" s="97">
        <f t="shared" ref="E81:E89" si="22">SUM(L81:M81)</f>
        <v>1.1399999999999999</v>
      </c>
      <c r="F81" s="356">
        <f t="shared" ref="F81:F89" si="23">ROUND(+E81*$J$10,2)</f>
        <v>0</v>
      </c>
      <c r="G81" s="357">
        <v>220315</v>
      </c>
      <c r="H81" s="324">
        <f t="shared" ref="H81:I89" si="24">ROUND($G81*E81,0)</f>
        <v>251159</v>
      </c>
      <c r="I81" s="324">
        <f t="shared" si="24"/>
        <v>0</v>
      </c>
      <c r="K81" s="331"/>
      <c r="L81" s="363">
        <v>0.45</v>
      </c>
      <c r="M81" s="363">
        <v>0.69</v>
      </c>
    </row>
    <row r="82" spans="1:13" x14ac:dyDescent="0.2">
      <c r="A82" s="331">
        <f t="shared" si="21"/>
        <v>73</v>
      </c>
      <c r="B82" s="59" t="str">
        <f t="shared" ref="B82:B89" si="25">B81</f>
        <v>53E - Company Owned</v>
      </c>
      <c r="C82" s="140" t="s">
        <v>391</v>
      </c>
      <c r="D82" s="360" t="s">
        <v>392</v>
      </c>
      <c r="E82" s="97">
        <f t="shared" si="22"/>
        <v>1.91</v>
      </c>
      <c r="F82" s="356">
        <f t="shared" si="23"/>
        <v>0</v>
      </c>
      <c r="G82" s="357">
        <v>1295</v>
      </c>
      <c r="H82" s="324">
        <f t="shared" si="24"/>
        <v>2473</v>
      </c>
      <c r="I82" s="324">
        <f t="shared" si="24"/>
        <v>0</v>
      </c>
      <c r="K82" s="331"/>
      <c r="L82" s="363">
        <v>0.76</v>
      </c>
      <c r="M82" s="363">
        <v>1.1499999999999999</v>
      </c>
    </row>
    <row r="83" spans="1:13" x14ac:dyDescent="0.2">
      <c r="A83" s="331">
        <f t="shared" si="21"/>
        <v>74</v>
      </c>
      <c r="B83" s="59" t="str">
        <f t="shared" si="25"/>
        <v>53E - Company Owned</v>
      </c>
      <c r="C83" s="140" t="s">
        <v>391</v>
      </c>
      <c r="D83" s="360" t="s">
        <v>393</v>
      </c>
      <c r="E83" s="97">
        <f t="shared" si="22"/>
        <v>2.66</v>
      </c>
      <c r="F83" s="356">
        <f t="shared" si="23"/>
        <v>-0.01</v>
      </c>
      <c r="G83" s="357">
        <v>24409</v>
      </c>
      <c r="H83" s="324">
        <f t="shared" si="24"/>
        <v>64928</v>
      </c>
      <c r="I83" s="324">
        <f t="shared" si="24"/>
        <v>-244</v>
      </c>
      <c r="K83" s="331"/>
      <c r="L83" s="363">
        <v>1.06</v>
      </c>
      <c r="M83" s="363">
        <v>1.6</v>
      </c>
    </row>
    <row r="84" spans="1:13" x14ac:dyDescent="0.2">
      <c r="A84" s="331">
        <f t="shared" si="21"/>
        <v>75</v>
      </c>
      <c r="B84" s="59" t="str">
        <f t="shared" si="25"/>
        <v>53E - Company Owned</v>
      </c>
      <c r="C84" s="140" t="s">
        <v>391</v>
      </c>
      <c r="D84" s="360" t="s">
        <v>394</v>
      </c>
      <c r="E84" s="97">
        <f t="shared" si="22"/>
        <v>3.42</v>
      </c>
      <c r="F84" s="356">
        <f t="shared" si="23"/>
        <v>-0.01</v>
      </c>
      <c r="G84" s="357">
        <v>21287</v>
      </c>
      <c r="H84" s="324">
        <f t="shared" si="24"/>
        <v>72802</v>
      </c>
      <c r="I84" s="324">
        <f t="shared" si="24"/>
        <v>-213</v>
      </c>
      <c r="K84" s="331"/>
      <c r="L84" s="363">
        <v>1.36</v>
      </c>
      <c r="M84" s="363">
        <v>2.06</v>
      </c>
    </row>
    <row r="85" spans="1:13" x14ac:dyDescent="0.2">
      <c r="A85" s="331">
        <f t="shared" si="21"/>
        <v>76</v>
      </c>
      <c r="B85" s="59" t="str">
        <f t="shared" si="25"/>
        <v>53E - Company Owned</v>
      </c>
      <c r="C85" s="140" t="s">
        <v>391</v>
      </c>
      <c r="D85" s="360" t="s">
        <v>395</v>
      </c>
      <c r="E85" s="97">
        <f t="shared" si="22"/>
        <v>4.1899999999999995</v>
      </c>
      <c r="F85" s="356">
        <f t="shared" si="23"/>
        <v>-0.01</v>
      </c>
      <c r="G85" s="357">
        <v>1006</v>
      </c>
      <c r="H85" s="324">
        <f t="shared" si="24"/>
        <v>4215</v>
      </c>
      <c r="I85" s="324">
        <f t="shared" si="24"/>
        <v>-10</v>
      </c>
      <c r="K85" s="331"/>
      <c r="L85" s="363">
        <v>1.67</v>
      </c>
      <c r="M85" s="363">
        <v>2.52</v>
      </c>
    </row>
    <row r="86" spans="1:13" x14ac:dyDescent="0.2">
      <c r="A86" s="331">
        <f t="shared" si="21"/>
        <v>77</v>
      </c>
      <c r="B86" s="59" t="str">
        <f t="shared" si="25"/>
        <v>53E - Company Owned</v>
      </c>
      <c r="C86" s="140" t="s">
        <v>391</v>
      </c>
      <c r="D86" s="360" t="s">
        <v>396</v>
      </c>
      <c r="E86" s="97">
        <f t="shared" si="22"/>
        <v>4.95</v>
      </c>
      <c r="F86" s="356">
        <f t="shared" si="23"/>
        <v>-0.01</v>
      </c>
      <c r="G86" s="357">
        <v>5078</v>
      </c>
      <c r="H86" s="324">
        <f t="shared" si="24"/>
        <v>25136</v>
      </c>
      <c r="I86" s="324">
        <f t="shared" si="24"/>
        <v>-51</v>
      </c>
      <c r="K86" s="331"/>
      <c r="L86" s="363">
        <v>1.97</v>
      </c>
      <c r="M86" s="363">
        <v>2.98</v>
      </c>
    </row>
    <row r="87" spans="1:13" x14ac:dyDescent="0.2">
      <c r="A87" s="331">
        <f t="shared" si="21"/>
        <v>78</v>
      </c>
      <c r="B87" s="59" t="str">
        <f t="shared" si="25"/>
        <v>53E - Company Owned</v>
      </c>
      <c r="C87" s="140" t="s">
        <v>391</v>
      </c>
      <c r="D87" s="360" t="s">
        <v>397</v>
      </c>
      <c r="E87" s="97">
        <f t="shared" si="22"/>
        <v>5.71</v>
      </c>
      <c r="F87" s="356">
        <f t="shared" si="23"/>
        <v>-0.01</v>
      </c>
      <c r="G87" s="357">
        <v>86</v>
      </c>
      <c r="H87" s="324">
        <f t="shared" si="24"/>
        <v>491</v>
      </c>
      <c r="I87" s="324">
        <f t="shared" si="24"/>
        <v>-1</v>
      </c>
      <c r="K87" s="331"/>
      <c r="L87" s="363">
        <v>2.27</v>
      </c>
      <c r="M87" s="363">
        <v>3.44</v>
      </c>
    </row>
    <row r="88" spans="1:13" x14ac:dyDescent="0.2">
      <c r="A88" s="331">
        <f t="shared" si="21"/>
        <v>79</v>
      </c>
      <c r="B88" s="59" t="str">
        <f t="shared" si="25"/>
        <v>53E - Company Owned</v>
      </c>
      <c r="C88" s="140" t="s">
        <v>391</v>
      </c>
      <c r="D88" s="360" t="s">
        <v>398</v>
      </c>
      <c r="E88" s="97">
        <f t="shared" si="22"/>
        <v>6.46</v>
      </c>
      <c r="F88" s="356">
        <f t="shared" si="23"/>
        <v>-0.01</v>
      </c>
      <c r="G88" s="357">
        <v>288</v>
      </c>
      <c r="H88" s="324">
        <f t="shared" si="24"/>
        <v>1860</v>
      </c>
      <c r="I88" s="324">
        <f t="shared" si="24"/>
        <v>-3</v>
      </c>
      <c r="K88" s="331"/>
      <c r="L88" s="363">
        <v>2.57</v>
      </c>
      <c r="M88" s="363">
        <v>3.89</v>
      </c>
    </row>
    <row r="89" spans="1:13" x14ac:dyDescent="0.2">
      <c r="A89" s="331">
        <f t="shared" si="21"/>
        <v>80</v>
      </c>
      <c r="B89" s="59" t="str">
        <f t="shared" si="25"/>
        <v>53E - Company Owned</v>
      </c>
      <c r="C89" s="140" t="s">
        <v>391</v>
      </c>
      <c r="D89" s="360" t="s">
        <v>399</v>
      </c>
      <c r="E89" s="97">
        <f t="shared" si="22"/>
        <v>7.2299999999999995</v>
      </c>
      <c r="F89" s="356">
        <f t="shared" si="23"/>
        <v>-0.01</v>
      </c>
      <c r="G89" s="357">
        <v>1542</v>
      </c>
      <c r="H89" s="324">
        <f t="shared" si="24"/>
        <v>11149</v>
      </c>
      <c r="I89" s="324">
        <f t="shared" si="24"/>
        <v>-15</v>
      </c>
      <c r="K89" s="331"/>
      <c r="L89" s="363">
        <v>2.88</v>
      </c>
      <c r="M89" s="363">
        <v>4.3499999999999996</v>
      </c>
    </row>
    <row r="90" spans="1:13" x14ac:dyDescent="0.2">
      <c r="A90" s="331">
        <f t="shared" si="21"/>
        <v>81</v>
      </c>
      <c r="B90" s="59"/>
      <c r="C90" s="140"/>
      <c r="D90" s="140"/>
      <c r="E90" s="97"/>
      <c r="F90" s="347"/>
      <c r="G90" s="357"/>
      <c r="H90" s="289"/>
      <c r="I90" s="289"/>
      <c r="K90" s="331"/>
      <c r="L90" s="363"/>
      <c r="M90" s="363"/>
    </row>
    <row r="91" spans="1:13" x14ac:dyDescent="0.2">
      <c r="A91" s="331">
        <f t="shared" si="21"/>
        <v>82</v>
      </c>
      <c r="B91" s="59" t="s">
        <v>405</v>
      </c>
      <c r="C91" s="140" t="s">
        <v>155</v>
      </c>
      <c r="D91" s="140">
        <v>50</v>
      </c>
      <c r="E91" s="97">
        <f t="shared" ref="E91:E99" si="26">SUM(L91:M91)</f>
        <v>1.26</v>
      </c>
      <c r="F91" s="356">
        <f t="shared" ref="F91:F99" si="27">ROUND(+E91*$J$10,2)</f>
        <v>0</v>
      </c>
      <c r="G91" s="357">
        <v>0</v>
      </c>
      <c r="H91" s="324">
        <f t="shared" ref="H91:I99" si="28">ROUND($G91*E91,0)</f>
        <v>0</v>
      </c>
      <c r="I91" s="324">
        <f t="shared" si="28"/>
        <v>0</v>
      </c>
      <c r="K91" s="331"/>
      <c r="L91" s="363">
        <v>0.5</v>
      </c>
      <c r="M91" s="363">
        <v>0.76</v>
      </c>
    </row>
    <row r="92" spans="1:13" x14ac:dyDescent="0.2">
      <c r="A92" s="331">
        <f t="shared" si="21"/>
        <v>83</v>
      </c>
      <c r="B92" s="59" t="str">
        <f t="shared" ref="B92:B99" si="29">+B91</f>
        <v>53E - Customer Owned</v>
      </c>
      <c r="C92" s="140" t="s">
        <v>155</v>
      </c>
      <c r="D92" s="140">
        <v>70</v>
      </c>
      <c r="E92" s="97">
        <f t="shared" si="26"/>
        <v>1.78</v>
      </c>
      <c r="F92" s="356">
        <f t="shared" si="27"/>
        <v>0</v>
      </c>
      <c r="G92" s="357">
        <v>668</v>
      </c>
      <c r="H92" s="324">
        <f t="shared" si="28"/>
        <v>1189</v>
      </c>
      <c r="I92" s="324">
        <f t="shared" si="28"/>
        <v>0</v>
      </c>
      <c r="K92" s="331"/>
      <c r="L92" s="363">
        <v>0.71</v>
      </c>
      <c r="M92" s="363">
        <v>1.07</v>
      </c>
    </row>
    <row r="93" spans="1:13" x14ac:dyDescent="0.2">
      <c r="A93" s="331">
        <f t="shared" si="21"/>
        <v>84</v>
      </c>
      <c r="B93" s="59" t="str">
        <f t="shared" si="29"/>
        <v>53E - Customer Owned</v>
      </c>
      <c r="C93" s="140" t="s">
        <v>155</v>
      </c>
      <c r="D93" s="140">
        <v>100</v>
      </c>
      <c r="E93" s="97">
        <f t="shared" si="26"/>
        <v>2.54</v>
      </c>
      <c r="F93" s="356">
        <f t="shared" si="27"/>
        <v>0</v>
      </c>
      <c r="G93" s="357">
        <v>2892</v>
      </c>
      <c r="H93" s="324">
        <f t="shared" si="28"/>
        <v>7346</v>
      </c>
      <c r="I93" s="324">
        <f t="shared" si="28"/>
        <v>0</v>
      </c>
      <c r="K93" s="331"/>
      <c r="L93" s="363">
        <v>1.01</v>
      </c>
      <c r="M93" s="363">
        <v>1.53</v>
      </c>
    </row>
    <row r="94" spans="1:13" x14ac:dyDescent="0.2">
      <c r="A94" s="331">
        <f t="shared" si="21"/>
        <v>85</v>
      </c>
      <c r="B94" s="59" t="str">
        <f t="shared" si="29"/>
        <v>53E - Customer Owned</v>
      </c>
      <c r="C94" s="140" t="s">
        <v>155</v>
      </c>
      <c r="D94" s="140">
        <v>150</v>
      </c>
      <c r="E94" s="97">
        <f t="shared" si="26"/>
        <v>3.8</v>
      </c>
      <c r="F94" s="356">
        <f t="shared" si="27"/>
        <v>-0.01</v>
      </c>
      <c r="G94" s="357">
        <v>1582</v>
      </c>
      <c r="H94" s="324">
        <f t="shared" si="28"/>
        <v>6012</v>
      </c>
      <c r="I94" s="324">
        <f t="shared" si="28"/>
        <v>-16</v>
      </c>
      <c r="K94" s="331"/>
      <c r="L94" s="363">
        <v>1.51</v>
      </c>
      <c r="M94" s="363">
        <v>2.29</v>
      </c>
    </row>
    <row r="95" spans="1:13" x14ac:dyDescent="0.2">
      <c r="A95" s="331">
        <f t="shared" si="21"/>
        <v>86</v>
      </c>
      <c r="B95" s="59" t="str">
        <f t="shared" si="29"/>
        <v>53E - Customer Owned</v>
      </c>
      <c r="C95" s="140" t="s">
        <v>155</v>
      </c>
      <c r="D95" s="140">
        <v>200</v>
      </c>
      <c r="E95" s="97">
        <f t="shared" si="26"/>
        <v>5.07</v>
      </c>
      <c r="F95" s="356">
        <f t="shared" si="27"/>
        <v>-0.01</v>
      </c>
      <c r="G95" s="357">
        <v>4943</v>
      </c>
      <c r="H95" s="324">
        <f t="shared" si="28"/>
        <v>25061</v>
      </c>
      <c r="I95" s="324">
        <f t="shared" si="28"/>
        <v>-49</v>
      </c>
      <c r="K95" s="331"/>
      <c r="L95" s="363">
        <v>2.02</v>
      </c>
      <c r="M95" s="363">
        <v>3.05</v>
      </c>
    </row>
    <row r="96" spans="1:13" x14ac:dyDescent="0.2">
      <c r="A96" s="331">
        <f t="shared" si="21"/>
        <v>87</v>
      </c>
      <c r="B96" s="59" t="str">
        <f t="shared" si="29"/>
        <v>53E - Customer Owned</v>
      </c>
      <c r="C96" s="140" t="s">
        <v>155</v>
      </c>
      <c r="D96" s="140">
        <v>250</v>
      </c>
      <c r="E96" s="97">
        <f t="shared" si="26"/>
        <v>6.34</v>
      </c>
      <c r="F96" s="356">
        <f t="shared" si="27"/>
        <v>-0.01</v>
      </c>
      <c r="G96" s="357">
        <v>3270</v>
      </c>
      <c r="H96" s="324">
        <f t="shared" si="28"/>
        <v>20732</v>
      </c>
      <c r="I96" s="324">
        <f t="shared" si="28"/>
        <v>-33</v>
      </c>
      <c r="K96" s="331"/>
      <c r="L96" s="363">
        <v>2.52</v>
      </c>
      <c r="M96" s="363">
        <v>3.82</v>
      </c>
    </row>
    <row r="97" spans="1:13" x14ac:dyDescent="0.2">
      <c r="A97" s="331">
        <f t="shared" si="21"/>
        <v>88</v>
      </c>
      <c r="B97" s="59" t="str">
        <f t="shared" si="29"/>
        <v>53E - Customer Owned</v>
      </c>
      <c r="C97" s="140" t="s">
        <v>155</v>
      </c>
      <c r="D97" s="140">
        <v>310</v>
      </c>
      <c r="E97" s="97">
        <f t="shared" si="26"/>
        <v>7.86</v>
      </c>
      <c r="F97" s="356">
        <f t="shared" si="27"/>
        <v>-0.02</v>
      </c>
      <c r="G97" s="357">
        <v>84</v>
      </c>
      <c r="H97" s="324">
        <f t="shared" si="28"/>
        <v>660</v>
      </c>
      <c r="I97" s="324">
        <f t="shared" si="28"/>
        <v>-2</v>
      </c>
      <c r="K97" s="331"/>
      <c r="L97" s="363">
        <v>3.13</v>
      </c>
      <c r="M97" s="363">
        <v>4.7300000000000004</v>
      </c>
    </row>
    <row r="98" spans="1:13" x14ac:dyDescent="0.2">
      <c r="A98" s="331">
        <f t="shared" si="21"/>
        <v>89</v>
      </c>
      <c r="B98" s="59" t="str">
        <f t="shared" si="29"/>
        <v>53E - Customer Owned</v>
      </c>
      <c r="C98" s="140" t="s">
        <v>155</v>
      </c>
      <c r="D98" s="140">
        <v>400</v>
      </c>
      <c r="E98" s="97">
        <f t="shared" si="26"/>
        <v>10.15</v>
      </c>
      <c r="F98" s="356">
        <f t="shared" si="27"/>
        <v>-0.02</v>
      </c>
      <c r="G98" s="357">
        <v>4888</v>
      </c>
      <c r="H98" s="324">
        <f t="shared" si="28"/>
        <v>49613</v>
      </c>
      <c r="I98" s="324">
        <f t="shared" si="28"/>
        <v>-98</v>
      </c>
      <c r="K98" s="331"/>
      <c r="L98" s="363">
        <v>4.04</v>
      </c>
      <c r="M98" s="363">
        <v>6.11</v>
      </c>
    </row>
    <row r="99" spans="1:13" x14ac:dyDescent="0.2">
      <c r="A99" s="331">
        <f t="shared" si="21"/>
        <v>90</v>
      </c>
      <c r="B99" s="59" t="str">
        <f t="shared" si="29"/>
        <v>53E - Customer Owned</v>
      </c>
      <c r="C99" s="140" t="s">
        <v>155</v>
      </c>
      <c r="D99" s="140">
        <v>1000</v>
      </c>
      <c r="E99" s="97">
        <f t="shared" si="26"/>
        <v>25.36</v>
      </c>
      <c r="F99" s="356">
        <f t="shared" si="27"/>
        <v>-0.05</v>
      </c>
      <c r="G99" s="357">
        <v>0</v>
      </c>
      <c r="H99" s="324">
        <f t="shared" si="28"/>
        <v>0</v>
      </c>
      <c r="I99" s="324">
        <f t="shared" si="28"/>
        <v>0</v>
      </c>
      <c r="K99" s="331"/>
      <c r="L99" s="363">
        <v>10.09</v>
      </c>
      <c r="M99" s="363">
        <v>15.27</v>
      </c>
    </row>
    <row r="100" spans="1:13" x14ac:dyDescent="0.2">
      <c r="A100" s="331">
        <f t="shared" si="21"/>
        <v>91</v>
      </c>
      <c r="B100" s="59"/>
      <c r="C100" s="140"/>
      <c r="D100" s="140"/>
      <c r="E100" s="97"/>
      <c r="F100" s="347"/>
      <c r="G100" s="357"/>
      <c r="H100" s="289"/>
      <c r="I100" s="289"/>
      <c r="K100" s="331"/>
      <c r="L100" s="363"/>
      <c r="M100" s="363"/>
    </row>
    <row r="101" spans="1:13" x14ac:dyDescent="0.2">
      <c r="A101" s="331">
        <f t="shared" si="21"/>
        <v>92</v>
      </c>
      <c r="B101" s="59" t="str">
        <f>+B99</f>
        <v>53E - Customer Owned</v>
      </c>
      <c r="C101" s="140" t="s">
        <v>402</v>
      </c>
      <c r="D101" s="140">
        <v>70</v>
      </c>
      <c r="E101" s="97">
        <f t="shared" ref="E101:E106" si="30">SUM(L101:M101)</f>
        <v>1.78</v>
      </c>
      <c r="F101" s="356">
        <f t="shared" ref="F101:F106" si="31">ROUND(+E101*$J$10,2)</f>
        <v>0</v>
      </c>
      <c r="G101" s="357">
        <v>0</v>
      </c>
      <c r="H101" s="324">
        <f t="shared" ref="H101:I106" si="32">ROUND($G101*E101,0)</f>
        <v>0</v>
      </c>
      <c r="I101" s="324">
        <f t="shared" si="32"/>
        <v>0</v>
      </c>
      <c r="K101" s="331"/>
      <c r="L101" s="363">
        <v>0.71</v>
      </c>
      <c r="M101" s="363">
        <v>1.07</v>
      </c>
    </row>
    <row r="102" spans="1:13" x14ac:dyDescent="0.2">
      <c r="A102" s="331">
        <f t="shared" si="21"/>
        <v>93</v>
      </c>
      <c r="B102" s="59" t="str">
        <f>+B101</f>
        <v>53E - Customer Owned</v>
      </c>
      <c r="C102" s="140" t="s">
        <v>402</v>
      </c>
      <c r="D102" s="140">
        <v>100</v>
      </c>
      <c r="E102" s="97">
        <f t="shared" si="30"/>
        <v>2.54</v>
      </c>
      <c r="F102" s="356">
        <f t="shared" si="31"/>
        <v>0</v>
      </c>
      <c r="G102" s="357">
        <v>0</v>
      </c>
      <c r="H102" s="324">
        <f t="shared" si="32"/>
        <v>0</v>
      </c>
      <c r="I102" s="324">
        <f t="shared" si="32"/>
        <v>0</v>
      </c>
      <c r="K102" s="331"/>
      <c r="L102" s="363">
        <v>1.01</v>
      </c>
      <c r="M102" s="363">
        <v>1.53</v>
      </c>
    </row>
    <row r="103" spans="1:13" x14ac:dyDescent="0.2">
      <c r="A103" s="331">
        <f t="shared" si="21"/>
        <v>94</v>
      </c>
      <c r="B103" s="59" t="str">
        <f>+B102</f>
        <v>53E - Customer Owned</v>
      </c>
      <c r="C103" s="140" t="s">
        <v>402</v>
      </c>
      <c r="D103" s="140">
        <v>150</v>
      </c>
      <c r="E103" s="97">
        <f t="shared" si="30"/>
        <v>3.8</v>
      </c>
      <c r="F103" s="356">
        <f t="shared" si="31"/>
        <v>-0.01</v>
      </c>
      <c r="G103" s="357">
        <v>0</v>
      </c>
      <c r="H103" s="324">
        <f t="shared" si="32"/>
        <v>0</v>
      </c>
      <c r="I103" s="324">
        <f t="shared" si="32"/>
        <v>0</v>
      </c>
      <c r="K103" s="331"/>
      <c r="L103" s="363">
        <v>1.51</v>
      </c>
      <c r="M103" s="363">
        <v>2.29</v>
      </c>
    </row>
    <row r="104" spans="1:13" x14ac:dyDescent="0.2">
      <c r="A104" s="331">
        <f t="shared" si="21"/>
        <v>95</v>
      </c>
      <c r="B104" s="59" t="str">
        <f>+B103</f>
        <v>53E - Customer Owned</v>
      </c>
      <c r="C104" s="140" t="s">
        <v>402</v>
      </c>
      <c r="D104" s="140">
        <v>175</v>
      </c>
      <c r="E104" s="97">
        <f t="shared" si="30"/>
        <v>4.4399999999999995</v>
      </c>
      <c r="F104" s="356">
        <f t="shared" si="31"/>
        <v>-0.01</v>
      </c>
      <c r="G104" s="357">
        <v>48</v>
      </c>
      <c r="H104" s="324">
        <f t="shared" si="32"/>
        <v>213</v>
      </c>
      <c r="I104" s="324">
        <f t="shared" si="32"/>
        <v>0</v>
      </c>
      <c r="K104" s="331"/>
      <c r="L104" s="363">
        <v>1.77</v>
      </c>
      <c r="M104" s="363">
        <v>2.67</v>
      </c>
    </row>
    <row r="105" spans="1:13" x14ac:dyDescent="0.2">
      <c r="A105" s="331">
        <f t="shared" si="21"/>
        <v>96</v>
      </c>
      <c r="B105" s="59" t="str">
        <f>+B104</f>
        <v>53E - Customer Owned</v>
      </c>
      <c r="C105" s="140" t="s">
        <v>402</v>
      </c>
      <c r="D105" s="140">
        <v>250</v>
      </c>
      <c r="E105" s="97">
        <f t="shared" si="30"/>
        <v>6.34</v>
      </c>
      <c r="F105" s="356">
        <f t="shared" si="31"/>
        <v>-0.01</v>
      </c>
      <c r="G105" s="357">
        <v>0</v>
      </c>
      <c r="H105" s="324">
        <f t="shared" si="32"/>
        <v>0</v>
      </c>
      <c r="I105" s="324">
        <f t="shared" si="32"/>
        <v>0</v>
      </c>
      <c r="K105" s="331"/>
      <c r="L105" s="363">
        <v>2.52</v>
      </c>
      <c r="M105" s="363">
        <v>3.82</v>
      </c>
    </row>
    <row r="106" spans="1:13" x14ac:dyDescent="0.2">
      <c r="A106" s="331">
        <f t="shared" si="21"/>
        <v>97</v>
      </c>
      <c r="B106" s="59" t="str">
        <f>+B105</f>
        <v>53E - Customer Owned</v>
      </c>
      <c r="C106" s="140" t="s">
        <v>402</v>
      </c>
      <c r="D106" s="140">
        <v>400</v>
      </c>
      <c r="E106" s="97">
        <f t="shared" si="30"/>
        <v>10.15</v>
      </c>
      <c r="F106" s="356">
        <f t="shared" si="31"/>
        <v>-0.02</v>
      </c>
      <c r="G106" s="357">
        <v>0</v>
      </c>
      <c r="H106" s="324">
        <f t="shared" si="32"/>
        <v>0</v>
      </c>
      <c r="I106" s="324">
        <f t="shared" si="32"/>
        <v>0</v>
      </c>
      <c r="K106" s="331"/>
      <c r="L106" s="363">
        <v>4.04</v>
      </c>
      <c r="M106" s="363">
        <v>6.11</v>
      </c>
    </row>
    <row r="107" spans="1:13" x14ac:dyDescent="0.2">
      <c r="A107" s="331">
        <f t="shared" si="21"/>
        <v>98</v>
      </c>
      <c r="B107" s="59"/>
      <c r="C107" s="140"/>
      <c r="D107" s="140"/>
      <c r="E107" s="97"/>
      <c r="F107" s="347"/>
      <c r="G107" s="357"/>
      <c r="H107" s="289"/>
      <c r="I107" s="289"/>
      <c r="K107" s="331"/>
      <c r="L107" s="363"/>
      <c r="M107" s="363"/>
    </row>
    <row r="108" spans="1:13" x14ac:dyDescent="0.2">
      <c r="A108" s="331">
        <f t="shared" si="21"/>
        <v>99</v>
      </c>
      <c r="B108" s="59" t="str">
        <f>+B106</f>
        <v>53E - Customer Owned</v>
      </c>
      <c r="C108" s="140" t="s">
        <v>391</v>
      </c>
      <c r="D108" s="362" t="s">
        <v>466</v>
      </c>
      <c r="E108" s="97">
        <f t="shared" ref="E108:E116" si="33">SUM(L108:M108)</f>
        <v>1.1399999999999999</v>
      </c>
      <c r="F108" s="356">
        <f t="shared" ref="F108:F116" si="34">ROUND(+E108*$J$10,2)</f>
        <v>0</v>
      </c>
      <c r="G108" s="357">
        <v>7440</v>
      </c>
      <c r="H108" s="324">
        <f t="shared" ref="H108:I116" si="35">ROUND($G108*E108,0)</f>
        <v>8482</v>
      </c>
      <c r="I108" s="324">
        <f t="shared" si="35"/>
        <v>0</v>
      </c>
      <c r="K108" s="331"/>
      <c r="L108" s="363">
        <v>0.45</v>
      </c>
      <c r="M108" s="363">
        <v>0.69</v>
      </c>
    </row>
    <row r="109" spans="1:13" x14ac:dyDescent="0.2">
      <c r="A109" s="331">
        <f t="shared" si="21"/>
        <v>100</v>
      </c>
      <c r="B109" s="59" t="str">
        <f t="shared" ref="B109:B116" si="36">B108</f>
        <v>53E - Customer Owned</v>
      </c>
      <c r="C109" s="140" t="s">
        <v>391</v>
      </c>
      <c r="D109" s="360" t="s">
        <v>392</v>
      </c>
      <c r="E109" s="97">
        <f t="shared" si="33"/>
        <v>1.91</v>
      </c>
      <c r="F109" s="356">
        <f t="shared" si="34"/>
        <v>0</v>
      </c>
      <c r="G109" s="357">
        <v>7518</v>
      </c>
      <c r="H109" s="324">
        <f t="shared" si="35"/>
        <v>14359</v>
      </c>
      <c r="I109" s="324">
        <f t="shared" si="35"/>
        <v>0</v>
      </c>
      <c r="K109" s="331"/>
      <c r="L109" s="363">
        <v>0.76</v>
      </c>
      <c r="M109" s="363">
        <v>1.1499999999999999</v>
      </c>
    </row>
    <row r="110" spans="1:13" x14ac:dyDescent="0.2">
      <c r="A110" s="331">
        <f t="shared" si="21"/>
        <v>101</v>
      </c>
      <c r="B110" s="59" t="str">
        <f t="shared" si="36"/>
        <v>53E - Customer Owned</v>
      </c>
      <c r="C110" s="140" t="s">
        <v>391</v>
      </c>
      <c r="D110" s="360" t="s">
        <v>393</v>
      </c>
      <c r="E110" s="97">
        <f t="shared" si="33"/>
        <v>2.66</v>
      </c>
      <c r="F110" s="356">
        <f t="shared" si="34"/>
        <v>-0.01</v>
      </c>
      <c r="G110" s="357">
        <v>10114</v>
      </c>
      <c r="H110" s="324">
        <f t="shared" si="35"/>
        <v>26903</v>
      </c>
      <c r="I110" s="324">
        <f t="shared" si="35"/>
        <v>-101</v>
      </c>
      <c r="K110" s="331"/>
      <c r="L110" s="363">
        <v>1.06</v>
      </c>
      <c r="M110" s="363">
        <v>1.6</v>
      </c>
    </row>
    <row r="111" spans="1:13" x14ac:dyDescent="0.2">
      <c r="A111" s="331">
        <f t="shared" si="21"/>
        <v>102</v>
      </c>
      <c r="B111" s="59" t="str">
        <f t="shared" si="36"/>
        <v>53E - Customer Owned</v>
      </c>
      <c r="C111" s="140" t="s">
        <v>391</v>
      </c>
      <c r="D111" s="360" t="s">
        <v>394</v>
      </c>
      <c r="E111" s="97">
        <f t="shared" si="33"/>
        <v>3.42</v>
      </c>
      <c r="F111" s="356">
        <f t="shared" si="34"/>
        <v>-0.01</v>
      </c>
      <c r="G111" s="357">
        <v>984</v>
      </c>
      <c r="H111" s="324">
        <f t="shared" si="35"/>
        <v>3365</v>
      </c>
      <c r="I111" s="324">
        <f t="shared" si="35"/>
        <v>-10</v>
      </c>
      <c r="K111" s="331"/>
      <c r="L111" s="363">
        <v>1.36</v>
      </c>
      <c r="M111" s="363">
        <v>2.06</v>
      </c>
    </row>
    <row r="112" spans="1:13" x14ac:dyDescent="0.2">
      <c r="A112" s="331">
        <f t="shared" si="21"/>
        <v>103</v>
      </c>
      <c r="B112" s="59" t="str">
        <f t="shared" si="36"/>
        <v>53E - Customer Owned</v>
      </c>
      <c r="C112" s="140" t="s">
        <v>391</v>
      </c>
      <c r="D112" s="360" t="s">
        <v>395</v>
      </c>
      <c r="E112" s="97">
        <f t="shared" si="33"/>
        <v>4.1899999999999995</v>
      </c>
      <c r="F112" s="356">
        <f t="shared" si="34"/>
        <v>-0.01</v>
      </c>
      <c r="G112" s="357">
        <v>15832</v>
      </c>
      <c r="H112" s="324">
        <f t="shared" si="35"/>
        <v>66336</v>
      </c>
      <c r="I112" s="324">
        <f t="shared" si="35"/>
        <v>-158</v>
      </c>
      <c r="K112" s="331"/>
      <c r="L112" s="363">
        <v>1.67</v>
      </c>
      <c r="M112" s="363">
        <v>2.52</v>
      </c>
    </row>
    <row r="113" spans="1:13" x14ac:dyDescent="0.2">
      <c r="A113" s="331">
        <f t="shared" si="21"/>
        <v>104</v>
      </c>
      <c r="B113" s="59" t="str">
        <f t="shared" si="36"/>
        <v>53E - Customer Owned</v>
      </c>
      <c r="C113" s="140" t="s">
        <v>391</v>
      </c>
      <c r="D113" s="360" t="s">
        <v>396</v>
      </c>
      <c r="E113" s="97">
        <f t="shared" si="33"/>
        <v>4.95</v>
      </c>
      <c r="F113" s="356">
        <f t="shared" si="34"/>
        <v>-0.01</v>
      </c>
      <c r="G113" s="357">
        <v>1236</v>
      </c>
      <c r="H113" s="324">
        <f t="shared" si="35"/>
        <v>6118</v>
      </c>
      <c r="I113" s="324">
        <f t="shared" si="35"/>
        <v>-12</v>
      </c>
      <c r="K113" s="331"/>
      <c r="L113" s="363">
        <v>1.97</v>
      </c>
      <c r="M113" s="363">
        <v>2.98</v>
      </c>
    </row>
    <row r="114" spans="1:13" x14ac:dyDescent="0.2">
      <c r="A114" s="331">
        <f t="shared" si="21"/>
        <v>105</v>
      </c>
      <c r="B114" s="59" t="str">
        <f t="shared" si="36"/>
        <v>53E - Customer Owned</v>
      </c>
      <c r="C114" s="140" t="s">
        <v>391</v>
      </c>
      <c r="D114" s="360" t="s">
        <v>397</v>
      </c>
      <c r="E114" s="97">
        <f t="shared" si="33"/>
        <v>5.71</v>
      </c>
      <c r="F114" s="356">
        <f t="shared" si="34"/>
        <v>-0.01</v>
      </c>
      <c r="G114" s="357">
        <v>0</v>
      </c>
      <c r="H114" s="324">
        <f t="shared" si="35"/>
        <v>0</v>
      </c>
      <c r="I114" s="324">
        <f t="shared" si="35"/>
        <v>0</v>
      </c>
      <c r="K114" s="331"/>
      <c r="L114" s="363">
        <v>2.27</v>
      </c>
      <c r="M114" s="363">
        <v>3.44</v>
      </c>
    </row>
    <row r="115" spans="1:13" x14ac:dyDescent="0.2">
      <c r="A115" s="331">
        <f t="shared" si="21"/>
        <v>106</v>
      </c>
      <c r="B115" s="59" t="str">
        <f t="shared" si="36"/>
        <v>53E - Customer Owned</v>
      </c>
      <c r="C115" s="140" t="s">
        <v>391</v>
      </c>
      <c r="D115" s="360" t="s">
        <v>398</v>
      </c>
      <c r="E115" s="97">
        <f t="shared" si="33"/>
        <v>6.46</v>
      </c>
      <c r="F115" s="356">
        <f t="shared" si="34"/>
        <v>-0.01</v>
      </c>
      <c r="G115" s="357">
        <v>0</v>
      </c>
      <c r="H115" s="324">
        <f t="shared" si="35"/>
        <v>0</v>
      </c>
      <c r="I115" s="324">
        <f t="shared" si="35"/>
        <v>0</v>
      </c>
      <c r="K115" s="331"/>
      <c r="L115" s="363">
        <v>2.57</v>
      </c>
      <c r="M115" s="363">
        <v>3.89</v>
      </c>
    </row>
    <row r="116" spans="1:13" x14ac:dyDescent="0.2">
      <c r="A116" s="331">
        <f t="shared" si="21"/>
        <v>107</v>
      </c>
      <c r="B116" s="59" t="str">
        <f t="shared" si="36"/>
        <v>53E - Customer Owned</v>
      </c>
      <c r="C116" s="140" t="s">
        <v>391</v>
      </c>
      <c r="D116" s="360" t="s">
        <v>399</v>
      </c>
      <c r="E116" s="97">
        <f t="shared" si="33"/>
        <v>7.2299999999999995</v>
      </c>
      <c r="F116" s="356">
        <f t="shared" si="34"/>
        <v>-0.01</v>
      </c>
      <c r="G116" s="357">
        <v>0</v>
      </c>
      <c r="H116" s="324">
        <f t="shared" si="35"/>
        <v>0</v>
      </c>
      <c r="I116" s="324">
        <f t="shared" si="35"/>
        <v>0</v>
      </c>
      <c r="K116" s="331"/>
      <c r="L116" s="363">
        <v>2.88</v>
      </c>
      <c r="M116" s="363">
        <v>4.3499999999999996</v>
      </c>
    </row>
    <row r="117" spans="1:13" x14ac:dyDescent="0.2">
      <c r="A117" s="331">
        <f t="shared" si="21"/>
        <v>108</v>
      </c>
      <c r="B117" s="62"/>
      <c r="C117" s="140"/>
      <c r="D117" s="140"/>
      <c r="E117" s="97"/>
      <c r="F117" s="347"/>
      <c r="G117" s="357"/>
      <c r="H117" s="289"/>
      <c r="I117" s="289"/>
      <c r="K117" s="331"/>
      <c r="L117" s="363"/>
      <c r="M117" s="363"/>
    </row>
    <row r="118" spans="1:13" x14ac:dyDescent="0.2">
      <c r="A118" s="331">
        <f t="shared" si="21"/>
        <v>109</v>
      </c>
      <c r="B118" s="48" t="s">
        <v>406</v>
      </c>
      <c r="C118" s="48"/>
      <c r="D118" s="48"/>
      <c r="E118" s="97"/>
      <c r="F118" s="347"/>
      <c r="G118" s="357"/>
      <c r="H118" s="289"/>
      <c r="I118" s="289"/>
      <c r="K118" s="331"/>
      <c r="L118" s="363"/>
      <c r="M118" s="363"/>
    </row>
    <row r="119" spans="1:13" x14ac:dyDescent="0.2">
      <c r="A119" s="331">
        <f t="shared" si="21"/>
        <v>110</v>
      </c>
      <c r="B119" s="59" t="s">
        <v>407</v>
      </c>
      <c r="C119" s="140" t="s">
        <v>155</v>
      </c>
      <c r="D119" s="140">
        <v>50</v>
      </c>
      <c r="E119" s="97">
        <f t="shared" ref="E119:E127" si="37">SUM(L119:M119)</f>
        <v>1.26</v>
      </c>
      <c r="F119" s="356">
        <f t="shared" ref="F119:F127" si="38">ROUND(+E119*$J$10,2)</f>
        <v>0</v>
      </c>
      <c r="G119" s="357">
        <v>456</v>
      </c>
      <c r="H119" s="324">
        <f t="shared" ref="H119:I127" si="39">ROUND($G119*E119,0)</f>
        <v>575</v>
      </c>
      <c r="I119" s="324">
        <f t="shared" si="39"/>
        <v>0</v>
      </c>
      <c r="K119" s="331"/>
      <c r="L119" s="363">
        <v>0.5</v>
      </c>
      <c r="M119" s="363">
        <v>0.76</v>
      </c>
    </row>
    <row r="120" spans="1:13" x14ac:dyDescent="0.2">
      <c r="A120" s="331">
        <f t="shared" si="21"/>
        <v>111</v>
      </c>
      <c r="B120" s="59" t="str">
        <f t="shared" ref="B120:B127" si="40">+B119</f>
        <v>54E</v>
      </c>
      <c r="C120" s="140" t="s">
        <v>155</v>
      </c>
      <c r="D120" s="140">
        <v>70</v>
      </c>
      <c r="E120" s="97">
        <f t="shared" si="37"/>
        <v>1.78</v>
      </c>
      <c r="F120" s="356">
        <f t="shared" si="38"/>
        <v>0</v>
      </c>
      <c r="G120" s="357">
        <v>8706</v>
      </c>
      <c r="H120" s="324">
        <f t="shared" si="39"/>
        <v>15497</v>
      </c>
      <c r="I120" s="324">
        <f t="shared" si="39"/>
        <v>0</v>
      </c>
      <c r="K120" s="331"/>
      <c r="L120" s="363">
        <v>0.71</v>
      </c>
      <c r="M120" s="363">
        <v>1.07</v>
      </c>
    </row>
    <row r="121" spans="1:13" x14ac:dyDescent="0.2">
      <c r="A121" s="331">
        <f t="shared" si="21"/>
        <v>112</v>
      </c>
      <c r="B121" s="59" t="str">
        <f t="shared" si="40"/>
        <v>54E</v>
      </c>
      <c r="C121" s="140" t="s">
        <v>155</v>
      </c>
      <c r="D121" s="140">
        <v>100</v>
      </c>
      <c r="E121" s="97">
        <f t="shared" si="37"/>
        <v>2.54</v>
      </c>
      <c r="F121" s="356">
        <f t="shared" si="38"/>
        <v>0</v>
      </c>
      <c r="G121" s="357">
        <v>20176</v>
      </c>
      <c r="H121" s="324">
        <f t="shared" si="39"/>
        <v>51247</v>
      </c>
      <c r="I121" s="324">
        <f t="shared" si="39"/>
        <v>0</v>
      </c>
      <c r="K121" s="331"/>
      <c r="L121" s="363">
        <v>1.01</v>
      </c>
      <c r="M121" s="363">
        <v>1.53</v>
      </c>
    </row>
    <row r="122" spans="1:13" x14ac:dyDescent="0.2">
      <c r="A122" s="331">
        <f t="shared" si="21"/>
        <v>113</v>
      </c>
      <c r="B122" s="59" t="str">
        <f t="shared" si="40"/>
        <v>54E</v>
      </c>
      <c r="C122" s="140" t="s">
        <v>155</v>
      </c>
      <c r="D122" s="140">
        <v>150</v>
      </c>
      <c r="E122" s="97">
        <f t="shared" si="37"/>
        <v>3.8</v>
      </c>
      <c r="F122" s="356">
        <f t="shared" si="38"/>
        <v>-0.01</v>
      </c>
      <c r="G122" s="357">
        <v>5977</v>
      </c>
      <c r="H122" s="324">
        <f t="shared" si="39"/>
        <v>22713</v>
      </c>
      <c r="I122" s="324">
        <f t="shared" si="39"/>
        <v>-60</v>
      </c>
      <c r="K122" s="331"/>
      <c r="L122" s="363">
        <v>1.51</v>
      </c>
      <c r="M122" s="363">
        <v>2.29</v>
      </c>
    </row>
    <row r="123" spans="1:13" x14ac:dyDescent="0.2">
      <c r="A123" s="331">
        <f t="shared" si="21"/>
        <v>114</v>
      </c>
      <c r="B123" s="59" t="str">
        <f t="shared" si="40"/>
        <v>54E</v>
      </c>
      <c r="C123" s="140" t="s">
        <v>155</v>
      </c>
      <c r="D123" s="140">
        <v>200</v>
      </c>
      <c r="E123" s="97">
        <f t="shared" si="37"/>
        <v>5.07</v>
      </c>
      <c r="F123" s="356">
        <f t="shared" si="38"/>
        <v>-0.01</v>
      </c>
      <c r="G123" s="357">
        <v>7809</v>
      </c>
      <c r="H123" s="324">
        <f t="shared" si="39"/>
        <v>39592</v>
      </c>
      <c r="I123" s="324">
        <f t="shared" si="39"/>
        <v>-78</v>
      </c>
      <c r="K123" s="331"/>
      <c r="L123" s="363">
        <v>2.02</v>
      </c>
      <c r="M123" s="363">
        <v>3.05</v>
      </c>
    </row>
    <row r="124" spans="1:13" x14ac:dyDescent="0.2">
      <c r="A124" s="331">
        <f t="shared" si="21"/>
        <v>115</v>
      </c>
      <c r="B124" s="59" t="str">
        <f t="shared" si="40"/>
        <v>54E</v>
      </c>
      <c r="C124" s="140" t="s">
        <v>155</v>
      </c>
      <c r="D124" s="140">
        <v>250</v>
      </c>
      <c r="E124" s="97">
        <f t="shared" si="37"/>
        <v>6.34</v>
      </c>
      <c r="F124" s="356">
        <f t="shared" si="38"/>
        <v>-0.01</v>
      </c>
      <c r="G124" s="357">
        <v>18070</v>
      </c>
      <c r="H124" s="324">
        <f t="shared" si="39"/>
        <v>114564</v>
      </c>
      <c r="I124" s="324">
        <f t="shared" si="39"/>
        <v>-181</v>
      </c>
      <c r="K124" s="331"/>
      <c r="L124" s="363">
        <v>2.52</v>
      </c>
      <c r="M124" s="363">
        <v>3.82</v>
      </c>
    </row>
    <row r="125" spans="1:13" x14ac:dyDescent="0.2">
      <c r="A125" s="331">
        <f t="shared" si="21"/>
        <v>116</v>
      </c>
      <c r="B125" s="59" t="str">
        <f t="shared" si="40"/>
        <v>54E</v>
      </c>
      <c r="C125" s="140" t="s">
        <v>155</v>
      </c>
      <c r="D125" s="140">
        <v>310</v>
      </c>
      <c r="E125" s="97">
        <f t="shared" si="37"/>
        <v>7.86</v>
      </c>
      <c r="F125" s="356">
        <f t="shared" si="38"/>
        <v>-0.02</v>
      </c>
      <c r="G125" s="357">
        <v>925</v>
      </c>
      <c r="H125" s="324">
        <f t="shared" si="39"/>
        <v>7271</v>
      </c>
      <c r="I125" s="324">
        <f t="shared" si="39"/>
        <v>-19</v>
      </c>
      <c r="K125" s="331"/>
      <c r="L125" s="363">
        <v>3.13</v>
      </c>
      <c r="M125" s="363">
        <v>4.7300000000000004</v>
      </c>
    </row>
    <row r="126" spans="1:13" x14ac:dyDescent="0.2">
      <c r="A126" s="331">
        <f t="shared" si="21"/>
        <v>117</v>
      </c>
      <c r="B126" s="59" t="str">
        <f t="shared" si="40"/>
        <v>54E</v>
      </c>
      <c r="C126" s="140" t="s">
        <v>155</v>
      </c>
      <c r="D126" s="140">
        <v>400</v>
      </c>
      <c r="E126" s="97">
        <f t="shared" si="37"/>
        <v>10.15</v>
      </c>
      <c r="F126" s="356">
        <f t="shared" si="38"/>
        <v>-0.02</v>
      </c>
      <c r="G126" s="357">
        <v>8663</v>
      </c>
      <c r="H126" s="324">
        <f t="shared" si="39"/>
        <v>87929</v>
      </c>
      <c r="I126" s="324">
        <f t="shared" si="39"/>
        <v>-173</v>
      </c>
      <c r="K126" s="331"/>
      <c r="L126" s="363">
        <v>4.04</v>
      </c>
      <c r="M126" s="363">
        <v>6.11</v>
      </c>
    </row>
    <row r="127" spans="1:13" x14ac:dyDescent="0.2">
      <c r="A127" s="331">
        <f t="shared" si="21"/>
        <v>118</v>
      </c>
      <c r="B127" s="59" t="str">
        <f t="shared" si="40"/>
        <v>54E</v>
      </c>
      <c r="C127" s="140" t="s">
        <v>155</v>
      </c>
      <c r="D127" s="140">
        <v>1000</v>
      </c>
      <c r="E127" s="97">
        <f t="shared" si="37"/>
        <v>25.36</v>
      </c>
      <c r="F127" s="356">
        <f t="shared" si="38"/>
        <v>-0.05</v>
      </c>
      <c r="G127" s="357">
        <v>132</v>
      </c>
      <c r="H127" s="324">
        <f t="shared" si="39"/>
        <v>3348</v>
      </c>
      <c r="I127" s="324">
        <f t="shared" si="39"/>
        <v>-7</v>
      </c>
      <c r="K127" s="331"/>
      <c r="L127" s="363">
        <v>10.09</v>
      </c>
      <c r="M127" s="363">
        <v>15.27</v>
      </c>
    </row>
    <row r="128" spans="1:13" x14ac:dyDescent="0.2">
      <c r="A128" s="331">
        <f t="shared" si="21"/>
        <v>119</v>
      </c>
      <c r="B128" s="62"/>
      <c r="C128" s="140"/>
      <c r="D128" s="140"/>
      <c r="E128" s="97"/>
      <c r="F128" s="347"/>
      <c r="G128" s="357"/>
      <c r="H128" s="289"/>
      <c r="I128" s="289"/>
      <c r="K128" s="331"/>
      <c r="L128" s="363"/>
      <c r="M128" s="363"/>
    </row>
    <row r="129" spans="1:13" x14ac:dyDescent="0.2">
      <c r="A129" s="331">
        <f t="shared" si="21"/>
        <v>120</v>
      </c>
      <c r="B129" s="62"/>
      <c r="C129" s="140"/>
      <c r="D129" s="140"/>
      <c r="E129" s="97"/>
      <c r="F129" s="347"/>
      <c r="G129" s="357"/>
      <c r="H129" s="289"/>
      <c r="I129" s="289"/>
      <c r="K129" s="331"/>
      <c r="L129" s="363"/>
      <c r="M129" s="363"/>
    </row>
    <row r="130" spans="1:13" x14ac:dyDescent="0.2">
      <c r="A130" s="331">
        <f t="shared" si="21"/>
        <v>121</v>
      </c>
      <c r="B130" s="59" t="str">
        <f>+B127</f>
        <v>54E</v>
      </c>
      <c r="C130" s="140" t="s">
        <v>391</v>
      </c>
      <c r="D130" s="362" t="s">
        <v>466</v>
      </c>
      <c r="E130" s="97">
        <f t="shared" ref="E130:E138" si="41">SUM(L130:M130)</f>
        <v>1.1399999999999999</v>
      </c>
      <c r="F130" s="356">
        <f t="shared" ref="F130:F138" si="42">ROUND(+E130*$J$10,2)</f>
        <v>0</v>
      </c>
      <c r="G130" s="357">
        <v>20118</v>
      </c>
      <c r="H130" s="324">
        <f t="shared" ref="H130:I138" si="43">ROUND($G130*E130,0)</f>
        <v>22935</v>
      </c>
      <c r="I130" s="324">
        <f t="shared" si="43"/>
        <v>0</v>
      </c>
      <c r="K130" s="331"/>
      <c r="L130" s="363">
        <v>0.45</v>
      </c>
      <c r="M130" s="363">
        <v>0.69</v>
      </c>
    </row>
    <row r="131" spans="1:13" x14ac:dyDescent="0.2">
      <c r="A131" s="331">
        <f t="shared" si="21"/>
        <v>122</v>
      </c>
      <c r="B131" s="59" t="str">
        <f t="shared" ref="B131:B138" si="44">+B130</f>
        <v>54E</v>
      </c>
      <c r="C131" s="140" t="s">
        <v>391</v>
      </c>
      <c r="D131" s="360" t="s">
        <v>392</v>
      </c>
      <c r="E131" s="97">
        <f t="shared" si="41"/>
        <v>1.91</v>
      </c>
      <c r="F131" s="356">
        <f t="shared" si="42"/>
        <v>0</v>
      </c>
      <c r="G131" s="357">
        <v>1729</v>
      </c>
      <c r="H131" s="324">
        <f t="shared" si="43"/>
        <v>3302</v>
      </c>
      <c r="I131" s="324">
        <f t="shared" si="43"/>
        <v>0</v>
      </c>
      <c r="K131" s="331"/>
      <c r="L131" s="363">
        <v>0.76</v>
      </c>
      <c r="M131" s="363">
        <v>1.1499999999999999</v>
      </c>
    </row>
    <row r="132" spans="1:13" x14ac:dyDescent="0.2">
      <c r="A132" s="331">
        <f t="shared" si="21"/>
        <v>123</v>
      </c>
      <c r="B132" s="59" t="str">
        <f t="shared" si="44"/>
        <v>54E</v>
      </c>
      <c r="C132" s="140" t="s">
        <v>391</v>
      </c>
      <c r="D132" s="360" t="s">
        <v>393</v>
      </c>
      <c r="E132" s="97">
        <f t="shared" si="41"/>
        <v>2.66</v>
      </c>
      <c r="F132" s="356">
        <f t="shared" si="42"/>
        <v>-0.01</v>
      </c>
      <c r="G132" s="357">
        <v>20220</v>
      </c>
      <c r="H132" s="324">
        <f t="shared" si="43"/>
        <v>53785</v>
      </c>
      <c r="I132" s="324">
        <f t="shared" si="43"/>
        <v>-202</v>
      </c>
      <c r="K132" s="331"/>
      <c r="L132" s="363">
        <v>1.06</v>
      </c>
      <c r="M132" s="363">
        <v>1.6</v>
      </c>
    </row>
    <row r="133" spans="1:13" x14ac:dyDescent="0.2">
      <c r="A133" s="331">
        <f t="shared" si="21"/>
        <v>124</v>
      </c>
      <c r="B133" s="59" t="str">
        <f t="shared" si="44"/>
        <v>54E</v>
      </c>
      <c r="C133" s="140" t="s">
        <v>391</v>
      </c>
      <c r="D133" s="360" t="s">
        <v>394</v>
      </c>
      <c r="E133" s="97">
        <f t="shared" si="41"/>
        <v>3.42</v>
      </c>
      <c r="F133" s="356">
        <f t="shared" si="42"/>
        <v>-0.01</v>
      </c>
      <c r="G133" s="357">
        <v>9552</v>
      </c>
      <c r="H133" s="324">
        <f t="shared" si="43"/>
        <v>32668</v>
      </c>
      <c r="I133" s="324">
        <f t="shared" si="43"/>
        <v>-96</v>
      </c>
      <c r="K133" s="331"/>
      <c r="L133" s="363">
        <v>1.36</v>
      </c>
      <c r="M133" s="363">
        <v>2.06</v>
      </c>
    </row>
    <row r="134" spans="1:13" x14ac:dyDescent="0.2">
      <c r="A134" s="331">
        <f t="shared" si="21"/>
        <v>125</v>
      </c>
      <c r="B134" s="59" t="str">
        <f t="shared" si="44"/>
        <v>54E</v>
      </c>
      <c r="C134" s="140" t="s">
        <v>391</v>
      </c>
      <c r="D134" s="360" t="s">
        <v>395</v>
      </c>
      <c r="E134" s="97">
        <f t="shared" si="41"/>
        <v>4.1899999999999995</v>
      </c>
      <c r="F134" s="356">
        <f t="shared" si="42"/>
        <v>-0.01</v>
      </c>
      <c r="G134" s="357">
        <v>7245</v>
      </c>
      <c r="H134" s="324">
        <f t="shared" si="43"/>
        <v>30357</v>
      </c>
      <c r="I134" s="324">
        <f t="shared" si="43"/>
        <v>-72</v>
      </c>
      <c r="K134" s="331"/>
      <c r="L134" s="363">
        <v>1.67</v>
      </c>
      <c r="M134" s="363">
        <v>2.52</v>
      </c>
    </row>
    <row r="135" spans="1:13" x14ac:dyDescent="0.2">
      <c r="A135" s="331">
        <f t="shared" si="21"/>
        <v>126</v>
      </c>
      <c r="B135" s="59" t="str">
        <f t="shared" si="44"/>
        <v>54E</v>
      </c>
      <c r="C135" s="140" t="s">
        <v>391</v>
      </c>
      <c r="D135" s="360" t="s">
        <v>396</v>
      </c>
      <c r="E135" s="97">
        <f t="shared" si="41"/>
        <v>4.95</v>
      </c>
      <c r="F135" s="356">
        <f t="shared" si="42"/>
        <v>-0.01</v>
      </c>
      <c r="G135" s="357">
        <v>132</v>
      </c>
      <c r="H135" s="324">
        <f t="shared" si="43"/>
        <v>653</v>
      </c>
      <c r="I135" s="324">
        <f t="shared" si="43"/>
        <v>-1</v>
      </c>
      <c r="K135" s="331"/>
      <c r="L135" s="363">
        <v>1.97</v>
      </c>
      <c r="M135" s="363">
        <v>2.98</v>
      </c>
    </row>
    <row r="136" spans="1:13" x14ac:dyDescent="0.2">
      <c r="A136" s="331">
        <f t="shared" si="21"/>
        <v>127</v>
      </c>
      <c r="B136" s="59" t="str">
        <f t="shared" si="44"/>
        <v>54E</v>
      </c>
      <c r="C136" s="140" t="s">
        <v>391</v>
      </c>
      <c r="D136" s="360" t="s">
        <v>397</v>
      </c>
      <c r="E136" s="97">
        <f t="shared" si="41"/>
        <v>5.71</v>
      </c>
      <c r="F136" s="356">
        <f t="shared" si="42"/>
        <v>-0.01</v>
      </c>
      <c r="G136" s="357">
        <v>36</v>
      </c>
      <c r="H136" s="324">
        <f t="shared" si="43"/>
        <v>206</v>
      </c>
      <c r="I136" s="324">
        <f t="shared" si="43"/>
        <v>0</v>
      </c>
      <c r="K136" s="331"/>
      <c r="L136" s="363">
        <v>2.27</v>
      </c>
      <c r="M136" s="363">
        <v>3.44</v>
      </c>
    </row>
    <row r="137" spans="1:13" x14ac:dyDescent="0.2">
      <c r="A137" s="331">
        <f t="shared" si="21"/>
        <v>128</v>
      </c>
      <c r="B137" s="59" t="str">
        <f t="shared" si="44"/>
        <v>54E</v>
      </c>
      <c r="C137" s="140" t="s">
        <v>391</v>
      </c>
      <c r="D137" s="360" t="s">
        <v>398</v>
      </c>
      <c r="E137" s="97">
        <f t="shared" si="41"/>
        <v>6.46</v>
      </c>
      <c r="F137" s="356">
        <f t="shared" si="42"/>
        <v>-0.01</v>
      </c>
      <c r="G137" s="357">
        <v>0</v>
      </c>
      <c r="H137" s="324">
        <f t="shared" si="43"/>
        <v>0</v>
      </c>
      <c r="I137" s="324">
        <f t="shared" si="43"/>
        <v>0</v>
      </c>
      <c r="K137" s="331"/>
      <c r="L137" s="363">
        <v>2.57</v>
      </c>
      <c r="M137" s="363">
        <v>3.89</v>
      </c>
    </row>
    <row r="138" spans="1:13" x14ac:dyDescent="0.2">
      <c r="A138" s="331">
        <f t="shared" si="21"/>
        <v>129</v>
      </c>
      <c r="B138" s="59" t="str">
        <f t="shared" si="44"/>
        <v>54E</v>
      </c>
      <c r="C138" s="140" t="s">
        <v>391</v>
      </c>
      <c r="D138" s="360" t="s">
        <v>399</v>
      </c>
      <c r="E138" s="97">
        <f t="shared" si="41"/>
        <v>7.2299999999999995</v>
      </c>
      <c r="F138" s="356">
        <f t="shared" si="42"/>
        <v>-0.01</v>
      </c>
      <c r="G138" s="357">
        <v>0</v>
      </c>
      <c r="H138" s="324">
        <f t="shared" si="43"/>
        <v>0</v>
      </c>
      <c r="I138" s="324">
        <f t="shared" si="43"/>
        <v>0</v>
      </c>
      <c r="K138" s="331"/>
      <c r="L138" s="363">
        <v>2.88</v>
      </c>
      <c r="M138" s="363">
        <v>4.3499999999999996</v>
      </c>
    </row>
    <row r="139" spans="1:13" x14ac:dyDescent="0.2">
      <c r="A139" s="331">
        <f t="shared" si="21"/>
        <v>130</v>
      </c>
      <c r="B139" s="62"/>
      <c r="C139" s="140"/>
      <c r="D139" s="140"/>
      <c r="E139" s="97"/>
      <c r="F139" s="347"/>
      <c r="G139" s="357"/>
      <c r="H139" s="289"/>
      <c r="I139" s="289"/>
      <c r="K139" s="331"/>
      <c r="L139" s="363"/>
      <c r="M139" s="363"/>
    </row>
    <row r="140" spans="1:13" x14ac:dyDescent="0.2">
      <c r="A140" s="331">
        <f t="shared" ref="A140:A200" si="45">+A139+1</f>
        <v>131</v>
      </c>
      <c r="B140" s="48" t="s">
        <v>408</v>
      </c>
      <c r="C140" s="140"/>
      <c r="D140" s="140"/>
      <c r="E140" s="97"/>
      <c r="F140" s="347"/>
      <c r="G140" s="357"/>
      <c r="H140" s="289"/>
      <c r="I140" s="289"/>
      <c r="K140" s="331"/>
      <c r="L140" s="363"/>
      <c r="M140" s="363"/>
    </row>
    <row r="141" spans="1:13" x14ac:dyDescent="0.2">
      <c r="A141" s="331">
        <f t="shared" si="45"/>
        <v>132</v>
      </c>
      <c r="B141" s="59" t="s">
        <v>409</v>
      </c>
      <c r="C141" s="140" t="s">
        <v>155</v>
      </c>
      <c r="D141" s="140">
        <v>70</v>
      </c>
      <c r="E141" s="97">
        <f t="shared" ref="E141:E146" si="46">SUM(L141:M141)</f>
        <v>1.81</v>
      </c>
      <c r="F141" s="356">
        <f t="shared" ref="F141:F146" si="47">ROUND(+E141*$J$10,2)</f>
        <v>0</v>
      </c>
      <c r="G141" s="357">
        <v>214</v>
      </c>
      <c r="H141" s="324">
        <f t="shared" ref="H141:I146" si="48">ROUND($G141*E141,0)</f>
        <v>387</v>
      </c>
      <c r="I141" s="324">
        <f t="shared" si="48"/>
        <v>0</v>
      </c>
      <c r="K141" s="331"/>
      <c r="L141" s="363">
        <v>0.74</v>
      </c>
      <c r="M141" s="363">
        <v>1.07</v>
      </c>
    </row>
    <row r="142" spans="1:13" x14ac:dyDescent="0.2">
      <c r="A142" s="331">
        <f t="shared" si="45"/>
        <v>133</v>
      </c>
      <c r="B142" s="62" t="str">
        <f>+B141</f>
        <v>55E &amp; 56E</v>
      </c>
      <c r="C142" s="140" t="s">
        <v>155</v>
      </c>
      <c r="D142" s="140">
        <v>100</v>
      </c>
      <c r="E142" s="97">
        <f t="shared" si="46"/>
        <v>2.58</v>
      </c>
      <c r="F142" s="356">
        <f t="shared" si="47"/>
        <v>-0.01</v>
      </c>
      <c r="G142" s="357">
        <v>45699</v>
      </c>
      <c r="H142" s="324">
        <f t="shared" si="48"/>
        <v>117903</v>
      </c>
      <c r="I142" s="324">
        <f t="shared" si="48"/>
        <v>-457</v>
      </c>
      <c r="K142" s="331"/>
      <c r="L142" s="363">
        <v>1.05</v>
      </c>
      <c r="M142" s="363">
        <v>1.53</v>
      </c>
    </row>
    <row r="143" spans="1:13" x14ac:dyDescent="0.2">
      <c r="A143" s="331">
        <f t="shared" si="45"/>
        <v>134</v>
      </c>
      <c r="B143" s="62" t="str">
        <f>+B142</f>
        <v>55E &amp; 56E</v>
      </c>
      <c r="C143" s="140" t="s">
        <v>155</v>
      </c>
      <c r="D143" s="140">
        <v>150</v>
      </c>
      <c r="E143" s="97">
        <f t="shared" si="46"/>
        <v>3.87</v>
      </c>
      <c r="F143" s="356">
        <f t="shared" si="47"/>
        <v>-0.01</v>
      </c>
      <c r="G143" s="357">
        <v>6121</v>
      </c>
      <c r="H143" s="324">
        <f t="shared" si="48"/>
        <v>23688</v>
      </c>
      <c r="I143" s="324">
        <f t="shared" si="48"/>
        <v>-61</v>
      </c>
      <c r="K143" s="331"/>
      <c r="L143" s="363">
        <v>1.58</v>
      </c>
      <c r="M143" s="363">
        <v>2.29</v>
      </c>
    </row>
    <row r="144" spans="1:13" x14ac:dyDescent="0.2">
      <c r="A144" s="331">
        <f t="shared" si="45"/>
        <v>135</v>
      </c>
      <c r="B144" s="62" t="str">
        <f>+B143</f>
        <v>55E &amp; 56E</v>
      </c>
      <c r="C144" s="140" t="s">
        <v>155</v>
      </c>
      <c r="D144" s="140">
        <v>200</v>
      </c>
      <c r="E144" s="97">
        <f t="shared" si="46"/>
        <v>5.15</v>
      </c>
      <c r="F144" s="356">
        <f t="shared" si="47"/>
        <v>-0.01</v>
      </c>
      <c r="G144" s="357">
        <v>13115</v>
      </c>
      <c r="H144" s="324">
        <f t="shared" si="48"/>
        <v>67542</v>
      </c>
      <c r="I144" s="324">
        <f t="shared" si="48"/>
        <v>-131</v>
      </c>
      <c r="K144" s="331"/>
      <c r="L144" s="363">
        <v>2.1</v>
      </c>
      <c r="M144" s="363">
        <v>3.05</v>
      </c>
    </row>
    <row r="145" spans="1:13" x14ac:dyDescent="0.2">
      <c r="A145" s="331">
        <f t="shared" si="45"/>
        <v>136</v>
      </c>
      <c r="B145" s="62" t="str">
        <f>+B144</f>
        <v>55E &amp; 56E</v>
      </c>
      <c r="C145" s="140" t="s">
        <v>155</v>
      </c>
      <c r="D145" s="140">
        <v>250</v>
      </c>
      <c r="E145" s="97">
        <f t="shared" si="46"/>
        <v>6.4499999999999993</v>
      </c>
      <c r="F145" s="356">
        <f t="shared" si="47"/>
        <v>-0.01</v>
      </c>
      <c r="G145" s="357">
        <v>1409</v>
      </c>
      <c r="H145" s="324">
        <f t="shared" si="48"/>
        <v>9088</v>
      </c>
      <c r="I145" s="324">
        <f t="shared" si="48"/>
        <v>-14</v>
      </c>
      <c r="K145" s="331"/>
      <c r="L145" s="363">
        <v>2.63</v>
      </c>
      <c r="M145" s="363">
        <v>3.82</v>
      </c>
    </row>
    <row r="146" spans="1:13" x14ac:dyDescent="0.2">
      <c r="A146" s="331">
        <f t="shared" si="45"/>
        <v>137</v>
      </c>
      <c r="B146" s="62" t="str">
        <f>+B145</f>
        <v>55E &amp; 56E</v>
      </c>
      <c r="C146" s="140" t="s">
        <v>155</v>
      </c>
      <c r="D146" s="140">
        <v>400</v>
      </c>
      <c r="E146" s="97">
        <f t="shared" si="46"/>
        <v>10.31</v>
      </c>
      <c r="F146" s="356">
        <f t="shared" si="47"/>
        <v>-0.02</v>
      </c>
      <c r="G146" s="357">
        <v>581</v>
      </c>
      <c r="H146" s="324">
        <f t="shared" si="48"/>
        <v>5990</v>
      </c>
      <c r="I146" s="324">
        <f t="shared" si="48"/>
        <v>-12</v>
      </c>
      <c r="K146" s="331"/>
      <c r="L146" s="363">
        <v>4.2</v>
      </c>
      <c r="M146" s="363">
        <v>6.11</v>
      </c>
    </row>
    <row r="147" spans="1:13" x14ac:dyDescent="0.2">
      <c r="A147" s="331">
        <f t="shared" si="45"/>
        <v>138</v>
      </c>
      <c r="B147" s="62"/>
      <c r="C147" s="140"/>
      <c r="D147" s="140"/>
      <c r="E147" s="97"/>
      <c r="F147" s="347"/>
      <c r="G147" s="357"/>
      <c r="H147" s="289"/>
      <c r="I147" s="289"/>
      <c r="K147" s="331"/>
      <c r="L147" s="363"/>
      <c r="M147" s="363"/>
    </row>
    <row r="148" spans="1:13" x14ac:dyDescent="0.2">
      <c r="A148" s="331">
        <f t="shared" si="45"/>
        <v>139</v>
      </c>
      <c r="B148" s="62" t="str">
        <f>+B146</f>
        <v>55E &amp; 56E</v>
      </c>
      <c r="C148" s="140" t="s">
        <v>402</v>
      </c>
      <c r="D148" s="140">
        <v>250</v>
      </c>
      <c r="E148" s="97">
        <f>SUM(L148:M148)</f>
        <v>6.4499999999999993</v>
      </c>
      <c r="F148" s="356">
        <f>ROUND(+E148*$J$10,2)</f>
        <v>-0.01</v>
      </c>
      <c r="G148" s="357">
        <v>72</v>
      </c>
      <c r="H148" s="324">
        <f>ROUND($G148*E148,0)</f>
        <v>464</v>
      </c>
      <c r="I148" s="324">
        <f>ROUND($G148*F148,0)</f>
        <v>-1</v>
      </c>
      <c r="K148" s="331"/>
      <c r="L148" s="363">
        <v>2.63</v>
      </c>
      <c r="M148" s="363">
        <v>3.82</v>
      </c>
    </row>
    <row r="149" spans="1:13" x14ac:dyDescent="0.2">
      <c r="A149" s="331">
        <f t="shared" si="45"/>
        <v>140</v>
      </c>
      <c r="B149" s="62"/>
      <c r="C149" s="140"/>
      <c r="D149" s="140"/>
      <c r="E149" s="97"/>
      <c r="F149" s="347"/>
      <c r="G149" s="357"/>
      <c r="H149" s="289"/>
      <c r="I149" s="289"/>
      <c r="K149" s="331"/>
      <c r="L149" s="363"/>
      <c r="M149" s="363"/>
    </row>
    <row r="150" spans="1:13" x14ac:dyDescent="0.2">
      <c r="A150" s="331">
        <f t="shared" si="45"/>
        <v>141</v>
      </c>
      <c r="B150" s="62" t="s">
        <v>409</v>
      </c>
      <c r="C150" s="140" t="s">
        <v>391</v>
      </c>
      <c r="D150" s="362" t="s">
        <v>466</v>
      </c>
      <c r="E150" s="97">
        <f t="shared" ref="E150:E158" si="49">SUM(L150:M150)</f>
        <v>1.1599999999999999</v>
      </c>
      <c r="F150" s="356">
        <f t="shared" ref="F150:F158" si="50">ROUND(+E150*$J$10,2)</f>
        <v>0</v>
      </c>
      <c r="G150" s="357">
        <v>5814</v>
      </c>
      <c r="H150" s="324">
        <f t="shared" ref="H150:I158" si="51">ROUND($G150*E150,0)</f>
        <v>6744</v>
      </c>
      <c r="I150" s="324">
        <f t="shared" si="51"/>
        <v>0</v>
      </c>
      <c r="K150" s="331"/>
      <c r="L150" s="363">
        <v>0.47</v>
      </c>
      <c r="M150" s="363">
        <v>0.69</v>
      </c>
    </row>
    <row r="151" spans="1:13" x14ac:dyDescent="0.2">
      <c r="A151" s="331">
        <f t="shared" si="45"/>
        <v>142</v>
      </c>
      <c r="B151" s="62" t="s">
        <v>409</v>
      </c>
      <c r="C151" s="140" t="s">
        <v>391</v>
      </c>
      <c r="D151" s="360" t="s">
        <v>392</v>
      </c>
      <c r="E151" s="97">
        <f t="shared" si="49"/>
        <v>1.94</v>
      </c>
      <c r="F151" s="356">
        <f t="shared" si="50"/>
        <v>0</v>
      </c>
      <c r="G151" s="357">
        <v>5</v>
      </c>
      <c r="H151" s="324">
        <f t="shared" si="51"/>
        <v>10</v>
      </c>
      <c r="I151" s="324">
        <f t="shared" si="51"/>
        <v>0</v>
      </c>
      <c r="K151" s="331"/>
      <c r="L151" s="363">
        <v>0.79</v>
      </c>
      <c r="M151" s="363">
        <v>1.1499999999999999</v>
      </c>
    </row>
    <row r="152" spans="1:13" x14ac:dyDescent="0.2">
      <c r="A152" s="331">
        <f t="shared" si="45"/>
        <v>143</v>
      </c>
      <c r="B152" s="62" t="s">
        <v>409</v>
      </c>
      <c r="C152" s="140" t="s">
        <v>391</v>
      </c>
      <c r="D152" s="360" t="s">
        <v>393</v>
      </c>
      <c r="E152" s="97">
        <f t="shared" si="49"/>
        <v>2.7</v>
      </c>
      <c r="F152" s="356">
        <f t="shared" si="50"/>
        <v>-0.01</v>
      </c>
      <c r="G152" s="357">
        <v>1411</v>
      </c>
      <c r="H152" s="324">
        <f t="shared" si="51"/>
        <v>3810</v>
      </c>
      <c r="I152" s="324">
        <f t="shared" si="51"/>
        <v>-14</v>
      </c>
      <c r="K152" s="331"/>
      <c r="L152" s="363">
        <v>1.1000000000000001</v>
      </c>
      <c r="M152" s="363">
        <v>1.6</v>
      </c>
    </row>
    <row r="153" spans="1:13" x14ac:dyDescent="0.2">
      <c r="A153" s="331">
        <f t="shared" si="45"/>
        <v>144</v>
      </c>
      <c r="B153" s="62" t="s">
        <v>409</v>
      </c>
      <c r="C153" s="140" t="s">
        <v>391</v>
      </c>
      <c r="D153" s="360" t="s">
        <v>394</v>
      </c>
      <c r="E153" s="97">
        <f t="shared" si="49"/>
        <v>3.48</v>
      </c>
      <c r="F153" s="356">
        <f t="shared" si="50"/>
        <v>-0.01</v>
      </c>
      <c r="G153" s="357">
        <v>0</v>
      </c>
      <c r="H153" s="324">
        <f t="shared" si="51"/>
        <v>0</v>
      </c>
      <c r="I153" s="324">
        <f t="shared" si="51"/>
        <v>0</v>
      </c>
      <c r="K153" s="331"/>
      <c r="L153" s="363">
        <v>1.42</v>
      </c>
      <c r="M153" s="363">
        <v>2.06</v>
      </c>
    </row>
    <row r="154" spans="1:13" x14ac:dyDescent="0.2">
      <c r="A154" s="331">
        <f t="shared" si="45"/>
        <v>145</v>
      </c>
      <c r="B154" s="62" t="s">
        <v>409</v>
      </c>
      <c r="C154" s="140" t="s">
        <v>391</v>
      </c>
      <c r="D154" s="360" t="s">
        <v>395</v>
      </c>
      <c r="E154" s="97">
        <f t="shared" si="49"/>
        <v>4.25</v>
      </c>
      <c r="F154" s="356">
        <f t="shared" si="50"/>
        <v>-0.01</v>
      </c>
      <c r="G154" s="357">
        <v>0</v>
      </c>
      <c r="H154" s="324">
        <f t="shared" si="51"/>
        <v>0</v>
      </c>
      <c r="I154" s="324">
        <f t="shared" si="51"/>
        <v>0</v>
      </c>
      <c r="K154" s="331"/>
      <c r="L154" s="363">
        <v>1.73</v>
      </c>
      <c r="M154" s="363">
        <v>2.52</v>
      </c>
    </row>
    <row r="155" spans="1:13" x14ac:dyDescent="0.2">
      <c r="A155" s="331">
        <f t="shared" si="45"/>
        <v>146</v>
      </c>
      <c r="B155" s="62" t="s">
        <v>409</v>
      </c>
      <c r="C155" s="140" t="s">
        <v>391</v>
      </c>
      <c r="D155" s="360" t="s">
        <v>396</v>
      </c>
      <c r="E155" s="97">
        <f t="shared" si="49"/>
        <v>5.0299999999999994</v>
      </c>
      <c r="F155" s="356">
        <f t="shared" si="50"/>
        <v>-0.01</v>
      </c>
      <c r="G155" s="357">
        <v>0</v>
      </c>
      <c r="H155" s="324">
        <f t="shared" si="51"/>
        <v>0</v>
      </c>
      <c r="I155" s="324">
        <f t="shared" si="51"/>
        <v>0</v>
      </c>
      <c r="K155" s="331"/>
      <c r="L155" s="363">
        <v>2.0499999999999998</v>
      </c>
      <c r="M155" s="363">
        <v>2.98</v>
      </c>
    </row>
    <row r="156" spans="1:13" x14ac:dyDescent="0.2">
      <c r="A156" s="331">
        <f t="shared" si="45"/>
        <v>147</v>
      </c>
      <c r="B156" s="62" t="s">
        <v>409</v>
      </c>
      <c r="C156" s="140" t="s">
        <v>391</v>
      </c>
      <c r="D156" s="360" t="s">
        <v>397</v>
      </c>
      <c r="E156" s="97">
        <f t="shared" si="49"/>
        <v>5.8</v>
      </c>
      <c r="F156" s="356">
        <f t="shared" si="50"/>
        <v>-0.01</v>
      </c>
      <c r="G156" s="357">
        <v>0</v>
      </c>
      <c r="H156" s="324">
        <f t="shared" si="51"/>
        <v>0</v>
      </c>
      <c r="I156" s="324">
        <f t="shared" si="51"/>
        <v>0</v>
      </c>
      <c r="K156" s="331"/>
      <c r="L156" s="363">
        <v>2.36</v>
      </c>
      <c r="M156" s="363">
        <v>3.44</v>
      </c>
    </row>
    <row r="157" spans="1:13" x14ac:dyDescent="0.2">
      <c r="A157" s="331">
        <f t="shared" si="45"/>
        <v>148</v>
      </c>
      <c r="B157" s="62" t="s">
        <v>409</v>
      </c>
      <c r="C157" s="140" t="s">
        <v>391</v>
      </c>
      <c r="D157" s="360" t="s">
        <v>398</v>
      </c>
      <c r="E157" s="97">
        <f t="shared" si="49"/>
        <v>6.57</v>
      </c>
      <c r="F157" s="356">
        <f t="shared" si="50"/>
        <v>-0.01</v>
      </c>
      <c r="G157" s="357">
        <v>0</v>
      </c>
      <c r="H157" s="324">
        <f t="shared" si="51"/>
        <v>0</v>
      </c>
      <c r="I157" s="324">
        <f t="shared" si="51"/>
        <v>0</v>
      </c>
      <c r="K157" s="331"/>
      <c r="L157" s="363">
        <v>2.68</v>
      </c>
      <c r="M157" s="363">
        <v>3.89</v>
      </c>
    </row>
    <row r="158" spans="1:13" x14ac:dyDescent="0.2">
      <c r="A158" s="331">
        <f t="shared" si="45"/>
        <v>149</v>
      </c>
      <c r="B158" s="62" t="s">
        <v>409</v>
      </c>
      <c r="C158" s="140" t="s">
        <v>391</v>
      </c>
      <c r="D158" s="360" t="s">
        <v>399</v>
      </c>
      <c r="E158" s="97">
        <f t="shared" si="49"/>
        <v>7.35</v>
      </c>
      <c r="F158" s="356">
        <f t="shared" si="50"/>
        <v>-0.01</v>
      </c>
      <c r="G158" s="357">
        <v>0</v>
      </c>
      <c r="H158" s="324">
        <f t="shared" si="51"/>
        <v>0</v>
      </c>
      <c r="I158" s="324">
        <f t="shared" si="51"/>
        <v>0</v>
      </c>
      <c r="K158" s="331"/>
      <c r="L158" s="363">
        <v>3</v>
      </c>
      <c r="M158" s="363">
        <v>4.3499999999999996</v>
      </c>
    </row>
    <row r="159" spans="1:13" x14ac:dyDescent="0.2">
      <c r="A159" s="331">
        <f t="shared" si="45"/>
        <v>150</v>
      </c>
      <c r="B159" s="62"/>
      <c r="C159" s="140"/>
      <c r="D159" s="140"/>
      <c r="E159" s="97"/>
      <c r="F159" s="347"/>
      <c r="G159" s="357"/>
      <c r="H159" s="289"/>
      <c r="I159" s="289"/>
      <c r="K159" s="331"/>
      <c r="L159" s="363"/>
      <c r="M159" s="363"/>
    </row>
    <row r="160" spans="1:13" x14ac:dyDescent="0.2">
      <c r="A160" s="331">
        <f t="shared" si="45"/>
        <v>151</v>
      </c>
      <c r="B160" s="48" t="s">
        <v>410</v>
      </c>
      <c r="C160" s="140"/>
      <c r="D160" s="140"/>
      <c r="E160" s="97"/>
      <c r="F160" s="347"/>
      <c r="G160" s="357"/>
      <c r="H160" s="289"/>
      <c r="I160" s="289"/>
      <c r="K160" s="331"/>
      <c r="L160" s="363"/>
      <c r="M160" s="363"/>
    </row>
    <row r="161" spans="1:13" x14ac:dyDescent="0.2">
      <c r="A161" s="331">
        <f t="shared" si="45"/>
        <v>152</v>
      </c>
      <c r="B161" s="62" t="s">
        <v>411</v>
      </c>
      <c r="C161" s="140" t="s">
        <v>412</v>
      </c>
      <c r="D161" s="140">
        <v>0</v>
      </c>
      <c r="E161" s="365">
        <f>SUM(L161:M161)</f>
        <v>3.823E-2</v>
      </c>
      <c r="F161" s="366">
        <f>ROUND(+E161*$J$10,5)</f>
        <v>-8.0000000000000007E-5</v>
      </c>
      <c r="G161" s="357">
        <v>12366286</v>
      </c>
      <c r="H161" s="324">
        <f>ROUND($G161*E161,0)</f>
        <v>472763</v>
      </c>
      <c r="I161" s="324">
        <f>ROUND($G161*F161,0)</f>
        <v>-989</v>
      </c>
      <c r="K161" s="331"/>
      <c r="L161" s="367">
        <v>6.3800000000000003E-3</v>
      </c>
      <c r="M161" s="367">
        <v>3.1850000000000003E-2</v>
      </c>
    </row>
    <row r="162" spans="1:13" x14ac:dyDescent="0.2">
      <c r="A162" s="331">
        <f t="shared" si="45"/>
        <v>153</v>
      </c>
      <c r="B162" s="62"/>
      <c r="C162" s="140"/>
      <c r="D162" s="140"/>
      <c r="E162" s="97"/>
      <c r="F162" s="347"/>
      <c r="G162" s="357"/>
      <c r="H162" s="289"/>
      <c r="I162" s="289"/>
      <c r="K162" s="331"/>
      <c r="L162" s="363"/>
      <c r="M162" s="363"/>
    </row>
    <row r="163" spans="1:13" x14ac:dyDescent="0.2">
      <c r="A163" s="331">
        <f t="shared" si="45"/>
        <v>154</v>
      </c>
      <c r="B163" s="48" t="s">
        <v>413</v>
      </c>
      <c r="C163" s="140"/>
      <c r="D163" s="140"/>
      <c r="E163" s="97"/>
      <c r="F163" s="347"/>
      <c r="G163" s="357"/>
      <c r="H163" s="289"/>
      <c r="I163" s="289"/>
      <c r="K163" s="331"/>
      <c r="L163" s="363"/>
      <c r="M163" s="363"/>
    </row>
    <row r="164" spans="1:13" x14ac:dyDescent="0.2">
      <c r="A164" s="331">
        <f t="shared" si="45"/>
        <v>155</v>
      </c>
      <c r="B164" s="59" t="s">
        <v>414</v>
      </c>
      <c r="C164" s="140" t="s">
        <v>155</v>
      </c>
      <c r="D164" s="140">
        <v>70</v>
      </c>
      <c r="E164" s="97">
        <f t="shared" ref="E164:E183" si="52">SUM(L164:M164)</f>
        <v>1.81</v>
      </c>
      <c r="F164" s="356">
        <f t="shared" ref="F164:F169" si="53">ROUND(+E164*$J$10,2)</f>
        <v>0</v>
      </c>
      <c r="G164" s="357">
        <v>682</v>
      </c>
      <c r="H164" s="324">
        <f t="shared" ref="H164:I169" si="54">ROUND($G164*E164,0)</f>
        <v>1234</v>
      </c>
      <c r="I164" s="324">
        <f t="shared" si="54"/>
        <v>0</v>
      </c>
      <c r="K164" s="331"/>
      <c r="L164" s="363">
        <v>0.74</v>
      </c>
      <c r="M164" s="363">
        <v>1.07</v>
      </c>
    </row>
    <row r="165" spans="1:13" x14ac:dyDescent="0.2">
      <c r="A165" s="331">
        <f t="shared" si="45"/>
        <v>156</v>
      </c>
      <c r="B165" s="62" t="str">
        <f>+B164</f>
        <v>58E &amp; 59E - Directional</v>
      </c>
      <c r="C165" s="140" t="s">
        <v>155</v>
      </c>
      <c r="D165" s="140">
        <v>100</v>
      </c>
      <c r="E165" s="97">
        <f t="shared" si="52"/>
        <v>2.58</v>
      </c>
      <c r="F165" s="356">
        <f t="shared" si="53"/>
        <v>-0.01</v>
      </c>
      <c r="G165" s="357">
        <v>132</v>
      </c>
      <c r="H165" s="324">
        <f t="shared" si="54"/>
        <v>341</v>
      </c>
      <c r="I165" s="324">
        <f t="shared" si="54"/>
        <v>-1</v>
      </c>
      <c r="K165" s="331"/>
      <c r="L165" s="363">
        <v>1.05</v>
      </c>
      <c r="M165" s="363">
        <v>1.53</v>
      </c>
    </row>
    <row r="166" spans="1:13" x14ac:dyDescent="0.2">
      <c r="A166" s="331">
        <f t="shared" si="45"/>
        <v>157</v>
      </c>
      <c r="B166" s="62" t="str">
        <f>+B165</f>
        <v>58E &amp; 59E - Directional</v>
      </c>
      <c r="C166" s="140" t="s">
        <v>155</v>
      </c>
      <c r="D166" s="140">
        <v>150</v>
      </c>
      <c r="E166" s="97">
        <f t="shared" si="52"/>
        <v>3.87</v>
      </c>
      <c r="F166" s="356">
        <f t="shared" si="53"/>
        <v>-0.01</v>
      </c>
      <c r="G166" s="357">
        <v>1942</v>
      </c>
      <c r="H166" s="324">
        <f t="shared" si="54"/>
        <v>7516</v>
      </c>
      <c r="I166" s="324">
        <f t="shared" si="54"/>
        <v>-19</v>
      </c>
      <c r="K166" s="331"/>
      <c r="L166" s="363">
        <v>1.58</v>
      </c>
      <c r="M166" s="363">
        <v>2.29</v>
      </c>
    </row>
    <row r="167" spans="1:13" x14ac:dyDescent="0.2">
      <c r="A167" s="331">
        <f t="shared" si="45"/>
        <v>158</v>
      </c>
      <c r="B167" s="62" t="str">
        <f>+B166</f>
        <v>58E &amp; 59E - Directional</v>
      </c>
      <c r="C167" s="140" t="s">
        <v>155</v>
      </c>
      <c r="D167" s="140">
        <v>200</v>
      </c>
      <c r="E167" s="97">
        <f t="shared" si="52"/>
        <v>5.15</v>
      </c>
      <c r="F167" s="356">
        <f t="shared" si="53"/>
        <v>-0.01</v>
      </c>
      <c r="G167" s="357">
        <v>3319</v>
      </c>
      <c r="H167" s="324">
        <f t="shared" si="54"/>
        <v>17093</v>
      </c>
      <c r="I167" s="324">
        <f t="shared" si="54"/>
        <v>-33</v>
      </c>
      <c r="K167" s="331"/>
      <c r="L167" s="363">
        <v>2.1</v>
      </c>
      <c r="M167" s="363">
        <v>3.05</v>
      </c>
    </row>
    <row r="168" spans="1:13" x14ac:dyDescent="0.2">
      <c r="A168" s="331">
        <f t="shared" si="45"/>
        <v>159</v>
      </c>
      <c r="B168" s="62" t="str">
        <f>+B167</f>
        <v>58E &amp; 59E - Directional</v>
      </c>
      <c r="C168" s="140" t="s">
        <v>155</v>
      </c>
      <c r="D168" s="140">
        <v>250</v>
      </c>
      <c r="E168" s="97">
        <f t="shared" si="52"/>
        <v>6.4499999999999993</v>
      </c>
      <c r="F168" s="356">
        <f t="shared" si="53"/>
        <v>-0.01</v>
      </c>
      <c r="G168" s="357">
        <v>468</v>
      </c>
      <c r="H168" s="324">
        <f t="shared" si="54"/>
        <v>3019</v>
      </c>
      <c r="I168" s="324">
        <f t="shared" si="54"/>
        <v>-5</v>
      </c>
      <c r="K168" s="331"/>
      <c r="L168" s="363">
        <v>2.63</v>
      </c>
      <c r="M168" s="363">
        <v>3.82</v>
      </c>
    </row>
    <row r="169" spans="1:13" x14ac:dyDescent="0.2">
      <c r="A169" s="331">
        <f t="shared" si="45"/>
        <v>160</v>
      </c>
      <c r="B169" s="62" t="str">
        <f>+B168</f>
        <v>58E &amp; 59E - Directional</v>
      </c>
      <c r="C169" s="140" t="s">
        <v>155</v>
      </c>
      <c r="D169" s="140">
        <v>400</v>
      </c>
      <c r="E169" s="97">
        <f t="shared" si="52"/>
        <v>10.31</v>
      </c>
      <c r="F169" s="356">
        <f t="shared" si="53"/>
        <v>-0.02</v>
      </c>
      <c r="G169" s="357">
        <v>4396</v>
      </c>
      <c r="H169" s="324">
        <f t="shared" si="54"/>
        <v>45323</v>
      </c>
      <c r="I169" s="324">
        <f t="shared" si="54"/>
        <v>-88</v>
      </c>
      <c r="K169" s="331"/>
      <c r="L169" s="363">
        <v>4.2</v>
      </c>
      <c r="M169" s="363">
        <v>6.11</v>
      </c>
    </row>
    <row r="170" spans="1:13" x14ac:dyDescent="0.2">
      <c r="A170" s="331">
        <f t="shared" si="45"/>
        <v>161</v>
      </c>
      <c r="B170" s="62"/>
      <c r="C170" s="140"/>
      <c r="D170" s="140"/>
      <c r="E170" s="97"/>
      <c r="F170" s="347"/>
      <c r="G170" s="357"/>
      <c r="H170" s="289"/>
      <c r="I170" s="289"/>
      <c r="K170" s="331"/>
      <c r="L170" s="363"/>
      <c r="M170" s="363"/>
    </row>
    <row r="171" spans="1:13" x14ac:dyDescent="0.2">
      <c r="A171" s="331">
        <f t="shared" si="45"/>
        <v>162</v>
      </c>
      <c r="B171" s="59" t="s">
        <v>415</v>
      </c>
      <c r="C171" s="140" t="s">
        <v>155</v>
      </c>
      <c r="D171" s="140">
        <v>100</v>
      </c>
      <c r="E171" s="97">
        <f t="shared" si="52"/>
        <v>2.58</v>
      </c>
      <c r="F171" s="356">
        <f>ROUND(+E171*$J$10,2)</f>
        <v>-0.01</v>
      </c>
      <c r="G171" s="357">
        <v>12</v>
      </c>
      <c r="H171" s="324">
        <f t="shared" ref="H171:I175" si="55">ROUND($G171*E171,0)</f>
        <v>31</v>
      </c>
      <c r="I171" s="324">
        <f t="shared" si="55"/>
        <v>0</v>
      </c>
      <c r="K171" s="331"/>
      <c r="L171" s="363">
        <v>1.05</v>
      </c>
      <c r="M171" s="363">
        <v>1.53</v>
      </c>
    </row>
    <row r="172" spans="1:13" x14ac:dyDescent="0.2">
      <c r="A172" s="331">
        <f t="shared" si="45"/>
        <v>163</v>
      </c>
      <c r="B172" s="62" t="str">
        <f>B171</f>
        <v>58E &amp; 59E - Horizontal</v>
      </c>
      <c r="C172" s="140" t="s">
        <v>155</v>
      </c>
      <c r="D172" s="140">
        <v>150</v>
      </c>
      <c r="E172" s="97">
        <f t="shared" si="52"/>
        <v>3.87</v>
      </c>
      <c r="F172" s="356">
        <f>ROUND(+E172*$J$10,2)</f>
        <v>-0.01</v>
      </c>
      <c r="G172" s="357">
        <v>209</v>
      </c>
      <c r="H172" s="324">
        <f t="shared" si="55"/>
        <v>809</v>
      </c>
      <c r="I172" s="324">
        <f t="shared" si="55"/>
        <v>-2</v>
      </c>
      <c r="K172" s="331"/>
      <c r="L172" s="363">
        <v>1.58</v>
      </c>
      <c r="M172" s="363">
        <v>2.29</v>
      </c>
    </row>
    <row r="173" spans="1:13" x14ac:dyDescent="0.2">
      <c r="A173" s="331">
        <f t="shared" si="45"/>
        <v>164</v>
      </c>
      <c r="B173" s="62" t="str">
        <f>B172</f>
        <v>58E &amp; 59E - Horizontal</v>
      </c>
      <c r="C173" s="140" t="s">
        <v>155</v>
      </c>
      <c r="D173" s="140">
        <v>200</v>
      </c>
      <c r="E173" s="97">
        <f t="shared" si="52"/>
        <v>5.15</v>
      </c>
      <c r="F173" s="356">
        <f>ROUND(+E173*$J$10,2)</f>
        <v>-0.01</v>
      </c>
      <c r="G173" s="357">
        <v>156</v>
      </c>
      <c r="H173" s="324">
        <f t="shared" si="55"/>
        <v>803</v>
      </c>
      <c r="I173" s="324">
        <f t="shared" si="55"/>
        <v>-2</v>
      </c>
      <c r="K173" s="331"/>
      <c r="L173" s="363">
        <v>2.1</v>
      </c>
      <c r="M173" s="363">
        <v>3.05</v>
      </c>
    </row>
    <row r="174" spans="1:13" x14ac:dyDescent="0.2">
      <c r="A174" s="331">
        <f t="shared" si="45"/>
        <v>165</v>
      </c>
      <c r="B174" s="62" t="str">
        <f>B173</f>
        <v>58E &amp; 59E - Horizontal</v>
      </c>
      <c r="C174" s="140" t="s">
        <v>155</v>
      </c>
      <c r="D174" s="140">
        <v>250</v>
      </c>
      <c r="E174" s="97">
        <f t="shared" si="52"/>
        <v>6.4499999999999993</v>
      </c>
      <c r="F174" s="356">
        <f>ROUND(+E174*$J$10,2)</f>
        <v>-0.01</v>
      </c>
      <c r="G174" s="357">
        <v>420</v>
      </c>
      <c r="H174" s="324">
        <f t="shared" si="55"/>
        <v>2709</v>
      </c>
      <c r="I174" s="324">
        <f t="shared" si="55"/>
        <v>-4</v>
      </c>
      <c r="K174" s="331"/>
      <c r="L174" s="363">
        <v>2.63</v>
      </c>
      <c r="M174" s="363">
        <v>3.82</v>
      </c>
    </row>
    <row r="175" spans="1:13" x14ac:dyDescent="0.2">
      <c r="A175" s="331">
        <f t="shared" si="45"/>
        <v>166</v>
      </c>
      <c r="B175" s="62" t="str">
        <f>B174</f>
        <v>58E &amp; 59E - Horizontal</v>
      </c>
      <c r="C175" s="140" t="s">
        <v>155</v>
      </c>
      <c r="D175" s="140">
        <v>400</v>
      </c>
      <c r="E175" s="97">
        <f t="shared" si="52"/>
        <v>10.31</v>
      </c>
      <c r="F175" s="356">
        <f>ROUND(+E175*$J$10,2)</f>
        <v>-0.02</v>
      </c>
      <c r="G175" s="357">
        <v>576</v>
      </c>
      <c r="H175" s="324">
        <f t="shared" si="55"/>
        <v>5939</v>
      </c>
      <c r="I175" s="324">
        <f t="shared" si="55"/>
        <v>-12</v>
      </c>
      <c r="K175" s="331"/>
      <c r="L175" s="363">
        <v>4.2</v>
      </c>
      <c r="M175" s="363">
        <v>6.11</v>
      </c>
    </row>
    <row r="176" spans="1:13" x14ac:dyDescent="0.2">
      <c r="A176" s="331">
        <f t="shared" si="45"/>
        <v>167</v>
      </c>
      <c r="B176" s="62"/>
      <c r="C176" s="140"/>
      <c r="D176" s="140"/>
      <c r="F176" s="347"/>
      <c r="G176" s="357"/>
      <c r="H176" s="289"/>
      <c r="I176" s="289"/>
      <c r="K176" s="331"/>
      <c r="L176" s="363"/>
      <c r="M176" s="363"/>
    </row>
    <row r="177" spans="1:13" x14ac:dyDescent="0.2">
      <c r="A177" s="331">
        <f t="shared" si="45"/>
        <v>168</v>
      </c>
      <c r="B177" s="62" t="str">
        <f>B165</f>
        <v>58E &amp; 59E - Directional</v>
      </c>
      <c r="C177" s="140" t="s">
        <v>402</v>
      </c>
      <c r="D177" s="140">
        <v>175</v>
      </c>
      <c r="E177" s="97">
        <f t="shared" si="52"/>
        <v>4.51</v>
      </c>
      <c r="F177" s="356">
        <f>ROUND(+E177*$J$10,2)</f>
        <v>-0.01</v>
      </c>
      <c r="G177" s="357">
        <v>36</v>
      </c>
      <c r="H177" s="324">
        <f t="shared" ref="H177:I180" si="56">ROUND($G177*E177,0)</f>
        <v>162</v>
      </c>
      <c r="I177" s="324">
        <f t="shared" si="56"/>
        <v>0</v>
      </c>
      <c r="K177" s="331"/>
      <c r="L177" s="363">
        <v>1.84</v>
      </c>
      <c r="M177" s="363">
        <v>2.67</v>
      </c>
    </row>
    <row r="178" spans="1:13" x14ac:dyDescent="0.2">
      <c r="A178" s="331">
        <f t="shared" si="45"/>
        <v>169</v>
      </c>
      <c r="B178" s="62" t="str">
        <f>B177</f>
        <v>58E &amp; 59E - Directional</v>
      </c>
      <c r="C178" s="140" t="s">
        <v>402</v>
      </c>
      <c r="D178" s="140">
        <v>250</v>
      </c>
      <c r="E178" s="97">
        <f t="shared" si="52"/>
        <v>6.4499999999999993</v>
      </c>
      <c r="F178" s="356">
        <f>ROUND(+E178*$J$10,2)</f>
        <v>-0.01</v>
      </c>
      <c r="G178" s="357">
        <v>276</v>
      </c>
      <c r="H178" s="324">
        <f t="shared" si="56"/>
        <v>1780</v>
      </c>
      <c r="I178" s="324">
        <f t="shared" si="56"/>
        <v>-3</v>
      </c>
      <c r="K178" s="331"/>
      <c r="L178" s="363">
        <v>2.63</v>
      </c>
      <c r="M178" s="363">
        <v>3.82</v>
      </c>
    </row>
    <row r="179" spans="1:13" x14ac:dyDescent="0.2">
      <c r="A179" s="331">
        <f t="shared" si="45"/>
        <v>170</v>
      </c>
      <c r="B179" s="62" t="str">
        <f>B178</f>
        <v>58E &amp; 59E - Directional</v>
      </c>
      <c r="C179" s="140" t="s">
        <v>402</v>
      </c>
      <c r="D179" s="140">
        <v>400</v>
      </c>
      <c r="E179" s="97">
        <f t="shared" si="52"/>
        <v>10.31</v>
      </c>
      <c r="F179" s="356">
        <f>ROUND(+E179*$J$10,2)</f>
        <v>-0.02</v>
      </c>
      <c r="G179" s="357">
        <v>1042</v>
      </c>
      <c r="H179" s="324">
        <f t="shared" si="56"/>
        <v>10743</v>
      </c>
      <c r="I179" s="324">
        <f t="shared" si="56"/>
        <v>-21</v>
      </c>
      <c r="K179" s="331"/>
      <c r="L179" s="363">
        <v>4.2</v>
      </c>
      <c r="M179" s="363">
        <v>6.11</v>
      </c>
    </row>
    <row r="180" spans="1:13" x14ac:dyDescent="0.2">
      <c r="A180" s="331">
        <f t="shared" si="45"/>
        <v>171</v>
      </c>
      <c r="B180" s="62" t="str">
        <f>B179</f>
        <v>58E &amp; 59E - Directional</v>
      </c>
      <c r="C180" s="140" t="s">
        <v>402</v>
      </c>
      <c r="D180" s="140">
        <v>1000</v>
      </c>
      <c r="E180" s="97">
        <f t="shared" si="52"/>
        <v>25.78</v>
      </c>
      <c r="F180" s="356">
        <f>ROUND(+E180*$J$10,2)</f>
        <v>-0.05</v>
      </c>
      <c r="G180" s="357">
        <v>1540</v>
      </c>
      <c r="H180" s="324">
        <f t="shared" si="56"/>
        <v>39701</v>
      </c>
      <c r="I180" s="324">
        <f t="shared" si="56"/>
        <v>-77</v>
      </c>
      <c r="K180" s="331"/>
      <c r="L180" s="363">
        <v>10.51</v>
      </c>
      <c r="M180" s="363">
        <v>15.27</v>
      </c>
    </row>
    <row r="181" spans="1:13" x14ac:dyDescent="0.2">
      <c r="A181" s="331">
        <f t="shared" si="45"/>
        <v>172</v>
      </c>
      <c r="B181" s="62"/>
      <c r="C181" s="140"/>
      <c r="D181" s="140"/>
      <c r="F181" s="347"/>
      <c r="G181" s="357"/>
      <c r="H181" s="289"/>
      <c r="I181" s="289"/>
      <c r="K181" s="331"/>
      <c r="L181" s="363"/>
      <c r="M181" s="363"/>
    </row>
    <row r="182" spans="1:13" x14ac:dyDescent="0.2">
      <c r="A182" s="331">
        <f t="shared" si="45"/>
        <v>173</v>
      </c>
      <c r="B182" s="62" t="str">
        <f>B171</f>
        <v>58E &amp; 59E - Horizontal</v>
      </c>
      <c r="C182" s="140" t="s">
        <v>402</v>
      </c>
      <c r="D182" s="140">
        <v>250</v>
      </c>
      <c r="E182" s="97">
        <f t="shared" si="52"/>
        <v>6.4499999999999993</v>
      </c>
      <c r="F182" s="356">
        <f>ROUND(+E182*$J$10,2)</f>
        <v>-0.01</v>
      </c>
      <c r="G182" s="357">
        <v>132</v>
      </c>
      <c r="H182" s="324">
        <f t="shared" ref="H182:I183" si="57">ROUND($G182*E182,0)</f>
        <v>851</v>
      </c>
      <c r="I182" s="324">
        <f t="shared" si="57"/>
        <v>-1</v>
      </c>
      <c r="K182" s="331"/>
      <c r="L182" s="363">
        <v>2.63</v>
      </c>
      <c r="M182" s="363">
        <v>3.82</v>
      </c>
    </row>
    <row r="183" spans="1:13" x14ac:dyDescent="0.2">
      <c r="A183" s="331">
        <f t="shared" si="45"/>
        <v>174</v>
      </c>
      <c r="B183" s="62" t="str">
        <f>B182</f>
        <v>58E &amp; 59E - Horizontal</v>
      </c>
      <c r="C183" s="140" t="s">
        <v>402</v>
      </c>
      <c r="D183" s="140">
        <v>400</v>
      </c>
      <c r="E183" s="97">
        <f t="shared" si="52"/>
        <v>10.31</v>
      </c>
      <c r="F183" s="356">
        <f>ROUND(+E183*$J$10,2)</f>
        <v>-0.02</v>
      </c>
      <c r="G183" s="357">
        <v>480</v>
      </c>
      <c r="H183" s="324">
        <f t="shared" si="57"/>
        <v>4949</v>
      </c>
      <c r="I183" s="324">
        <f t="shared" si="57"/>
        <v>-10</v>
      </c>
      <c r="K183" s="331"/>
      <c r="L183" s="363">
        <v>4.2</v>
      </c>
      <c r="M183" s="363">
        <v>6.11</v>
      </c>
    </row>
    <row r="184" spans="1:13" x14ac:dyDescent="0.2">
      <c r="A184" s="331">
        <f t="shared" si="45"/>
        <v>175</v>
      </c>
      <c r="B184" s="62"/>
      <c r="C184" s="140"/>
      <c r="D184" s="140"/>
      <c r="F184" s="347"/>
      <c r="G184" s="357"/>
      <c r="H184" s="289"/>
      <c r="I184" s="289"/>
      <c r="K184" s="331"/>
      <c r="L184" s="363"/>
      <c r="M184" s="363"/>
    </row>
    <row r="185" spans="1:13" x14ac:dyDescent="0.2">
      <c r="A185" s="331">
        <f t="shared" si="45"/>
        <v>176</v>
      </c>
      <c r="B185" s="62"/>
      <c r="C185" s="140"/>
      <c r="D185" s="140"/>
      <c r="F185" s="347"/>
      <c r="G185" s="357"/>
      <c r="H185" s="289"/>
      <c r="I185" s="289"/>
      <c r="K185" s="331"/>
      <c r="L185" s="363"/>
      <c r="M185" s="363"/>
    </row>
    <row r="186" spans="1:13" x14ac:dyDescent="0.2">
      <c r="A186" s="331">
        <f t="shared" si="45"/>
        <v>177</v>
      </c>
      <c r="B186" s="62" t="s">
        <v>416</v>
      </c>
      <c r="C186" s="140" t="s">
        <v>391</v>
      </c>
      <c r="D186" s="362" t="s">
        <v>466</v>
      </c>
      <c r="E186" s="97">
        <f t="shared" ref="E186:E200" si="58">SUM(L186:M186)</f>
        <v>1.1599999999999999</v>
      </c>
      <c r="F186" s="356">
        <f t="shared" ref="F186:F200" si="59">ROUND(+E186*$J$10,2)</f>
        <v>0</v>
      </c>
      <c r="G186" s="357">
        <v>24</v>
      </c>
      <c r="H186" s="324">
        <f t="shared" ref="H186:I200" si="60">ROUND($G186*E186,0)</f>
        <v>28</v>
      </c>
      <c r="I186" s="324">
        <f t="shared" si="60"/>
        <v>0</v>
      </c>
      <c r="K186" s="331"/>
      <c r="L186" s="363">
        <v>0.47</v>
      </c>
      <c r="M186" s="363">
        <v>0.69</v>
      </c>
    </row>
    <row r="187" spans="1:13" x14ac:dyDescent="0.2">
      <c r="A187" s="331">
        <f t="shared" si="45"/>
        <v>178</v>
      </c>
      <c r="B187" s="62" t="str">
        <f t="shared" ref="B187:B200" si="61">B186</f>
        <v>58E &amp; 59E</v>
      </c>
      <c r="C187" s="140" t="s">
        <v>391</v>
      </c>
      <c r="D187" s="360" t="s">
        <v>392</v>
      </c>
      <c r="E187" s="97">
        <f t="shared" si="58"/>
        <v>1.94</v>
      </c>
      <c r="F187" s="356">
        <f t="shared" si="59"/>
        <v>0</v>
      </c>
      <c r="G187" s="357">
        <v>292</v>
      </c>
      <c r="H187" s="324">
        <f t="shared" si="60"/>
        <v>566</v>
      </c>
      <c r="I187" s="324">
        <f t="shared" si="60"/>
        <v>0</v>
      </c>
      <c r="K187" s="331"/>
      <c r="L187" s="363">
        <v>0.79</v>
      </c>
      <c r="M187" s="363">
        <v>1.1499999999999999</v>
      </c>
    </row>
    <row r="188" spans="1:13" x14ac:dyDescent="0.2">
      <c r="A188" s="331">
        <f t="shared" si="45"/>
        <v>179</v>
      </c>
      <c r="B188" s="62" t="str">
        <f t="shared" si="61"/>
        <v>58E &amp; 59E</v>
      </c>
      <c r="C188" s="140" t="s">
        <v>391</v>
      </c>
      <c r="D188" s="360" t="s">
        <v>393</v>
      </c>
      <c r="E188" s="97">
        <f t="shared" si="58"/>
        <v>2.7</v>
      </c>
      <c r="F188" s="356">
        <f t="shared" si="59"/>
        <v>-0.01</v>
      </c>
      <c r="G188" s="357">
        <v>245</v>
      </c>
      <c r="H188" s="324">
        <f t="shared" si="60"/>
        <v>662</v>
      </c>
      <c r="I188" s="324">
        <f t="shared" si="60"/>
        <v>-2</v>
      </c>
      <c r="K188" s="331"/>
      <c r="L188" s="363">
        <v>1.1000000000000001</v>
      </c>
      <c r="M188" s="363">
        <v>1.6</v>
      </c>
    </row>
    <row r="189" spans="1:13" x14ac:dyDescent="0.2">
      <c r="A189" s="331">
        <f t="shared" si="45"/>
        <v>180</v>
      </c>
      <c r="B189" s="62" t="str">
        <f t="shared" si="61"/>
        <v>58E &amp; 59E</v>
      </c>
      <c r="C189" s="140" t="s">
        <v>391</v>
      </c>
      <c r="D189" s="360" t="s">
        <v>394</v>
      </c>
      <c r="E189" s="97">
        <f t="shared" si="58"/>
        <v>3.48</v>
      </c>
      <c r="F189" s="356">
        <f t="shared" si="59"/>
        <v>-0.01</v>
      </c>
      <c r="G189" s="357">
        <v>903</v>
      </c>
      <c r="H189" s="324">
        <f t="shared" si="60"/>
        <v>3142</v>
      </c>
      <c r="I189" s="324">
        <f t="shared" si="60"/>
        <v>-9</v>
      </c>
      <c r="K189" s="331"/>
      <c r="L189" s="363">
        <v>1.42</v>
      </c>
      <c r="M189" s="363">
        <v>2.06</v>
      </c>
    </row>
    <row r="190" spans="1:13" x14ac:dyDescent="0.2">
      <c r="A190" s="331">
        <f t="shared" si="45"/>
        <v>181</v>
      </c>
      <c r="B190" s="62" t="str">
        <f t="shared" si="61"/>
        <v>58E &amp; 59E</v>
      </c>
      <c r="C190" s="140" t="s">
        <v>391</v>
      </c>
      <c r="D190" s="360" t="s">
        <v>395</v>
      </c>
      <c r="E190" s="97">
        <f t="shared" si="58"/>
        <v>4.25</v>
      </c>
      <c r="F190" s="356">
        <f t="shared" si="59"/>
        <v>-0.01</v>
      </c>
      <c r="G190" s="357">
        <v>49</v>
      </c>
      <c r="H190" s="324">
        <f t="shared" si="60"/>
        <v>208</v>
      </c>
      <c r="I190" s="324">
        <f t="shared" si="60"/>
        <v>0</v>
      </c>
      <c r="K190" s="331"/>
      <c r="L190" s="363">
        <v>1.73</v>
      </c>
      <c r="M190" s="363">
        <v>2.52</v>
      </c>
    </row>
    <row r="191" spans="1:13" x14ac:dyDescent="0.2">
      <c r="A191" s="331">
        <f t="shared" si="45"/>
        <v>182</v>
      </c>
      <c r="B191" s="62" t="str">
        <f t="shared" si="61"/>
        <v>58E &amp; 59E</v>
      </c>
      <c r="C191" s="140" t="s">
        <v>391</v>
      </c>
      <c r="D191" s="360" t="s">
        <v>396</v>
      </c>
      <c r="E191" s="97">
        <f t="shared" si="58"/>
        <v>5.0299999999999994</v>
      </c>
      <c r="F191" s="356">
        <f t="shared" si="59"/>
        <v>-0.01</v>
      </c>
      <c r="G191" s="357">
        <v>0</v>
      </c>
      <c r="H191" s="324">
        <f t="shared" si="60"/>
        <v>0</v>
      </c>
      <c r="I191" s="324">
        <f t="shared" si="60"/>
        <v>0</v>
      </c>
      <c r="K191" s="331"/>
      <c r="L191" s="363">
        <v>2.0499999999999998</v>
      </c>
      <c r="M191" s="363">
        <v>2.98</v>
      </c>
    </row>
    <row r="192" spans="1:13" x14ac:dyDescent="0.2">
      <c r="A192" s="331">
        <f t="shared" si="45"/>
        <v>183</v>
      </c>
      <c r="B192" s="62" t="str">
        <f t="shared" si="61"/>
        <v>58E &amp; 59E</v>
      </c>
      <c r="C192" s="140" t="s">
        <v>391</v>
      </c>
      <c r="D192" s="360" t="s">
        <v>397</v>
      </c>
      <c r="E192" s="97">
        <f t="shared" si="58"/>
        <v>5.8</v>
      </c>
      <c r="F192" s="356">
        <f t="shared" si="59"/>
        <v>-0.01</v>
      </c>
      <c r="G192" s="357">
        <v>41</v>
      </c>
      <c r="H192" s="324">
        <f t="shared" si="60"/>
        <v>238</v>
      </c>
      <c r="I192" s="324">
        <f t="shared" si="60"/>
        <v>0</v>
      </c>
      <c r="K192" s="331"/>
      <c r="L192" s="363">
        <v>2.36</v>
      </c>
      <c r="M192" s="363">
        <v>3.44</v>
      </c>
    </row>
    <row r="193" spans="1:13" x14ac:dyDescent="0.2">
      <c r="A193" s="331">
        <f t="shared" si="45"/>
        <v>184</v>
      </c>
      <c r="B193" s="62" t="str">
        <f t="shared" si="61"/>
        <v>58E &amp; 59E</v>
      </c>
      <c r="C193" s="140" t="s">
        <v>391</v>
      </c>
      <c r="D193" s="360" t="s">
        <v>398</v>
      </c>
      <c r="E193" s="97">
        <f t="shared" si="58"/>
        <v>6.57</v>
      </c>
      <c r="F193" s="356">
        <f t="shared" si="59"/>
        <v>-0.01</v>
      </c>
      <c r="G193" s="357">
        <v>108</v>
      </c>
      <c r="H193" s="324">
        <f t="shared" si="60"/>
        <v>710</v>
      </c>
      <c r="I193" s="324">
        <f t="shared" si="60"/>
        <v>-1</v>
      </c>
      <c r="K193" s="331"/>
      <c r="L193" s="363">
        <v>2.68</v>
      </c>
      <c r="M193" s="363">
        <v>3.89</v>
      </c>
    </row>
    <row r="194" spans="1:13" x14ac:dyDescent="0.2">
      <c r="A194" s="331">
        <f t="shared" si="45"/>
        <v>185</v>
      </c>
      <c r="B194" s="62" t="str">
        <f t="shared" si="61"/>
        <v>58E &amp; 59E</v>
      </c>
      <c r="C194" s="140" t="s">
        <v>391</v>
      </c>
      <c r="D194" s="360" t="s">
        <v>399</v>
      </c>
      <c r="E194" s="97">
        <f t="shared" si="58"/>
        <v>7.35</v>
      </c>
      <c r="F194" s="356">
        <f t="shared" si="59"/>
        <v>-0.01</v>
      </c>
      <c r="G194" s="357">
        <v>0</v>
      </c>
      <c r="H194" s="324">
        <f t="shared" si="60"/>
        <v>0</v>
      </c>
      <c r="I194" s="324">
        <f t="shared" si="60"/>
        <v>0</v>
      </c>
      <c r="K194" s="331"/>
      <c r="L194" s="363">
        <v>3</v>
      </c>
      <c r="M194" s="363">
        <v>4.3499999999999996</v>
      </c>
    </row>
    <row r="195" spans="1:13" x14ac:dyDescent="0.2">
      <c r="A195" s="331">
        <f t="shared" si="45"/>
        <v>186</v>
      </c>
      <c r="B195" s="62" t="str">
        <f t="shared" si="61"/>
        <v>58E &amp; 59E</v>
      </c>
      <c r="C195" s="140" t="s">
        <v>391</v>
      </c>
      <c r="D195" s="360" t="s">
        <v>417</v>
      </c>
      <c r="E195" s="97">
        <f t="shared" si="58"/>
        <v>9.0299999999999994</v>
      </c>
      <c r="F195" s="356">
        <f t="shared" si="59"/>
        <v>-0.02</v>
      </c>
      <c r="G195" s="357">
        <v>0</v>
      </c>
      <c r="H195" s="324">
        <f t="shared" si="60"/>
        <v>0</v>
      </c>
      <c r="I195" s="324">
        <f t="shared" si="60"/>
        <v>0</v>
      </c>
      <c r="K195" s="331"/>
      <c r="L195" s="363">
        <v>3.68</v>
      </c>
      <c r="M195" s="363">
        <v>5.35</v>
      </c>
    </row>
    <row r="196" spans="1:13" x14ac:dyDescent="0.2">
      <c r="A196" s="331">
        <f t="shared" si="45"/>
        <v>187</v>
      </c>
      <c r="B196" s="62" t="str">
        <f t="shared" si="61"/>
        <v>58E &amp; 59E</v>
      </c>
      <c r="C196" s="140" t="s">
        <v>391</v>
      </c>
      <c r="D196" s="360" t="s">
        <v>418</v>
      </c>
      <c r="E196" s="97">
        <f t="shared" si="58"/>
        <v>11.600000000000001</v>
      </c>
      <c r="F196" s="356">
        <f t="shared" si="59"/>
        <v>-0.02</v>
      </c>
      <c r="G196" s="357">
        <v>0</v>
      </c>
      <c r="H196" s="324">
        <f t="shared" si="60"/>
        <v>0</v>
      </c>
      <c r="I196" s="324">
        <f t="shared" si="60"/>
        <v>0</v>
      </c>
      <c r="K196" s="331"/>
      <c r="L196" s="363">
        <v>4.7300000000000004</v>
      </c>
      <c r="M196" s="363">
        <v>6.87</v>
      </c>
    </row>
    <row r="197" spans="1:13" x14ac:dyDescent="0.2">
      <c r="A197" s="331">
        <f t="shared" si="45"/>
        <v>188</v>
      </c>
      <c r="B197" s="62" t="str">
        <f t="shared" si="61"/>
        <v>58E &amp; 59E</v>
      </c>
      <c r="C197" s="140" t="s">
        <v>391</v>
      </c>
      <c r="D197" s="360" t="s">
        <v>419</v>
      </c>
      <c r="E197" s="97">
        <f t="shared" si="58"/>
        <v>14.18</v>
      </c>
      <c r="F197" s="356">
        <f t="shared" si="59"/>
        <v>-0.03</v>
      </c>
      <c r="G197" s="357">
        <v>0</v>
      </c>
      <c r="H197" s="324">
        <f t="shared" si="60"/>
        <v>0</v>
      </c>
      <c r="I197" s="324">
        <f t="shared" si="60"/>
        <v>0</v>
      </c>
      <c r="K197" s="331"/>
      <c r="L197" s="363">
        <v>5.78</v>
      </c>
      <c r="M197" s="363">
        <v>8.4</v>
      </c>
    </row>
    <row r="198" spans="1:13" x14ac:dyDescent="0.2">
      <c r="A198" s="331">
        <f t="shared" si="45"/>
        <v>189</v>
      </c>
      <c r="B198" s="62" t="str">
        <f t="shared" si="61"/>
        <v>58E &amp; 59E</v>
      </c>
      <c r="C198" s="140" t="s">
        <v>391</v>
      </c>
      <c r="D198" s="360" t="s">
        <v>420</v>
      </c>
      <c r="E198" s="97">
        <f t="shared" si="58"/>
        <v>16.759999999999998</v>
      </c>
      <c r="F198" s="356">
        <f t="shared" si="59"/>
        <v>-0.03</v>
      </c>
      <c r="G198" s="357">
        <v>0</v>
      </c>
      <c r="H198" s="324">
        <f t="shared" si="60"/>
        <v>0</v>
      </c>
      <c r="I198" s="324">
        <f t="shared" si="60"/>
        <v>0</v>
      </c>
      <c r="K198" s="331"/>
      <c r="L198" s="363">
        <v>6.83</v>
      </c>
      <c r="M198" s="363">
        <v>9.93</v>
      </c>
    </row>
    <row r="199" spans="1:13" x14ac:dyDescent="0.2">
      <c r="A199" s="331">
        <f t="shared" si="45"/>
        <v>190</v>
      </c>
      <c r="B199" s="62" t="str">
        <f t="shared" si="61"/>
        <v>58E &amp; 59E</v>
      </c>
      <c r="C199" s="140" t="s">
        <v>391</v>
      </c>
      <c r="D199" s="360" t="s">
        <v>421</v>
      </c>
      <c r="E199" s="97">
        <f t="shared" si="58"/>
        <v>19.329999999999998</v>
      </c>
      <c r="F199" s="356">
        <f t="shared" si="59"/>
        <v>-0.04</v>
      </c>
      <c r="G199" s="357">
        <v>0</v>
      </c>
      <c r="H199" s="324">
        <f t="shared" si="60"/>
        <v>0</v>
      </c>
      <c r="I199" s="324">
        <f t="shared" si="60"/>
        <v>0</v>
      </c>
      <c r="K199" s="331"/>
      <c r="L199" s="363">
        <v>7.88</v>
      </c>
      <c r="M199" s="363">
        <v>11.45</v>
      </c>
    </row>
    <row r="200" spans="1:13" x14ac:dyDescent="0.2">
      <c r="A200" s="331">
        <f t="shared" si="45"/>
        <v>191</v>
      </c>
      <c r="B200" s="62" t="str">
        <f t="shared" si="61"/>
        <v>58E &amp; 59E</v>
      </c>
      <c r="C200" s="140" t="s">
        <v>391</v>
      </c>
      <c r="D200" s="360" t="s">
        <v>422</v>
      </c>
      <c r="E200" s="97">
        <f t="shared" si="58"/>
        <v>21.91</v>
      </c>
      <c r="F200" s="356">
        <f t="shared" si="59"/>
        <v>-0.04</v>
      </c>
      <c r="G200" s="357">
        <v>0</v>
      </c>
      <c r="H200" s="324">
        <f t="shared" si="60"/>
        <v>0</v>
      </c>
      <c r="I200" s="324">
        <f t="shared" si="60"/>
        <v>0</v>
      </c>
      <c r="K200" s="331"/>
      <c r="L200" s="363">
        <v>8.93</v>
      </c>
      <c r="M200" s="363">
        <v>12.98</v>
      </c>
    </row>
    <row r="201" spans="1:13" x14ac:dyDescent="0.2">
      <c r="B201" s="48"/>
      <c r="K201" s="331"/>
      <c r="L201" s="97"/>
      <c r="M201" s="97"/>
    </row>
    <row r="202" spans="1:13" x14ac:dyDescent="0.2">
      <c r="B202" s="48"/>
      <c r="K202" s="331"/>
      <c r="L202" s="97"/>
      <c r="M202" s="97"/>
    </row>
    <row r="204" spans="1:13" x14ac:dyDescent="0.2">
      <c r="K204" s="331"/>
      <c r="L204" s="97"/>
      <c r="M204" s="97"/>
    </row>
    <row r="205" spans="1:13" x14ac:dyDescent="0.2">
      <c r="K205" s="331"/>
      <c r="L205" s="97"/>
      <c r="M205" s="97"/>
    </row>
    <row r="206" spans="1:13" x14ac:dyDescent="0.2">
      <c r="K206" s="331"/>
      <c r="L206" s="97"/>
      <c r="M206" s="97"/>
    </row>
    <row r="207" spans="1:13" x14ac:dyDescent="0.2">
      <c r="K207" s="331"/>
      <c r="L207" s="97"/>
      <c r="M207" s="97"/>
    </row>
    <row r="208" spans="1:13" x14ac:dyDescent="0.2">
      <c r="K208" s="331"/>
      <c r="L208" s="97"/>
      <c r="M208" s="97"/>
    </row>
  </sheetData>
  <mergeCells count="4">
    <mergeCell ref="A1:J1"/>
    <mergeCell ref="A2:J2"/>
    <mergeCell ref="A3:J3"/>
    <mergeCell ref="B4:F4"/>
  </mergeCells>
  <printOptions horizontalCentered="1"/>
  <pageMargins left="0.7" right="0.7" top="0.75" bottom="0.75" header="0.3" footer="0.3"/>
  <pageSetup scale="82" fitToHeight="0" orientation="landscape" r:id="rId1"/>
  <headerFooter alignWithMargins="0">
    <oddFooter>&amp;L&amp;F
&amp;A&amp;RPage &amp;P of &amp;N</oddFooter>
  </headerFooter>
  <ignoredErrors>
    <ignoredError sqref="B25" numberStoredAsText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I39" sqref="I39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workbookViewId="0">
      <pane xSplit="3" ySplit="7" topLeftCell="D8" activePane="bottomRight" state="frozen"/>
      <selection activeCell="C36" sqref="C36"/>
      <selection pane="topRight" activeCell="C36" sqref="C36"/>
      <selection pane="bottomLeft" activeCell="C36" sqref="C36"/>
      <selection pane="bottomRight" activeCell="D7" sqref="D7"/>
    </sheetView>
  </sheetViews>
  <sheetFormatPr defaultColWidth="8.85546875" defaultRowHeight="12.75" x14ac:dyDescent="0.2"/>
  <cols>
    <col min="1" max="1" width="7.7109375" style="92" bestFit="1" customWidth="1"/>
    <col min="2" max="2" width="22.7109375" style="92" bestFit="1" customWidth="1"/>
    <col min="3" max="3" width="15.140625" style="92" customWidth="1"/>
    <col min="4" max="4" width="17.7109375" style="92" bestFit="1" customWidth="1"/>
    <col min="5" max="5" width="17.28515625" style="92" bestFit="1" customWidth="1"/>
    <col min="6" max="7" width="13.28515625" style="92" bestFit="1" customWidth="1"/>
    <col min="8" max="8" width="13.5703125" style="92" bestFit="1" customWidth="1"/>
    <col min="9" max="9" width="12.42578125" style="92" bestFit="1" customWidth="1"/>
    <col min="10" max="10" width="12.140625" style="92" bestFit="1" customWidth="1"/>
    <col min="11" max="12" width="12.42578125" style="92" bestFit="1" customWidth="1"/>
    <col min="13" max="14" width="12.85546875" style="92" bestFit="1" customWidth="1"/>
    <col min="15" max="15" width="13.5703125" style="92" bestFit="1" customWidth="1"/>
    <col min="16" max="16" width="13.28515625" style="92" bestFit="1" customWidth="1"/>
    <col min="17" max="17" width="1.7109375" style="317" customWidth="1"/>
    <col min="18" max="16384" width="8.85546875" style="92"/>
  </cols>
  <sheetData>
    <row r="1" spans="1:17" x14ac:dyDescent="0.2">
      <c r="A1" s="488" t="s">
        <v>13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316"/>
    </row>
    <row r="2" spans="1:17" x14ac:dyDescent="0.2">
      <c r="A2" s="489" t="s">
        <v>444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316"/>
    </row>
    <row r="3" spans="1:17" x14ac:dyDescent="0.2">
      <c r="A3" s="489" t="str">
        <f>'[1]Schedule Rate Impacts 1-1-2020'!$A$3</f>
        <v>Test Year ended December 31, 2020</v>
      </c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316"/>
    </row>
    <row r="4" spans="1:17" x14ac:dyDescent="0.2">
      <c r="A4" s="480"/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316"/>
    </row>
    <row r="5" spans="1:17" x14ac:dyDescent="0.2">
      <c r="A5" s="112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292"/>
      <c r="N5" s="292"/>
      <c r="O5" s="113"/>
      <c r="P5" s="113"/>
    </row>
    <row r="6" spans="1:17" x14ac:dyDescent="0.2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292"/>
      <c r="N6" s="292"/>
      <c r="O6" s="113"/>
      <c r="P6" s="113"/>
      <c r="Q6" s="318"/>
    </row>
    <row r="7" spans="1:17" ht="63.75" x14ac:dyDescent="0.2">
      <c r="A7" s="114" t="s">
        <v>0</v>
      </c>
      <c r="B7" s="114" t="s">
        <v>136</v>
      </c>
      <c r="C7" s="344" t="str">
        <f>'[1]Schedule Rate Impacts 1-1-2020'!$C$7</f>
        <v>Annual kWh Delivered Sales 01/01/20 to 12/31/20 (F2019)</v>
      </c>
      <c r="D7" s="409" t="str">
        <f>'[1]Schedule Rate Impacts 1-1-2020'!$R$7&amp;" (Excluding Sch 137)"</f>
        <v>Annual Estimated Revenue @ Rates Effective 12/31/19 (Excluding Sch 137)</v>
      </c>
      <c r="E7" s="409" t="str">
        <f>'[1]Schedule Rate Impacts 1-1-2020'!$D$7</f>
        <v>Estimated Annual Base Revenue Effective
12/31/19</v>
      </c>
      <c r="F7" s="409" t="str">
        <f>'[1]Schedule Rate Impacts 1-1-2020'!E$7&amp;" PCORC"</f>
        <v>Schedule 95 PCORC</v>
      </c>
      <c r="G7" s="409" t="str">
        <f>'[1]Schedule Rate Impacts 1-1-2020'!F$7</f>
        <v>Schedule 95A
Federal Incentive Credit</v>
      </c>
      <c r="H7" s="409" t="str">
        <f>'[1]Schedule Rate Impacts 1-1-2020'!G$7</f>
        <v>Schedule 120
Conservation</v>
      </c>
      <c r="I7" s="409" t="str">
        <f>'[1]Schedule Rate Impacts 1-1-2020'!H$7</f>
        <v>Schedule 129
Low Income</v>
      </c>
      <c r="J7" s="409" t="str">
        <f>'[1]Schedule Rate Impacts 1-1-2020'!I$7</f>
        <v>Schedule 132
Merger Credit</v>
      </c>
      <c r="K7" s="409" t="str">
        <f>'[1]Schedule Rate Impacts 1-1-2020'!K$7</f>
        <v>Schedule 140
Property Tax</v>
      </c>
      <c r="L7" s="409" t="str">
        <f>'[1]Schedule Rate Impacts 1-1-2020'!L$7</f>
        <v>Schedule 141
ERF</v>
      </c>
      <c r="M7" s="409" t="str">
        <f>'[1]Schedule Rate Impacts 1-1-2020'!M$7</f>
        <v>Schedule 141X (Pass-back)
ERF</v>
      </c>
      <c r="N7" s="409" t="str">
        <f>'[1]Schedule Rate Impacts 1-1-2020'!N$7</f>
        <v>Schedule 
141Y Tax Over Collection</v>
      </c>
      <c r="O7" s="409" t="str">
        <f>'[1]Schedule Rate Impacts 1-1-2020'!O$7&amp;" Decoupling"</f>
        <v>Schedule 142
 Deferral Decoupling</v>
      </c>
      <c r="P7" s="409" t="str">
        <f>'[1]Schedule Rate Impacts 1-1-2020'!P$7</f>
        <v>Schedule 194
BPA Res &amp; Farm Credit</v>
      </c>
      <c r="Q7" s="319"/>
    </row>
    <row r="8" spans="1:17" x14ac:dyDescent="0.2">
      <c r="A8" s="113">
        <v>1</v>
      </c>
      <c r="B8" s="115">
        <v>7</v>
      </c>
      <c r="C8" s="439">
        <f>'[1]Schedule Rate Impacts 1-1-2020'!$C$8</f>
        <v>10870508000</v>
      </c>
      <c r="D8" s="264">
        <f>SUM(E8:P8)</f>
        <v>1100277000</v>
      </c>
      <c r="E8" s="436">
        <f>'[1]Schedule Rate Impacts 1-1-2020'!D$8</f>
        <v>1131215000</v>
      </c>
      <c r="F8" s="436">
        <f>'[1]Schedule Rate Impacts 1-1-2020'!E$8</f>
        <v>-11936000</v>
      </c>
      <c r="G8" s="436">
        <f>'[1]Schedule Rate Impacts 1-1-2020'!F$8</f>
        <v>-20795000</v>
      </c>
      <c r="H8" s="436">
        <f>'[1]Schedule Rate Impacts 1-1-2020'!G$8</f>
        <v>42449000</v>
      </c>
      <c r="I8" s="436">
        <f>'[1]Schedule Rate Impacts 1-1-2020'!H$8</f>
        <v>11610000</v>
      </c>
      <c r="J8" s="436">
        <f>'[1]Schedule Rate Impacts 1-1-2020'!I$8</f>
        <v>0</v>
      </c>
      <c r="K8" s="436">
        <f>'[1]Schedule Rate Impacts 1-1-2020'!K$8</f>
        <v>35090000</v>
      </c>
      <c r="L8" s="436">
        <f>'[1]Schedule Rate Impacts 1-1-2020'!L$8</f>
        <v>16918000</v>
      </c>
      <c r="M8" s="436">
        <f>'[1]Schedule Rate Impacts 1-1-2020'!M$8</f>
        <v>-16918000</v>
      </c>
      <c r="N8" s="436">
        <f>'[1]Schedule Rate Impacts 1-1-2020'!N$8</f>
        <v>-13816000</v>
      </c>
      <c r="O8" s="436">
        <f>'[1]Schedule Rate Impacts 1-1-2020'!O$8</f>
        <v>6751000</v>
      </c>
      <c r="P8" s="436">
        <f>'[1]Schedule Rate Impacts 1-1-2020'!P$8</f>
        <v>-80291000</v>
      </c>
      <c r="Q8" s="320"/>
    </row>
    <row r="9" spans="1:17" x14ac:dyDescent="0.2">
      <c r="A9" s="113">
        <f t="shared" ref="A9:A41" si="0">+A8+1</f>
        <v>2</v>
      </c>
      <c r="B9" s="116" t="s">
        <v>137</v>
      </c>
      <c r="C9" s="439">
        <f>'[1]Schedule Rate Impacts 1-1-2020'!$C$14</f>
        <v>2596000</v>
      </c>
      <c r="D9" s="264">
        <f>SUM(E9:P9)</f>
        <v>221000</v>
      </c>
      <c r="E9" s="436">
        <f>'[1]Schedule Rate Impacts 1-1-2020'!D$14</f>
        <v>234000</v>
      </c>
      <c r="F9" s="436">
        <f>'[1]Schedule Rate Impacts 1-1-2020'!E$14</f>
        <v>-2000</v>
      </c>
      <c r="G9" s="436">
        <f>'[1]Schedule Rate Impacts 1-1-2020'!F$14</f>
        <v>-4000</v>
      </c>
      <c r="H9" s="436">
        <f>'[1]Schedule Rate Impacts 1-1-2020'!G$14</f>
        <v>8000</v>
      </c>
      <c r="I9" s="436">
        <f>'[1]Schedule Rate Impacts 1-1-2020'!H$14</f>
        <v>2000</v>
      </c>
      <c r="J9" s="436">
        <f>'[1]Schedule Rate Impacts 1-1-2020'!I$14</f>
        <v>0</v>
      </c>
      <c r="K9" s="436">
        <f>'[1]Schedule Rate Impacts 1-1-2020'!K$14</f>
        <v>6000</v>
      </c>
      <c r="L9" s="436">
        <f>'[1]Schedule Rate Impacts 1-1-2020'!L$14</f>
        <v>2000</v>
      </c>
      <c r="M9" s="436">
        <f>'[1]Schedule Rate Impacts 1-1-2020'!M$14</f>
        <v>-2000</v>
      </c>
      <c r="N9" s="436">
        <f>'[1]Schedule Rate Impacts 1-1-2020'!N$14</f>
        <v>-2000</v>
      </c>
      <c r="O9" s="436">
        <f>'[1]Schedule Rate Impacts 1-1-2020'!O$14</f>
        <v>-2000</v>
      </c>
      <c r="P9" s="436">
        <f>'[1]Schedule Rate Impacts 1-1-2020'!P$14</f>
        <v>-19000</v>
      </c>
      <c r="Q9" s="320"/>
    </row>
    <row r="10" spans="1:17" x14ac:dyDescent="0.2">
      <c r="A10" s="113">
        <f t="shared" si="0"/>
        <v>3</v>
      </c>
      <c r="B10" s="117" t="s">
        <v>1</v>
      </c>
      <c r="C10" s="262">
        <f t="shared" ref="C10:P10" si="1">SUM(C8:C9)</f>
        <v>10873104000</v>
      </c>
      <c r="D10" s="118">
        <f t="shared" ref="D10" si="2">SUM(D8:D9)</f>
        <v>1100498000</v>
      </c>
      <c r="E10" s="118">
        <f t="shared" ref="E10" si="3">SUM(E8:E9)</f>
        <v>1131449000</v>
      </c>
      <c r="F10" s="120">
        <f t="shared" si="1"/>
        <v>-11938000</v>
      </c>
      <c r="G10" s="120">
        <f t="shared" si="1"/>
        <v>-20799000</v>
      </c>
      <c r="H10" s="120">
        <f t="shared" si="1"/>
        <v>42457000</v>
      </c>
      <c r="I10" s="120">
        <f t="shared" si="1"/>
        <v>11612000</v>
      </c>
      <c r="J10" s="120">
        <f t="shared" si="1"/>
        <v>0</v>
      </c>
      <c r="K10" s="120">
        <f t="shared" si="1"/>
        <v>35096000</v>
      </c>
      <c r="L10" s="120">
        <f t="shared" si="1"/>
        <v>16920000</v>
      </c>
      <c r="M10" s="120">
        <f t="shared" si="1"/>
        <v>-16920000</v>
      </c>
      <c r="N10" s="120">
        <f t="shared" si="1"/>
        <v>-13818000</v>
      </c>
      <c r="O10" s="120">
        <f t="shared" si="1"/>
        <v>6749000</v>
      </c>
      <c r="P10" s="120">
        <f t="shared" si="1"/>
        <v>-80310000</v>
      </c>
      <c r="Q10" s="320"/>
    </row>
    <row r="11" spans="1:17" x14ac:dyDescent="0.2">
      <c r="A11" s="113">
        <f t="shared" si="0"/>
        <v>4</v>
      </c>
      <c r="B11" s="113"/>
      <c r="C11" s="261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320"/>
    </row>
    <row r="12" spans="1:17" x14ac:dyDescent="0.2">
      <c r="A12" s="113">
        <f t="shared" si="0"/>
        <v>5</v>
      </c>
      <c r="B12" s="115">
        <v>8</v>
      </c>
      <c r="C12" s="439">
        <f>'[1]Schedule Rate Impacts 1-1-2020'!$C$11</f>
        <v>247247000</v>
      </c>
      <c r="D12" s="264">
        <f t="shared" ref="D12:D18" si="4">SUM(E12:P12)</f>
        <v>23746000</v>
      </c>
      <c r="E12" s="437">
        <f>'[1]Schedule Rate Impacts 1-1-2020'!D$11</f>
        <v>24061000</v>
      </c>
      <c r="F12" s="437">
        <f>'[1]Schedule Rate Impacts 1-1-2020'!E$11</f>
        <v>-228000</v>
      </c>
      <c r="G12" s="437">
        <f>'[1]Schedule Rate Impacts 1-1-2020'!F$11</f>
        <v>-406000</v>
      </c>
      <c r="H12" s="437">
        <f>'[1]Schedule Rate Impacts 1-1-2020'!G$11</f>
        <v>823000</v>
      </c>
      <c r="I12" s="437">
        <f>'[1]Schedule Rate Impacts 1-1-2020'!H$11</f>
        <v>254000</v>
      </c>
      <c r="J12" s="437">
        <f>'[1]Schedule Rate Impacts 1-1-2020'!I$11</f>
        <v>0</v>
      </c>
      <c r="K12" s="437">
        <f>'[1]Schedule Rate Impacts 1-1-2020'!K$11</f>
        <v>605000</v>
      </c>
      <c r="L12" s="437">
        <f>'[1]Schedule Rate Impacts 1-1-2020'!L$11</f>
        <v>270000</v>
      </c>
      <c r="M12" s="437">
        <f>'[1]Schedule Rate Impacts 1-1-2020'!M$11</f>
        <v>-270000</v>
      </c>
      <c r="N12" s="437">
        <f>'[1]Schedule Rate Impacts 1-1-2020'!N$11</f>
        <v>-233000</v>
      </c>
      <c r="O12" s="437">
        <f>'[1]Schedule Rate Impacts 1-1-2020'!O$11</f>
        <v>696000</v>
      </c>
      <c r="P12" s="437">
        <f>'[1]Schedule Rate Impacts 1-1-2020'!P$11</f>
        <v>-1826000</v>
      </c>
      <c r="Q12" s="320"/>
    </row>
    <row r="13" spans="1:17" x14ac:dyDescent="0.2">
      <c r="A13" s="113">
        <f t="shared" si="0"/>
        <v>6</v>
      </c>
      <c r="B13" s="115">
        <v>24</v>
      </c>
      <c r="C13" s="439">
        <f>'[1]Schedule Rate Impacts 1-1-2020'!$C$12</f>
        <v>2632342000</v>
      </c>
      <c r="D13" s="264">
        <f t="shared" si="4"/>
        <v>272244000</v>
      </c>
      <c r="E13" s="437">
        <f>'[1]Schedule Rate Impacts 1-1-2020'!D$12</f>
        <v>256164000</v>
      </c>
      <c r="F13" s="437">
        <f>'[1]Schedule Rate Impacts 1-1-2020'!E$12</f>
        <v>-2430000</v>
      </c>
      <c r="G13" s="437">
        <f>'[1]Schedule Rate Impacts 1-1-2020'!F$12</f>
        <v>-4320000</v>
      </c>
      <c r="H13" s="437">
        <f>'[1]Schedule Rate Impacts 1-1-2020'!G$12</f>
        <v>8760000</v>
      </c>
      <c r="I13" s="437">
        <f>'[1]Schedule Rate Impacts 1-1-2020'!H$12</f>
        <v>2701000</v>
      </c>
      <c r="J13" s="437">
        <f>'[1]Schedule Rate Impacts 1-1-2020'!I$12</f>
        <v>0</v>
      </c>
      <c r="K13" s="437">
        <f>'[1]Schedule Rate Impacts 1-1-2020'!K$12</f>
        <v>6436000</v>
      </c>
      <c r="L13" s="437">
        <f>'[1]Schedule Rate Impacts 1-1-2020'!L$12</f>
        <v>2873000</v>
      </c>
      <c r="M13" s="437">
        <f>'[1]Schedule Rate Impacts 1-1-2020'!M$12</f>
        <v>-2873000</v>
      </c>
      <c r="N13" s="437">
        <f>'[1]Schedule Rate Impacts 1-1-2020'!N$12</f>
        <v>-2482000</v>
      </c>
      <c r="O13" s="437">
        <f>'[1]Schedule Rate Impacts 1-1-2020'!O$12</f>
        <v>7415000</v>
      </c>
      <c r="P13" s="437">
        <f>'[1]Schedule Rate Impacts 1-1-2020'!P$12</f>
        <v>0</v>
      </c>
      <c r="Q13" s="320"/>
    </row>
    <row r="14" spans="1:17" x14ac:dyDescent="0.2">
      <c r="A14" s="113">
        <f t="shared" si="0"/>
        <v>7</v>
      </c>
      <c r="B14" s="116">
        <v>11</v>
      </c>
      <c r="C14" s="439">
        <f>'[1]Schedule Rate Impacts 1-1-2020'!$C$13</f>
        <v>146948000</v>
      </c>
      <c r="D14" s="264">
        <f t="shared" si="4"/>
        <v>12503000</v>
      </c>
      <c r="E14" s="437">
        <f>'[1]Schedule Rate Impacts 1-1-2020'!D$13</f>
        <v>13255000</v>
      </c>
      <c r="F14" s="437">
        <f>'[1]Schedule Rate Impacts 1-1-2020'!E$13</f>
        <v>-129000</v>
      </c>
      <c r="G14" s="437">
        <f>'[1]Schedule Rate Impacts 1-1-2020'!F$13</f>
        <v>-230000</v>
      </c>
      <c r="H14" s="437">
        <f>'[1]Schedule Rate Impacts 1-1-2020'!G$13</f>
        <v>467000</v>
      </c>
      <c r="I14" s="437">
        <f>'[1]Schedule Rate Impacts 1-1-2020'!H$13</f>
        <v>135000</v>
      </c>
      <c r="J14" s="437">
        <f>'[1]Schedule Rate Impacts 1-1-2020'!I$13</f>
        <v>0</v>
      </c>
      <c r="K14" s="437">
        <f>'[1]Schedule Rate Impacts 1-1-2020'!K$13</f>
        <v>314000</v>
      </c>
      <c r="L14" s="437">
        <f>'[1]Schedule Rate Impacts 1-1-2020'!L$13</f>
        <v>129000</v>
      </c>
      <c r="M14" s="437">
        <f>'[1]Schedule Rate Impacts 1-1-2020'!M$13</f>
        <v>-129000</v>
      </c>
      <c r="N14" s="437">
        <f>'[1]Schedule Rate Impacts 1-1-2020'!N$13</f>
        <v>-127000</v>
      </c>
      <c r="O14" s="437">
        <f>'[1]Schedule Rate Impacts 1-1-2020'!O$13</f>
        <v>-97000</v>
      </c>
      <c r="P14" s="437">
        <f>'[1]Schedule Rate Impacts 1-1-2020'!P$13</f>
        <v>-1085000</v>
      </c>
      <c r="Q14" s="320"/>
    </row>
    <row r="15" spans="1:17" x14ac:dyDescent="0.2">
      <c r="A15" s="113">
        <f t="shared" si="0"/>
        <v>8</v>
      </c>
      <c r="B15" s="116">
        <v>25</v>
      </c>
      <c r="C15" s="439">
        <f>'[1]Schedule Rate Impacts 1-1-2020'!$C$15</f>
        <v>2898061000</v>
      </c>
      <c r="D15" s="264">
        <f t="shared" si="4"/>
        <v>267981000</v>
      </c>
      <c r="E15" s="437">
        <f>'[1]Schedule Rate Impacts 1-1-2020'!D$15</f>
        <v>261420000</v>
      </c>
      <c r="F15" s="437">
        <f>'[1]Schedule Rate Impacts 1-1-2020'!E$15</f>
        <v>-2539000</v>
      </c>
      <c r="G15" s="437">
        <f>'[1]Schedule Rate Impacts 1-1-2020'!F$15</f>
        <v>-4544000</v>
      </c>
      <c r="H15" s="437">
        <f>'[1]Schedule Rate Impacts 1-1-2020'!G$15</f>
        <v>9213000</v>
      </c>
      <c r="I15" s="437">
        <f>'[1]Schedule Rate Impacts 1-1-2020'!H$15</f>
        <v>2658000</v>
      </c>
      <c r="J15" s="437">
        <f>'[1]Schedule Rate Impacts 1-1-2020'!I$15</f>
        <v>0</v>
      </c>
      <c r="K15" s="437">
        <f>'[1]Schedule Rate Impacts 1-1-2020'!K$15</f>
        <v>6190000</v>
      </c>
      <c r="L15" s="437">
        <f>'[1]Schedule Rate Impacts 1-1-2020'!L$15</f>
        <v>2541000</v>
      </c>
      <c r="M15" s="437">
        <f>'[1]Schedule Rate Impacts 1-1-2020'!M$15</f>
        <v>-2541000</v>
      </c>
      <c r="N15" s="437">
        <f>'[1]Schedule Rate Impacts 1-1-2020'!N$15</f>
        <v>-2513000</v>
      </c>
      <c r="O15" s="437">
        <f>'[1]Schedule Rate Impacts 1-1-2020'!O$15</f>
        <v>-1904000</v>
      </c>
      <c r="P15" s="437">
        <f>'[1]Schedule Rate Impacts 1-1-2020'!P$15</f>
        <v>0</v>
      </c>
      <c r="Q15" s="320"/>
    </row>
    <row r="16" spans="1:17" x14ac:dyDescent="0.2">
      <c r="A16" s="113">
        <f t="shared" si="0"/>
        <v>9</v>
      </c>
      <c r="B16" s="115">
        <v>12</v>
      </c>
      <c r="C16" s="439">
        <f>'[1]Schedule Rate Impacts 1-1-2020'!$C$16</f>
        <v>17736000</v>
      </c>
      <c r="D16" s="264">
        <f t="shared" si="4"/>
        <v>1406000</v>
      </c>
      <c r="E16" s="437">
        <f>'[1]Schedule Rate Impacts 1-1-2020'!D$16</f>
        <v>1470000</v>
      </c>
      <c r="F16" s="437">
        <f>'[1]Schedule Rate Impacts 1-1-2020'!E$16</f>
        <v>-17000</v>
      </c>
      <c r="G16" s="437">
        <f>'[1]Schedule Rate Impacts 1-1-2020'!F$16</f>
        <v>-30000</v>
      </c>
      <c r="H16" s="437">
        <f>'[1]Schedule Rate Impacts 1-1-2020'!G$16</f>
        <v>62000</v>
      </c>
      <c r="I16" s="437">
        <f>'[1]Schedule Rate Impacts 1-1-2020'!H$16</f>
        <v>15000</v>
      </c>
      <c r="J16" s="437">
        <f>'[1]Schedule Rate Impacts 1-1-2020'!I$16</f>
        <v>0</v>
      </c>
      <c r="K16" s="437">
        <f>'[1]Schedule Rate Impacts 1-1-2020'!K$16</f>
        <v>37000</v>
      </c>
      <c r="L16" s="437">
        <f>'[1]Schedule Rate Impacts 1-1-2020'!L$16</f>
        <v>14000</v>
      </c>
      <c r="M16" s="437">
        <f>'[1]Schedule Rate Impacts 1-1-2020'!M$16</f>
        <v>-14000</v>
      </c>
      <c r="N16" s="437">
        <f>'[1]Schedule Rate Impacts 1-1-2020'!N$16</f>
        <v>-15000</v>
      </c>
      <c r="O16" s="437">
        <f>'[1]Schedule Rate Impacts 1-1-2020'!O$16</f>
        <v>15000</v>
      </c>
      <c r="P16" s="437">
        <f>'[1]Schedule Rate Impacts 1-1-2020'!P$16</f>
        <v>-131000</v>
      </c>
      <c r="Q16" s="320"/>
    </row>
    <row r="17" spans="1:17" x14ac:dyDescent="0.2">
      <c r="A17" s="113">
        <f t="shared" si="0"/>
        <v>10</v>
      </c>
      <c r="B17" s="115" t="s">
        <v>138</v>
      </c>
      <c r="C17" s="439">
        <f>'[1]Schedule Rate Impacts 1-1-2020'!$C$17</f>
        <v>1781933000</v>
      </c>
      <c r="D17" s="264">
        <f t="shared" si="4"/>
        <v>154172000</v>
      </c>
      <c r="E17" s="437">
        <f>'[1]Schedule Rate Impacts 1-1-2020'!D$17</f>
        <v>147644000</v>
      </c>
      <c r="F17" s="437">
        <f>'[1]Schedule Rate Impacts 1-1-2020'!E$17</f>
        <v>-1752000</v>
      </c>
      <c r="G17" s="437">
        <f>'[1]Schedule Rate Impacts 1-1-2020'!F$17</f>
        <v>-3047000</v>
      </c>
      <c r="H17" s="437">
        <f>'[1]Schedule Rate Impacts 1-1-2020'!G$17</f>
        <v>6217000</v>
      </c>
      <c r="I17" s="437">
        <f>'[1]Schedule Rate Impacts 1-1-2020'!H$17</f>
        <v>1522000</v>
      </c>
      <c r="J17" s="437">
        <f>'[1]Schedule Rate Impacts 1-1-2020'!I$17</f>
        <v>0</v>
      </c>
      <c r="K17" s="437">
        <f>'[1]Schedule Rate Impacts 1-1-2020'!K$17</f>
        <v>3735000</v>
      </c>
      <c r="L17" s="437">
        <f>'[1]Schedule Rate Impacts 1-1-2020'!L$17</f>
        <v>1435000</v>
      </c>
      <c r="M17" s="437">
        <f>'[1]Schedule Rate Impacts 1-1-2020'!M$17</f>
        <v>-1435000</v>
      </c>
      <c r="N17" s="437">
        <f>'[1]Schedule Rate Impacts 1-1-2020'!N$17</f>
        <v>-1527000</v>
      </c>
      <c r="O17" s="437">
        <f>'[1]Schedule Rate Impacts 1-1-2020'!O$17</f>
        <v>1380000</v>
      </c>
      <c r="P17" s="437">
        <f>'[1]Schedule Rate Impacts 1-1-2020'!P$17</f>
        <v>0</v>
      </c>
      <c r="Q17" s="320"/>
    </row>
    <row r="18" spans="1:17" x14ac:dyDescent="0.2">
      <c r="A18" s="113">
        <f t="shared" si="0"/>
        <v>11</v>
      </c>
      <c r="B18" s="115">
        <v>29</v>
      </c>
      <c r="C18" s="439">
        <f>'[1]Schedule Rate Impacts 1-1-2020'!$C$18</f>
        <v>15098000</v>
      </c>
      <c r="D18" s="264">
        <f t="shared" si="4"/>
        <v>1118000</v>
      </c>
      <c r="E18" s="437">
        <f>'[1]Schedule Rate Impacts 1-1-2020'!D$18</f>
        <v>1200000</v>
      </c>
      <c r="F18" s="437">
        <f>'[1]Schedule Rate Impacts 1-1-2020'!E$18</f>
        <v>-11000</v>
      </c>
      <c r="G18" s="437">
        <f>'[1]Schedule Rate Impacts 1-1-2020'!F$18</f>
        <v>-19000</v>
      </c>
      <c r="H18" s="437">
        <f>'[1]Schedule Rate Impacts 1-1-2020'!G$18</f>
        <v>39000</v>
      </c>
      <c r="I18" s="437">
        <f>'[1]Schedule Rate Impacts 1-1-2020'!H$18</f>
        <v>12000</v>
      </c>
      <c r="J18" s="437">
        <f>'[1]Schedule Rate Impacts 1-1-2020'!I$18</f>
        <v>0</v>
      </c>
      <c r="K18" s="437">
        <f>'[1]Schedule Rate Impacts 1-1-2020'!K$18</f>
        <v>32000</v>
      </c>
      <c r="L18" s="437">
        <f>'[1]Schedule Rate Impacts 1-1-2020'!L$18</f>
        <v>12000</v>
      </c>
      <c r="M18" s="437">
        <f>'[1]Schedule Rate Impacts 1-1-2020'!M$18</f>
        <v>-12000</v>
      </c>
      <c r="N18" s="437">
        <f>'[1]Schedule Rate Impacts 1-1-2020'!N$18</f>
        <v>-13000</v>
      </c>
      <c r="O18" s="437">
        <f>'[1]Schedule Rate Impacts 1-1-2020'!O$18</f>
        <v>-10000</v>
      </c>
      <c r="P18" s="437">
        <f>'[1]Schedule Rate Impacts 1-1-2020'!P$18</f>
        <v>-112000</v>
      </c>
      <c r="Q18" s="320"/>
    </row>
    <row r="19" spans="1:17" x14ac:dyDescent="0.2">
      <c r="A19" s="113">
        <f t="shared" si="0"/>
        <v>12</v>
      </c>
      <c r="B19" s="119" t="s">
        <v>76</v>
      </c>
      <c r="C19" s="262">
        <f>SUM(C12:C18)</f>
        <v>7739365000</v>
      </c>
      <c r="D19" s="120">
        <f>SUM(D12:D18)</f>
        <v>733170000</v>
      </c>
      <c r="E19" s="120">
        <f>SUM(E12:E18)</f>
        <v>705214000</v>
      </c>
      <c r="F19" s="120">
        <f t="shared" ref="F19:P19" si="5">SUM(F12:F18)</f>
        <v>-7106000</v>
      </c>
      <c r="G19" s="120">
        <f t="shared" si="5"/>
        <v>-12596000</v>
      </c>
      <c r="H19" s="120">
        <f>SUM(H12:H18)</f>
        <v>25581000</v>
      </c>
      <c r="I19" s="120">
        <f t="shared" si="5"/>
        <v>7297000</v>
      </c>
      <c r="J19" s="120">
        <f t="shared" si="5"/>
        <v>0</v>
      </c>
      <c r="K19" s="120">
        <f t="shared" si="5"/>
        <v>17349000</v>
      </c>
      <c r="L19" s="120">
        <f t="shared" si="5"/>
        <v>7274000</v>
      </c>
      <c r="M19" s="120">
        <f t="shared" si="5"/>
        <v>-7274000</v>
      </c>
      <c r="N19" s="120">
        <f>SUM(N12:N18)</f>
        <v>-6910000</v>
      </c>
      <c r="O19" s="120">
        <f t="shared" si="5"/>
        <v>7495000</v>
      </c>
      <c r="P19" s="120">
        <f t="shared" si="5"/>
        <v>-3154000</v>
      </c>
      <c r="Q19" s="320"/>
    </row>
    <row r="20" spans="1:17" x14ac:dyDescent="0.2">
      <c r="A20" s="113">
        <f t="shared" si="0"/>
        <v>13</v>
      </c>
      <c r="B20" s="113"/>
      <c r="C20" s="261"/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320"/>
    </row>
    <row r="21" spans="1:17" x14ac:dyDescent="0.2">
      <c r="A21" s="113">
        <f t="shared" si="0"/>
        <v>14</v>
      </c>
      <c r="B21" s="115">
        <v>10</v>
      </c>
      <c r="C21" s="440">
        <f>'[1]Schedule Rate Impacts 1-1-2020'!$C$21</f>
        <v>33276000</v>
      </c>
      <c r="D21" s="264">
        <f>SUM(E21:P21)</f>
        <v>2549000</v>
      </c>
      <c r="E21" s="437">
        <f>'[1]Schedule Rate Impacts 1-1-2020'!D$21</f>
        <v>2699000</v>
      </c>
      <c r="F21" s="437">
        <f>'[1]Schedule Rate Impacts 1-1-2020'!E$21</f>
        <v>-29000</v>
      </c>
      <c r="G21" s="437">
        <f>'[1]Schedule Rate Impacts 1-1-2020'!F$21</f>
        <v>-51000</v>
      </c>
      <c r="H21" s="437">
        <f>'[1]Schedule Rate Impacts 1-1-2020'!G$21</f>
        <v>105000</v>
      </c>
      <c r="I21" s="437">
        <f>'[1]Schedule Rate Impacts 1-1-2020'!H$21</f>
        <v>28000</v>
      </c>
      <c r="J21" s="437">
        <f>'[1]Schedule Rate Impacts 1-1-2020'!I$21</f>
        <v>0</v>
      </c>
      <c r="K21" s="437">
        <f>'[1]Schedule Rate Impacts 1-1-2020'!K$21</f>
        <v>66000</v>
      </c>
      <c r="L21" s="437">
        <f>'[1]Schedule Rate Impacts 1-1-2020'!L$21</f>
        <v>26000</v>
      </c>
      <c r="M21" s="437">
        <f>'[1]Schedule Rate Impacts 1-1-2020'!M$21</f>
        <v>-26000</v>
      </c>
      <c r="N21" s="437">
        <f>'[1]Schedule Rate Impacts 1-1-2020'!N$21</f>
        <v>-27000</v>
      </c>
      <c r="O21" s="437">
        <f>'[1]Schedule Rate Impacts 1-1-2020'!O$21</f>
        <v>4000</v>
      </c>
      <c r="P21" s="437">
        <f>'[1]Schedule Rate Impacts 1-1-2020'!P$21</f>
        <v>-246000</v>
      </c>
      <c r="Q21" s="320"/>
    </row>
    <row r="22" spans="1:17" x14ac:dyDescent="0.2">
      <c r="A22" s="113">
        <f t="shared" si="0"/>
        <v>15</v>
      </c>
      <c r="B22" s="115">
        <v>31</v>
      </c>
      <c r="C22" s="440">
        <f>'[1]Schedule Rate Impacts 1-1-2020'!$C$22</f>
        <v>1292757000</v>
      </c>
      <c r="D22" s="264">
        <f>SUM(E22:P22)</f>
        <v>108564000</v>
      </c>
      <c r="E22" s="437">
        <f>'[1]Schedule Rate Impacts 1-1-2020'!D$22</f>
        <v>104847000</v>
      </c>
      <c r="F22" s="437">
        <f>'[1]Schedule Rate Impacts 1-1-2020'!E$22</f>
        <v>-1136000</v>
      </c>
      <c r="G22" s="437">
        <f>'[1]Schedule Rate Impacts 1-1-2020'!F$22</f>
        <v>-1995000</v>
      </c>
      <c r="H22" s="437">
        <f>'[1]Schedule Rate Impacts 1-1-2020'!G$22</f>
        <v>4075000</v>
      </c>
      <c r="I22" s="437">
        <f>'[1]Schedule Rate Impacts 1-1-2020'!H$22</f>
        <v>1074000</v>
      </c>
      <c r="J22" s="437">
        <f>'[1]Schedule Rate Impacts 1-1-2020'!I$22</f>
        <v>0</v>
      </c>
      <c r="K22" s="437">
        <f>'[1]Schedule Rate Impacts 1-1-2020'!K$22</f>
        <v>2557000</v>
      </c>
      <c r="L22" s="437">
        <f>'[1]Schedule Rate Impacts 1-1-2020'!L$22</f>
        <v>1019000</v>
      </c>
      <c r="M22" s="437">
        <f>'[1]Schedule Rate Impacts 1-1-2020'!M$22</f>
        <v>-1019000</v>
      </c>
      <c r="N22" s="437">
        <f>'[1]Schedule Rate Impacts 1-1-2020'!N$22</f>
        <v>-1050000</v>
      </c>
      <c r="O22" s="437">
        <f>'[1]Schedule Rate Impacts 1-1-2020'!O$22</f>
        <v>192000</v>
      </c>
      <c r="P22" s="437">
        <f>'[1]Schedule Rate Impacts 1-1-2020'!P$22</f>
        <v>0</v>
      </c>
      <c r="Q22" s="320"/>
    </row>
    <row r="23" spans="1:17" x14ac:dyDescent="0.2">
      <c r="A23" s="113">
        <f t="shared" si="0"/>
        <v>16</v>
      </c>
      <c r="B23" s="115">
        <v>35</v>
      </c>
      <c r="C23" s="440">
        <f>'[1]Schedule Rate Impacts 1-1-2020'!$C$23</f>
        <v>4566000</v>
      </c>
      <c r="D23" s="264">
        <f>SUM(E23:P23)</f>
        <v>246000</v>
      </c>
      <c r="E23" s="437">
        <f>'[1]Schedule Rate Impacts 1-1-2020'!D$23</f>
        <v>272000</v>
      </c>
      <c r="F23" s="437">
        <f>'[1]Schedule Rate Impacts 1-1-2020'!E$23</f>
        <v>-3000</v>
      </c>
      <c r="G23" s="437">
        <f>'[1]Schedule Rate Impacts 1-1-2020'!F$23</f>
        <v>-5000</v>
      </c>
      <c r="H23" s="437">
        <f>'[1]Schedule Rate Impacts 1-1-2020'!G$23</f>
        <v>11000</v>
      </c>
      <c r="I23" s="437">
        <f>'[1]Schedule Rate Impacts 1-1-2020'!H$23</f>
        <v>3000</v>
      </c>
      <c r="J23" s="437">
        <f>'[1]Schedule Rate Impacts 1-1-2020'!I$23</f>
        <v>0</v>
      </c>
      <c r="K23" s="437">
        <f>'[1]Schedule Rate Impacts 1-1-2020'!K$23</f>
        <v>9000</v>
      </c>
      <c r="L23" s="437">
        <f>'[1]Schedule Rate Impacts 1-1-2020'!L$23</f>
        <v>6000</v>
      </c>
      <c r="M23" s="437">
        <f>'[1]Schedule Rate Impacts 1-1-2020'!M$23</f>
        <v>-6000</v>
      </c>
      <c r="N23" s="437">
        <f>'[1]Schedule Rate Impacts 1-1-2020'!N$23</f>
        <v>-4000</v>
      </c>
      <c r="O23" s="437">
        <f>'[1]Schedule Rate Impacts 1-1-2020'!O$23</f>
        <v>-3000</v>
      </c>
      <c r="P23" s="437">
        <f>'[1]Schedule Rate Impacts 1-1-2020'!P$23</f>
        <v>-34000</v>
      </c>
      <c r="Q23" s="320"/>
    </row>
    <row r="24" spans="1:17" x14ac:dyDescent="0.2">
      <c r="A24" s="113">
        <f t="shared" si="0"/>
        <v>17</v>
      </c>
      <c r="B24" s="115">
        <v>43</v>
      </c>
      <c r="C24" s="440">
        <f>'[1]Schedule Rate Impacts 1-1-2020'!$C$24</f>
        <v>118819000</v>
      </c>
      <c r="D24" s="264">
        <f>SUM(E24:P24)</f>
        <v>10722000</v>
      </c>
      <c r="E24" s="437">
        <f>'[1]Schedule Rate Impacts 1-1-2020'!D$24</f>
        <v>10424000</v>
      </c>
      <c r="F24" s="437">
        <f>'[1]Schedule Rate Impacts 1-1-2020'!E$24</f>
        <v>-87000</v>
      </c>
      <c r="G24" s="437">
        <f>'[1]Schedule Rate Impacts 1-1-2020'!F$24</f>
        <v>-154000</v>
      </c>
      <c r="H24" s="437">
        <f>'[1]Schedule Rate Impacts 1-1-2020'!G$24</f>
        <v>311000</v>
      </c>
      <c r="I24" s="437">
        <f>'[1]Schedule Rate Impacts 1-1-2020'!H$24</f>
        <v>106000</v>
      </c>
      <c r="J24" s="437">
        <f>'[1]Schedule Rate Impacts 1-1-2020'!I$24</f>
        <v>0</v>
      </c>
      <c r="K24" s="437">
        <f>'[1]Schedule Rate Impacts 1-1-2020'!K$24</f>
        <v>335000</v>
      </c>
      <c r="L24" s="437">
        <f>'[1]Schedule Rate Impacts 1-1-2020'!L$24</f>
        <v>156000</v>
      </c>
      <c r="M24" s="437">
        <f>'[1]Schedule Rate Impacts 1-1-2020'!M$24</f>
        <v>-156000</v>
      </c>
      <c r="N24" s="437">
        <f>'[1]Schedule Rate Impacts 1-1-2020'!N$24</f>
        <v>-135000</v>
      </c>
      <c r="O24" s="437">
        <f>'[1]Schedule Rate Impacts 1-1-2020'!O$24</f>
        <v>-78000</v>
      </c>
      <c r="P24" s="437">
        <f>'[1]Schedule Rate Impacts 1-1-2020'!P$24</f>
        <v>0</v>
      </c>
      <c r="Q24" s="320"/>
    </row>
    <row r="25" spans="1:17" x14ac:dyDescent="0.2">
      <c r="A25" s="113">
        <f t="shared" si="0"/>
        <v>18</v>
      </c>
      <c r="B25" s="117" t="s">
        <v>77</v>
      </c>
      <c r="C25" s="262">
        <f>SUM(C21:C24)</f>
        <v>1449418000</v>
      </c>
      <c r="D25" s="120">
        <f>SUM(D21:D24)</f>
        <v>122081000</v>
      </c>
      <c r="E25" s="120">
        <f>SUM(E21:E24)</f>
        <v>118242000</v>
      </c>
      <c r="F25" s="120">
        <f t="shared" ref="F25:P25" si="6">SUM(F21:F24)</f>
        <v>-1255000</v>
      </c>
      <c r="G25" s="120">
        <f t="shared" si="6"/>
        <v>-2205000</v>
      </c>
      <c r="H25" s="120">
        <f>SUM(H21:H24)</f>
        <v>4502000</v>
      </c>
      <c r="I25" s="120">
        <f t="shared" si="6"/>
        <v>1211000</v>
      </c>
      <c r="J25" s="120">
        <f t="shared" si="6"/>
        <v>0</v>
      </c>
      <c r="K25" s="120">
        <f t="shared" si="6"/>
        <v>2967000</v>
      </c>
      <c r="L25" s="120">
        <f t="shared" si="6"/>
        <v>1207000</v>
      </c>
      <c r="M25" s="120">
        <f>SUM(M21:M24)</f>
        <v>-1207000</v>
      </c>
      <c r="N25" s="120">
        <f t="shared" si="6"/>
        <v>-1216000</v>
      </c>
      <c r="O25" s="120">
        <f t="shared" si="6"/>
        <v>115000</v>
      </c>
      <c r="P25" s="120">
        <f t="shared" si="6"/>
        <v>-280000</v>
      </c>
      <c r="Q25" s="320"/>
    </row>
    <row r="26" spans="1:17" x14ac:dyDescent="0.2">
      <c r="A26" s="113">
        <f t="shared" si="0"/>
        <v>19</v>
      </c>
      <c r="B26" s="113"/>
      <c r="C26" s="261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320"/>
    </row>
    <row r="27" spans="1:17" s="127" customFormat="1" x14ac:dyDescent="0.2">
      <c r="A27" s="315">
        <f t="shared" si="0"/>
        <v>20</v>
      </c>
      <c r="B27" s="148">
        <v>40</v>
      </c>
      <c r="C27" s="440">
        <f>'[1]Schedule Rate Impacts 1-1-2020'!$C$27</f>
        <v>128305000</v>
      </c>
      <c r="D27" s="324">
        <f>SUM(E27:P27)</f>
        <v>9510000</v>
      </c>
      <c r="E27" s="437">
        <f>'[1]Schedule Rate Impacts 1-1-2020'!D$27</f>
        <v>8645000</v>
      </c>
      <c r="F27" s="437">
        <f>'[1]Schedule Rate Impacts 1-1-2020'!E$27</f>
        <v>-171000</v>
      </c>
      <c r="G27" s="437">
        <f>'[1]Schedule Rate Impacts 1-1-2020'!F$27</f>
        <v>-225000</v>
      </c>
      <c r="H27" s="437">
        <f>'[1]Schedule Rate Impacts 1-1-2020'!G$27</f>
        <v>461000</v>
      </c>
      <c r="I27" s="437">
        <f>'[1]Schedule Rate Impacts 1-1-2020'!H$27</f>
        <v>93000</v>
      </c>
      <c r="J27" s="437">
        <f>'[1]Schedule Rate Impacts 1-1-2020'!I$27</f>
        <v>0</v>
      </c>
      <c r="K27" s="437">
        <f>'[1]Schedule Rate Impacts 1-1-2020'!K$27</f>
        <v>280000</v>
      </c>
      <c r="L27" s="437">
        <f>'[1]Schedule Rate Impacts 1-1-2020'!L$27</f>
        <v>78000</v>
      </c>
      <c r="M27" s="437">
        <f>'[1]Schedule Rate Impacts 1-1-2020'!M$27</f>
        <v>-78000</v>
      </c>
      <c r="N27" s="437">
        <f>'[1]Schedule Rate Impacts 1-1-2020'!N$27</f>
        <v>-110000</v>
      </c>
      <c r="O27" s="437">
        <f>'[1]Schedule Rate Impacts 1-1-2020'!O$27</f>
        <v>537000</v>
      </c>
      <c r="P27" s="437">
        <f>'[1]Schedule Rate Impacts 1-1-2020'!P$27</f>
        <v>0</v>
      </c>
      <c r="Q27" s="320"/>
    </row>
    <row r="28" spans="1:17" x14ac:dyDescent="0.2">
      <c r="A28" s="113">
        <f t="shared" si="0"/>
        <v>21</v>
      </c>
      <c r="B28" s="115"/>
      <c r="C28" s="261"/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264"/>
      <c r="O28" s="264"/>
      <c r="P28" s="264"/>
      <c r="Q28" s="320"/>
    </row>
    <row r="29" spans="1:17" x14ac:dyDescent="0.2">
      <c r="A29" s="113">
        <f t="shared" si="0"/>
        <v>22</v>
      </c>
      <c r="B29" s="115">
        <v>46</v>
      </c>
      <c r="C29" s="440">
        <f>'[1]Schedule Rate Impacts 1-1-2020'!$C$29</f>
        <v>73310000</v>
      </c>
      <c r="D29" s="264">
        <f>SUM(E29:P29)</f>
        <v>5078000</v>
      </c>
      <c r="E29" s="437">
        <f>'[1]Schedule Rate Impacts 1-1-2020'!D$29</f>
        <v>4880000</v>
      </c>
      <c r="F29" s="437">
        <f>'[1]Schedule Rate Impacts 1-1-2020'!E$29</f>
        <v>-9000</v>
      </c>
      <c r="G29" s="437">
        <f>'[1]Schedule Rate Impacts 1-1-2020'!F$29</f>
        <v>-73000</v>
      </c>
      <c r="H29" s="437">
        <f>'[1]Schedule Rate Impacts 1-1-2020'!G$29</f>
        <v>150000</v>
      </c>
      <c r="I29" s="437">
        <f>'[1]Schedule Rate Impacts 1-1-2020'!H$29</f>
        <v>51000</v>
      </c>
      <c r="J29" s="437">
        <f>'[1]Schedule Rate Impacts 1-1-2020'!I$29</f>
        <v>0</v>
      </c>
      <c r="K29" s="437">
        <f>'[1]Schedule Rate Impacts 1-1-2020'!K$29</f>
        <v>114000</v>
      </c>
      <c r="L29" s="437">
        <f>'[1]Schedule Rate Impacts 1-1-2020'!L$29</f>
        <v>48000</v>
      </c>
      <c r="M29" s="437">
        <f>'[1]Schedule Rate Impacts 1-1-2020'!M$29</f>
        <v>-48000</v>
      </c>
      <c r="N29" s="437">
        <f>'[1]Schedule Rate Impacts 1-1-2020'!N$29</f>
        <v>-48000</v>
      </c>
      <c r="O29" s="437">
        <f>'[1]Schedule Rate Impacts 1-1-2020'!O$29</f>
        <v>13000</v>
      </c>
      <c r="P29" s="437">
        <f>'[1]Schedule Rate Impacts 1-1-2020'!P$29</f>
        <v>0</v>
      </c>
      <c r="Q29" s="320"/>
    </row>
    <row r="30" spans="1:17" x14ac:dyDescent="0.2">
      <c r="A30" s="113">
        <f t="shared" si="0"/>
        <v>23</v>
      </c>
      <c r="B30" s="115">
        <v>49</v>
      </c>
      <c r="C30" s="440">
        <f>'[1]Schedule Rate Impacts 1-1-2020'!$C$30</f>
        <v>558581000</v>
      </c>
      <c r="D30" s="264">
        <f>SUM(E30:P30)</f>
        <v>38006000</v>
      </c>
      <c r="E30" s="437">
        <f>'[1]Schedule Rate Impacts 1-1-2020'!D$30</f>
        <v>36384000</v>
      </c>
      <c r="F30" s="437">
        <f>'[1]Schedule Rate Impacts 1-1-2020'!E$30</f>
        <v>-236000</v>
      </c>
      <c r="G30" s="437">
        <f>'[1]Schedule Rate Impacts 1-1-2020'!F$30</f>
        <v>-845000</v>
      </c>
      <c r="H30" s="437">
        <f>'[1]Schedule Rate Impacts 1-1-2020'!G$30</f>
        <v>1720000</v>
      </c>
      <c r="I30" s="437">
        <f>'[1]Schedule Rate Impacts 1-1-2020'!H$30</f>
        <v>375000</v>
      </c>
      <c r="J30" s="437">
        <f>'[1]Schedule Rate Impacts 1-1-2020'!I$30</f>
        <v>0</v>
      </c>
      <c r="K30" s="437">
        <f>'[1]Schedule Rate Impacts 1-1-2020'!K$30</f>
        <v>870000</v>
      </c>
      <c r="L30" s="437">
        <f>'[1]Schedule Rate Impacts 1-1-2020'!L$30</f>
        <v>353000</v>
      </c>
      <c r="M30" s="437">
        <f>'[1]Schedule Rate Impacts 1-1-2020'!M$30</f>
        <v>-353000</v>
      </c>
      <c r="N30" s="437">
        <f>'[1]Schedule Rate Impacts 1-1-2020'!N$30</f>
        <v>-365000</v>
      </c>
      <c r="O30" s="437">
        <f>'[1]Schedule Rate Impacts 1-1-2020'!O$30</f>
        <v>103000</v>
      </c>
      <c r="P30" s="437">
        <f>'[1]Schedule Rate Impacts 1-1-2020'!P$30</f>
        <v>0</v>
      </c>
      <c r="Q30" s="320"/>
    </row>
    <row r="31" spans="1:17" x14ac:dyDescent="0.2">
      <c r="A31" s="113">
        <f t="shared" si="0"/>
        <v>24</v>
      </c>
      <c r="B31" s="117" t="s">
        <v>78</v>
      </c>
      <c r="C31" s="262">
        <f>SUM(C29:C30)</f>
        <v>631891000</v>
      </c>
      <c r="D31" s="120">
        <f>SUM(D29:D30)</f>
        <v>43084000</v>
      </c>
      <c r="E31" s="120">
        <f>SUM(E29:E30)</f>
        <v>41264000</v>
      </c>
      <c r="F31" s="120">
        <f t="shared" ref="F31:K31" si="7">SUM(F29:F30)</f>
        <v>-245000</v>
      </c>
      <c r="G31" s="120">
        <f t="shared" si="7"/>
        <v>-918000</v>
      </c>
      <c r="H31" s="120">
        <f>SUM(H29:H30)</f>
        <v>1870000</v>
      </c>
      <c r="I31" s="120">
        <f t="shared" si="7"/>
        <v>426000</v>
      </c>
      <c r="J31" s="120">
        <f t="shared" si="7"/>
        <v>0</v>
      </c>
      <c r="K31" s="120">
        <f t="shared" si="7"/>
        <v>984000</v>
      </c>
      <c r="L31" s="120">
        <f t="shared" ref="L31:P31" si="8">SUM(L29:L30)</f>
        <v>401000</v>
      </c>
      <c r="M31" s="120">
        <f t="shared" si="8"/>
        <v>-401000</v>
      </c>
      <c r="N31" s="120">
        <f t="shared" si="8"/>
        <v>-413000</v>
      </c>
      <c r="O31" s="120">
        <f t="shared" si="8"/>
        <v>116000</v>
      </c>
      <c r="P31" s="120">
        <f t="shared" si="8"/>
        <v>0</v>
      </c>
      <c r="Q31" s="320"/>
    </row>
    <row r="32" spans="1:17" x14ac:dyDescent="0.2">
      <c r="A32" s="113">
        <f t="shared" si="0"/>
        <v>25</v>
      </c>
      <c r="B32" s="115"/>
      <c r="C32" s="261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320"/>
    </row>
    <row r="33" spans="1:17" x14ac:dyDescent="0.2">
      <c r="A33" s="113">
        <f t="shared" si="0"/>
        <v>26</v>
      </c>
      <c r="B33" s="115" t="s">
        <v>64</v>
      </c>
      <c r="C33" s="441">
        <f>'[1]Schedule Rate Impacts 1-1-2020'!$C$33</f>
        <v>68364000</v>
      </c>
      <c r="D33" s="120">
        <f>SUM(E33:P33)</f>
        <v>16625000</v>
      </c>
      <c r="E33" s="438">
        <f>'[1]Schedule Rate Impacts 1-1-2020'!D$33</f>
        <v>15994000</v>
      </c>
      <c r="F33" s="438">
        <f>'[1]Schedule Rate Impacts 1-1-2020'!E$33</f>
        <v>-41000</v>
      </c>
      <c r="G33" s="438">
        <f>'[1]Schedule Rate Impacts 1-1-2020'!F$33</f>
        <v>-134000</v>
      </c>
      <c r="H33" s="438">
        <f>'[1]Schedule Rate Impacts 1-1-2020'!G$33</f>
        <v>274000</v>
      </c>
      <c r="I33" s="438">
        <f>'[1]Schedule Rate Impacts 1-1-2020'!H$33</f>
        <v>164000</v>
      </c>
      <c r="J33" s="438">
        <f>'[1]Schedule Rate Impacts 1-1-2020'!I$33</f>
        <v>0</v>
      </c>
      <c r="K33" s="438">
        <f>'[1]Schedule Rate Impacts 1-1-2020'!K$33</f>
        <v>626000</v>
      </c>
      <c r="L33" s="438">
        <f>'[1]Schedule Rate Impacts 1-1-2020'!L$33</f>
        <v>239000</v>
      </c>
      <c r="M33" s="438">
        <f>'[1]Schedule Rate Impacts 1-1-2020'!M$33</f>
        <v>-239000</v>
      </c>
      <c r="N33" s="438">
        <f>'[1]Schedule Rate Impacts 1-1-2020'!N$33</f>
        <v>-245000</v>
      </c>
      <c r="O33" s="438">
        <f>'[1]Schedule Rate Impacts 1-1-2020'!O$33</f>
        <v>0</v>
      </c>
      <c r="P33" s="438">
        <f>'[1]Schedule Rate Impacts 1-1-2020'!P$33</f>
        <v>-13000</v>
      </c>
      <c r="Q33" s="320"/>
    </row>
    <row r="34" spans="1:17" x14ac:dyDescent="0.2">
      <c r="A34" s="113">
        <f t="shared" si="0"/>
        <v>27</v>
      </c>
      <c r="B34" s="115"/>
      <c r="C34" s="261"/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320"/>
    </row>
    <row r="35" spans="1:17" s="127" customFormat="1" x14ac:dyDescent="0.2">
      <c r="A35" s="331">
        <f t="shared" si="0"/>
        <v>28</v>
      </c>
      <c r="B35" s="148" t="s">
        <v>443</v>
      </c>
      <c r="C35" s="441">
        <f>'[1]Tariff Impacts 1-1-2020'!$C$29+'[1]Tariff Impacts 1-1-2020'!$C$30</f>
        <v>2514367000</v>
      </c>
      <c r="D35" s="341">
        <f>SUM(E35:P35)</f>
        <v>16527000</v>
      </c>
      <c r="E35" s="438">
        <f>'[1]Schedule Rate Impacts 1-1-2020'!D$34+'[1]Schedule Rate Impacts 1-1-2020'!D$35</f>
        <v>12395000</v>
      </c>
      <c r="F35" s="438">
        <f>'[1]Schedule Rate Impacts 1-1-2020'!E$34+'[1]Schedule Rate Impacts 1-1-2020'!E$35</f>
        <v>0</v>
      </c>
      <c r="G35" s="438">
        <f>'[1]Schedule Rate Impacts 1-1-2020'!F$34+'[1]Schedule Rate Impacts 1-1-2020'!F$35</f>
        <v>0</v>
      </c>
      <c r="H35" s="438">
        <f>'[1]Schedule Rate Impacts 1-1-2020'!G$34+'[1]Schedule Rate Impacts 1-1-2020'!G$35</f>
        <v>3322000</v>
      </c>
      <c r="I35" s="438">
        <f>'[1]Schedule Rate Impacts 1-1-2020'!H$34+'[1]Schedule Rate Impacts 1-1-2020'!H$35</f>
        <v>375000</v>
      </c>
      <c r="J35" s="438">
        <f>'[1]Schedule Rate Impacts 1-1-2020'!I$34+'[1]Schedule Rate Impacts 1-1-2020'!I$35</f>
        <v>0</v>
      </c>
      <c r="K35" s="438">
        <f>'[1]Schedule Rate Impacts 1-1-2020'!K$34+'[1]Schedule Rate Impacts 1-1-2020'!K$35</f>
        <v>1065000</v>
      </c>
      <c r="L35" s="438">
        <f>'[1]Schedule Rate Impacts 1-1-2020'!L$34+'[1]Schedule Rate Impacts 1-1-2020'!L$35</f>
        <v>291000</v>
      </c>
      <c r="M35" s="438">
        <f>'[1]Schedule Rate Impacts 1-1-2020'!M$34+'[1]Schedule Rate Impacts 1-1-2020'!M$35</f>
        <v>-291000</v>
      </c>
      <c r="N35" s="438">
        <f>'[1]Schedule Rate Impacts 1-1-2020'!N$34+'[1]Schedule Rate Impacts 1-1-2020'!N$35</f>
        <v>-630000</v>
      </c>
      <c r="O35" s="438">
        <f>'[1]Schedule Rate Impacts 1-1-2020'!O$34+'[1]Schedule Rate Impacts 1-1-2020'!O$35</f>
        <v>0</v>
      </c>
      <c r="P35" s="438">
        <f>'[1]Schedule Rate Impacts 1-1-2020'!P$34+'[1]Schedule Rate Impacts 1-1-2020'!P$35</f>
        <v>0</v>
      </c>
      <c r="Q35" s="320"/>
    </row>
    <row r="36" spans="1:17" x14ac:dyDescent="0.2">
      <c r="A36" s="113">
        <f t="shared" si="0"/>
        <v>29</v>
      </c>
      <c r="B36" s="115"/>
      <c r="C36" s="261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4"/>
      <c r="P36" s="264"/>
      <c r="Q36" s="320"/>
    </row>
    <row r="37" spans="1:17" ht="13.5" thickBot="1" x14ac:dyDescent="0.25">
      <c r="A37" s="113">
        <f t="shared" si="0"/>
        <v>30</v>
      </c>
      <c r="B37" s="117" t="s">
        <v>12</v>
      </c>
      <c r="C37" s="263">
        <f>SUM(C10,C19,C25,C27,C31,C33,C35)</f>
        <v>23404814000</v>
      </c>
      <c r="D37" s="265">
        <f t="shared" ref="D37" si="9">SUM(D10,D19,D25,D27,D31,D33,D35)</f>
        <v>2041495000</v>
      </c>
      <c r="E37" s="265">
        <f t="shared" ref="E37" si="10">SUM(E10,E19,E25,E27,E31,E33,E35)</f>
        <v>2033203000</v>
      </c>
      <c r="F37" s="265">
        <f t="shared" ref="F37:P37" si="11">SUM(F10,F19,F25,F27,F31,F33,F35)</f>
        <v>-20756000</v>
      </c>
      <c r="G37" s="265">
        <f t="shared" si="11"/>
        <v>-36877000</v>
      </c>
      <c r="H37" s="265">
        <f t="shared" si="11"/>
        <v>78467000</v>
      </c>
      <c r="I37" s="265">
        <f t="shared" si="11"/>
        <v>21178000</v>
      </c>
      <c r="J37" s="265">
        <f t="shared" si="11"/>
        <v>0</v>
      </c>
      <c r="K37" s="265">
        <f t="shared" si="11"/>
        <v>58367000</v>
      </c>
      <c r="L37" s="265">
        <f t="shared" si="11"/>
        <v>26410000</v>
      </c>
      <c r="M37" s="265">
        <f t="shared" si="11"/>
        <v>-26410000</v>
      </c>
      <c r="N37" s="265">
        <f>SUM(N10,N19,N25,N27,N31,N33,N35)</f>
        <v>-23342000</v>
      </c>
      <c r="O37" s="265">
        <f>SUM(O10,O19,O25,O27,O31,O33,O35)</f>
        <v>15012000</v>
      </c>
      <c r="P37" s="265">
        <f t="shared" si="11"/>
        <v>-83757000</v>
      </c>
      <c r="Q37" s="320"/>
    </row>
    <row r="38" spans="1:17" ht="13.5" thickTop="1" x14ac:dyDescent="0.2">
      <c r="A38" s="113">
        <f t="shared" si="0"/>
        <v>31</v>
      </c>
      <c r="B38" s="115"/>
      <c r="C38" s="122"/>
      <c r="D38" s="266"/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320"/>
    </row>
    <row r="39" spans="1:17" x14ac:dyDescent="0.2">
      <c r="A39" s="113">
        <f t="shared" si="0"/>
        <v>32</v>
      </c>
      <c r="B39" s="115">
        <v>5</v>
      </c>
      <c r="C39" s="441">
        <f>'[1]Schedule Rate Impacts 1-1-2020'!$C$39</f>
        <v>7435000</v>
      </c>
      <c r="D39" s="120">
        <f>SUM(E39:P39)</f>
        <v>335000</v>
      </c>
      <c r="E39" s="438">
        <f>'[1]Schedule Rate Impacts 1-1-2020'!D$39</f>
        <v>339000</v>
      </c>
      <c r="F39" s="438">
        <f>'[1]Schedule Rate Impacts 1-1-2020'!E$39</f>
        <v>-4000</v>
      </c>
      <c r="G39" s="438">
        <f>'[1]Schedule Rate Impacts 1-1-2020'!F$39</f>
        <v>0</v>
      </c>
      <c r="H39" s="438">
        <f>'[1]Schedule Rate Impacts 1-1-2020'!G$39</f>
        <v>0</v>
      </c>
      <c r="I39" s="438">
        <f>'[1]Schedule Rate Impacts 1-1-2020'!H$39</f>
        <v>0</v>
      </c>
      <c r="J39" s="438">
        <f>'[1]Schedule Rate Impacts 1-1-2020'!I$39</f>
        <v>0</v>
      </c>
      <c r="K39" s="438">
        <f>'[1]Schedule Rate Impacts 1-1-2020'!K$39</f>
        <v>0</v>
      </c>
      <c r="L39" s="438">
        <f>'[1]Schedule Rate Impacts 1-1-2020'!L$39</f>
        <v>4000</v>
      </c>
      <c r="M39" s="438">
        <f>'[1]Schedule Rate Impacts 1-1-2020'!M$39</f>
        <v>-4000</v>
      </c>
      <c r="N39" s="438">
        <f>'[1]Schedule Rate Impacts 1-1-2020'!N$39</f>
        <v>0</v>
      </c>
      <c r="O39" s="438">
        <f>'[1]Schedule Rate Impacts 1-1-2020'!O$39</f>
        <v>0</v>
      </c>
      <c r="P39" s="438">
        <f>'[1]Schedule Rate Impacts 1-1-2020'!P$39</f>
        <v>0</v>
      </c>
      <c r="Q39" s="320"/>
    </row>
    <row r="40" spans="1:17" x14ac:dyDescent="0.2">
      <c r="A40" s="113">
        <f t="shared" si="0"/>
        <v>33</v>
      </c>
      <c r="B40" s="115"/>
      <c r="C40" s="122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320"/>
    </row>
    <row r="41" spans="1:17" ht="13.5" thickBot="1" x14ac:dyDescent="0.25">
      <c r="A41" s="113">
        <f t="shared" si="0"/>
        <v>34</v>
      </c>
      <c r="B41" s="117" t="s">
        <v>139</v>
      </c>
      <c r="C41" s="263">
        <f>+C39+C37</f>
        <v>23412249000</v>
      </c>
      <c r="D41" s="265">
        <f t="shared" ref="D41" si="12">+D39+D37</f>
        <v>2041830000</v>
      </c>
      <c r="E41" s="265">
        <f t="shared" ref="E41" si="13">+E39+E37</f>
        <v>2033542000</v>
      </c>
      <c r="F41" s="265">
        <f t="shared" ref="F41:P41" si="14">+F39+F37</f>
        <v>-20760000</v>
      </c>
      <c r="G41" s="265">
        <f t="shared" si="14"/>
        <v>-36877000</v>
      </c>
      <c r="H41" s="265">
        <f t="shared" si="14"/>
        <v>78467000</v>
      </c>
      <c r="I41" s="265">
        <f t="shared" si="14"/>
        <v>21178000</v>
      </c>
      <c r="J41" s="265">
        <f t="shared" si="14"/>
        <v>0</v>
      </c>
      <c r="K41" s="265">
        <f t="shared" si="14"/>
        <v>58367000</v>
      </c>
      <c r="L41" s="265">
        <f t="shared" si="14"/>
        <v>26414000</v>
      </c>
      <c r="M41" s="265">
        <f t="shared" si="14"/>
        <v>-26414000</v>
      </c>
      <c r="N41" s="265">
        <f>+N39+N37</f>
        <v>-23342000</v>
      </c>
      <c r="O41" s="265">
        <f>+O39+O37</f>
        <v>15012000</v>
      </c>
      <c r="P41" s="265">
        <f t="shared" si="14"/>
        <v>-83757000</v>
      </c>
      <c r="Q41" s="320"/>
    </row>
    <row r="42" spans="1:17" ht="13.5" thickTop="1" x14ac:dyDescent="0.2"/>
    <row r="43" spans="1:17" ht="13.5" thickBot="1" x14ac:dyDescent="0.25">
      <c r="B43" s="127" t="s">
        <v>446</v>
      </c>
      <c r="C43" s="263">
        <f>'[1]Schedule Rate Impacts 1-1-2020'!$C$41</f>
        <v>23412249000</v>
      </c>
      <c r="D43" s="265">
        <f>'[1]Schedule Rate Impacts 1-1-2020'!$R$41</f>
        <v>2040419000</v>
      </c>
      <c r="E43" s="265">
        <f>'[1]Schedule Rate Impacts 1-1-2020'!D41</f>
        <v>2033542000</v>
      </c>
      <c r="F43" s="265">
        <f>'[1]Schedule Rate Impacts 1-1-2020'!E41</f>
        <v>-20760000</v>
      </c>
      <c r="G43" s="265">
        <f>'[1]Schedule Rate Impacts 1-1-2020'!F41</f>
        <v>-36877000</v>
      </c>
      <c r="H43" s="265">
        <f>'[1]Schedule Rate Impacts 1-1-2020'!G41</f>
        <v>78467000</v>
      </c>
      <c r="I43" s="265">
        <f>'[1]Schedule Rate Impacts 1-1-2020'!H41</f>
        <v>21178000</v>
      </c>
      <c r="J43" s="265">
        <f>'[1]Schedule Rate Impacts 1-1-2020'!I41</f>
        <v>0</v>
      </c>
      <c r="K43" s="265">
        <f>'[1]Schedule Rate Impacts 1-1-2020'!K41</f>
        <v>58367000</v>
      </c>
      <c r="L43" s="265">
        <f>'[1]Schedule Rate Impacts 1-1-2020'!L41</f>
        <v>26414000</v>
      </c>
      <c r="M43" s="265">
        <f>'[1]Schedule Rate Impacts 1-1-2020'!M41</f>
        <v>-26414000</v>
      </c>
      <c r="N43" s="265">
        <f>'[1]Schedule Rate Impacts 1-1-2020'!N41</f>
        <v>-23342000</v>
      </c>
      <c r="O43" s="265">
        <f>'[1]Schedule Rate Impacts 1-1-2020'!O41</f>
        <v>15012000</v>
      </c>
      <c r="P43" s="265">
        <f>'[1]Schedule Rate Impacts 1-1-2020'!P41</f>
        <v>-83757000</v>
      </c>
      <c r="Q43" s="265">
        <f>'[1]Schedule Rate Impacts 1-1-2020'!Q41</f>
        <v>6877000</v>
      </c>
    </row>
    <row r="44" spans="1:17" ht="13.5" thickTop="1" x14ac:dyDescent="0.2">
      <c r="C44" s="321">
        <f>C41-C43</f>
        <v>0</v>
      </c>
      <c r="D44" s="321">
        <f>D41-D43</f>
        <v>1411000</v>
      </c>
      <c r="E44" s="321">
        <f t="shared" ref="E44:Q44" si="15">E41-E43</f>
        <v>0</v>
      </c>
      <c r="F44" s="321">
        <f t="shared" si="15"/>
        <v>0</v>
      </c>
      <c r="G44" s="321">
        <f t="shared" si="15"/>
        <v>0</v>
      </c>
      <c r="H44" s="321">
        <f t="shared" si="15"/>
        <v>0</v>
      </c>
      <c r="I44" s="321">
        <f t="shared" si="15"/>
        <v>0</v>
      </c>
      <c r="J44" s="321">
        <f t="shared" si="15"/>
        <v>0</v>
      </c>
      <c r="K44" s="321">
        <f t="shared" si="15"/>
        <v>0</v>
      </c>
      <c r="L44" s="321">
        <f t="shared" si="15"/>
        <v>0</v>
      </c>
      <c r="M44" s="321">
        <f t="shared" si="15"/>
        <v>0</v>
      </c>
      <c r="N44" s="321">
        <f t="shared" si="15"/>
        <v>0</v>
      </c>
      <c r="O44" s="321">
        <f t="shared" si="15"/>
        <v>0</v>
      </c>
      <c r="P44" s="321">
        <f t="shared" si="15"/>
        <v>0</v>
      </c>
      <c r="Q44" s="321">
        <f t="shared" si="15"/>
        <v>-6877000</v>
      </c>
    </row>
  </sheetData>
  <mergeCells count="4">
    <mergeCell ref="A1:P1"/>
    <mergeCell ref="A2:P2"/>
    <mergeCell ref="A3:P3"/>
    <mergeCell ref="A4:P4"/>
  </mergeCells>
  <pageMargins left="0.7" right="0.7" top="0.75" bottom="0.75" header="0.3" footer="0.3"/>
  <pageSetup scale="33" orientation="landscape" r:id="rId1"/>
  <headerFooter>
    <oddFooter>&amp;L&amp;F
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defaultRowHeight="12.75" x14ac:dyDescent="0.2"/>
  <cols>
    <col min="1" max="1" width="53" bestFit="1" customWidth="1"/>
    <col min="2" max="2" width="14.140625" customWidth="1"/>
    <col min="3" max="3" width="14" bestFit="1" customWidth="1"/>
    <col min="4" max="4" width="18.7109375" bestFit="1" customWidth="1"/>
  </cols>
  <sheetData>
    <row r="1" spans="1:4" x14ac:dyDescent="0.2">
      <c r="A1" t="s">
        <v>480</v>
      </c>
    </row>
    <row r="2" spans="1:4" x14ac:dyDescent="0.2">
      <c r="A2" t="s">
        <v>481</v>
      </c>
    </row>
    <row r="6" spans="1:4" x14ac:dyDescent="0.2">
      <c r="B6" s="123" t="s">
        <v>156</v>
      </c>
    </row>
    <row r="7" spans="1:4" x14ac:dyDescent="0.2">
      <c r="A7" s="388" t="s">
        <v>157</v>
      </c>
      <c r="B7" s="388" t="s">
        <v>158</v>
      </c>
      <c r="D7" s="123" t="s">
        <v>429</v>
      </c>
    </row>
    <row r="8" spans="1:4" x14ac:dyDescent="0.2">
      <c r="D8" s="424" t="s">
        <v>482</v>
      </c>
    </row>
    <row r="9" spans="1:4" x14ac:dyDescent="0.2">
      <c r="A9" t="s">
        <v>159</v>
      </c>
      <c r="B9" s="425">
        <v>-1247711.95</v>
      </c>
      <c r="C9" s="428">
        <v>-1443831.3199999998</v>
      </c>
      <c r="D9" s="429">
        <v>0.92957364382277452</v>
      </c>
    </row>
    <row r="10" spans="1:4" x14ac:dyDescent="0.2">
      <c r="A10" t="s">
        <v>160</v>
      </c>
      <c r="B10" s="426">
        <v>-196119.37</v>
      </c>
      <c r="C10" s="430"/>
      <c r="D10" s="429"/>
    </row>
    <row r="11" spans="1:4" x14ac:dyDescent="0.2">
      <c r="A11" t="s">
        <v>161</v>
      </c>
      <c r="B11" s="426">
        <v>-41929.51569771584</v>
      </c>
      <c r="C11" s="431">
        <v>-109387.5450082575</v>
      </c>
      <c r="D11" s="429">
        <v>7.0426356177225521E-2</v>
      </c>
    </row>
    <row r="12" spans="1:4" x14ac:dyDescent="0.2">
      <c r="A12" t="s">
        <v>162</v>
      </c>
      <c r="B12" s="426">
        <v>-67458.029310541664</v>
      </c>
      <c r="C12" s="430"/>
      <c r="D12" s="430"/>
    </row>
    <row r="13" spans="1:4" x14ac:dyDescent="0.2">
      <c r="B13" s="435">
        <v>-1553218.8650082573</v>
      </c>
      <c r="C13" s="432">
        <v>-1553218.8650082573</v>
      </c>
      <c r="D13" s="433">
        <v>1</v>
      </c>
    </row>
    <row r="14" spans="1:4" x14ac:dyDescent="0.2">
      <c r="A14" t="s">
        <v>163</v>
      </c>
      <c r="B14" s="427">
        <v>0.95238599999999995</v>
      </c>
      <c r="C14" s="430"/>
      <c r="D14" s="430"/>
    </row>
    <row r="15" spans="1:4" ht="13.5" thickBot="1" x14ac:dyDescent="0.25">
      <c r="A15" t="s">
        <v>164</v>
      </c>
      <c r="B15" s="434">
        <v>-1630871.1646414977</v>
      </c>
      <c r="C15" s="430"/>
      <c r="D15" s="430"/>
    </row>
    <row r="16" spans="1:4" ht="13.5" thickTop="1" x14ac:dyDescent="0.2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="80" zoomScaleNormal="80" workbookViewId="0">
      <pane xSplit="3" ySplit="6" topLeftCell="D7" activePane="bottomRight" state="frozen"/>
      <selection activeCell="Q11" sqref="Q11"/>
      <selection pane="topRight" activeCell="Q11" sqref="Q11"/>
      <selection pane="bottomLeft" activeCell="Q11" sqref="Q11"/>
      <selection pane="bottomRight" activeCell="D2" sqref="D2"/>
    </sheetView>
  </sheetViews>
  <sheetFormatPr defaultColWidth="9.140625" defaultRowHeight="12.75" x14ac:dyDescent="0.2"/>
  <cols>
    <col min="1" max="1" width="9.140625" style="50"/>
    <col min="2" max="2" width="34.7109375" style="48" bestFit="1" customWidth="1"/>
    <col min="3" max="3" width="11" style="50" customWidth="1"/>
    <col min="4" max="4" width="18.140625" style="49" bestFit="1" customWidth="1"/>
    <col min="5" max="5" width="18.85546875" style="49" bestFit="1" customWidth="1"/>
    <col min="6" max="6" width="12.42578125" style="49" bestFit="1" customWidth="1"/>
    <col min="7" max="7" width="17.85546875" style="48" bestFit="1" customWidth="1"/>
    <col min="8" max="8" width="18.42578125" style="48" bestFit="1" customWidth="1"/>
    <col min="9" max="9" width="18.42578125" style="49" bestFit="1" customWidth="1"/>
    <col min="10" max="10" width="13" style="48" bestFit="1" customWidth="1"/>
    <col min="11" max="11" width="9.85546875" style="48" bestFit="1" customWidth="1"/>
    <col min="12" max="12" width="9.140625" style="48"/>
    <col min="13" max="13" width="17.85546875" style="48" bestFit="1" customWidth="1"/>
    <col min="14" max="14" width="19.140625" style="48" bestFit="1" customWidth="1"/>
    <col min="15" max="15" width="9.85546875" style="48" bestFit="1" customWidth="1"/>
    <col min="16" max="16" width="9.140625" style="48"/>
    <col min="17" max="17" width="12.42578125" style="48" bestFit="1" customWidth="1"/>
    <col min="18" max="19" width="10.28515625" style="48" bestFit="1" customWidth="1"/>
    <col min="20" max="16384" width="9.140625" style="48"/>
  </cols>
  <sheetData>
    <row r="1" spans="1:19" x14ac:dyDescent="0.2">
      <c r="A1" s="80" t="s">
        <v>13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9" x14ac:dyDescent="0.2">
      <c r="A2" s="83" t="s">
        <v>81</v>
      </c>
      <c r="B2" s="84"/>
      <c r="C2" s="84"/>
      <c r="D2" s="84"/>
      <c r="E2" s="84"/>
      <c r="F2" s="84"/>
      <c r="G2" s="84"/>
      <c r="H2" s="84"/>
      <c r="I2" s="84"/>
      <c r="J2" s="84"/>
      <c r="K2" s="85"/>
    </row>
    <row r="3" spans="1:19" x14ac:dyDescent="0.2">
      <c r="A3" s="58"/>
      <c r="K3" s="65"/>
    </row>
    <row r="4" spans="1:19" s="66" customFormat="1" ht="13.5" thickBot="1" x14ac:dyDescent="0.25">
      <c r="A4" s="70"/>
      <c r="D4" s="68"/>
      <c r="E4" s="68"/>
      <c r="F4" s="69"/>
      <c r="H4" s="68"/>
      <c r="I4" s="68"/>
      <c r="K4" s="67"/>
    </row>
    <row r="5" spans="1:19" s="60" customFormat="1" x14ac:dyDescent="0.2">
      <c r="A5" s="76"/>
      <c r="D5" s="68"/>
      <c r="E5" s="68"/>
      <c r="F5" s="69"/>
      <c r="G5" s="66"/>
      <c r="H5" s="68"/>
      <c r="I5" s="68"/>
      <c r="J5" s="66"/>
      <c r="K5" s="67"/>
      <c r="M5" s="491" t="s">
        <v>441</v>
      </c>
      <c r="N5" s="492"/>
      <c r="O5" s="492"/>
      <c r="P5" s="293"/>
      <c r="Q5" s="492" t="s">
        <v>442</v>
      </c>
      <c r="R5" s="492"/>
      <c r="S5" s="493"/>
    </row>
    <row r="6" spans="1:19" s="60" customFormat="1" ht="64.5" thickBot="1" x14ac:dyDescent="0.25">
      <c r="A6" s="75" t="s">
        <v>0</v>
      </c>
      <c r="B6" s="72" t="s">
        <v>17</v>
      </c>
      <c r="C6" s="72" t="s">
        <v>18</v>
      </c>
      <c r="D6" s="74" t="s">
        <v>361</v>
      </c>
      <c r="E6" s="73" t="s">
        <v>362</v>
      </c>
      <c r="F6" s="73" t="s">
        <v>165</v>
      </c>
      <c r="G6" s="73" t="s">
        <v>166</v>
      </c>
      <c r="H6" s="73" t="s">
        <v>167</v>
      </c>
      <c r="I6" s="73" t="s">
        <v>88</v>
      </c>
      <c r="J6" s="72" t="s">
        <v>19</v>
      </c>
      <c r="K6" s="71" t="s">
        <v>20</v>
      </c>
      <c r="M6" s="294" t="s">
        <v>166</v>
      </c>
      <c r="N6" s="60" t="s">
        <v>19</v>
      </c>
      <c r="O6" s="60" t="s">
        <v>20</v>
      </c>
      <c r="Q6" s="404" t="s">
        <v>166</v>
      </c>
      <c r="R6" s="404" t="s">
        <v>19</v>
      </c>
      <c r="S6" s="405" t="s">
        <v>20</v>
      </c>
    </row>
    <row r="7" spans="1:19" s="66" customFormat="1" ht="25.5" x14ac:dyDescent="0.2">
      <c r="A7" s="70"/>
      <c r="D7" s="68" t="s">
        <v>14</v>
      </c>
      <c r="E7" s="68" t="s">
        <v>15</v>
      </c>
      <c r="F7" s="69" t="s">
        <v>16</v>
      </c>
      <c r="G7" s="66" t="s">
        <v>71</v>
      </c>
      <c r="H7" s="68" t="s">
        <v>72</v>
      </c>
      <c r="I7" s="68" t="s">
        <v>73</v>
      </c>
      <c r="J7" s="66" t="s">
        <v>74</v>
      </c>
      <c r="K7" s="67" t="s">
        <v>75</v>
      </c>
      <c r="M7" s="70"/>
      <c r="S7" s="406"/>
    </row>
    <row r="8" spans="1:19" x14ac:dyDescent="0.2">
      <c r="A8" s="58"/>
      <c r="K8" s="65"/>
      <c r="M8" s="170"/>
      <c r="S8" s="65"/>
    </row>
    <row r="9" spans="1:19" x14ac:dyDescent="0.2">
      <c r="A9" s="58">
        <v>1</v>
      </c>
      <c r="B9" s="48" t="s">
        <v>1</v>
      </c>
      <c r="C9" s="50">
        <v>7</v>
      </c>
      <c r="D9" s="300">
        <v>10808199000</v>
      </c>
      <c r="E9" s="301">
        <v>1104940000</v>
      </c>
      <c r="F9" s="302">
        <v>-3.4999999999999997E-5</v>
      </c>
      <c r="G9" s="302">
        <v>-7.2999999999999999E-5</v>
      </c>
      <c r="H9" s="301">
        <v>1104561713.0350001</v>
      </c>
      <c r="I9" s="301">
        <v>1104151001.473</v>
      </c>
      <c r="J9" s="301">
        <v>-410711.56200003624</v>
      </c>
      <c r="K9" s="303">
        <v>-3.7183215492009552E-4</v>
      </c>
      <c r="M9" s="310">
        <v>-7.2000000000000002E-5</v>
      </c>
      <c r="N9" s="301">
        <v>-399903.3630001545</v>
      </c>
      <c r="O9" s="311">
        <v>-3.6204709821177985E-4</v>
      </c>
      <c r="P9" s="305"/>
      <c r="Q9" s="407">
        <f>+G9-M9</f>
        <v>-9.999999999999972E-7</v>
      </c>
      <c r="R9" s="52">
        <f>+N9-J9</f>
        <v>10808.198999881744</v>
      </c>
      <c r="S9" s="408">
        <f>+K9-O9</f>
        <v>-9.7850567083156712E-6</v>
      </c>
    </row>
    <row r="10" spans="1:19" x14ac:dyDescent="0.2">
      <c r="A10" s="58">
        <v>2</v>
      </c>
      <c r="D10" s="300"/>
      <c r="E10" s="301"/>
      <c r="F10" s="302"/>
      <c r="G10" s="302"/>
      <c r="H10" s="304"/>
      <c r="I10" s="301"/>
      <c r="J10" s="301"/>
      <c r="K10" s="303"/>
      <c r="M10" s="312"/>
      <c r="N10" s="305"/>
      <c r="O10" s="305"/>
      <c r="P10" s="305"/>
      <c r="S10" s="65"/>
    </row>
    <row r="11" spans="1:19" x14ac:dyDescent="0.2">
      <c r="A11" s="58">
        <v>3</v>
      </c>
      <c r="B11" s="59" t="s">
        <v>2</v>
      </c>
      <c r="C11" s="50" t="s">
        <v>105</v>
      </c>
      <c r="D11" s="300">
        <v>3088796000</v>
      </c>
      <c r="E11" s="301">
        <v>319592000</v>
      </c>
      <c r="F11" s="302">
        <v>-2.8E-5</v>
      </c>
      <c r="G11" s="302">
        <v>-6.3E-5</v>
      </c>
      <c r="H11" s="301">
        <v>319505513.71200001</v>
      </c>
      <c r="I11" s="301">
        <v>319397405.852</v>
      </c>
      <c r="J11" s="301">
        <v>-108107.86000001431</v>
      </c>
      <c r="K11" s="303">
        <v>-3.3835991981491113E-4</v>
      </c>
      <c r="M11" s="310">
        <v>-6.2000000000000003E-5</v>
      </c>
      <c r="N11" s="301">
        <v>-105019.06400001049</v>
      </c>
      <c r="O11" s="311">
        <v>-3.2869249353447441E-4</v>
      </c>
      <c r="P11" s="305"/>
      <c r="Q11" s="407">
        <f>+G11-M11</f>
        <v>-9.999999999999972E-7</v>
      </c>
      <c r="R11" s="52">
        <f>+N11-J11</f>
        <v>3088.7960000038147</v>
      </c>
      <c r="S11" s="408">
        <f>+K11-O11</f>
        <v>-9.6674262804367179E-6</v>
      </c>
    </row>
    <row r="12" spans="1:19" x14ac:dyDescent="0.2">
      <c r="A12" s="58">
        <v>4</v>
      </c>
      <c r="B12" s="62" t="s">
        <v>3</v>
      </c>
      <c r="C12" s="50" t="s">
        <v>108</v>
      </c>
      <c r="D12" s="300">
        <v>3251471000</v>
      </c>
      <c r="E12" s="301">
        <v>314167000</v>
      </c>
      <c r="F12" s="302">
        <v>-2.9E-5</v>
      </c>
      <c r="G12" s="302">
        <v>-6.0000000000000002E-5</v>
      </c>
      <c r="H12" s="301">
        <v>314072707.34100002</v>
      </c>
      <c r="I12" s="301">
        <v>313971911.74000001</v>
      </c>
      <c r="J12" s="301">
        <v>-100795.60100001097</v>
      </c>
      <c r="K12" s="303">
        <v>-3.2093078654737598E-4</v>
      </c>
      <c r="M12" s="310">
        <v>-5.8999999999999998E-5</v>
      </c>
      <c r="N12" s="301">
        <v>-97544.129999995232</v>
      </c>
      <c r="O12" s="311">
        <v>-3.1057818052966971E-4</v>
      </c>
      <c r="P12" s="305"/>
      <c r="Q12" s="407">
        <f>+G12-M12</f>
        <v>-1.000000000000004E-6</v>
      </c>
      <c r="R12" s="52">
        <f>+N12-J12</f>
        <v>3251.4710000157356</v>
      </c>
      <c r="S12" s="408">
        <f>+K12-O12</f>
        <v>-1.0352606017706271E-5</v>
      </c>
    </row>
    <row r="13" spans="1:19" x14ac:dyDescent="0.2">
      <c r="A13" s="58">
        <v>5</v>
      </c>
      <c r="B13" s="62" t="s">
        <v>4</v>
      </c>
      <c r="C13" s="50" t="s">
        <v>106</v>
      </c>
      <c r="D13" s="300">
        <v>1936207000</v>
      </c>
      <c r="E13" s="301">
        <v>169432000</v>
      </c>
      <c r="F13" s="302">
        <v>-3.0000000000000001E-5</v>
      </c>
      <c r="G13" s="302">
        <v>-6.4999999999999994E-5</v>
      </c>
      <c r="H13" s="301">
        <v>169373913.78999999</v>
      </c>
      <c r="I13" s="301">
        <v>169306146.54499999</v>
      </c>
      <c r="J13" s="301">
        <v>-67767.245000004768</v>
      </c>
      <c r="K13" s="303">
        <v>-4.0010438138677419E-4</v>
      </c>
      <c r="M13" s="310">
        <v>-6.3999999999999997E-5</v>
      </c>
      <c r="N13" s="301">
        <v>-65831.037999987602</v>
      </c>
      <c r="O13" s="311">
        <v>-3.8867282763276582E-4</v>
      </c>
      <c r="P13" s="305"/>
      <c r="Q13" s="407">
        <f>+G13-M13</f>
        <v>-9.999999999999972E-7</v>
      </c>
      <c r="R13" s="52">
        <f>+N13-J13</f>
        <v>1936.2070000171661</v>
      </c>
      <c r="S13" s="408">
        <f>+K13-O13</f>
        <v>-1.1431553754008366E-5</v>
      </c>
    </row>
    <row r="14" spans="1:19" x14ac:dyDescent="0.2">
      <c r="A14" s="58">
        <v>6</v>
      </c>
      <c r="B14" s="62" t="s">
        <v>5</v>
      </c>
      <c r="C14" s="50">
        <v>29</v>
      </c>
      <c r="D14" s="300">
        <v>16225000</v>
      </c>
      <c r="E14" s="301">
        <v>1282000</v>
      </c>
      <c r="F14" s="302">
        <v>-2.5999999999999998E-5</v>
      </c>
      <c r="G14" s="302">
        <v>-4.8999999999999998E-5</v>
      </c>
      <c r="H14" s="301">
        <v>1281578.1499999999</v>
      </c>
      <c r="I14" s="301">
        <v>1281204.9750000001</v>
      </c>
      <c r="J14" s="301">
        <v>-373.17499999981374</v>
      </c>
      <c r="K14" s="303">
        <v>-2.9118395940178423E-4</v>
      </c>
      <c r="M14" s="310">
        <v>-4.8000000000000001E-5</v>
      </c>
      <c r="N14" s="301">
        <v>-356.94999999995343</v>
      </c>
      <c r="O14" s="311">
        <v>-2.7852378725398328E-4</v>
      </c>
      <c r="P14" s="305"/>
      <c r="Q14" s="407">
        <f>+G14-M14</f>
        <v>-9.999999999999972E-7</v>
      </c>
      <c r="R14" s="52">
        <f>+N14-J14</f>
        <v>16.224999999860302</v>
      </c>
      <c r="S14" s="408">
        <f>+K14-O14</f>
        <v>-1.2660172147800955E-5</v>
      </c>
    </row>
    <row r="15" spans="1:19" x14ac:dyDescent="0.2">
      <c r="A15" s="58">
        <v>7</v>
      </c>
      <c r="D15" s="300"/>
      <c r="E15" s="301"/>
      <c r="F15" s="302"/>
      <c r="G15" s="302"/>
      <c r="H15" s="304"/>
      <c r="I15" s="301"/>
      <c r="J15" s="301"/>
      <c r="K15" s="303"/>
      <c r="M15" s="312"/>
      <c r="N15" s="305"/>
      <c r="O15" s="305"/>
      <c r="P15" s="305"/>
      <c r="S15" s="65"/>
    </row>
    <row r="16" spans="1:19" x14ac:dyDescent="0.2">
      <c r="A16" s="58">
        <v>8</v>
      </c>
      <c r="B16" s="48" t="s">
        <v>21</v>
      </c>
      <c r="D16" s="300">
        <v>8292699000</v>
      </c>
      <c r="E16" s="301">
        <v>804473000</v>
      </c>
      <c r="F16" s="302">
        <v>-2.8855141974886584E-5</v>
      </c>
      <c r="G16" s="302">
        <v>-6.226330993081987E-5</v>
      </c>
      <c r="H16" s="301">
        <v>804233712.99299991</v>
      </c>
      <c r="I16" s="301">
        <v>803956669.11199999</v>
      </c>
      <c r="J16" s="301">
        <v>-277043.88100002985</v>
      </c>
      <c r="K16" s="303">
        <v>-3.4448180488355287E-4</v>
      </c>
      <c r="M16" s="310">
        <v>-6.1263309930819859E-5</v>
      </c>
      <c r="N16" s="301">
        <v>-268751.18199999328</v>
      </c>
      <c r="O16" s="311">
        <v>-3.3417050001525181E-4</v>
      </c>
      <c r="P16" s="305"/>
      <c r="Q16" s="407">
        <f>+G16-M16</f>
        <v>-1.0000000000000108E-6</v>
      </c>
      <c r="R16" s="52">
        <f>+N16-J16</f>
        <v>8292.6990000365768</v>
      </c>
      <c r="S16" s="408">
        <f>+K16-O16</f>
        <v>-1.0311304868301059E-5</v>
      </c>
    </row>
    <row r="17" spans="1:19" x14ac:dyDescent="0.2">
      <c r="A17" s="58">
        <v>9</v>
      </c>
      <c r="D17" s="300"/>
      <c r="E17" s="301"/>
      <c r="F17" s="302"/>
      <c r="G17" s="302"/>
      <c r="H17" s="304"/>
      <c r="I17" s="301"/>
      <c r="J17" s="301"/>
      <c r="K17" s="303"/>
      <c r="M17" s="312"/>
      <c r="N17" s="305"/>
      <c r="O17" s="305"/>
      <c r="P17" s="305"/>
      <c r="S17" s="65"/>
    </row>
    <row r="18" spans="1:19" x14ac:dyDescent="0.2">
      <c r="A18" s="58">
        <v>10</v>
      </c>
      <c r="B18" s="62" t="s">
        <v>6</v>
      </c>
      <c r="C18" s="50" t="s">
        <v>107</v>
      </c>
      <c r="D18" s="300">
        <v>1417061000</v>
      </c>
      <c r="E18" s="301">
        <v>121661000</v>
      </c>
      <c r="F18" s="302">
        <v>-2.8E-5</v>
      </c>
      <c r="G18" s="302">
        <v>-5.8999999999999998E-5</v>
      </c>
      <c r="H18" s="301">
        <v>121621322.292</v>
      </c>
      <c r="I18" s="301">
        <v>121577393.40099999</v>
      </c>
      <c r="J18" s="301">
        <v>-43928.891000002623</v>
      </c>
      <c r="K18" s="303">
        <v>-3.6119399273208013E-4</v>
      </c>
      <c r="M18" s="310">
        <v>-5.8E-5</v>
      </c>
      <c r="N18" s="301">
        <v>-42511.829999998212</v>
      </c>
      <c r="O18" s="311">
        <v>-3.4954257361165486E-4</v>
      </c>
      <c r="P18" s="305"/>
      <c r="Q18" s="407">
        <f>+G18-M18</f>
        <v>-9.999999999999972E-7</v>
      </c>
      <c r="R18" s="52">
        <f>+N18-J18</f>
        <v>1417.0610000044107</v>
      </c>
      <c r="S18" s="408">
        <f>+K18-O18</f>
        <v>-1.165141912042527E-5</v>
      </c>
    </row>
    <row r="19" spans="1:19" x14ac:dyDescent="0.2">
      <c r="A19" s="58">
        <v>11</v>
      </c>
      <c r="B19" s="62" t="s">
        <v>7</v>
      </c>
      <c r="C19" s="50">
        <v>35</v>
      </c>
      <c r="D19" s="300">
        <v>5167000</v>
      </c>
      <c r="E19" s="301">
        <v>288000</v>
      </c>
      <c r="F19" s="302">
        <v>-1.9000000000000001E-5</v>
      </c>
      <c r="G19" s="302">
        <v>-4.3999999999999999E-5</v>
      </c>
      <c r="H19" s="301">
        <v>287901.82699999999</v>
      </c>
      <c r="I19" s="301">
        <v>287772.652</v>
      </c>
      <c r="J19" s="301">
        <v>-129.17499999998836</v>
      </c>
      <c r="K19" s="303">
        <v>-4.4867724997100611E-4</v>
      </c>
      <c r="M19" s="310">
        <v>-4.3999999999999999E-5</v>
      </c>
      <c r="N19" s="301">
        <v>-129.17499999998836</v>
      </c>
      <c r="O19" s="311">
        <v>-4.4867724997100611E-4</v>
      </c>
      <c r="P19" s="305"/>
      <c r="Q19" s="407">
        <f>+G19-M19</f>
        <v>0</v>
      </c>
      <c r="R19" s="52">
        <f>+N19-J19</f>
        <v>0</v>
      </c>
      <c r="S19" s="408">
        <f>+K19-O19</f>
        <v>0</v>
      </c>
    </row>
    <row r="20" spans="1:19" x14ac:dyDescent="0.2">
      <c r="A20" s="58">
        <v>12</v>
      </c>
      <c r="B20" s="62" t="s">
        <v>8</v>
      </c>
      <c r="C20" s="50">
        <v>43</v>
      </c>
      <c r="D20" s="300">
        <v>125684000</v>
      </c>
      <c r="E20" s="301">
        <v>11947000</v>
      </c>
      <c r="F20" s="302">
        <v>-2.5000000000000001E-5</v>
      </c>
      <c r="G20" s="302">
        <v>-5.0000000000000002E-5</v>
      </c>
      <c r="H20" s="301">
        <v>11943857.9</v>
      </c>
      <c r="I20" s="301">
        <v>11940715.800000001</v>
      </c>
      <c r="J20" s="301">
        <v>-3142.0999999996275</v>
      </c>
      <c r="K20" s="303">
        <v>-2.6307245333181896E-4</v>
      </c>
      <c r="M20" s="310">
        <v>-4.8999999999999998E-5</v>
      </c>
      <c r="N20" s="301">
        <v>-3016.4160000011325</v>
      </c>
      <c r="O20" s="311">
        <v>-2.5254955519867097E-4</v>
      </c>
      <c r="P20" s="305"/>
      <c r="Q20" s="407">
        <f>+G20-M20</f>
        <v>-1.000000000000004E-6</v>
      </c>
      <c r="R20" s="52">
        <f>+N20-J20</f>
        <v>125.68399999849498</v>
      </c>
      <c r="S20" s="408">
        <f>+K20-O20</f>
        <v>-1.0522898133147991E-5</v>
      </c>
    </row>
    <row r="21" spans="1:19" x14ac:dyDescent="0.2">
      <c r="A21" s="58">
        <v>13</v>
      </c>
      <c r="B21" s="64"/>
      <c r="D21" s="300"/>
      <c r="E21" s="301"/>
      <c r="F21" s="302"/>
      <c r="G21" s="302"/>
      <c r="H21" s="304"/>
      <c r="I21" s="301"/>
      <c r="J21" s="301"/>
      <c r="K21" s="303"/>
      <c r="M21" s="312"/>
      <c r="N21" s="305"/>
      <c r="O21" s="305"/>
      <c r="P21" s="305"/>
      <c r="S21" s="65"/>
    </row>
    <row r="22" spans="1:19" x14ac:dyDescent="0.2">
      <c r="A22" s="58">
        <v>14</v>
      </c>
      <c r="B22" s="64" t="s">
        <v>22</v>
      </c>
      <c r="D22" s="300">
        <v>1547912000</v>
      </c>
      <c r="E22" s="301">
        <v>133896000</v>
      </c>
      <c r="F22" s="302">
        <v>-2.7726370103726825E-5</v>
      </c>
      <c r="G22" s="302">
        <v>-5.8219166851862377E-5</v>
      </c>
      <c r="H22" s="301">
        <v>133853082.01900001</v>
      </c>
      <c r="I22" s="301">
        <v>133805881.85299999</v>
      </c>
      <c r="J22" s="301">
        <v>-47200.166000002238</v>
      </c>
      <c r="K22" s="303">
        <v>-3.5262666565497779E-4</v>
      </c>
      <c r="M22" s="310">
        <v>-5.7222504896919204E-5</v>
      </c>
      <c r="N22" s="301">
        <v>-45657.420999999333</v>
      </c>
      <c r="O22" s="311">
        <v>-3.4110100650142978E-4</v>
      </c>
      <c r="P22" s="305"/>
      <c r="Q22" s="407">
        <f>+G22-M22</f>
        <v>-9.9666195494317285E-7</v>
      </c>
      <c r="R22" s="52">
        <f>+N22-J22</f>
        <v>1542.7450000029057</v>
      </c>
      <c r="S22" s="408">
        <f>+K22-O22</f>
        <v>-1.152565915354801E-5</v>
      </c>
    </row>
    <row r="23" spans="1:19" x14ac:dyDescent="0.2">
      <c r="A23" s="58">
        <v>15</v>
      </c>
      <c r="B23" s="64"/>
      <c r="D23" s="300"/>
      <c r="E23" s="301"/>
      <c r="F23" s="302"/>
      <c r="G23" s="302"/>
      <c r="H23" s="304"/>
      <c r="I23" s="301"/>
      <c r="J23" s="301"/>
      <c r="K23" s="303"/>
      <c r="M23" s="312"/>
      <c r="N23" s="305"/>
      <c r="O23" s="305"/>
      <c r="P23" s="305"/>
      <c r="S23" s="65"/>
    </row>
    <row r="24" spans="1:19" x14ac:dyDescent="0.2">
      <c r="A24" s="58">
        <v>16</v>
      </c>
      <c r="B24" s="57" t="s">
        <v>65</v>
      </c>
      <c r="C24" s="50">
        <v>40</v>
      </c>
      <c r="D24" s="300">
        <v>586557000</v>
      </c>
      <c r="E24" s="301">
        <v>46341000</v>
      </c>
      <c r="F24" s="302">
        <v>-3.0000000000000001E-5</v>
      </c>
      <c r="G24" s="302">
        <v>-6.7000000000000002E-5</v>
      </c>
      <c r="H24" s="301">
        <v>46323403.289999999</v>
      </c>
      <c r="I24" s="301">
        <v>46301700.681000002</v>
      </c>
      <c r="J24" s="301">
        <v>-21702.608999997377</v>
      </c>
      <c r="K24" s="303">
        <v>-4.6850204127127246E-4</v>
      </c>
      <c r="M24" s="310">
        <v>-6.6000000000000005E-5</v>
      </c>
      <c r="N24" s="301">
        <v>-21116.052000001073</v>
      </c>
      <c r="O24" s="311">
        <v>-4.5583982393969467E-4</v>
      </c>
      <c r="P24" s="305"/>
      <c r="Q24" s="407">
        <f>+G24-M24</f>
        <v>-9.999999999999972E-7</v>
      </c>
      <c r="R24" s="52">
        <f>+N24-J24</f>
        <v>586.55699999630451</v>
      </c>
      <c r="S24" s="408">
        <f>+K24-O24</f>
        <v>-1.2662217331577792E-5</v>
      </c>
    </row>
    <row r="25" spans="1:19" x14ac:dyDescent="0.2">
      <c r="A25" s="58">
        <v>17</v>
      </c>
      <c r="B25" s="64"/>
      <c r="D25" s="300"/>
      <c r="E25" s="301"/>
      <c r="F25" s="302"/>
      <c r="G25" s="302"/>
      <c r="H25" s="304"/>
      <c r="I25" s="301"/>
      <c r="J25" s="301"/>
      <c r="K25" s="303"/>
      <c r="M25" s="312"/>
      <c r="N25" s="305"/>
      <c r="O25" s="305"/>
      <c r="P25" s="305"/>
      <c r="S25" s="65"/>
    </row>
    <row r="26" spans="1:19" x14ac:dyDescent="0.2">
      <c r="A26" s="58">
        <v>16</v>
      </c>
      <c r="B26" s="62" t="s">
        <v>23</v>
      </c>
      <c r="C26" s="50">
        <v>46</v>
      </c>
      <c r="D26" s="300">
        <v>76343000</v>
      </c>
      <c r="E26" s="301">
        <v>5454000</v>
      </c>
      <c r="F26" s="302">
        <v>-1.4E-5</v>
      </c>
      <c r="G26" s="302">
        <v>-3.8000000000000002E-5</v>
      </c>
      <c r="H26" s="301">
        <v>5452931.1979999999</v>
      </c>
      <c r="I26" s="301">
        <v>5451098.966</v>
      </c>
      <c r="J26" s="301">
        <v>-1832.2319999998435</v>
      </c>
      <c r="K26" s="303">
        <v>-3.3600864076037873E-4</v>
      </c>
      <c r="M26" s="310">
        <v>-3.8000000000000002E-5</v>
      </c>
      <c r="N26" s="301">
        <v>-1832.2319999998435</v>
      </c>
      <c r="O26" s="311">
        <v>-3.3600864076037873E-4</v>
      </c>
      <c r="P26" s="305"/>
      <c r="Q26" s="407">
        <f>+G26-M26</f>
        <v>0</v>
      </c>
      <c r="R26" s="52">
        <f>+N26-J26</f>
        <v>0</v>
      </c>
      <c r="S26" s="408">
        <f>+K26-O26</f>
        <v>0</v>
      </c>
    </row>
    <row r="27" spans="1:19" x14ac:dyDescent="0.2">
      <c r="A27" s="58">
        <v>17</v>
      </c>
      <c r="B27" s="59" t="s">
        <v>24</v>
      </c>
      <c r="C27" s="50">
        <v>49</v>
      </c>
      <c r="D27" s="300">
        <v>603277000</v>
      </c>
      <c r="E27" s="301">
        <v>42279000</v>
      </c>
      <c r="F27" s="302">
        <v>-2.8E-5</v>
      </c>
      <c r="G27" s="302">
        <v>-5.8E-5</v>
      </c>
      <c r="H27" s="301">
        <v>42262108.244000003</v>
      </c>
      <c r="I27" s="301">
        <v>42244009.934</v>
      </c>
      <c r="J27" s="301">
        <v>-18098.310000002384</v>
      </c>
      <c r="K27" s="303">
        <v>-4.2823963952559846E-4</v>
      </c>
      <c r="M27" s="310">
        <v>-5.7000000000000003E-5</v>
      </c>
      <c r="N27" s="301">
        <v>-17495.032999999821</v>
      </c>
      <c r="O27" s="311">
        <v>-4.1396498487468643E-4</v>
      </c>
      <c r="P27" s="305"/>
      <c r="Q27" s="407">
        <f>+G27-M27</f>
        <v>-9.999999999999972E-7</v>
      </c>
      <c r="R27" s="52">
        <f>+N27-J27</f>
        <v>603.277000002563</v>
      </c>
      <c r="S27" s="408">
        <f>+K27-O27</f>
        <v>-1.4274654650912031E-5</v>
      </c>
    </row>
    <row r="28" spans="1:19" x14ac:dyDescent="0.2">
      <c r="A28" s="58">
        <v>18</v>
      </c>
      <c r="D28" s="300"/>
      <c r="E28" s="301"/>
      <c r="F28" s="302"/>
      <c r="G28" s="302"/>
      <c r="H28" s="304"/>
      <c r="I28" s="301"/>
      <c r="J28" s="301"/>
      <c r="K28" s="303"/>
      <c r="M28" s="312"/>
      <c r="N28" s="305"/>
      <c r="O28" s="305"/>
      <c r="P28" s="305"/>
      <c r="S28" s="65"/>
    </row>
    <row r="29" spans="1:19" x14ac:dyDescent="0.2">
      <c r="A29" s="58">
        <v>19</v>
      </c>
      <c r="B29" s="57" t="s">
        <v>25</v>
      </c>
      <c r="D29" s="300">
        <v>679620000</v>
      </c>
      <c r="E29" s="301">
        <v>47733000</v>
      </c>
      <c r="F29" s="302">
        <v>-2.6427353521085313E-5</v>
      </c>
      <c r="G29" s="302">
        <v>-5.5753362172979019E-5</v>
      </c>
      <c r="H29" s="300">
        <v>47715039.442000002</v>
      </c>
      <c r="I29" s="300">
        <v>47695108.899999999</v>
      </c>
      <c r="J29" s="301">
        <v>-19930.542000002228</v>
      </c>
      <c r="K29" s="303">
        <v>-4.1769937179301277E-4</v>
      </c>
      <c r="M29" s="310">
        <v>-5.4865694064330075E-5</v>
      </c>
      <c r="N29" s="301">
        <v>-19327.264999999665</v>
      </c>
      <c r="O29" s="311">
        <v>-4.0505604157558991E-4</v>
      </c>
      <c r="P29" s="305"/>
      <c r="Q29" s="407">
        <f>+G29-M29</f>
        <v>-8.8766810864894405E-7</v>
      </c>
      <c r="R29" s="52">
        <f>+N29-J29</f>
        <v>603.277000002563</v>
      </c>
      <c r="S29" s="408">
        <f>+K29-O29</f>
        <v>-1.2643330217422858E-5</v>
      </c>
    </row>
    <row r="30" spans="1:19" x14ac:dyDescent="0.2">
      <c r="A30" s="58">
        <v>20</v>
      </c>
      <c r="D30" s="300"/>
      <c r="E30" s="301"/>
      <c r="F30" s="302"/>
      <c r="G30" s="302"/>
      <c r="H30" s="304"/>
      <c r="I30" s="301"/>
      <c r="J30" s="301"/>
      <c r="K30" s="303"/>
      <c r="M30" s="312"/>
      <c r="N30" s="305"/>
      <c r="O30" s="305"/>
      <c r="P30" s="305"/>
      <c r="S30" s="65"/>
    </row>
    <row r="31" spans="1:19" x14ac:dyDescent="0.2">
      <c r="A31" s="58">
        <v>21</v>
      </c>
      <c r="B31" s="48" t="s">
        <v>9</v>
      </c>
      <c r="C31" s="50" t="s">
        <v>64</v>
      </c>
      <c r="D31" s="300">
        <v>71132000</v>
      </c>
      <c r="E31" s="301">
        <v>16814000</v>
      </c>
      <c r="F31" s="302">
        <v>-3.4999999999999997E-5</v>
      </c>
      <c r="G31" s="302">
        <v>-7.4999999999999993E-5</v>
      </c>
      <c r="H31" s="301">
        <v>16811510.379999999</v>
      </c>
      <c r="I31" s="301">
        <v>16808665.100000001</v>
      </c>
      <c r="J31" s="301">
        <v>-2845.2799999974668</v>
      </c>
      <c r="K31" s="303">
        <v>-1.6924594731133652E-4</v>
      </c>
      <c r="M31" s="310">
        <v>-7.3999999999999996E-5</v>
      </c>
      <c r="N31" s="301">
        <v>-2774.1479999981821</v>
      </c>
      <c r="O31" s="311">
        <v>-1.6501479862859189E-4</v>
      </c>
      <c r="P31" s="305"/>
      <c r="Q31" s="407">
        <f>+G31-M31</f>
        <v>-9.999999999999972E-7</v>
      </c>
      <c r="R31" s="52">
        <f>+N31-J31</f>
        <v>71.131999999284744</v>
      </c>
      <c r="S31" s="408">
        <f>+K31-O31</f>
        <v>-4.2311486827446311E-6</v>
      </c>
    </row>
    <row r="32" spans="1:19" x14ac:dyDescent="0.2">
      <c r="A32" s="58">
        <v>22</v>
      </c>
      <c r="D32" s="300"/>
      <c r="E32" s="301"/>
      <c r="F32" s="302"/>
      <c r="G32" s="302"/>
      <c r="H32" s="305"/>
      <c r="I32" s="301"/>
      <c r="J32" s="301"/>
      <c r="K32" s="303"/>
      <c r="M32" s="312"/>
      <c r="N32" s="305"/>
      <c r="O32" s="305"/>
      <c r="P32" s="305"/>
      <c r="S32" s="65"/>
    </row>
    <row r="33" spans="1:19" x14ac:dyDescent="0.2">
      <c r="A33" s="58">
        <v>23</v>
      </c>
      <c r="B33" s="63" t="s">
        <v>26</v>
      </c>
      <c r="C33" s="61" t="s">
        <v>27</v>
      </c>
      <c r="D33" s="300">
        <v>7036000</v>
      </c>
      <c r="E33" s="301">
        <v>321000</v>
      </c>
      <c r="F33" s="302">
        <v>-3.4E-5</v>
      </c>
      <c r="G33" s="302">
        <v>-7.2000000000000002E-5</v>
      </c>
      <c r="H33" s="301">
        <v>320760.77600000001</v>
      </c>
      <c r="I33" s="301">
        <v>320493.408</v>
      </c>
      <c r="J33" s="301">
        <v>-267.36800000001676</v>
      </c>
      <c r="K33" s="303">
        <v>-8.3354331328845753E-4</v>
      </c>
      <c r="M33" s="310">
        <v>-7.1000000000000005E-5</v>
      </c>
      <c r="N33" s="301">
        <v>-260.33199999999488</v>
      </c>
      <c r="O33" s="311">
        <v>-8.1160796293869438E-4</v>
      </c>
      <c r="P33" s="305"/>
      <c r="Q33" s="407">
        <f>+G33-M33</f>
        <v>-9.999999999999972E-7</v>
      </c>
      <c r="R33" s="52">
        <f>+N33-J33</f>
        <v>7.0360000000218861</v>
      </c>
      <c r="S33" s="408">
        <f>+K33-O33</f>
        <v>-2.1935350349763143E-5</v>
      </c>
    </row>
    <row r="34" spans="1:19" x14ac:dyDescent="0.2">
      <c r="A34" s="58">
        <v>24</v>
      </c>
      <c r="B34" s="63"/>
      <c r="C34" s="61"/>
      <c r="D34" s="300"/>
      <c r="E34" s="301"/>
      <c r="F34" s="302"/>
      <c r="G34" s="302"/>
      <c r="H34" s="304"/>
      <c r="I34" s="301"/>
      <c r="J34" s="301"/>
      <c r="K34" s="303"/>
      <c r="M34" s="312"/>
      <c r="N34" s="305"/>
      <c r="O34" s="305"/>
      <c r="P34" s="305"/>
      <c r="S34" s="65"/>
    </row>
    <row r="35" spans="1:19" x14ac:dyDescent="0.2">
      <c r="A35" s="58">
        <v>25</v>
      </c>
      <c r="B35" s="62" t="s">
        <v>10</v>
      </c>
      <c r="D35" s="300">
        <v>21993155000</v>
      </c>
      <c r="E35" s="301">
        <v>2154518000</v>
      </c>
      <c r="F35" s="302">
        <v>-3.1772524906044628E-5</v>
      </c>
      <c r="G35" s="302">
        <v>-6.7224528404405821E-5</v>
      </c>
      <c r="H35" s="301">
        <v>2153819221.9349999</v>
      </c>
      <c r="I35" s="301">
        <v>2153039520.527</v>
      </c>
      <c r="J35" s="301">
        <v>-779701.40800006548</v>
      </c>
      <c r="K35" s="303">
        <v>-3.6200875173710196E-4</v>
      </c>
      <c r="M35" s="310">
        <v>-6.6228234557524842E-5</v>
      </c>
      <c r="N35" s="301">
        <v>-757789.76300014602</v>
      </c>
      <c r="O35" s="311">
        <v>-3.5183536077802513E-4</v>
      </c>
      <c r="P35" s="305"/>
      <c r="Q35" s="407">
        <f>+G35-M35</f>
        <v>-9.962938468809795E-7</v>
      </c>
      <c r="R35" s="52">
        <f>+N35-J35</f>
        <v>21911.644999919459</v>
      </c>
      <c r="S35" s="408">
        <f>+K35-O35</f>
        <v>-1.0173390959076838E-5</v>
      </c>
    </row>
    <row r="36" spans="1:19" x14ac:dyDescent="0.2">
      <c r="A36" s="58">
        <v>26</v>
      </c>
      <c r="B36" s="57"/>
      <c r="D36" s="300"/>
      <c r="E36" s="301"/>
      <c r="F36" s="304"/>
      <c r="G36" s="304"/>
      <c r="H36" s="304"/>
      <c r="I36" s="301"/>
      <c r="J36" s="301"/>
      <c r="K36" s="303"/>
      <c r="M36" s="170"/>
      <c r="S36" s="65"/>
    </row>
    <row r="37" spans="1:19" x14ac:dyDescent="0.2">
      <c r="A37" s="58">
        <v>27</v>
      </c>
      <c r="B37" s="57" t="s">
        <v>28</v>
      </c>
      <c r="D37" s="300"/>
      <c r="E37" s="301"/>
      <c r="F37" s="301"/>
      <c r="G37" s="304"/>
      <c r="H37" s="304"/>
      <c r="I37" s="301"/>
      <c r="J37" s="301"/>
      <c r="K37" s="303"/>
      <c r="M37" s="170"/>
      <c r="S37" s="65"/>
    </row>
    <row r="38" spans="1:19" x14ac:dyDescent="0.2">
      <c r="A38" s="58">
        <v>28</v>
      </c>
      <c r="B38" s="62" t="s">
        <v>11</v>
      </c>
      <c r="C38" s="61" t="s">
        <v>29</v>
      </c>
      <c r="D38" s="300">
        <v>2028599000</v>
      </c>
      <c r="E38" s="301">
        <v>9906000</v>
      </c>
      <c r="F38" s="301"/>
      <c r="G38" s="304"/>
      <c r="H38" s="301">
        <v>9906000</v>
      </c>
      <c r="I38" s="301">
        <v>9906000</v>
      </c>
      <c r="J38" s="301">
        <v>0</v>
      </c>
      <c r="K38" s="303"/>
      <c r="M38" s="170"/>
      <c r="S38" s="65"/>
    </row>
    <row r="39" spans="1:19" x14ac:dyDescent="0.2">
      <c r="A39" s="58">
        <v>29</v>
      </c>
      <c r="B39" s="59"/>
      <c r="D39" s="300"/>
      <c r="E39" s="301"/>
      <c r="F39" s="301"/>
      <c r="G39" s="304"/>
      <c r="H39" s="304"/>
      <c r="I39" s="301"/>
      <c r="J39" s="301"/>
      <c r="K39" s="303"/>
      <c r="M39" s="170"/>
      <c r="S39" s="65"/>
    </row>
    <row r="40" spans="1:19" x14ac:dyDescent="0.2">
      <c r="A40" s="58">
        <v>30</v>
      </c>
      <c r="B40" s="57"/>
      <c r="D40" s="300"/>
      <c r="E40" s="301"/>
      <c r="F40" s="301"/>
      <c r="G40" s="304"/>
      <c r="H40" s="304"/>
      <c r="I40" s="301"/>
      <c r="J40" s="301"/>
      <c r="K40" s="303"/>
      <c r="M40" s="170"/>
      <c r="S40" s="65"/>
    </row>
    <row r="41" spans="1:19" x14ac:dyDescent="0.2">
      <c r="A41" s="58">
        <v>31</v>
      </c>
      <c r="B41" s="57" t="s">
        <v>12</v>
      </c>
      <c r="D41" s="300">
        <v>24021754000</v>
      </c>
      <c r="E41" s="301">
        <v>2164424000</v>
      </c>
      <c r="F41" s="301"/>
      <c r="G41" s="304"/>
      <c r="H41" s="301">
        <v>2163725221.9349999</v>
      </c>
      <c r="I41" s="301">
        <v>2162945520.527</v>
      </c>
      <c r="J41" s="301">
        <v>-779701.40800006548</v>
      </c>
      <c r="K41" s="303"/>
      <c r="M41" s="170"/>
      <c r="S41" s="65"/>
    </row>
    <row r="42" spans="1:19" ht="13.5" thickBot="1" x14ac:dyDescent="0.25">
      <c r="A42" s="56"/>
      <c r="B42" s="54"/>
      <c r="C42" s="55"/>
      <c r="D42" s="306"/>
      <c r="E42" s="307"/>
      <c r="F42" s="307"/>
      <c r="G42" s="308"/>
      <c r="H42" s="308"/>
      <c r="I42" s="306"/>
      <c r="J42" s="308"/>
      <c r="K42" s="309"/>
      <c r="M42" s="144"/>
      <c r="N42" s="54"/>
      <c r="O42" s="54"/>
      <c r="P42" s="54"/>
      <c r="Q42" s="54"/>
      <c r="R42" s="54"/>
      <c r="S42" s="53"/>
    </row>
    <row r="43" spans="1:19" x14ac:dyDescent="0.2">
      <c r="J43" s="52"/>
    </row>
    <row r="44" spans="1:19" x14ac:dyDescent="0.2">
      <c r="E44" s="52"/>
      <c r="J44" s="322">
        <v>-1482698.7946044749</v>
      </c>
      <c r="N44" s="322">
        <v>-1460070.8694037374</v>
      </c>
    </row>
    <row r="45" spans="1:19" x14ac:dyDescent="0.2">
      <c r="E45" s="52"/>
      <c r="N45" s="305"/>
    </row>
    <row r="46" spans="1:19" x14ac:dyDescent="0.2">
      <c r="J46" s="52"/>
    </row>
    <row r="47" spans="1:19" x14ac:dyDescent="0.2">
      <c r="J47" s="51"/>
    </row>
  </sheetData>
  <mergeCells count="2">
    <mergeCell ref="M5:O5"/>
    <mergeCell ref="Q5:S5"/>
  </mergeCells>
  <printOptions horizontalCentered="1"/>
  <pageMargins left="0.25" right="0.25" top="1" bottom="1" header="0.5" footer="0.5"/>
  <pageSetup scale="65" orientation="landscape" r:id="rId1"/>
  <headerFooter alignWithMargins="0">
    <oddFooter>&amp;L&amp;F
&amp;A&amp;RPage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98A256D362D4D44B41931D1CD9B29CD" ma:contentTypeVersion="56" ma:contentTypeDescription="" ma:contentTypeScope="" ma:versionID="8d2d150001e222e4fbb1f813a3382b6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2019-11-27T08:00:00+00:00</OpenedDate>
    <SignificantOrder xmlns="dc463f71-b30c-4ab2-9473-d307f9d35888">false</SignificantOrder>
    <Date1 xmlns="dc463f71-b30c-4ab2-9473-d307f9d35888">2019-11-27T08:00:00+00:00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190988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A20266B-392B-4DB9-A979-6A050984F534}"/>
</file>

<file path=customXml/itemProps2.xml><?xml version="1.0" encoding="utf-8"?>
<ds:datastoreItem xmlns:ds="http://schemas.openxmlformats.org/officeDocument/2006/customXml" ds:itemID="{DEC98E75-675F-4092-8478-33BCDC0078A4}"/>
</file>

<file path=customXml/itemProps3.xml><?xml version="1.0" encoding="utf-8"?>
<ds:datastoreItem xmlns:ds="http://schemas.openxmlformats.org/officeDocument/2006/customXml" ds:itemID="{046B0DC6-6ECF-47BA-83D5-662D012EBE16}"/>
</file>

<file path=customXml/itemProps4.xml><?xml version="1.0" encoding="utf-8"?>
<ds:datastoreItem xmlns:ds="http://schemas.openxmlformats.org/officeDocument/2006/customXml" ds:itemID="{CA0B9B53-16A7-4BCB-97C6-0FAD2953E0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Lead Sheet</vt:lpstr>
      <vt:lpstr>2020 Rate Impacts</vt:lpstr>
      <vt:lpstr>Peak Credit Rate Spread</vt:lpstr>
      <vt:lpstr>Typical Res</vt:lpstr>
      <vt:lpstr>Street &amp; Area Lighting</vt:lpstr>
      <vt:lpstr>Work Papers-&gt;</vt:lpstr>
      <vt:lpstr>2020 Est Proforma Net Revenue</vt:lpstr>
      <vt:lpstr>2020 Rev Requirement</vt:lpstr>
      <vt:lpstr>2019 Rate Impacts</vt:lpstr>
      <vt:lpstr>F2019 Del Load &amp; Cust</vt:lpstr>
      <vt:lpstr>UE-170033 LR Data Summary</vt:lpstr>
      <vt:lpstr>UE-170033 LR Data -Energy</vt:lpstr>
      <vt:lpstr>UE-170033 LR Data- Dem 4CP</vt:lpstr>
      <vt:lpstr>'2019 Rate Impacts'!Print_Area</vt:lpstr>
      <vt:lpstr>'2020 Rate Impacts'!Print_Area</vt:lpstr>
      <vt:lpstr>'Lead Sheet'!Print_Area</vt:lpstr>
      <vt:lpstr>'Peak Credit Rate Spread'!Print_Area</vt:lpstr>
      <vt:lpstr>'Street &amp; Area Lighting'!Print_Area</vt:lpstr>
      <vt:lpstr>'Typical Res'!Print_Area</vt:lpstr>
      <vt:lpstr>'UE-170033 LR Data- Dem 4CP'!Print_Area</vt:lpstr>
      <vt:lpstr>'UE-170033 LR Data -Energy'!Print_Area</vt:lpstr>
      <vt:lpstr>'UE-170033 LR Data Summary'!Print_Area</vt:lpstr>
      <vt:lpstr>'Street &amp; Area Lighting'!Print_Titles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Veronica Martin</cp:lastModifiedBy>
  <cp:lastPrinted>2019-11-06T00:12:06Z</cp:lastPrinted>
  <dcterms:created xsi:type="dcterms:W3CDTF">2006-05-11T20:49:14Z</dcterms:created>
  <dcterms:modified xsi:type="dcterms:W3CDTF">2019-11-27T15:44:40Z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0x0101006E56B4D1795A2E4DB2F0B01679ED314A00098A256D362D4D44B41931D1CD9B29CD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