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Brem-Air\Commodity Rebates\2019\"/>
    </mc:Choice>
  </mc:AlternateContent>
  <xr:revisionPtr revIDLastSave="0" documentId="13_ncr:1_{4AE3ACE0-7AD6-4BE9-A5B9-75650E2EBEEF}" xr6:coauthVersionLast="41" xr6:coauthVersionMax="41" xr10:uidLastSave="{00000000-0000-0000-0000-000000000000}"/>
  <bookViews>
    <workbookView xWindow="3060" yWindow="795" windowWidth="21600" windowHeight="11385" tabRatio="967" activeTab="5" xr2:uid="{00000000-000D-0000-FFFF-FFFF00000000}"/>
  </bookViews>
  <sheets>
    <sheet name="Rebate Analysis" sheetId="40" r:id="rId1"/>
    <sheet name="Calculation of Revenue" sheetId="34" r:id="rId2"/>
    <sheet name="Reg. Res'l - SS Mix &amp; Prices" sheetId="35" r:id="rId3"/>
    <sheet name="Reg. MF - SS Mix &amp; Prices" sheetId="36" r:id="rId4"/>
    <sheet name="Total Company Tonnage" sheetId="41" r:id="rId5"/>
    <sheet name="Commodity Prices" sheetId="39" r:id="rId6"/>
    <sheet name="Customer Counts" sheetId="38" r:id="rId7"/>
    <sheet name="MF Units" sheetId="42" r:id="rId8"/>
  </sheets>
  <definedNames>
    <definedName name="_xlnm.Print_Area" localSheetId="1">'Calculation of Revenue'!$A$1:$K$47</definedName>
    <definedName name="_xlnm.Print_Area" localSheetId="5">'Commodity Prices'!$A$1:$K$21</definedName>
    <definedName name="_xlnm.Print_Area" localSheetId="6">'Customer Counts'!$A$1:$G$24</definedName>
    <definedName name="_xlnm.Print_Area" localSheetId="0">'Rebate Analysis'!$G$1:$L$62</definedName>
    <definedName name="_xlnm.Print_Area" localSheetId="3">'Reg. MF - SS Mix &amp; Prices'!$A$1:$M$68</definedName>
    <definedName name="_xlnm.Print_Area" localSheetId="2">'Reg. Res''l - SS Mix &amp; Prices'!$A$1:$M$70</definedName>
    <definedName name="_xlnm.Print_Area" localSheetId="4">'Total Company Tonnage'!$A$1:$T$61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41" l="1"/>
  <c r="B37" i="35"/>
  <c r="B26" i="36" l="1"/>
  <c r="B27" i="36"/>
  <c r="B28" i="36"/>
  <c r="B29" i="36"/>
  <c r="B30" i="36"/>
  <c r="B31" i="36"/>
  <c r="B32" i="36"/>
  <c r="B33" i="36"/>
  <c r="B34" i="36"/>
  <c r="B35" i="36"/>
  <c r="B25" i="36"/>
  <c r="D34" i="34"/>
  <c r="D35" i="34"/>
  <c r="D36" i="34"/>
  <c r="D37" i="34"/>
  <c r="D38" i="34"/>
  <c r="D39" i="34"/>
  <c r="D40" i="34"/>
  <c r="D41" i="34"/>
  <c r="D42" i="34"/>
  <c r="D43" i="34"/>
  <c r="D44" i="34"/>
  <c r="B36" i="36" s="1"/>
  <c r="D33" i="34"/>
  <c r="B26" i="35"/>
  <c r="B27" i="35"/>
  <c r="B28" i="35"/>
  <c r="B29" i="35"/>
  <c r="B30" i="35"/>
  <c r="B31" i="35"/>
  <c r="B32" i="35"/>
  <c r="B33" i="35"/>
  <c r="B34" i="35"/>
  <c r="B35" i="35"/>
  <c r="B25" i="35"/>
  <c r="D12" i="34"/>
  <c r="D13" i="34"/>
  <c r="D14" i="34"/>
  <c r="D15" i="34"/>
  <c r="D16" i="34"/>
  <c r="D17" i="34"/>
  <c r="D18" i="34"/>
  <c r="D19" i="34"/>
  <c r="D20" i="34"/>
  <c r="D21" i="34"/>
  <c r="D22" i="34"/>
  <c r="B36" i="35" s="1"/>
  <c r="D11" i="34"/>
  <c r="F22" i="41"/>
  <c r="G11" i="41"/>
  <c r="G12" i="41"/>
  <c r="G13" i="41"/>
  <c r="G14" i="41"/>
  <c r="G15" i="41"/>
  <c r="G16" i="41"/>
  <c r="G17" i="41"/>
  <c r="G18" i="41"/>
  <c r="G19" i="41"/>
  <c r="G20" i="41"/>
  <c r="G10" i="41"/>
  <c r="I11" i="41"/>
  <c r="I12" i="41"/>
  <c r="I13" i="41"/>
  <c r="I14" i="41"/>
  <c r="I15" i="41"/>
  <c r="I16" i="41"/>
  <c r="I17" i="41"/>
  <c r="I18" i="41"/>
  <c r="I19" i="41"/>
  <c r="I20" i="41"/>
  <c r="I21" i="41"/>
  <c r="I10" i="41"/>
  <c r="H22" i="41"/>
  <c r="Y21" i="41" l="1"/>
  <c r="X22" i="41"/>
  <c r="X21" i="41"/>
  <c r="Y10" i="41"/>
  <c r="Y11" i="41"/>
  <c r="Y12" i="41"/>
  <c r="Y13" i="41"/>
  <c r="Y14" i="41"/>
  <c r="Y15" i="41"/>
  <c r="Y16" i="41"/>
  <c r="Y17" i="41"/>
  <c r="Y18" i="41"/>
  <c r="Y19" i="41"/>
  <c r="Y20" i="41"/>
  <c r="K20" i="39" l="1"/>
  <c r="K19" i="39"/>
  <c r="I19" i="39"/>
  <c r="I20" i="39" s="1"/>
  <c r="J20" i="41"/>
  <c r="J21" i="41" s="1"/>
  <c r="C13" i="40"/>
  <c r="I20" i="42"/>
  <c r="C11" i="40"/>
  <c r="L17" i="35" l="1"/>
  <c r="T11" i="41" l="1"/>
  <c r="T12" i="41"/>
  <c r="T13" i="41"/>
  <c r="T14" i="41"/>
  <c r="T15" i="41"/>
  <c r="T16" i="41"/>
  <c r="T17" i="41"/>
  <c r="T18" i="41"/>
  <c r="T19" i="41"/>
  <c r="T20" i="41"/>
  <c r="T21" i="41"/>
  <c r="A57" i="40" l="1"/>
  <c r="D40" i="40"/>
  <c r="A39" i="40"/>
  <c r="D11" i="40"/>
  <c r="C14" i="40"/>
  <c r="E29" i="40" s="1"/>
  <c r="E24" i="40" l="1"/>
  <c r="E11" i="40"/>
  <c r="D20" i="42" l="1"/>
  <c r="C20" i="42" s="1"/>
  <c r="G20" i="38" s="1"/>
  <c r="D19" i="42" l="1"/>
  <c r="C19" i="42" s="1"/>
  <c r="G19" i="38" l="1"/>
  <c r="D10" i="42"/>
  <c r="C10" i="42" s="1"/>
  <c r="D11" i="42"/>
  <c r="C11" i="42" s="1"/>
  <c r="C42" i="40" s="1"/>
  <c r="D12" i="42"/>
  <c r="C12" i="42" s="1"/>
  <c r="D13" i="42"/>
  <c r="C13" i="42" s="1"/>
  <c r="D14" i="42"/>
  <c r="C14" i="42" s="1"/>
  <c r="D15" i="42"/>
  <c r="C15" i="42" s="1"/>
  <c r="D16" i="42"/>
  <c r="C16" i="42" s="1"/>
  <c r="G16" i="38" s="1"/>
  <c r="D17" i="42"/>
  <c r="C17" i="42" s="1"/>
  <c r="G17" i="38" s="1"/>
  <c r="D18" i="42"/>
  <c r="C18" i="42" s="1"/>
  <c r="G18" i="38" s="1"/>
  <c r="D9" i="42"/>
  <c r="C9" i="42" s="1"/>
  <c r="C40" i="40" s="1"/>
  <c r="E40" i="40" s="1"/>
  <c r="C43" i="40" l="1"/>
  <c r="E58" i="40"/>
  <c r="E53" i="40"/>
  <c r="G10" i="38"/>
  <c r="G11" i="38"/>
  <c r="G12" i="38"/>
  <c r="G13" i="38"/>
  <c r="G14" i="38"/>
  <c r="G15" i="38"/>
  <c r="G9" i="38"/>
  <c r="G57" i="40" l="1"/>
  <c r="G39" i="40"/>
  <c r="I43" i="40" l="1"/>
  <c r="K58" i="40" s="1"/>
  <c r="K53" i="40" l="1"/>
  <c r="I14" i="40" l="1"/>
  <c r="K29" i="40" s="1"/>
  <c r="C21" i="38"/>
  <c r="K24" i="40" l="1"/>
  <c r="M57" i="40" l="1"/>
  <c r="P40" i="40"/>
  <c r="O43" i="40"/>
  <c r="M39" i="40"/>
  <c r="O14" i="40"/>
  <c r="Q24" i="40" s="1"/>
  <c r="P11" i="40"/>
  <c r="Q29" i="40" l="1"/>
  <c r="Q11" i="40"/>
  <c r="Q58" i="40"/>
  <c r="Q53" i="40"/>
  <c r="Q40" i="40"/>
  <c r="T10" i="41" l="1"/>
  <c r="S57" i="40" l="1"/>
  <c r="U43" i="40"/>
  <c r="W53" i="40" s="1"/>
  <c r="S39" i="40"/>
  <c r="U14" i="40"/>
  <c r="W29" i="40" s="1"/>
  <c r="W58" i="40" l="1"/>
  <c r="W24" i="40"/>
  <c r="D13" i="38" l="1"/>
  <c r="E13" i="38" s="1"/>
  <c r="D14" i="38"/>
  <c r="E14" i="38" s="1"/>
  <c r="D15" i="38"/>
  <c r="E15" i="38" s="1"/>
  <c r="D16" i="38"/>
  <c r="E16" i="38" s="1"/>
  <c r="D17" i="38"/>
  <c r="E17" i="38" s="1"/>
  <c r="D18" i="38"/>
  <c r="E18" i="38" s="1"/>
  <c r="D19" i="38"/>
  <c r="E19" i="38" s="1"/>
  <c r="D20" i="38"/>
  <c r="E20" i="38" s="1"/>
  <c r="D9" i="38" l="1"/>
  <c r="D10" i="38"/>
  <c r="D11" i="38"/>
  <c r="D12" i="38"/>
  <c r="AB40" i="40" l="1"/>
  <c r="K49" i="41" l="1"/>
  <c r="L49" i="41"/>
  <c r="M49" i="41"/>
  <c r="O49" i="41"/>
  <c r="N49" i="41"/>
  <c r="P49" i="41"/>
  <c r="Q49" i="41"/>
  <c r="R49" i="41"/>
  <c r="S49" i="41"/>
  <c r="T49" i="41"/>
  <c r="K50" i="41"/>
  <c r="L50" i="41"/>
  <c r="M50" i="41"/>
  <c r="O50" i="41"/>
  <c r="N50" i="41"/>
  <c r="P50" i="41"/>
  <c r="Q50" i="41"/>
  <c r="R50" i="41"/>
  <c r="S50" i="41"/>
  <c r="T50" i="41"/>
  <c r="K51" i="41"/>
  <c r="L51" i="41"/>
  <c r="M51" i="41"/>
  <c r="O51" i="41"/>
  <c r="N51" i="41"/>
  <c r="P51" i="41"/>
  <c r="Q51" i="41"/>
  <c r="R51" i="41"/>
  <c r="S51" i="41"/>
  <c r="T51" i="41"/>
  <c r="K52" i="41"/>
  <c r="L52" i="41"/>
  <c r="M52" i="41"/>
  <c r="O52" i="41"/>
  <c r="N52" i="41"/>
  <c r="P52" i="41"/>
  <c r="Q52" i="41"/>
  <c r="R52" i="41"/>
  <c r="S52" i="41"/>
  <c r="T52" i="41"/>
  <c r="K53" i="41"/>
  <c r="L53" i="41"/>
  <c r="M53" i="41"/>
  <c r="O53" i="41"/>
  <c r="N53" i="41"/>
  <c r="P53" i="41"/>
  <c r="Q53" i="41"/>
  <c r="R53" i="41"/>
  <c r="S53" i="41"/>
  <c r="T53" i="41"/>
  <c r="K54" i="41"/>
  <c r="L54" i="41"/>
  <c r="M54" i="41"/>
  <c r="O54" i="41"/>
  <c r="N54" i="41"/>
  <c r="P54" i="41"/>
  <c r="Q54" i="41"/>
  <c r="R54" i="41"/>
  <c r="S54" i="41"/>
  <c r="T54" i="41"/>
  <c r="K55" i="41"/>
  <c r="L55" i="41"/>
  <c r="M55" i="41"/>
  <c r="O55" i="41"/>
  <c r="N55" i="41"/>
  <c r="P55" i="41"/>
  <c r="Q55" i="41"/>
  <c r="R55" i="41"/>
  <c r="S55" i="41"/>
  <c r="T55" i="41"/>
  <c r="K56" i="41"/>
  <c r="L56" i="41"/>
  <c r="M56" i="41"/>
  <c r="O56" i="41"/>
  <c r="N56" i="41"/>
  <c r="P56" i="41"/>
  <c r="Q56" i="41"/>
  <c r="R56" i="41"/>
  <c r="S56" i="41"/>
  <c r="T56" i="41"/>
  <c r="K57" i="41"/>
  <c r="L57" i="41"/>
  <c r="M57" i="41"/>
  <c r="O57" i="41"/>
  <c r="N57" i="41"/>
  <c r="P57" i="41"/>
  <c r="Q57" i="41"/>
  <c r="R57" i="41"/>
  <c r="S57" i="41"/>
  <c r="T57" i="41"/>
  <c r="K58" i="41"/>
  <c r="L58" i="41"/>
  <c r="M58" i="41"/>
  <c r="O58" i="41"/>
  <c r="N58" i="41"/>
  <c r="P58" i="41"/>
  <c r="Q58" i="41"/>
  <c r="R58" i="41"/>
  <c r="S58" i="41"/>
  <c r="T58" i="41"/>
  <c r="K59" i="41"/>
  <c r="L59" i="41"/>
  <c r="M59" i="41"/>
  <c r="O59" i="41"/>
  <c r="N59" i="41"/>
  <c r="P59" i="41"/>
  <c r="Q59" i="41"/>
  <c r="R59" i="41"/>
  <c r="S59" i="41"/>
  <c r="T59" i="41"/>
  <c r="K60" i="41"/>
  <c r="L60" i="41"/>
  <c r="M60" i="41"/>
  <c r="O60" i="41"/>
  <c r="N60" i="41"/>
  <c r="P60" i="41"/>
  <c r="Q60" i="41"/>
  <c r="R60" i="41"/>
  <c r="S60" i="41"/>
  <c r="T60" i="41"/>
  <c r="J50" i="41"/>
  <c r="J51" i="41"/>
  <c r="J52" i="41"/>
  <c r="J53" i="41"/>
  <c r="J54" i="41"/>
  <c r="J55" i="41"/>
  <c r="J56" i="41"/>
  <c r="J57" i="41"/>
  <c r="J58" i="41"/>
  <c r="J59" i="41"/>
  <c r="J60" i="41"/>
  <c r="J49" i="41"/>
  <c r="D11" i="41"/>
  <c r="Q31" i="41" s="1"/>
  <c r="D12" i="41"/>
  <c r="Q32" i="41" s="1"/>
  <c r="D13" i="41"/>
  <c r="Q33" i="41" s="1"/>
  <c r="D14" i="41"/>
  <c r="Q34" i="41" s="1"/>
  <c r="D15" i="41"/>
  <c r="T35" i="41" s="1"/>
  <c r="D16" i="41"/>
  <c r="Q36" i="41" s="1"/>
  <c r="D17" i="41"/>
  <c r="T37" i="41" s="1"/>
  <c r="D18" i="41"/>
  <c r="Q38" i="41" s="1"/>
  <c r="D19" i="41"/>
  <c r="Q39" i="41" s="1"/>
  <c r="D20" i="41"/>
  <c r="Q40" i="41" s="1"/>
  <c r="D21" i="41"/>
  <c r="D10" i="41"/>
  <c r="J30" i="41" s="1"/>
  <c r="Q41" i="41" l="1"/>
  <c r="G21" i="41"/>
  <c r="D60" i="41"/>
  <c r="D50" i="41"/>
  <c r="D53" i="41"/>
  <c r="D51" i="41"/>
  <c r="D59" i="41"/>
  <c r="D58" i="41"/>
  <c r="D54" i="41"/>
  <c r="D49" i="41"/>
  <c r="D57" i="41"/>
  <c r="D56" i="41"/>
  <c r="D55" i="41"/>
  <c r="J41" i="41"/>
  <c r="O41" i="41"/>
  <c r="R41" i="41"/>
  <c r="J61" i="41"/>
  <c r="K41" i="41"/>
  <c r="N41" i="41"/>
  <c r="S41" i="41"/>
  <c r="L41" i="41"/>
  <c r="P41" i="41"/>
  <c r="T41" i="41"/>
  <c r="M41" i="41"/>
  <c r="R61" i="41"/>
  <c r="O61" i="41"/>
  <c r="D52" i="41"/>
  <c r="O40" i="41"/>
  <c r="R40" i="41"/>
  <c r="L40" i="41"/>
  <c r="J40" i="41"/>
  <c r="K40" i="41"/>
  <c r="N40" i="41"/>
  <c r="S40" i="41"/>
  <c r="P40" i="41"/>
  <c r="T40" i="41"/>
  <c r="M40" i="41"/>
  <c r="J39" i="41"/>
  <c r="O39" i="41"/>
  <c r="R39" i="41"/>
  <c r="K39" i="41"/>
  <c r="N39" i="41"/>
  <c r="S39" i="41"/>
  <c r="L39" i="41"/>
  <c r="P39" i="41"/>
  <c r="T39" i="41"/>
  <c r="M39" i="41"/>
  <c r="J38" i="41"/>
  <c r="O38" i="41"/>
  <c r="R38" i="41"/>
  <c r="K38" i="41"/>
  <c r="N38" i="41"/>
  <c r="S38" i="41"/>
  <c r="L38" i="41"/>
  <c r="T38" i="41"/>
  <c r="P38" i="41"/>
  <c r="M38" i="41"/>
  <c r="M37" i="41"/>
  <c r="Q37" i="41"/>
  <c r="J37" i="41"/>
  <c r="O37" i="41"/>
  <c r="R37" i="41"/>
  <c r="K37" i="41"/>
  <c r="N37" i="41"/>
  <c r="S37" i="41"/>
  <c r="L37" i="41"/>
  <c r="P37" i="41"/>
  <c r="J36" i="41"/>
  <c r="O36" i="41"/>
  <c r="R36" i="41"/>
  <c r="K36" i="41"/>
  <c r="N36" i="41"/>
  <c r="S36" i="41"/>
  <c r="L36" i="41"/>
  <c r="P36" i="41"/>
  <c r="T36" i="41"/>
  <c r="M36" i="41"/>
  <c r="M35" i="41"/>
  <c r="Q35" i="41"/>
  <c r="J35" i="41"/>
  <c r="O35" i="41"/>
  <c r="R35" i="41"/>
  <c r="K35" i="41"/>
  <c r="N35" i="41"/>
  <c r="S35" i="41"/>
  <c r="L35" i="41"/>
  <c r="P35" i="41"/>
  <c r="J34" i="41"/>
  <c r="O34" i="41"/>
  <c r="R34" i="41"/>
  <c r="K34" i="41"/>
  <c r="N34" i="41"/>
  <c r="S34" i="41"/>
  <c r="P34" i="41"/>
  <c r="T34" i="41"/>
  <c r="L34" i="41"/>
  <c r="M34" i="41"/>
  <c r="J33" i="41"/>
  <c r="O33" i="41"/>
  <c r="R33" i="41"/>
  <c r="K33" i="41"/>
  <c r="N33" i="41"/>
  <c r="S33" i="41"/>
  <c r="L33" i="41"/>
  <c r="P33" i="41"/>
  <c r="T33" i="41"/>
  <c r="M33" i="41"/>
  <c r="J32" i="41"/>
  <c r="O32" i="41"/>
  <c r="R32" i="41"/>
  <c r="K32" i="41"/>
  <c r="N32" i="41"/>
  <c r="S32" i="41"/>
  <c r="L32" i="41"/>
  <c r="P32" i="41"/>
  <c r="T32" i="41"/>
  <c r="M32" i="41"/>
  <c r="J31" i="41"/>
  <c r="O31" i="41"/>
  <c r="R31" i="41"/>
  <c r="K31" i="41"/>
  <c r="N31" i="41"/>
  <c r="S31" i="41"/>
  <c r="L31" i="41"/>
  <c r="P31" i="41"/>
  <c r="T31" i="41"/>
  <c r="M31" i="41"/>
  <c r="R30" i="41"/>
  <c r="K30" i="41"/>
  <c r="N30" i="41"/>
  <c r="S30" i="41"/>
  <c r="O30" i="41"/>
  <c r="L30" i="41"/>
  <c r="P30" i="41"/>
  <c r="T30" i="41"/>
  <c r="D22" i="41"/>
  <c r="G22" i="41" s="1"/>
  <c r="M30" i="41"/>
  <c r="Q30" i="41"/>
  <c r="K61" i="41"/>
  <c r="S61" i="41"/>
  <c r="L61" i="41"/>
  <c r="P61" i="41"/>
  <c r="T61" i="41"/>
  <c r="N61" i="41"/>
  <c r="M61" i="41"/>
  <c r="Q61" i="41"/>
  <c r="D61" i="41" l="1"/>
  <c r="D36" i="41"/>
  <c r="C55" i="41" s="1"/>
  <c r="D37" i="41"/>
  <c r="C56" i="41" s="1"/>
  <c r="D40" i="41"/>
  <c r="D41" i="41"/>
  <c r="D30" i="41"/>
  <c r="C49" i="41" s="1"/>
  <c r="D38" i="41"/>
  <c r="D39" i="41"/>
  <c r="D35" i="41"/>
  <c r="C54" i="41" s="1"/>
  <c r="D34" i="41"/>
  <c r="C53" i="41" s="1"/>
  <c r="D33" i="41"/>
  <c r="C52" i="41" s="1"/>
  <c r="D32" i="41"/>
  <c r="C51" i="41" s="1"/>
  <c r="D31" i="41"/>
  <c r="C50" i="41" s="1"/>
  <c r="C34" i="34"/>
  <c r="C35" i="34"/>
  <c r="C36" i="34"/>
  <c r="C37" i="34"/>
  <c r="C38" i="34"/>
  <c r="C39" i="34"/>
  <c r="C40" i="34"/>
  <c r="C41" i="34"/>
  <c r="C42" i="34"/>
  <c r="C43" i="34"/>
  <c r="C44" i="34"/>
  <c r="C33" i="34"/>
  <c r="C12" i="34"/>
  <c r="C13" i="34"/>
  <c r="C14" i="34"/>
  <c r="C15" i="34"/>
  <c r="C16" i="34"/>
  <c r="C17" i="34"/>
  <c r="C18" i="34"/>
  <c r="C19" i="34"/>
  <c r="C20" i="34"/>
  <c r="C21" i="34"/>
  <c r="C22" i="34"/>
  <c r="C11" i="34"/>
  <c r="C41" i="35"/>
  <c r="D41" i="35"/>
  <c r="E41" i="35"/>
  <c r="F41" i="35"/>
  <c r="G41" i="35"/>
  <c r="H41" i="35"/>
  <c r="I41" i="35"/>
  <c r="J41" i="35"/>
  <c r="K41" i="35"/>
  <c r="L41" i="35"/>
  <c r="C22" i="41"/>
  <c r="I22" i="41" l="1"/>
  <c r="Y22" i="41"/>
  <c r="C59" i="41"/>
  <c r="C60" i="41"/>
  <c r="C58" i="41"/>
  <c r="C57" i="41"/>
  <c r="D42" i="41"/>
  <c r="D19" i="35"/>
  <c r="D19" i="36" s="1"/>
  <c r="D20" i="35"/>
  <c r="D20" i="36" s="1"/>
  <c r="D21" i="35"/>
  <c r="D21" i="36" s="1"/>
  <c r="E19" i="35"/>
  <c r="E19" i="36" s="1"/>
  <c r="E20" i="35"/>
  <c r="E20" i="36" s="1"/>
  <c r="E21" i="35"/>
  <c r="E21" i="36" s="1"/>
  <c r="F19" i="35"/>
  <c r="F19" i="36" s="1"/>
  <c r="F20" i="35"/>
  <c r="F20" i="36" s="1"/>
  <c r="F21" i="35"/>
  <c r="F21" i="36" s="1"/>
  <c r="H19" i="35"/>
  <c r="G19" i="36" s="1"/>
  <c r="H20" i="35"/>
  <c r="G20" i="36" s="1"/>
  <c r="H21" i="35"/>
  <c r="G21" i="36" s="1"/>
  <c r="I19" i="35"/>
  <c r="I19" i="36" s="1"/>
  <c r="I20" i="35"/>
  <c r="I20" i="36" s="1"/>
  <c r="I21" i="35"/>
  <c r="I21" i="36" s="1"/>
  <c r="J19" i="35"/>
  <c r="J19" i="36" s="1"/>
  <c r="J20" i="35"/>
  <c r="J20" i="36" s="1"/>
  <c r="J21" i="35"/>
  <c r="J21" i="36" s="1"/>
  <c r="K19" i="35"/>
  <c r="K19" i="36" s="1"/>
  <c r="K20" i="35"/>
  <c r="K20" i="36" s="1"/>
  <c r="K21" i="35"/>
  <c r="K21" i="36" s="1"/>
  <c r="L19" i="35"/>
  <c r="L19" i="36" s="1"/>
  <c r="L20" i="35"/>
  <c r="L20" i="36" s="1"/>
  <c r="L21" i="35"/>
  <c r="L21" i="36" s="1"/>
  <c r="G19" i="35"/>
  <c r="H19" i="36" s="1"/>
  <c r="G20" i="35"/>
  <c r="H20" i="36" s="1"/>
  <c r="G21" i="35"/>
  <c r="H21" i="36" s="1"/>
  <c r="C21" i="35"/>
  <c r="C21" i="36" s="1"/>
  <c r="C20" i="35"/>
  <c r="C20" i="36" s="1"/>
  <c r="C19" i="35"/>
  <c r="C19" i="36" s="1"/>
  <c r="J36" i="35" l="1"/>
  <c r="D36" i="35"/>
  <c r="I36" i="35"/>
  <c r="G36" i="35"/>
  <c r="L36" i="35"/>
  <c r="F36" i="35"/>
  <c r="K36" i="35"/>
  <c r="C36" i="35"/>
  <c r="H36" i="35"/>
  <c r="E36" i="35"/>
  <c r="K22" i="34"/>
  <c r="C35" i="35"/>
  <c r="H35" i="35"/>
  <c r="G35" i="35"/>
  <c r="L35" i="35"/>
  <c r="E35" i="35"/>
  <c r="F35" i="35"/>
  <c r="K35" i="35"/>
  <c r="I35" i="35"/>
  <c r="J35" i="35"/>
  <c r="D35" i="35"/>
  <c r="K21" i="34"/>
  <c r="C34" i="35"/>
  <c r="F34" i="35"/>
  <c r="J34" i="35"/>
  <c r="K20" i="34"/>
  <c r="I34" i="35"/>
  <c r="L34" i="35"/>
  <c r="H34" i="35"/>
  <c r="D34" i="35"/>
  <c r="G34" i="35"/>
  <c r="E34" i="35"/>
  <c r="K34" i="35"/>
  <c r="K19" i="34"/>
  <c r="D17" i="35"/>
  <c r="D18" i="35"/>
  <c r="D33" i="35" s="1"/>
  <c r="E17" i="35"/>
  <c r="E18" i="35"/>
  <c r="E33" i="35" s="1"/>
  <c r="F17" i="35"/>
  <c r="F18" i="35"/>
  <c r="F33" i="35" s="1"/>
  <c r="H17" i="35"/>
  <c r="H18" i="35"/>
  <c r="H33" i="35" s="1"/>
  <c r="I17" i="35"/>
  <c r="I18" i="35"/>
  <c r="I33" i="35" s="1"/>
  <c r="J17" i="35"/>
  <c r="J18" i="35"/>
  <c r="J33" i="35" s="1"/>
  <c r="K17" i="35"/>
  <c r="K18" i="35"/>
  <c r="K33" i="35" s="1"/>
  <c r="L18" i="35"/>
  <c r="L33" i="35" s="1"/>
  <c r="G17" i="35"/>
  <c r="G18" i="35"/>
  <c r="G33" i="35" s="1"/>
  <c r="C18" i="35"/>
  <c r="C33" i="35" s="1"/>
  <c r="C17" i="35"/>
  <c r="L18" i="36" l="1"/>
  <c r="G18" i="36"/>
  <c r="C18" i="36"/>
  <c r="J17" i="36"/>
  <c r="E17" i="36"/>
  <c r="H18" i="36"/>
  <c r="I18" i="36"/>
  <c r="F18" i="36"/>
  <c r="D18" i="36"/>
  <c r="C17" i="36"/>
  <c r="E18" i="36"/>
  <c r="L17" i="36"/>
  <c r="G17" i="36"/>
  <c r="K18" i="36"/>
  <c r="H17" i="36"/>
  <c r="K17" i="36"/>
  <c r="I17" i="36"/>
  <c r="F17" i="36"/>
  <c r="D17" i="36"/>
  <c r="J18" i="36"/>
  <c r="D16" i="35"/>
  <c r="E16" i="35"/>
  <c r="F16" i="35"/>
  <c r="H16" i="35"/>
  <c r="I16" i="35"/>
  <c r="J16" i="35"/>
  <c r="K16" i="35"/>
  <c r="L16" i="35"/>
  <c r="G16" i="35"/>
  <c r="C16" i="35"/>
  <c r="D15" i="35"/>
  <c r="E15" i="35"/>
  <c r="F15" i="35"/>
  <c r="H15" i="35"/>
  <c r="I15" i="35"/>
  <c r="J15" i="35"/>
  <c r="K15" i="35"/>
  <c r="L15" i="35"/>
  <c r="G15" i="35"/>
  <c r="C15" i="35"/>
  <c r="H16" i="36" l="1"/>
  <c r="J15" i="36"/>
  <c r="E15" i="36"/>
  <c r="L16" i="36"/>
  <c r="G16" i="36"/>
  <c r="K15" i="36"/>
  <c r="D16" i="36"/>
  <c r="H15" i="36"/>
  <c r="I15" i="36"/>
  <c r="D15" i="36"/>
  <c r="K16" i="36"/>
  <c r="F16" i="36"/>
  <c r="F15" i="36"/>
  <c r="I16" i="36"/>
  <c r="C15" i="36"/>
  <c r="L15" i="36"/>
  <c r="G15" i="36"/>
  <c r="C16" i="36"/>
  <c r="J16" i="36"/>
  <c r="E16" i="36"/>
  <c r="D14" i="35"/>
  <c r="E14" i="35"/>
  <c r="F14" i="35"/>
  <c r="G14" i="35"/>
  <c r="H14" i="35"/>
  <c r="I14" i="35"/>
  <c r="J14" i="35"/>
  <c r="K14" i="35"/>
  <c r="L14" i="35"/>
  <c r="C14" i="35"/>
  <c r="K14" i="36" l="1"/>
  <c r="J14" i="36"/>
  <c r="F14" i="36"/>
  <c r="C14" i="36"/>
  <c r="I14" i="36"/>
  <c r="E14" i="36"/>
  <c r="H14" i="36"/>
  <c r="L14" i="36"/>
  <c r="G14" i="36"/>
  <c r="D14" i="36"/>
  <c r="D13" i="35"/>
  <c r="E13" i="35"/>
  <c r="F13" i="35"/>
  <c r="G13" i="35"/>
  <c r="H13" i="35"/>
  <c r="I13" i="35"/>
  <c r="J13" i="35"/>
  <c r="K13" i="35"/>
  <c r="L13" i="35"/>
  <c r="C13" i="35"/>
  <c r="D12" i="35"/>
  <c r="E12" i="35"/>
  <c r="F12" i="35"/>
  <c r="G12" i="35"/>
  <c r="H12" i="35"/>
  <c r="I12" i="35"/>
  <c r="J12" i="35"/>
  <c r="K12" i="35"/>
  <c r="L12" i="35"/>
  <c r="C12" i="35"/>
  <c r="E13" i="36" l="1"/>
  <c r="J12" i="36"/>
  <c r="F12" i="36"/>
  <c r="L13" i="36"/>
  <c r="G13" i="36"/>
  <c r="D13" i="36"/>
  <c r="H12" i="36"/>
  <c r="C13" i="36"/>
  <c r="I12" i="36"/>
  <c r="E12" i="36"/>
  <c r="K13" i="36"/>
  <c r="H13" i="36"/>
  <c r="K12" i="36"/>
  <c r="I13" i="36"/>
  <c r="C12" i="36"/>
  <c r="L12" i="36"/>
  <c r="G12" i="36"/>
  <c r="D12" i="36"/>
  <c r="J13" i="36"/>
  <c r="F13" i="36"/>
  <c r="D11" i="35"/>
  <c r="E11" i="35"/>
  <c r="F11" i="35"/>
  <c r="G11" i="35"/>
  <c r="H11" i="35"/>
  <c r="I11" i="35"/>
  <c r="J11" i="35"/>
  <c r="K11" i="35"/>
  <c r="L11" i="35"/>
  <c r="C11" i="35"/>
  <c r="H11" i="36" l="1"/>
  <c r="J11" i="36"/>
  <c r="F11" i="36"/>
  <c r="C11" i="36"/>
  <c r="I11" i="36"/>
  <c r="E11" i="36"/>
  <c r="K11" i="36"/>
  <c r="L11" i="36"/>
  <c r="G11" i="36"/>
  <c r="D11" i="36"/>
  <c r="D10" i="35"/>
  <c r="D10" i="36" s="1"/>
  <c r="E10" i="35"/>
  <c r="E10" i="36" s="1"/>
  <c r="F10" i="35"/>
  <c r="F10" i="36" s="1"/>
  <c r="G10" i="35"/>
  <c r="H10" i="36" s="1"/>
  <c r="H10" i="35"/>
  <c r="G10" i="36" s="1"/>
  <c r="I10" i="35"/>
  <c r="I10" i="36" s="1"/>
  <c r="J10" i="35"/>
  <c r="J10" i="36" s="1"/>
  <c r="K10" i="35"/>
  <c r="K10" i="36" s="1"/>
  <c r="L10" i="35"/>
  <c r="L10" i="36" s="1"/>
  <c r="C10" i="35"/>
  <c r="C10" i="36" l="1"/>
  <c r="B22" i="41"/>
  <c r="K42" i="41"/>
  <c r="K22" i="41" s="1"/>
  <c r="N42" i="41"/>
  <c r="N22" i="41" s="1"/>
  <c r="S42" i="41"/>
  <c r="S22" i="41" s="1"/>
  <c r="L42" i="41"/>
  <c r="L22" i="41" s="1"/>
  <c r="P42" i="41"/>
  <c r="P22" i="41" s="1"/>
  <c r="M42" i="41"/>
  <c r="M22" i="41" s="1"/>
  <c r="Q42" i="41"/>
  <c r="Q22" i="41" s="1"/>
  <c r="J42" i="41"/>
  <c r="J22" i="41" s="1"/>
  <c r="O42" i="41"/>
  <c r="O22" i="41" s="1"/>
  <c r="R42" i="41"/>
  <c r="R22" i="41" s="1"/>
  <c r="T42" i="41"/>
  <c r="T22" i="41" s="1"/>
  <c r="B21" i="38"/>
  <c r="G21" i="38"/>
  <c r="E12" i="38"/>
  <c r="E11" i="38"/>
  <c r="E10" i="38"/>
  <c r="AI57" i="40"/>
  <c r="AI28" i="40"/>
  <c r="Y57" i="40"/>
  <c r="Y39" i="40"/>
  <c r="B23" i="38" l="1"/>
  <c r="AA14" i="40"/>
  <c r="AC24" i="40" s="1"/>
  <c r="G23" i="38"/>
  <c r="AA43" i="40"/>
  <c r="AC53" i="40" s="1"/>
  <c r="D21" i="38"/>
  <c r="E21" i="38" s="1"/>
  <c r="E9" i="38"/>
  <c r="AC40" i="40"/>
  <c r="AC58" i="40" l="1"/>
  <c r="F27" i="36"/>
  <c r="C27" i="36"/>
  <c r="H27" i="36"/>
  <c r="L27" i="36"/>
  <c r="J27" i="36"/>
  <c r="E27" i="36"/>
  <c r="G27" i="36"/>
  <c r="I27" i="36"/>
  <c r="D27" i="36"/>
  <c r="K27" i="36"/>
  <c r="E29" i="36"/>
  <c r="F29" i="36"/>
  <c r="L29" i="36"/>
  <c r="H29" i="36"/>
  <c r="D29" i="36"/>
  <c r="C29" i="36"/>
  <c r="G29" i="36"/>
  <c r="I29" i="36"/>
  <c r="K29" i="36"/>
  <c r="J29" i="36"/>
  <c r="J33" i="36"/>
  <c r="C33" i="36"/>
  <c r="L33" i="36"/>
  <c r="I33" i="36"/>
  <c r="E33" i="36"/>
  <c r="G33" i="36"/>
  <c r="F33" i="36"/>
  <c r="K33" i="36"/>
  <c r="D33" i="36"/>
  <c r="H33" i="36"/>
  <c r="E31" i="36"/>
  <c r="K31" i="36"/>
  <c r="J31" i="36"/>
  <c r="F31" i="36"/>
  <c r="L31" i="36"/>
  <c r="G31" i="36"/>
  <c r="H31" i="36"/>
  <c r="C31" i="36"/>
  <c r="D31" i="36"/>
  <c r="I31" i="36"/>
  <c r="C32" i="36"/>
  <c r="G32" i="36"/>
  <c r="J32" i="36"/>
  <c r="F32" i="36"/>
  <c r="L32" i="36"/>
  <c r="I32" i="36"/>
  <c r="H32" i="36"/>
  <c r="K32" i="36"/>
  <c r="D32" i="36"/>
  <c r="E32" i="36"/>
  <c r="I26" i="35"/>
  <c r="L26" i="35"/>
  <c r="D26" i="35"/>
  <c r="E26" i="35"/>
  <c r="H26" i="35"/>
  <c r="G26" i="35"/>
  <c r="J26" i="35"/>
  <c r="K26" i="35"/>
  <c r="C26" i="35"/>
  <c r="F26" i="35"/>
  <c r="J35" i="36"/>
  <c r="K35" i="36"/>
  <c r="D35" i="36"/>
  <c r="C35" i="36"/>
  <c r="L35" i="36"/>
  <c r="E35" i="36"/>
  <c r="H35" i="36"/>
  <c r="G35" i="36"/>
  <c r="I35" i="36"/>
  <c r="F35" i="36"/>
  <c r="J30" i="35"/>
  <c r="K30" i="35"/>
  <c r="G30" i="35"/>
  <c r="D30" i="35"/>
  <c r="F30" i="35"/>
  <c r="C30" i="35"/>
  <c r="H30" i="35"/>
  <c r="E30" i="35"/>
  <c r="I30" i="35"/>
  <c r="L30" i="35"/>
  <c r="D28" i="35"/>
  <c r="I28" i="35"/>
  <c r="E28" i="35"/>
  <c r="H28" i="35"/>
  <c r="K28" i="35"/>
  <c r="J28" i="35"/>
  <c r="L28" i="35"/>
  <c r="C28" i="35"/>
  <c r="G28" i="35"/>
  <c r="F28" i="35"/>
  <c r="AC29" i="40"/>
  <c r="G31" i="35"/>
  <c r="D31" i="35"/>
  <c r="E31" i="35"/>
  <c r="L31" i="35"/>
  <c r="F31" i="35"/>
  <c r="J31" i="35"/>
  <c r="H31" i="35"/>
  <c r="K31" i="35"/>
  <c r="I31" i="35"/>
  <c r="C31" i="35"/>
  <c r="C32" i="35"/>
  <c r="J32" i="35"/>
  <c r="H32" i="35"/>
  <c r="G32" i="35"/>
  <c r="I32" i="35"/>
  <c r="D32" i="35"/>
  <c r="E32" i="35"/>
  <c r="L32" i="35"/>
  <c r="K32" i="35"/>
  <c r="F32" i="35"/>
  <c r="L30" i="36"/>
  <c r="C30" i="36"/>
  <c r="K30" i="36"/>
  <c r="G30" i="36"/>
  <c r="D30" i="36"/>
  <c r="J30" i="36"/>
  <c r="I30" i="36"/>
  <c r="E30" i="36"/>
  <c r="H30" i="36"/>
  <c r="F30" i="36"/>
  <c r="H28" i="36"/>
  <c r="I28" i="36"/>
  <c r="J28" i="36"/>
  <c r="K28" i="36"/>
  <c r="F28" i="36"/>
  <c r="L28" i="36"/>
  <c r="G28" i="36"/>
  <c r="C28" i="36"/>
  <c r="E28" i="36"/>
  <c r="D28" i="36"/>
  <c r="J27" i="35"/>
  <c r="E27" i="35"/>
  <c r="D27" i="35"/>
  <c r="F27" i="35"/>
  <c r="G27" i="35"/>
  <c r="I27" i="35"/>
  <c r="K27" i="35"/>
  <c r="C27" i="35"/>
  <c r="H27" i="35"/>
  <c r="L27" i="35"/>
  <c r="I29" i="35"/>
  <c r="E29" i="35"/>
  <c r="F29" i="35"/>
  <c r="L29" i="35"/>
  <c r="D29" i="35"/>
  <c r="J29" i="35"/>
  <c r="G29" i="35"/>
  <c r="H29" i="35"/>
  <c r="C29" i="35"/>
  <c r="K29" i="35"/>
  <c r="E34" i="36"/>
  <c r="D34" i="36"/>
  <c r="F34" i="36"/>
  <c r="G34" i="36"/>
  <c r="H34" i="36"/>
  <c r="K34" i="36"/>
  <c r="L34" i="36"/>
  <c r="I34" i="36"/>
  <c r="J34" i="36"/>
  <c r="C34" i="36"/>
  <c r="E26" i="36"/>
  <c r="I26" i="36"/>
  <c r="L26" i="36"/>
  <c r="C26" i="36"/>
  <c r="F26" i="36"/>
  <c r="H26" i="36"/>
  <c r="D26" i="36"/>
  <c r="K26" i="36"/>
  <c r="G26" i="36"/>
  <c r="J26" i="36"/>
  <c r="I36" i="36"/>
  <c r="K36" i="36"/>
  <c r="J36" i="36"/>
  <c r="G36" i="36"/>
  <c r="C36" i="36"/>
  <c r="F36" i="36"/>
  <c r="H36" i="36"/>
  <c r="L36" i="36"/>
  <c r="D36" i="36"/>
  <c r="E36" i="36"/>
  <c r="C25" i="35" l="1"/>
  <c r="D42" i="35" l="1"/>
  <c r="E42" i="35"/>
  <c r="F42" i="35"/>
  <c r="G42" i="35"/>
  <c r="H42" i="35"/>
  <c r="I42" i="35"/>
  <c r="J42" i="35"/>
  <c r="K42" i="35"/>
  <c r="L42" i="35"/>
  <c r="D43" i="35"/>
  <c r="E43" i="35"/>
  <c r="F43" i="35"/>
  <c r="G43" i="35"/>
  <c r="H43" i="35"/>
  <c r="I43" i="35"/>
  <c r="J43" i="35"/>
  <c r="K43" i="35"/>
  <c r="L43" i="35"/>
  <c r="D44" i="35"/>
  <c r="E44" i="35"/>
  <c r="F44" i="35"/>
  <c r="G44" i="35"/>
  <c r="H44" i="35"/>
  <c r="I44" i="35"/>
  <c r="J44" i="35"/>
  <c r="K44" i="35"/>
  <c r="L44" i="35"/>
  <c r="D45" i="35"/>
  <c r="E45" i="35"/>
  <c r="F45" i="35"/>
  <c r="G45" i="35"/>
  <c r="H45" i="35"/>
  <c r="I45" i="35"/>
  <c r="J45" i="35"/>
  <c r="K45" i="35"/>
  <c r="L45" i="35"/>
  <c r="D46" i="35"/>
  <c r="E46" i="35"/>
  <c r="F46" i="35"/>
  <c r="G46" i="35"/>
  <c r="H46" i="35"/>
  <c r="I46" i="35"/>
  <c r="J46" i="35"/>
  <c r="K46" i="35"/>
  <c r="L46" i="35"/>
  <c r="D47" i="35"/>
  <c r="E47" i="35"/>
  <c r="F47" i="35"/>
  <c r="G47" i="35"/>
  <c r="H47" i="35"/>
  <c r="I47" i="35"/>
  <c r="J47" i="35"/>
  <c r="K47" i="35"/>
  <c r="L47" i="35"/>
  <c r="D48" i="35"/>
  <c r="E48" i="35"/>
  <c r="F48" i="35"/>
  <c r="G48" i="35"/>
  <c r="H48" i="35"/>
  <c r="I48" i="35"/>
  <c r="J48" i="35"/>
  <c r="K48" i="35"/>
  <c r="L48" i="35"/>
  <c r="D49" i="35"/>
  <c r="E49" i="35"/>
  <c r="F49" i="35"/>
  <c r="G49" i="35"/>
  <c r="H49" i="35"/>
  <c r="I49" i="35"/>
  <c r="J49" i="35"/>
  <c r="K49" i="35"/>
  <c r="L49" i="35"/>
  <c r="D50" i="35"/>
  <c r="E50" i="35"/>
  <c r="F50" i="35"/>
  <c r="G50" i="35"/>
  <c r="H50" i="35"/>
  <c r="I50" i="35"/>
  <c r="J50" i="35"/>
  <c r="K50" i="35"/>
  <c r="L50" i="35"/>
  <c r="D51" i="35"/>
  <c r="E51" i="35"/>
  <c r="F51" i="35"/>
  <c r="G51" i="35"/>
  <c r="H51" i="35"/>
  <c r="I51" i="35"/>
  <c r="J51" i="35"/>
  <c r="K51" i="35"/>
  <c r="L51" i="35"/>
  <c r="D52" i="35"/>
  <c r="E52" i="35"/>
  <c r="F52" i="35"/>
  <c r="G52" i="35"/>
  <c r="H52" i="35"/>
  <c r="I52" i="35"/>
  <c r="J52" i="35"/>
  <c r="K52" i="35"/>
  <c r="L52" i="35"/>
  <c r="C43" i="35"/>
  <c r="C44" i="35"/>
  <c r="C45" i="35"/>
  <c r="C46" i="35"/>
  <c r="C47" i="35"/>
  <c r="C48" i="35"/>
  <c r="C49" i="35"/>
  <c r="C50" i="35"/>
  <c r="C51" i="35"/>
  <c r="C52" i="35"/>
  <c r="C42" i="35"/>
  <c r="M11" i="35" l="1"/>
  <c r="M11" i="36" l="1"/>
  <c r="M26" i="36" s="1"/>
  <c r="M26" i="35"/>
  <c r="C56" i="35"/>
  <c r="C57" i="35"/>
  <c r="C60" i="35"/>
  <c r="C58" i="35"/>
  <c r="C59" i="35"/>
  <c r="C61" i="35"/>
  <c r="C62" i="35"/>
  <c r="C63" i="35"/>
  <c r="C41" i="36"/>
  <c r="C42" i="36"/>
  <c r="C57" i="36" s="1"/>
  <c r="C43" i="36"/>
  <c r="C58" i="36" s="1"/>
  <c r="C44" i="36"/>
  <c r="C59" i="36" s="1"/>
  <c r="C45" i="36"/>
  <c r="C60" i="36" s="1"/>
  <c r="C46" i="36"/>
  <c r="C61" i="36" s="1"/>
  <c r="C47" i="36"/>
  <c r="C62" i="36" s="1"/>
  <c r="C48" i="36"/>
  <c r="C63" i="36" s="1"/>
  <c r="C49" i="36"/>
  <c r="C64" i="36" s="1"/>
  <c r="C50" i="36"/>
  <c r="C51" i="36"/>
  <c r="C52" i="36"/>
  <c r="C67" i="35"/>
  <c r="C65" i="36" l="1"/>
  <c r="C66" i="36"/>
  <c r="C66" i="35"/>
  <c r="C64" i="35"/>
  <c r="C67" i="36"/>
  <c r="AE57" i="40"/>
  <c r="AE39" i="40"/>
  <c r="AG43" i="40" l="1"/>
  <c r="AI53" i="40" s="1"/>
  <c r="C37" i="35"/>
  <c r="C65" i="35"/>
  <c r="C68" i="35" s="1"/>
  <c r="AB11" i="40"/>
  <c r="AG14" i="40"/>
  <c r="AI24" i="40" s="1"/>
  <c r="C70" i="35" l="1"/>
  <c r="B21" i="39" s="1"/>
  <c r="AC11" i="40"/>
  <c r="AI58" i="40"/>
  <c r="AI13" i="40"/>
  <c r="AI29" i="40"/>
  <c r="AI42" i="40"/>
  <c r="AI40" i="40" l="1"/>
  <c r="AI43" i="40" s="1"/>
  <c r="AI11" i="40" l="1"/>
  <c r="AI14" i="40" s="1"/>
  <c r="M21" i="35" l="1"/>
  <c r="M36" i="35" s="1"/>
  <c r="M21" i="36" l="1"/>
  <c r="M36" i="36" s="1"/>
  <c r="K49" i="36" l="1"/>
  <c r="E51" i="36"/>
  <c r="D52" i="36"/>
  <c r="E52" i="36"/>
  <c r="F52" i="36"/>
  <c r="H52" i="36"/>
  <c r="I52" i="36"/>
  <c r="J52" i="36"/>
  <c r="K52" i="36"/>
  <c r="L52" i="36"/>
  <c r="D42" i="36"/>
  <c r="E42" i="36"/>
  <c r="F42" i="36"/>
  <c r="H42" i="36"/>
  <c r="G42" i="36"/>
  <c r="I42" i="36"/>
  <c r="J42" i="36"/>
  <c r="K42" i="36"/>
  <c r="L42" i="36"/>
  <c r="D43" i="36"/>
  <c r="E43" i="36"/>
  <c r="F43" i="36"/>
  <c r="H43" i="36"/>
  <c r="I43" i="36"/>
  <c r="J43" i="36"/>
  <c r="K43" i="36"/>
  <c r="L43" i="36"/>
  <c r="D44" i="36"/>
  <c r="E44" i="36"/>
  <c r="F44" i="36"/>
  <c r="H44" i="36"/>
  <c r="I44" i="36"/>
  <c r="J44" i="36"/>
  <c r="K44" i="36"/>
  <c r="L44" i="36"/>
  <c r="D45" i="36"/>
  <c r="E45" i="36"/>
  <c r="F45" i="36"/>
  <c r="H45" i="36"/>
  <c r="I45" i="36"/>
  <c r="J45" i="36"/>
  <c r="K45" i="36"/>
  <c r="L45" i="36"/>
  <c r="D46" i="36"/>
  <c r="E46" i="36"/>
  <c r="F46" i="36"/>
  <c r="H46" i="36"/>
  <c r="I46" i="36"/>
  <c r="J46" i="36"/>
  <c r="K46" i="36"/>
  <c r="L46" i="36"/>
  <c r="D47" i="36"/>
  <c r="E47" i="36"/>
  <c r="F47" i="36"/>
  <c r="H47" i="36"/>
  <c r="I47" i="36"/>
  <c r="J47" i="36"/>
  <c r="K47" i="36"/>
  <c r="L47" i="36"/>
  <c r="D48" i="36"/>
  <c r="E48" i="36"/>
  <c r="F48" i="36"/>
  <c r="H48" i="36"/>
  <c r="I48" i="36"/>
  <c r="J48" i="36"/>
  <c r="K48" i="36"/>
  <c r="L48" i="36"/>
  <c r="D49" i="36"/>
  <c r="E49" i="36"/>
  <c r="F49" i="36"/>
  <c r="H49" i="36"/>
  <c r="I49" i="36"/>
  <c r="J49" i="36"/>
  <c r="L49" i="36"/>
  <c r="D50" i="36"/>
  <c r="E50" i="36"/>
  <c r="F50" i="36"/>
  <c r="H50" i="36"/>
  <c r="I50" i="36"/>
  <c r="J50" i="36"/>
  <c r="K50" i="36"/>
  <c r="L50" i="36"/>
  <c r="D51" i="36"/>
  <c r="F51" i="36"/>
  <c r="H51" i="36"/>
  <c r="I51" i="36"/>
  <c r="J51" i="36"/>
  <c r="K51" i="36"/>
  <c r="L51" i="36"/>
  <c r="D41" i="36"/>
  <c r="E41" i="36"/>
  <c r="F41" i="36"/>
  <c r="H41" i="36"/>
  <c r="G41" i="36"/>
  <c r="I41" i="36"/>
  <c r="J41" i="36"/>
  <c r="K41" i="36"/>
  <c r="L41" i="36"/>
  <c r="M10" i="35"/>
  <c r="M10" i="36" s="1"/>
  <c r="G43" i="36" l="1"/>
  <c r="G44" i="36" l="1"/>
  <c r="B11" i="35"/>
  <c r="B10" i="35"/>
  <c r="M20" i="35"/>
  <c r="M35" i="35" s="1"/>
  <c r="B21" i="35"/>
  <c r="M20" i="36" l="1"/>
  <c r="M35" i="36" s="1"/>
  <c r="G45" i="36"/>
  <c r="B20" i="35"/>
  <c r="G46" i="36" l="1"/>
  <c r="G47" i="36" l="1"/>
  <c r="G48" i="36" l="1"/>
  <c r="M15" i="35"/>
  <c r="M19" i="35"/>
  <c r="M34" i="35" s="1"/>
  <c r="M16" i="35"/>
  <c r="M17" i="35"/>
  <c r="M18" i="35"/>
  <c r="M33" i="35" s="1"/>
  <c r="B16" i="35" l="1"/>
  <c r="M16" i="36"/>
  <c r="M31" i="36" s="1"/>
  <c r="M31" i="35"/>
  <c r="B17" i="35"/>
  <c r="M17" i="36"/>
  <c r="M32" i="36" s="1"/>
  <c r="M32" i="35"/>
  <c r="B19" i="35"/>
  <c r="M19" i="36"/>
  <c r="M34" i="36" s="1"/>
  <c r="B18" i="35"/>
  <c r="M18" i="36"/>
  <c r="M33" i="36" s="1"/>
  <c r="B15" i="35"/>
  <c r="M15" i="36"/>
  <c r="M30" i="36" s="1"/>
  <c r="M30" i="35"/>
  <c r="G49" i="36"/>
  <c r="M12" i="35"/>
  <c r="M14" i="35"/>
  <c r="B12" i="35" l="1"/>
  <c r="M12" i="36"/>
  <c r="M27" i="36" s="1"/>
  <c r="M27" i="35"/>
  <c r="B14" i="35"/>
  <c r="M14" i="36"/>
  <c r="M29" i="36" s="1"/>
  <c r="M29" i="35"/>
  <c r="G50" i="36"/>
  <c r="M13" i="35"/>
  <c r="B13" i="35" l="1"/>
  <c r="M13" i="36"/>
  <c r="M28" i="36" s="1"/>
  <c r="M28" i="35"/>
  <c r="G52" i="36"/>
  <c r="G51" i="36"/>
  <c r="B20" i="36" l="1"/>
  <c r="B21" i="36"/>
  <c r="B18" i="36"/>
  <c r="B19" i="36"/>
  <c r="L64" i="36" l="1"/>
  <c r="L65" i="36"/>
  <c r="L67" i="36"/>
  <c r="K66" i="36"/>
  <c r="H65" i="36" l="1"/>
  <c r="K65" i="36"/>
  <c r="J65" i="36"/>
  <c r="E65" i="36"/>
  <c r="J64" i="36"/>
  <c r="E64" i="36"/>
  <c r="K64" i="36"/>
  <c r="H66" i="36"/>
  <c r="H64" i="36"/>
  <c r="E66" i="36"/>
  <c r="D64" i="36"/>
  <c r="F64" i="36"/>
  <c r="G64" i="36"/>
  <c r="I64" i="36"/>
  <c r="D65" i="36"/>
  <c r="F65" i="36"/>
  <c r="G65" i="36"/>
  <c r="I65" i="36"/>
  <c r="L66" i="36"/>
  <c r="J66" i="36"/>
  <c r="D66" i="36"/>
  <c r="F66" i="36"/>
  <c r="G66" i="36"/>
  <c r="I66" i="36"/>
  <c r="F67" i="36"/>
  <c r="G67" i="36"/>
  <c r="I67" i="36"/>
  <c r="K67" i="36"/>
  <c r="E67" i="36"/>
  <c r="H67" i="36"/>
  <c r="J67" i="36"/>
  <c r="D67" i="36" l="1"/>
  <c r="B64" i="36"/>
  <c r="B65" i="36"/>
  <c r="B66" i="36"/>
  <c r="I62" i="35"/>
  <c r="H62" i="35"/>
  <c r="F62" i="35"/>
  <c r="D62" i="35"/>
  <c r="K63" i="35"/>
  <c r="I63" i="35"/>
  <c r="H63" i="35"/>
  <c r="F63" i="35"/>
  <c r="D63" i="35"/>
  <c r="L61" i="35"/>
  <c r="J61" i="35"/>
  <c r="G61" i="35"/>
  <c r="E61" i="35"/>
  <c r="L62" i="35"/>
  <c r="J62" i="35"/>
  <c r="G62" i="35"/>
  <c r="E62" i="35"/>
  <c r="L63" i="35"/>
  <c r="J63" i="35"/>
  <c r="G63" i="35"/>
  <c r="E63" i="35"/>
  <c r="K61" i="35"/>
  <c r="I61" i="35"/>
  <c r="H61" i="35"/>
  <c r="F61" i="35"/>
  <c r="D61" i="35"/>
  <c r="K62" i="35"/>
  <c r="G61" i="36" l="1"/>
  <c r="K61" i="36"/>
  <c r="H63" i="36"/>
  <c r="L63" i="36"/>
  <c r="H62" i="36"/>
  <c r="L62" i="36"/>
  <c r="H61" i="36"/>
  <c r="L61" i="36"/>
  <c r="F63" i="36"/>
  <c r="I63" i="36"/>
  <c r="G62" i="36"/>
  <c r="K62" i="36"/>
  <c r="F61" i="36"/>
  <c r="I61" i="36"/>
  <c r="E63" i="36"/>
  <c r="J63" i="36"/>
  <c r="E62" i="36"/>
  <c r="J62" i="36"/>
  <c r="E61" i="36"/>
  <c r="J61" i="36"/>
  <c r="G63" i="36"/>
  <c r="K63" i="36"/>
  <c r="F62" i="36"/>
  <c r="I62" i="36"/>
  <c r="D60" i="36"/>
  <c r="D61" i="36"/>
  <c r="D62" i="36"/>
  <c r="D63" i="36"/>
  <c r="B61" i="35"/>
  <c r="B62" i="35"/>
  <c r="B63" i="35"/>
  <c r="F18" i="34" s="1"/>
  <c r="E18" i="34" s="1"/>
  <c r="L60" i="36"/>
  <c r="E60" i="36"/>
  <c r="K60" i="36"/>
  <c r="I60" i="36"/>
  <c r="G60" i="36"/>
  <c r="F60" i="36"/>
  <c r="J60" i="36"/>
  <c r="H60" i="36"/>
  <c r="K60" i="35"/>
  <c r="K66" i="35"/>
  <c r="K65" i="35"/>
  <c r="K64" i="35"/>
  <c r="K67" i="35"/>
  <c r="I60" i="35"/>
  <c r="I66" i="35"/>
  <c r="I65" i="35"/>
  <c r="I64" i="35"/>
  <c r="I67" i="35"/>
  <c r="H60" i="35"/>
  <c r="H67" i="35"/>
  <c r="H66" i="35"/>
  <c r="H65" i="35"/>
  <c r="H64" i="35"/>
  <c r="F60" i="35"/>
  <c r="F67" i="35"/>
  <c r="F66" i="35"/>
  <c r="F65" i="35"/>
  <c r="F64" i="35"/>
  <c r="D60" i="35"/>
  <c r="D67" i="35"/>
  <c r="D66" i="35"/>
  <c r="D65" i="35"/>
  <c r="D64" i="35"/>
  <c r="L60" i="35"/>
  <c r="L67" i="35"/>
  <c r="L66" i="35"/>
  <c r="L65" i="35"/>
  <c r="L64" i="35"/>
  <c r="J60" i="35"/>
  <c r="J67" i="35"/>
  <c r="J66" i="35"/>
  <c r="J65" i="35"/>
  <c r="J64" i="35"/>
  <c r="G60" i="35"/>
  <c r="G67" i="35"/>
  <c r="G66" i="35"/>
  <c r="G65" i="35"/>
  <c r="G64" i="35"/>
  <c r="E60" i="35"/>
  <c r="E67" i="35"/>
  <c r="E66" i="35"/>
  <c r="E65" i="35"/>
  <c r="E64" i="35"/>
  <c r="B63" i="36" l="1"/>
  <c r="F40" i="34" s="1"/>
  <c r="E40" i="34" s="1"/>
  <c r="B62" i="36"/>
  <c r="F39" i="34" s="1"/>
  <c r="B61" i="36"/>
  <c r="F38" i="34" s="1"/>
  <c r="E38" i="34" s="1"/>
  <c r="F17" i="34"/>
  <c r="F16" i="34"/>
  <c r="E16" i="34" s="1"/>
  <c r="B15" i="36"/>
  <c r="B16" i="36"/>
  <c r="B17" i="36"/>
  <c r="B67" i="35"/>
  <c r="F22" i="34" s="1"/>
  <c r="B60" i="35"/>
  <c r="B66" i="35"/>
  <c r="F21" i="34" s="1"/>
  <c r="B64" i="35"/>
  <c r="F19" i="34" s="1"/>
  <c r="B65" i="35"/>
  <c r="F20" i="34" s="1"/>
  <c r="B60" i="36"/>
  <c r="F37" i="34" s="1"/>
  <c r="E37" i="34" s="1"/>
  <c r="E59" i="35"/>
  <c r="E57" i="35"/>
  <c r="G58" i="35"/>
  <c r="G25" i="35"/>
  <c r="G56" i="35" s="1"/>
  <c r="J58" i="35"/>
  <c r="J25" i="35"/>
  <c r="J56" i="35" s="1"/>
  <c r="L59" i="35"/>
  <c r="L57" i="35"/>
  <c r="D59" i="35"/>
  <c r="D57" i="35"/>
  <c r="F25" i="35"/>
  <c r="F56" i="35" s="1"/>
  <c r="F58" i="35"/>
  <c r="H59" i="35"/>
  <c r="H57" i="35"/>
  <c r="I58" i="35"/>
  <c r="K25" i="35"/>
  <c r="K56" i="35" s="1"/>
  <c r="K59" i="35"/>
  <c r="K57" i="35"/>
  <c r="E58" i="35"/>
  <c r="E25" i="35"/>
  <c r="E56" i="35" s="1"/>
  <c r="G59" i="35"/>
  <c r="G57" i="35"/>
  <c r="J59" i="35"/>
  <c r="J57" i="35"/>
  <c r="L58" i="35"/>
  <c r="L25" i="35"/>
  <c r="L56" i="35" s="1"/>
  <c r="D25" i="35"/>
  <c r="D58" i="35"/>
  <c r="F59" i="35"/>
  <c r="F57" i="35"/>
  <c r="H25" i="35"/>
  <c r="H56" i="35" s="1"/>
  <c r="H58" i="35"/>
  <c r="I25" i="35"/>
  <c r="I56" i="35" s="1"/>
  <c r="I57" i="35"/>
  <c r="K58" i="35"/>
  <c r="K35" i="34"/>
  <c r="K34" i="34"/>
  <c r="K13" i="34"/>
  <c r="K14" i="34"/>
  <c r="K36" i="34"/>
  <c r="K15" i="34"/>
  <c r="C23" i="34"/>
  <c r="C45" i="34"/>
  <c r="K37" i="34"/>
  <c r="K38" i="34"/>
  <c r="K39" i="34"/>
  <c r="G18" i="34"/>
  <c r="K40" i="34"/>
  <c r="K41" i="34"/>
  <c r="K42" i="34"/>
  <c r="K43" i="34"/>
  <c r="K44" i="34"/>
  <c r="K12" i="34"/>
  <c r="K16" i="34"/>
  <c r="K17" i="34"/>
  <c r="K18" i="34"/>
  <c r="G22" i="34" l="1"/>
  <c r="E22" i="34"/>
  <c r="E21" i="34"/>
  <c r="G21" i="34"/>
  <c r="E19" i="34"/>
  <c r="G19" i="34"/>
  <c r="G20" i="34"/>
  <c r="E20" i="34"/>
  <c r="E39" i="34"/>
  <c r="E17" i="34"/>
  <c r="F25" i="34"/>
  <c r="E28" i="40" s="1"/>
  <c r="D56" i="35"/>
  <c r="G39" i="34"/>
  <c r="F57" i="36"/>
  <c r="J57" i="36"/>
  <c r="H57" i="36"/>
  <c r="K57" i="36"/>
  <c r="G57" i="36"/>
  <c r="L57" i="36"/>
  <c r="E57" i="36"/>
  <c r="I57" i="36"/>
  <c r="G38" i="34"/>
  <c r="G40" i="34"/>
  <c r="G16" i="34"/>
  <c r="K58" i="36"/>
  <c r="I59" i="36"/>
  <c r="G58" i="36"/>
  <c r="F59" i="36"/>
  <c r="J59" i="36"/>
  <c r="E58" i="36"/>
  <c r="K59" i="36"/>
  <c r="I58" i="36"/>
  <c r="L59" i="36"/>
  <c r="J58" i="36"/>
  <c r="H58" i="36"/>
  <c r="E59" i="36"/>
  <c r="G17" i="34"/>
  <c r="F15" i="34"/>
  <c r="E15" i="34" s="1"/>
  <c r="D58" i="36"/>
  <c r="D59" i="36"/>
  <c r="B14" i="36"/>
  <c r="B58" i="35"/>
  <c r="F13" i="34" s="1"/>
  <c r="B57" i="35"/>
  <c r="F12" i="34" s="1"/>
  <c r="I59" i="35"/>
  <c r="B59" i="35" s="1"/>
  <c r="F14" i="34" s="1"/>
  <c r="E68" i="35"/>
  <c r="E37" i="35"/>
  <c r="G37" i="34"/>
  <c r="D57" i="36"/>
  <c r="M25" i="35"/>
  <c r="I37" i="35"/>
  <c r="H68" i="35"/>
  <c r="H37" i="35"/>
  <c r="D37" i="35"/>
  <c r="L68" i="35"/>
  <c r="L37" i="35"/>
  <c r="K68" i="35"/>
  <c r="K37" i="35"/>
  <c r="F68" i="35"/>
  <c r="F37" i="35"/>
  <c r="J68" i="35"/>
  <c r="J37" i="35"/>
  <c r="G68" i="35"/>
  <c r="G37" i="35"/>
  <c r="L30" i="40" l="1"/>
  <c r="D13" i="40" s="1"/>
  <c r="E13" i="40" s="1"/>
  <c r="E14" i="40" s="1"/>
  <c r="F30" i="40"/>
  <c r="J70" i="35"/>
  <c r="I21" i="39" s="1"/>
  <c r="K70" i="35"/>
  <c r="J21" i="39" s="1"/>
  <c r="E70" i="35"/>
  <c r="D21" i="39" s="1"/>
  <c r="G70" i="35"/>
  <c r="G21" i="39" s="1"/>
  <c r="F70" i="35"/>
  <c r="E21" i="39" s="1"/>
  <c r="H70" i="35"/>
  <c r="F21" i="39" s="1"/>
  <c r="L70" i="35"/>
  <c r="K21" i="39" s="1"/>
  <c r="K11" i="34"/>
  <c r="D23" i="34"/>
  <c r="K23" i="34" s="1"/>
  <c r="B57" i="36"/>
  <c r="F34" i="34" s="1"/>
  <c r="E34" i="34" s="1"/>
  <c r="E12" i="34"/>
  <c r="G12" i="34"/>
  <c r="G59" i="36"/>
  <c r="H59" i="36"/>
  <c r="L58" i="36"/>
  <c r="F58" i="36"/>
  <c r="G15" i="34"/>
  <c r="B10" i="36"/>
  <c r="B11" i="36"/>
  <c r="B12" i="36"/>
  <c r="I68" i="35"/>
  <c r="B13" i="36"/>
  <c r="E14" i="34"/>
  <c r="G14" i="34"/>
  <c r="D68" i="35"/>
  <c r="D70" i="35" s="1"/>
  <c r="C21" i="39" s="1"/>
  <c r="M37" i="35"/>
  <c r="E13" i="34"/>
  <c r="G13" i="34"/>
  <c r="B56" i="35"/>
  <c r="F11" i="34" s="1"/>
  <c r="E11" i="34" s="1"/>
  <c r="I70" i="35" l="1"/>
  <c r="H21" i="39" s="1"/>
  <c r="G34" i="34"/>
  <c r="B59" i="36"/>
  <c r="F36" i="34" s="1"/>
  <c r="E36" i="34" s="1"/>
  <c r="B58" i="36"/>
  <c r="F35" i="34" s="1"/>
  <c r="G35" i="34" s="1"/>
  <c r="G11" i="34"/>
  <c r="G36" i="34" l="1"/>
  <c r="E35" i="34"/>
  <c r="B68" i="35" l="1"/>
  <c r="AJ30" i="40" s="1"/>
  <c r="AB13" i="40" l="1"/>
  <c r="W11" i="40" s="1"/>
  <c r="B67" i="36"/>
  <c r="AC13" i="40" l="1"/>
  <c r="AC14" i="40" s="1"/>
  <c r="F44" i="34"/>
  <c r="E44" i="34" l="1"/>
  <c r="G44" i="34"/>
  <c r="E43" i="34" l="1"/>
  <c r="E42" i="34"/>
  <c r="F42" i="34" s="1"/>
  <c r="E41" i="34"/>
  <c r="F41" i="34" s="1"/>
  <c r="G42" i="34" l="1"/>
  <c r="F23" i="34"/>
  <c r="E16" i="40" s="1"/>
  <c r="E22" i="40" s="1"/>
  <c r="F26" i="40" s="1"/>
  <c r="F32" i="40" s="1"/>
  <c r="G41" i="34"/>
  <c r="F43" i="34"/>
  <c r="G43" i="34" s="1"/>
  <c r="F47" i="34" l="1"/>
  <c r="Q28" i="40"/>
  <c r="R30" i="40" s="1"/>
  <c r="K13" i="40" s="1"/>
  <c r="W28" i="40"/>
  <c r="X30" i="40" s="1"/>
  <c r="P13" i="40" s="1"/>
  <c r="AI22" i="40"/>
  <c r="AJ26" i="40" s="1"/>
  <c r="AJ32" i="40" s="1"/>
  <c r="E23" i="34"/>
  <c r="G23" i="34"/>
  <c r="L59" i="40" l="1"/>
  <c r="D42" i="40" s="1"/>
  <c r="E42" i="40" s="1"/>
  <c r="E43" i="40" s="1"/>
  <c r="E57" i="40"/>
  <c r="F59" i="40" s="1"/>
  <c r="Q13" i="40"/>
  <c r="Q14" i="40" s="1"/>
  <c r="Q22" i="40" s="1"/>
  <c r="R26" i="40" s="1"/>
  <c r="R32" i="40" s="1"/>
  <c r="H11" i="34" s="1"/>
  <c r="K11" i="40"/>
  <c r="K14" i="40" s="1"/>
  <c r="K22" i="40" s="1"/>
  <c r="L26" i="40" s="1"/>
  <c r="L32" i="40" s="1"/>
  <c r="H13" i="34" s="1"/>
  <c r="Q57" i="40"/>
  <c r="R59" i="40" s="1"/>
  <c r="K42" i="40" s="1"/>
  <c r="W57" i="40"/>
  <c r="X59" i="40" s="1"/>
  <c r="P42" i="40" s="1"/>
  <c r="AC57" i="40"/>
  <c r="AD59" i="40" s="1"/>
  <c r="W42" i="40" s="1"/>
  <c r="AC28" i="40"/>
  <c r="AD30" i="40" s="1"/>
  <c r="W13" i="40" s="1"/>
  <c r="W14" i="40" s="1"/>
  <c r="W22" i="40" s="1"/>
  <c r="X26" i="40" s="1"/>
  <c r="X32" i="40" s="1"/>
  <c r="AC22" i="40"/>
  <c r="AD26" i="40" s="1"/>
  <c r="AI51" i="40"/>
  <c r="AJ55" i="40" s="1"/>
  <c r="H14" i="34" l="1"/>
  <c r="I13" i="34"/>
  <c r="H12" i="34"/>
  <c r="I12" i="34" s="1"/>
  <c r="I11" i="34"/>
  <c r="Q42" i="40"/>
  <c r="Q43" i="40" s="1"/>
  <c r="Q51" i="40" s="1"/>
  <c r="R55" i="40" s="1"/>
  <c r="R61" i="40" s="1"/>
  <c r="H33" i="34" s="1"/>
  <c r="K40" i="40"/>
  <c r="K43" i="40" s="1"/>
  <c r="K51" i="40" s="1"/>
  <c r="L55" i="40" s="1"/>
  <c r="L61" i="40" s="1"/>
  <c r="H35" i="34" s="1"/>
  <c r="AD32" i="40"/>
  <c r="AJ59" i="40"/>
  <c r="AB42" i="40" s="1"/>
  <c r="E37" i="36"/>
  <c r="D25" i="36"/>
  <c r="D56" i="36" s="1"/>
  <c r="D68" i="36" s="1"/>
  <c r="B37" i="36"/>
  <c r="G25" i="36"/>
  <c r="G56" i="36" s="1"/>
  <c r="G68" i="36" s="1"/>
  <c r="L25" i="36"/>
  <c r="L37" i="36" s="1"/>
  <c r="H25" i="36"/>
  <c r="H37" i="36" s="1"/>
  <c r="H56" i="36"/>
  <c r="H68" i="36" s="1"/>
  <c r="E25" i="36"/>
  <c r="E56" i="36" s="1"/>
  <c r="E68" i="36" s="1"/>
  <c r="K25" i="36"/>
  <c r="K37" i="36" s="1"/>
  <c r="K56" i="36"/>
  <c r="K68" i="36" s="1"/>
  <c r="M25" i="36"/>
  <c r="M37" i="36" s="1"/>
  <c r="F25" i="36"/>
  <c r="F56" i="36" s="1"/>
  <c r="F68" i="36" s="1"/>
  <c r="J25" i="36"/>
  <c r="J37" i="36" s="1"/>
  <c r="I25" i="36"/>
  <c r="I37" i="36" s="1"/>
  <c r="D45" i="34"/>
  <c r="K45" i="34" s="1"/>
  <c r="C25" i="36"/>
  <c r="C37" i="36" s="1"/>
  <c r="H36" i="34" l="1"/>
  <c r="I35" i="34"/>
  <c r="H34" i="34"/>
  <c r="I34" i="34" s="1"/>
  <c r="I33" i="34"/>
  <c r="W40" i="40"/>
  <c r="W43" i="40" s="1"/>
  <c r="W51" i="40" s="1"/>
  <c r="X55" i="40" s="1"/>
  <c r="X61" i="40" s="1"/>
  <c r="AC42" i="40"/>
  <c r="AC43" i="40" s="1"/>
  <c r="AC51" i="40" s="1"/>
  <c r="AD55" i="40" s="1"/>
  <c r="AD61" i="40" s="1"/>
  <c r="AJ61" i="40"/>
  <c r="H15" i="34"/>
  <c r="I14" i="34"/>
  <c r="C56" i="36"/>
  <c r="C68" i="36" s="1"/>
  <c r="I56" i="36"/>
  <c r="I68" i="36" s="1"/>
  <c r="K33" i="34"/>
  <c r="J56" i="36"/>
  <c r="J68" i="36" s="1"/>
  <c r="F37" i="36"/>
  <c r="L56" i="36"/>
  <c r="L68" i="36" s="1"/>
  <c r="G37" i="36"/>
  <c r="D37" i="36"/>
  <c r="H16" i="34" l="1"/>
  <c r="I15" i="34"/>
  <c r="H37" i="34"/>
  <c r="I36" i="34"/>
  <c r="B56" i="36"/>
  <c r="H17" i="34" l="1"/>
  <c r="I16" i="34"/>
  <c r="H38" i="34"/>
  <c r="I37" i="34"/>
  <c r="B68" i="36"/>
  <c r="F33" i="34"/>
  <c r="H18" i="34" l="1"/>
  <c r="I17" i="34"/>
  <c r="H39" i="34"/>
  <c r="I38" i="34"/>
  <c r="E33" i="34"/>
  <c r="E45" i="34" s="1"/>
  <c r="G33" i="34"/>
  <c r="F45" i="34"/>
  <c r="H40" i="34" l="1"/>
  <c r="I39" i="34"/>
  <c r="H19" i="34"/>
  <c r="I18" i="34"/>
  <c r="G45" i="34"/>
  <c r="E45" i="40"/>
  <c r="E51" i="40" s="1"/>
  <c r="F55" i="40" s="1"/>
  <c r="F61" i="40" s="1"/>
  <c r="I19" i="34" l="1"/>
  <c r="H20" i="34"/>
  <c r="H41" i="34"/>
  <c r="I40" i="34"/>
  <c r="H42" i="34" l="1"/>
  <c r="I41" i="34"/>
  <c r="I20" i="34"/>
  <c r="H21" i="34"/>
  <c r="H22" i="34" l="1"/>
  <c r="I22" i="34" s="1"/>
  <c r="I21" i="34"/>
  <c r="H43" i="34"/>
  <c r="I42" i="34"/>
  <c r="H44" i="34" l="1"/>
  <c r="I44" i="34" s="1"/>
  <c r="I43" i="34"/>
  <c r="I23" i="34"/>
  <c r="H23" i="34" s="1"/>
  <c r="I45" i="34" l="1"/>
  <c r="H45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WMI-USER</author>
  </authors>
  <commentList>
    <comment ref="K7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$0/ton….value pays for outbound freight.
</t>
        </r>
      </text>
    </comment>
  </commentList>
</comments>
</file>

<file path=xl/sharedStrings.xml><?xml version="1.0" encoding="utf-8"?>
<sst xmlns="http://schemas.openxmlformats.org/spreadsheetml/2006/main" count="648" uniqueCount="140">
  <si>
    <t>Tons</t>
  </si>
  <si>
    <t>UBC</t>
  </si>
  <si>
    <t>HDPE</t>
  </si>
  <si>
    <t>PET</t>
  </si>
  <si>
    <t>Glass</t>
  </si>
  <si>
    <t>January</t>
  </si>
  <si>
    <t>February</t>
  </si>
  <si>
    <t>Revenue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</si>
  <si>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</si>
  <si>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</si>
  <si>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</si>
  <si>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</si>
  <si>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</si>
  <si>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</si>
  <si>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</si>
  <si>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</si>
  <si>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</si>
  <si>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</si>
  <si>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WM - Brem-Air</t>
  </si>
  <si>
    <t>Residential</t>
  </si>
  <si>
    <t>Multi-family</t>
  </si>
  <si>
    <t>Weighted</t>
  </si>
  <si>
    <t>Total</t>
  </si>
  <si>
    <t>Res'l</t>
  </si>
  <si>
    <t>MF</t>
  </si>
  <si>
    <t>Average</t>
  </si>
  <si>
    <t>Revenue/</t>
  </si>
  <si>
    <t>Credit/</t>
  </si>
  <si>
    <t>Credits</t>
  </si>
  <si>
    <t>lbs./</t>
  </si>
  <si>
    <t>Customers</t>
  </si>
  <si>
    <t>Rate/ton</t>
  </si>
  <si>
    <t>Customer</t>
  </si>
  <si>
    <t>Billed</t>
  </si>
  <si>
    <t>Unit</t>
  </si>
  <si>
    <t>Oct</t>
  </si>
  <si>
    <t>Nov</t>
  </si>
  <si>
    <t>Dec</t>
  </si>
  <si>
    <t>Feb</t>
  </si>
  <si>
    <t>Mar</t>
  </si>
  <si>
    <t>Apr</t>
  </si>
  <si>
    <t>Jun</t>
  </si>
  <si>
    <t>Jul</t>
  </si>
  <si>
    <t>Aug</t>
  </si>
  <si>
    <t>Prior 12 Months</t>
  </si>
  <si>
    <t>Jan</t>
  </si>
  <si>
    <t>Baled</t>
  </si>
  <si>
    <t>Steel Cans</t>
  </si>
  <si>
    <t>Mixed</t>
  </si>
  <si>
    <t>MP</t>
  </si>
  <si>
    <t>OCC</t>
  </si>
  <si>
    <t>Aluminum</t>
  </si>
  <si>
    <t>Tin</t>
  </si>
  <si>
    <t>Natural</t>
  </si>
  <si>
    <t>Colored</t>
  </si>
  <si>
    <t>Plastics</t>
  </si>
  <si>
    <t>SS Mix:</t>
  </si>
  <si>
    <t>Price/ton:</t>
  </si>
  <si>
    <t>Sep</t>
  </si>
  <si>
    <t>SS Tons</t>
  </si>
  <si>
    <t>Revenue:</t>
  </si>
  <si>
    <t>JMK</t>
  </si>
  <si>
    <t xml:space="preserve">Recycling </t>
  </si>
  <si>
    <t>Facility</t>
  </si>
  <si>
    <t>Brem-Air commodity adjustment</t>
  </si>
  <si>
    <t>Based on previous UTC Staff analyses</t>
  </si>
  <si>
    <t>Commodity</t>
  </si>
  <si>
    <t>Credit</t>
  </si>
  <si>
    <t>Sep - Oct projected value without adjustment factor</t>
  </si>
  <si>
    <t>Nov - Aug projected value without adjustment factor</t>
  </si>
  <si>
    <t>Actual Commodity Revenue (gross revenue from affiliated processor)</t>
  </si>
  <si>
    <t>Owe Customer (company)</t>
  </si>
  <si>
    <t>Total Customers</t>
  </si>
  <si>
    <t>Commodity Adjustment</t>
  </si>
  <si>
    <t>Projected Value</t>
  </si>
  <si>
    <t>Residential Commodity Adjustment</t>
  </si>
  <si>
    <t>Multi-family Commodity Adjustment</t>
  </si>
  <si>
    <t>Brem-Air Disposal</t>
  </si>
  <si>
    <t>WUTC Recycling Counts</t>
  </si>
  <si>
    <t>M/F</t>
  </si>
  <si>
    <t>Counts</t>
  </si>
  <si>
    <t>Units</t>
  </si>
  <si>
    <t>Average Count</t>
  </si>
  <si>
    <t>Projected Revenue Sep 2013-Aug 2014</t>
  </si>
  <si>
    <t>Month</t>
  </si>
  <si>
    <t>Passback Price/ton schedule</t>
  </si>
  <si>
    <t>ONP 6</t>
  </si>
  <si>
    <t>Mixed Paper</t>
  </si>
  <si>
    <t>Alum.</t>
  </si>
  <si>
    <t>Plastics 3-7</t>
  </si>
  <si>
    <t>Residue</t>
  </si>
  <si>
    <t>Summary of Single Stream Commodity Mix and Prices</t>
  </si>
  <si>
    <t>Residential Tonnage</t>
  </si>
  <si>
    <t>MF Tonnage</t>
  </si>
  <si>
    <t>WUTC</t>
  </si>
  <si>
    <t>Non -reg</t>
  </si>
  <si>
    <t>ONP</t>
  </si>
  <si>
    <t>%</t>
  </si>
  <si>
    <t>Reg.</t>
  </si>
  <si>
    <t>2014-2015</t>
  </si>
  <si>
    <t>Projected Revenue Sep 2014-Aug 2015</t>
  </si>
  <si>
    <t>2015-2016</t>
  </si>
  <si>
    <t>Newspaper</t>
  </si>
  <si>
    <t>Delivered</t>
  </si>
  <si>
    <t>Projected Revenue Sep 2015-Aug 2016</t>
  </si>
  <si>
    <t>Single</t>
  </si>
  <si>
    <t>Family</t>
  </si>
  <si>
    <t>Single Family</t>
  </si>
  <si>
    <t>Multi-Family</t>
  </si>
  <si>
    <t>Tonnage Delivered to JMK Recycling</t>
  </si>
  <si>
    <t>2016-2017</t>
  </si>
  <si>
    <t>Projected Revenue Sep 2016-Aug 2017</t>
  </si>
  <si>
    <t>2017-2018</t>
  </si>
  <si>
    <t>Projected Revenue Sep 2017-Aug 2018</t>
  </si>
  <si>
    <t>Weighted Average</t>
  </si>
  <si>
    <t>2018-2019</t>
  </si>
  <si>
    <t>Row Labels</t>
  </si>
  <si>
    <t>Rate</t>
  </si>
  <si>
    <t># of</t>
  </si>
  <si>
    <t>MF units</t>
  </si>
  <si>
    <t>Amounts</t>
  </si>
  <si>
    <t>45R</t>
  </si>
  <si>
    <t>BW1</t>
  </si>
  <si>
    <t>BW4</t>
  </si>
  <si>
    <t>BWM</t>
  </si>
  <si>
    <t>Projected Revenue Sep 2018-Aug 2019 (annualization of most recent six months)</t>
  </si>
  <si>
    <t>Billed Revenue</t>
  </si>
  <si>
    <t>Commodity Prices at JMK</t>
  </si>
  <si>
    <t>Calculation of the Number of MF Units</t>
  </si>
  <si>
    <t>Most Recent 6 months</t>
  </si>
  <si>
    <t>Sep., 2018</t>
  </si>
  <si>
    <t>Jan., 2019</t>
  </si>
  <si>
    <t>2019-2020</t>
  </si>
  <si>
    <t>September 2018 - August 2019</t>
  </si>
  <si>
    <t>Sep; 2018</t>
  </si>
  <si>
    <t>Jan; 2019</t>
  </si>
  <si>
    <t>Projected Revenue Sep 2018-Aug 2019</t>
  </si>
  <si>
    <t>Projected Revenue Sep 2019-Aug 2020 (annualization of most recent six months)</t>
  </si>
  <si>
    <t>Total Company</t>
  </si>
  <si>
    <t>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</si>
</sst>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0_);_(&quot;$&quot;* \(#,##0.0000\);_(&quot;$&quot;* &quot;-&quot;??_);_(@_)"/>
  </numFmts>
  <fonts count="3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u val="doubleAccounting"/>
      <sz val="10"/>
      <name val="Arial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sz val="9"/>
      <name val="Arial"/>
      <family val="2"/>
    </font>
    <font>
      <b/>
      <sz val="11"/>
      <name val="Comic Sans MS"/>
      <family val="4"/>
    </font>
    <font>
      <sz val="12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 val="double"/>
      <sz val="12"/>
      <name val="Arial"/>
      <family val="2"/>
    </font>
    <font>
      <u/>
      <sz val="10"/>
      <name val="Arial"/>
      <family val="2"/>
    </font>
    <font>
      <b/>
      <sz val="9"/>
      <color theme="1"/>
      <name val="Arial"/>
      <family val="2"/>
    </font>
    <font>
      <b/>
      <u val="double"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1" applyNumberFormat="0" applyFill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9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6" fillId="0" borderId="0" xfId="0" applyFont="1" applyAlignment="1" applyProtection="1">
      <alignment horizontal="center"/>
    </xf>
    <xf numFmtId="0" fontId="11" fillId="0" borderId="0" xfId="0" applyFont="1" applyProtection="1"/>
    <xf numFmtId="0" fontId="1" fillId="0" borderId="0" xfId="0" applyFont="1" applyProtection="1"/>
    <xf numFmtId="164" fontId="1" fillId="0" borderId="0" xfId="2" applyNumberFormat="1" applyFont="1"/>
    <xf numFmtId="43" fontId="0" fillId="0" borderId="0" xfId="0" applyNumberFormat="1"/>
    <xf numFmtId="44" fontId="0" fillId="0" borderId="0" xfId="3" applyFont="1"/>
    <xf numFmtId="165" fontId="1" fillId="0" borderId="0" xfId="3" applyNumberFormat="1" applyFont="1" applyBorder="1" applyAlignment="1" applyProtection="1">
      <alignment horizontal="center"/>
    </xf>
    <xf numFmtId="165" fontId="0" fillId="0" borderId="0" xfId="3" applyNumberFormat="1" applyFont="1"/>
    <xf numFmtId="43" fontId="0" fillId="0" borderId="0" xfId="2" applyFont="1"/>
    <xf numFmtId="44" fontId="1" fillId="0" borderId="0" xfId="3" applyFont="1"/>
    <xf numFmtId="164" fontId="12" fillId="0" borderId="0" xfId="2" applyNumberFormat="1" applyFont="1"/>
    <xf numFmtId="43" fontId="12" fillId="0" borderId="0" xfId="0" applyNumberFormat="1" applyFont="1"/>
    <xf numFmtId="44" fontId="12" fillId="0" borderId="0" xfId="3" applyFont="1"/>
    <xf numFmtId="165" fontId="12" fillId="0" borderId="0" xfId="3" applyNumberFormat="1" applyFont="1" applyBorder="1" applyAlignment="1" applyProtection="1">
      <alignment horizontal="center"/>
    </xf>
    <xf numFmtId="165" fontId="12" fillId="0" borderId="0" xfId="3" applyNumberFormat="1" applyFont="1"/>
    <xf numFmtId="43" fontId="12" fillId="0" borderId="0" xfId="2" applyFont="1"/>
    <xf numFmtId="0" fontId="12" fillId="0" borderId="0" xfId="0" applyFont="1"/>
    <xf numFmtId="164" fontId="13" fillId="0" borderId="0" xfId="0" applyNumberFormat="1" applyFont="1"/>
    <xf numFmtId="43" fontId="13" fillId="0" borderId="0" xfId="0" applyNumberFormat="1" applyFont="1"/>
    <xf numFmtId="44" fontId="13" fillId="0" borderId="0" xfId="0" applyNumberFormat="1" applyFont="1" applyProtection="1"/>
    <xf numFmtId="165" fontId="13" fillId="0" borderId="0" xfId="3" applyNumberFormat="1" applyFont="1" applyProtection="1"/>
    <xf numFmtId="44" fontId="13" fillId="0" borderId="0" xfId="3" applyFont="1"/>
    <xf numFmtId="0" fontId="14" fillId="0" borderId="0" xfId="0" applyFont="1"/>
    <xf numFmtId="43" fontId="13" fillId="0" borderId="0" xfId="2" applyFont="1"/>
    <xf numFmtId="0" fontId="13" fillId="0" borderId="0" xfId="0" applyFont="1"/>
    <xf numFmtId="44" fontId="0" fillId="0" borderId="0" xfId="0" applyNumberFormat="1"/>
    <xf numFmtId="165" fontId="13" fillId="0" borderId="0" xfId="0" applyNumberFormat="1" applyFont="1"/>
    <xf numFmtId="0" fontId="1" fillId="0" borderId="0" xfId="4"/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0" fontId="0" fillId="0" borderId="0" xfId="0" applyNumberFormat="1"/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164" fontId="23" fillId="0" borderId="0" xfId="2" applyNumberFormat="1" applyFont="1"/>
    <xf numFmtId="164" fontId="24" fillId="0" borderId="0" xfId="2" applyNumberFormat="1" applyFont="1"/>
    <xf numFmtId="164" fontId="25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center"/>
    </xf>
    <xf numFmtId="0" fontId="5" fillId="2" borderId="14" xfId="0" applyFont="1" applyFill="1" applyBorder="1"/>
    <xf numFmtId="0" fontId="0" fillId="2" borderId="14" xfId="0" applyFill="1" applyBorder="1"/>
    <xf numFmtId="0" fontId="5" fillId="2" borderId="14" xfId="0" applyFont="1" applyFill="1" applyBorder="1" applyAlignment="1">
      <alignment horizontal="center"/>
    </xf>
    <xf numFmtId="0" fontId="0" fillId="0" borderId="14" xfId="0" applyBorder="1"/>
    <xf numFmtId="0" fontId="5" fillId="2" borderId="14" xfId="0" applyFont="1" applyFill="1" applyBorder="1" applyAlignment="1" applyProtection="1">
      <alignment horizontal="center"/>
    </xf>
    <xf numFmtId="0" fontId="0" fillId="0" borderId="14" xfId="0" applyFill="1" applyBorder="1"/>
    <xf numFmtId="0" fontId="3" fillId="0" borderId="14" xfId="0" applyFont="1" applyFill="1" applyBorder="1"/>
    <xf numFmtId="10" fontId="0" fillId="0" borderId="0" xfId="5" applyNumberFormat="1" applyFont="1"/>
    <xf numFmtId="0" fontId="6" fillId="0" borderId="0" xfId="4" applyFont="1" applyFill="1" applyAlignment="1">
      <alignment horizontal="center"/>
    </xf>
    <xf numFmtId="0" fontId="11" fillId="0" borderId="0" xfId="0" applyFont="1" applyAlignment="1">
      <alignment horizontal="center"/>
    </xf>
    <xf numFmtId="10" fontId="1" fillId="0" borderId="0" xfId="5" applyNumberFormat="1" applyFont="1" applyAlignment="1">
      <alignment horizontal="right"/>
    </xf>
    <xf numFmtId="10" fontId="1" fillId="0" borderId="0" xfId="4" applyNumberFormat="1" applyFont="1" applyAlignment="1">
      <alignment horizontal="right"/>
    </xf>
    <xf numFmtId="10" fontId="1" fillId="0" borderId="0" xfId="5" applyNumberFormat="1" applyFont="1"/>
    <xf numFmtId="44" fontId="5" fillId="0" borderId="14" xfId="0" applyNumberFormat="1" applyFont="1" applyBorder="1"/>
    <xf numFmtId="0" fontId="1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44" fontId="1" fillId="0" borderId="0" xfId="0" applyNumberFormat="1" applyFont="1"/>
    <xf numFmtId="2" fontId="0" fillId="0" borderId="0" xfId="0" applyNumberFormat="1"/>
    <xf numFmtId="9" fontId="0" fillId="0" borderId="0" xfId="5" applyFont="1"/>
    <xf numFmtId="10" fontId="1" fillId="0" borderId="0" xfId="0" applyNumberFormat="1" applyFont="1"/>
    <xf numFmtId="2" fontId="30" fillId="0" borderId="0" xfId="0" applyNumberFormat="1" applyFont="1"/>
    <xf numFmtId="0" fontId="15" fillId="3" borderId="4" xfId="0" applyFont="1" applyFill="1" applyBorder="1"/>
    <xf numFmtId="0" fontId="15" fillId="3" borderId="5" xfId="0" applyFont="1" applyFill="1" applyBorder="1"/>
    <xf numFmtId="0" fontId="0" fillId="3" borderId="5" xfId="0" applyFill="1" applyBorder="1"/>
    <xf numFmtId="0" fontId="5" fillId="3" borderId="7" xfId="0" applyFont="1" applyFill="1" applyBorder="1"/>
    <xf numFmtId="0" fontId="5" fillId="3" borderId="0" xfId="0" applyFont="1" applyFill="1" applyBorder="1"/>
    <xf numFmtId="0" fontId="16" fillId="3" borderId="0" xfId="0" applyFont="1" applyFill="1" applyBorder="1"/>
    <xf numFmtId="0" fontId="0" fillId="3" borderId="0" xfId="0" applyFill="1" applyBorder="1"/>
    <xf numFmtId="15" fontId="5" fillId="3" borderId="7" xfId="0" applyNumberFormat="1" applyFont="1" applyFill="1" applyBorder="1"/>
    <xf numFmtId="15" fontId="5" fillId="3" borderId="0" xfId="0" applyNumberFormat="1" applyFont="1" applyFill="1" applyBorder="1"/>
    <xf numFmtId="0" fontId="0" fillId="3" borderId="7" xfId="0" applyFill="1" applyBorder="1"/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9" fillId="3" borderId="9" xfId="0" applyFont="1" applyFill="1" applyBorder="1"/>
    <xf numFmtId="0" fontId="19" fillId="3" borderId="0" xfId="0" applyFont="1" applyFill="1" applyBorder="1"/>
    <xf numFmtId="0" fontId="0" fillId="3" borderId="0" xfId="0" applyFill="1" applyBorder="1" applyAlignment="1">
      <alignment horizontal="center"/>
    </xf>
    <xf numFmtId="0" fontId="1" fillId="3" borderId="7" xfId="0" applyFont="1" applyFill="1" applyBorder="1"/>
    <xf numFmtId="41" fontId="0" fillId="3" borderId="0" xfId="0" applyNumberFormat="1" applyFill="1" applyBorder="1"/>
    <xf numFmtId="44" fontId="20" fillId="3" borderId="0" xfId="3" applyFont="1" applyFill="1" applyBorder="1"/>
    <xf numFmtId="0" fontId="21" fillId="3" borderId="0" xfId="0" applyFont="1" applyFill="1" applyBorder="1"/>
    <xf numFmtId="41" fontId="12" fillId="3" borderId="0" xfId="0" applyNumberFormat="1" applyFont="1" applyFill="1" applyBorder="1"/>
    <xf numFmtId="41" fontId="5" fillId="3" borderId="0" xfId="0" applyNumberFormat="1" applyFont="1" applyFill="1" applyBorder="1"/>
    <xf numFmtId="164" fontId="0" fillId="3" borderId="0" xfId="0" applyNumberFormat="1" applyFill="1" applyBorder="1"/>
    <xf numFmtId="0" fontId="1" fillId="3" borderId="7" xfId="0" applyFont="1" applyFill="1" applyBorder="1" applyAlignment="1">
      <alignment horizontal="right"/>
    </xf>
    <xf numFmtId="44" fontId="1" fillId="3" borderId="0" xfId="3" applyFont="1" applyFill="1" applyBorder="1"/>
    <xf numFmtId="44" fontId="12" fillId="3" borderId="0" xfId="3" applyNumberFormat="1" applyFont="1" applyFill="1" applyBorder="1"/>
    <xf numFmtId="44" fontId="22" fillId="3" borderId="3" xfId="3" applyNumberFormat="1" applyFont="1" applyFill="1" applyBorder="1"/>
    <xf numFmtId="44" fontId="22" fillId="3" borderId="0" xfId="3" applyNumberFormat="1" applyFont="1" applyFill="1" applyBorder="1"/>
    <xf numFmtId="0" fontId="5" fillId="3" borderId="2" xfId="0" applyFont="1" applyFill="1" applyBorder="1" applyAlignment="1">
      <alignment horizontal="center"/>
    </xf>
    <xf numFmtId="44" fontId="1" fillId="3" borderId="0" xfId="3" applyNumberFormat="1" applyFont="1" applyFill="1" applyBorder="1"/>
    <xf numFmtId="165" fontId="1" fillId="3" borderId="0" xfId="3" applyNumberFormat="1" applyFont="1" applyFill="1" applyBorder="1"/>
    <xf numFmtId="43" fontId="12" fillId="3" borderId="0" xfId="0" applyNumberFormat="1" applyFont="1" applyFill="1" applyBorder="1"/>
    <xf numFmtId="44" fontId="22" fillId="3" borderId="3" xfId="3" applyFont="1" applyFill="1" applyBorder="1"/>
    <xf numFmtId="44" fontId="22" fillId="3" borderId="0" xfId="3" applyFont="1" applyFill="1" applyBorder="1"/>
    <xf numFmtId="164" fontId="23" fillId="0" borderId="0" xfId="10" applyNumberFormat="1" applyFont="1"/>
    <xf numFmtId="0" fontId="2" fillId="0" borderId="0" xfId="0" applyFont="1" applyAlignment="1">
      <alignment horizontal="center"/>
    </xf>
    <xf numFmtId="0" fontId="15" fillId="4" borderId="4" xfId="0" applyFont="1" applyFill="1" applyBorder="1"/>
    <xf numFmtId="0" fontId="15" fillId="4" borderId="5" xfId="0" applyFont="1" applyFill="1" applyBorder="1"/>
    <xf numFmtId="0" fontId="0" fillId="4" borderId="5" xfId="0" applyFill="1" applyBorder="1"/>
    <xf numFmtId="0" fontId="5" fillId="4" borderId="7" xfId="0" applyFont="1" applyFill="1" applyBorder="1"/>
    <xf numFmtId="0" fontId="5" fillId="4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15" fontId="5" fillId="4" borderId="7" xfId="0" applyNumberFormat="1" applyFont="1" applyFill="1" applyBorder="1"/>
    <xf numFmtId="15" fontId="5" fillId="4" borderId="0" xfId="0" applyNumberFormat="1" applyFont="1" applyFill="1" applyBorder="1"/>
    <xf numFmtId="0" fontId="0" fillId="4" borderId="7" xfId="0" applyFill="1" applyBorder="1"/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9" fillId="4" borderId="9" xfId="0" applyFont="1" applyFill="1" applyBorder="1"/>
    <xf numFmtId="0" fontId="19" fillId="4" borderId="0" xfId="0" applyFont="1" applyFill="1" applyBorder="1"/>
    <xf numFmtId="0" fontId="0" fillId="4" borderId="0" xfId="0" applyFill="1" applyBorder="1" applyAlignment="1">
      <alignment horizontal="center"/>
    </xf>
    <xf numFmtId="0" fontId="1" fillId="4" borderId="7" xfId="0" applyFont="1" applyFill="1" applyBorder="1"/>
    <xf numFmtId="41" fontId="0" fillId="4" borderId="0" xfId="0" applyNumberFormat="1" applyFill="1" applyBorder="1"/>
    <xf numFmtId="44" fontId="20" fillId="4" borderId="0" xfId="3" applyFont="1" applyFill="1" applyBorder="1"/>
    <xf numFmtId="0" fontId="21" fillId="4" borderId="0" xfId="0" applyFont="1" applyFill="1" applyBorder="1"/>
    <xf numFmtId="41" fontId="12" fillId="4" borderId="0" xfId="0" applyNumberFormat="1" applyFont="1" applyFill="1" applyBorder="1"/>
    <xf numFmtId="41" fontId="5" fillId="4" borderId="0" xfId="0" applyNumberFormat="1" applyFont="1" applyFill="1" applyBorder="1"/>
    <xf numFmtId="164" fontId="0" fillId="4" borderId="0" xfId="0" applyNumberFormat="1" applyFill="1" applyBorder="1"/>
    <xf numFmtId="0" fontId="1" fillId="4" borderId="7" xfId="0" applyFont="1" applyFill="1" applyBorder="1" applyAlignment="1">
      <alignment horizontal="right"/>
    </xf>
    <xf numFmtId="44" fontId="1" fillId="4" borderId="0" xfId="3" applyFont="1" applyFill="1" applyBorder="1"/>
    <xf numFmtId="44" fontId="12" fillId="4" borderId="0" xfId="3" applyNumberFormat="1" applyFont="1" applyFill="1" applyBorder="1"/>
    <xf numFmtId="44" fontId="22" fillId="4" borderId="3" xfId="3" applyNumberFormat="1" applyFont="1" applyFill="1" applyBorder="1"/>
    <xf numFmtId="44" fontId="22" fillId="4" borderId="0" xfId="3" applyNumberFormat="1" applyFont="1" applyFill="1" applyBorder="1"/>
    <xf numFmtId="0" fontId="5" fillId="4" borderId="2" xfId="0" applyFont="1" applyFill="1" applyBorder="1" applyAlignment="1">
      <alignment horizontal="center"/>
    </xf>
    <xf numFmtId="44" fontId="1" fillId="4" borderId="0" xfId="3" applyNumberFormat="1" applyFont="1" applyFill="1" applyBorder="1"/>
    <xf numFmtId="165" fontId="1" fillId="4" borderId="0" xfId="3" applyNumberFormat="1" applyFont="1" applyFill="1" applyBorder="1"/>
    <xf numFmtId="43" fontId="12" fillId="4" borderId="0" xfId="0" applyNumberFormat="1" applyFont="1" applyFill="1" applyBorder="1"/>
    <xf numFmtId="44" fontId="22" fillId="4" borderId="3" xfId="3" applyFont="1" applyFill="1" applyBorder="1"/>
    <xf numFmtId="44" fontId="22" fillId="4" borderId="0" xfId="3" applyFont="1" applyFill="1" applyBorder="1"/>
    <xf numFmtId="10" fontId="1" fillId="0" borderId="0" xfId="5" applyNumberFormat="1" applyFont="1" applyFill="1" applyAlignment="1"/>
    <xf numFmtId="166" fontId="23" fillId="0" borderId="0" xfId="5" applyNumberFormat="1" applyFont="1"/>
    <xf numFmtId="166" fontId="29" fillId="0" borderId="0" xfId="5" applyNumberFormat="1" applyFont="1"/>
    <xf numFmtId="167" fontId="20" fillId="4" borderId="0" xfId="3" applyNumberFormat="1" applyFont="1" applyFill="1" applyBorder="1"/>
    <xf numFmtId="44" fontId="20" fillId="4" borderId="0" xfId="3" applyNumberFormat="1" applyFont="1" applyFill="1" applyBorder="1"/>
    <xf numFmtId="44" fontId="21" fillId="0" borderId="14" xfId="3" applyFont="1" applyFill="1" applyBorder="1" applyProtection="1">
      <protection locked="0"/>
    </xf>
    <xf numFmtId="166" fontId="24" fillId="0" borderId="0" xfId="5" applyNumberFormat="1" applyFont="1"/>
    <xf numFmtId="0" fontId="9" fillId="0" borderId="0" xfId="0" applyFont="1" applyAlignment="1"/>
    <xf numFmtId="0" fontId="0" fillId="0" borderId="0" xfId="0" applyAlignment="1"/>
    <xf numFmtId="0" fontId="10" fillId="0" borderId="0" xfId="0" applyFont="1" applyAlignment="1"/>
    <xf numFmtId="0" fontId="1" fillId="0" borderId="0" xfId="0" quotePrefix="1" applyFont="1" applyAlignment="1"/>
    <xf numFmtId="43" fontId="0" fillId="0" borderId="0" xfId="0" applyNumberFormat="1" applyAlignment="1"/>
    <xf numFmtId="2" fontId="0" fillId="0" borderId="0" xfId="0" applyNumberFormat="1" applyAlignment="1"/>
    <xf numFmtId="2" fontId="30" fillId="0" borderId="0" xfId="0" applyNumberFormat="1" applyFont="1" applyAlignment="1"/>
    <xf numFmtId="43" fontId="13" fillId="0" borderId="0" xfId="0" applyNumberFormat="1" applyFont="1" applyAlignment="1"/>
    <xf numFmtId="2" fontId="32" fillId="0" borderId="0" xfId="0" applyNumberFormat="1" applyFont="1" applyAlignment="1"/>
    <xf numFmtId="10" fontId="32" fillId="0" borderId="0" xfId="5" applyNumberFormat="1" applyFont="1" applyAlignment="1"/>
    <xf numFmtId="0" fontId="31" fillId="0" borderId="0" xfId="0" applyFont="1" applyBorder="1" applyAlignment="1"/>
    <xf numFmtId="10" fontId="0" fillId="0" borderId="0" xfId="0" applyNumberFormat="1" applyAlignment="1"/>
    <xf numFmtId="43" fontId="0" fillId="0" borderId="0" xfId="2" applyFont="1" applyAlignment="1"/>
    <xf numFmtId="43" fontId="12" fillId="0" borderId="0" xfId="2" applyFont="1" applyAlignment="1"/>
    <xf numFmtId="0" fontId="15" fillId="5" borderId="4" xfId="0" applyFont="1" applyFill="1" applyBorder="1"/>
    <xf numFmtId="0" fontId="15" fillId="5" borderId="5" xfId="0" applyFont="1" applyFill="1" applyBorder="1"/>
    <xf numFmtId="0" fontId="0" fillId="5" borderId="5" xfId="0" applyFill="1" applyBorder="1"/>
    <xf numFmtId="0" fontId="5" fillId="5" borderId="7" xfId="0" applyFont="1" applyFill="1" applyBorder="1"/>
    <xf numFmtId="0" fontId="5" fillId="5" borderId="0" xfId="0" applyFont="1" applyFill="1" applyBorder="1"/>
    <xf numFmtId="0" fontId="16" fillId="5" borderId="0" xfId="0" applyFont="1" applyFill="1" applyBorder="1"/>
    <xf numFmtId="0" fontId="0" fillId="5" borderId="0" xfId="0" applyFill="1" applyBorder="1"/>
    <xf numFmtId="15" fontId="5" fillId="5" borderId="7" xfId="0" applyNumberFormat="1" applyFont="1" applyFill="1" applyBorder="1"/>
    <xf numFmtId="15" fontId="5" fillId="5" borderId="0" xfId="0" applyNumberFormat="1" applyFont="1" applyFill="1" applyBorder="1"/>
    <xf numFmtId="0" fontId="0" fillId="5" borderId="7" xfId="0" applyFill="1" applyBorder="1"/>
    <xf numFmtId="0" fontId="5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19" fillId="5" borderId="9" xfId="0" applyFont="1" applyFill="1" applyBorder="1"/>
    <xf numFmtId="0" fontId="19" fillId="5" borderId="0" xfId="0" applyFont="1" applyFill="1" applyBorder="1"/>
    <xf numFmtId="0" fontId="0" fillId="5" borderId="0" xfId="0" applyFill="1" applyBorder="1" applyAlignment="1">
      <alignment horizontal="center"/>
    </xf>
    <xf numFmtId="0" fontId="1" fillId="5" borderId="7" xfId="0" applyFont="1" applyFill="1" applyBorder="1"/>
    <xf numFmtId="41" fontId="0" fillId="5" borderId="0" xfId="0" applyNumberFormat="1" applyFill="1" applyBorder="1"/>
    <xf numFmtId="44" fontId="20" fillId="5" borderId="0" xfId="3" applyNumberFormat="1" applyFont="1" applyFill="1" applyBorder="1"/>
    <xf numFmtId="167" fontId="20" fillId="5" borderId="0" xfId="3" applyNumberFormat="1" applyFont="1" applyFill="1" applyBorder="1"/>
    <xf numFmtId="0" fontId="21" fillId="5" borderId="0" xfId="0" applyFont="1" applyFill="1" applyBorder="1"/>
    <xf numFmtId="41" fontId="12" fillId="5" borderId="0" xfId="0" applyNumberFormat="1" applyFont="1" applyFill="1" applyBorder="1"/>
    <xf numFmtId="41" fontId="5" fillId="5" borderId="0" xfId="0" applyNumberFormat="1" applyFont="1" applyFill="1" applyBorder="1"/>
    <xf numFmtId="164" fontId="0" fillId="5" borderId="0" xfId="0" applyNumberFormat="1" applyFill="1" applyBorder="1"/>
    <xf numFmtId="0" fontId="1" fillId="5" borderId="7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center"/>
    </xf>
    <xf numFmtId="44" fontId="20" fillId="5" borderId="0" xfId="3" applyFont="1" applyFill="1" applyBorder="1"/>
    <xf numFmtId="165" fontId="1" fillId="5" borderId="0" xfId="3" applyNumberFormat="1" applyFont="1" applyFill="1" applyBorder="1"/>
    <xf numFmtId="0" fontId="0" fillId="5" borderId="12" xfId="0" applyFill="1" applyBorder="1"/>
    <xf numFmtId="2" fontId="0" fillId="0" borderId="0" xfId="0" applyNumberFormat="1" applyFill="1" applyAlignment="1"/>
    <xf numFmtId="43" fontId="12" fillId="0" borderId="0" xfId="0" applyNumberFormat="1" applyFont="1" applyFill="1" applyAlignment="1"/>
    <xf numFmtId="2" fontId="30" fillId="0" borderId="0" xfId="0" applyNumberFormat="1" applyFont="1" applyFill="1" applyAlignment="1"/>
    <xf numFmtId="10" fontId="30" fillId="0" borderId="0" xfId="5" applyNumberFormat="1" applyFont="1" applyFill="1" applyAlignment="1"/>
    <xf numFmtId="0" fontId="15" fillId="6" borderId="4" xfId="0" applyFont="1" applyFill="1" applyBorder="1"/>
    <xf numFmtId="0" fontId="15" fillId="6" borderId="5" xfId="0" applyFont="1" applyFill="1" applyBorder="1"/>
    <xf numFmtId="0" fontId="0" fillId="6" borderId="5" xfId="0" applyFill="1" applyBorder="1"/>
    <xf numFmtId="0" fontId="5" fillId="6" borderId="7" xfId="0" applyFont="1" applyFill="1" applyBorder="1"/>
    <xf numFmtId="0" fontId="5" fillId="6" borderId="0" xfId="0" applyFont="1" applyFill="1" applyBorder="1"/>
    <xf numFmtId="0" fontId="16" fillId="6" borderId="0" xfId="0" applyFont="1" applyFill="1" applyBorder="1"/>
    <xf numFmtId="0" fontId="0" fillId="6" borderId="0" xfId="0" applyFill="1" applyBorder="1"/>
    <xf numFmtId="15" fontId="5" fillId="6" borderId="7" xfId="0" applyNumberFormat="1" applyFont="1" applyFill="1" applyBorder="1"/>
    <xf numFmtId="15" fontId="5" fillId="6" borderId="0" xfId="0" applyNumberFormat="1" applyFont="1" applyFill="1" applyBorder="1"/>
    <xf numFmtId="0" fontId="0" fillId="6" borderId="7" xfId="0" applyFill="1" applyBorder="1"/>
    <xf numFmtId="0" fontId="5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19" fillId="6" borderId="9" xfId="0" applyFont="1" applyFill="1" applyBorder="1"/>
    <xf numFmtId="0" fontId="19" fillId="6" borderId="0" xfId="0" applyFont="1" applyFill="1" applyBorder="1"/>
    <xf numFmtId="0" fontId="0" fillId="6" borderId="0" xfId="0" applyFill="1" applyBorder="1" applyAlignment="1">
      <alignment horizontal="center"/>
    </xf>
    <xf numFmtId="0" fontId="1" fillId="6" borderId="7" xfId="0" applyFont="1" applyFill="1" applyBorder="1"/>
    <xf numFmtId="41" fontId="0" fillId="6" borderId="0" xfId="0" applyNumberFormat="1" applyFill="1" applyBorder="1"/>
    <xf numFmtId="44" fontId="20" fillId="6" borderId="0" xfId="3" applyNumberFormat="1" applyFont="1" applyFill="1" applyBorder="1"/>
    <xf numFmtId="167" fontId="20" fillId="6" borderId="0" xfId="3" applyNumberFormat="1" applyFont="1" applyFill="1" applyBorder="1"/>
    <xf numFmtId="0" fontId="21" fillId="6" borderId="0" xfId="0" applyFont="1" applyFill="1" applyBorder="1"/>
    <xf numFmtId="41" fontId="12" fillId="6" borderId="0" xfId="0" applyNumberFormat="1" applyFont="1" applyFill="1" applyBorder="1"/>
    <xf numFmtId="41" fontId="5" fillId="6" borderId="0" xfId="0" applyNumberFormat="1" applyFont="1" applyFill="1" applyBorder="1"/>
    <xf numFmtId="164" fontId="0" fillId="6" borderId="0" xfId="0" applyNumberFormat="1" applyFill="1" applyBorder="1"/>
    <xf numFmtId="0" fontId="1" fillId="6" borderId="7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center"/>
    </xf>
    <xf numFmtId="44" fontId="20" fillId="6" borderId="0" xfId="3" applyFont="1" applyFill="1" applyBorder="1"/>
    <xf numFmtId="165" fontId="1" fillId="6" borderId="0" xfId="3" applyNumberFormat="1" applyFont="1" applyFill="1" applyBorder="1"/>
    <xf numFmtId="0" fontId="0" fillId="6" borderId="12" xfId="0" applyFill="1" applyBorder="1"/>
    <xf numFmtId="10" fontId="0" fillId="0" borderId="0" xfId="5" applyNumberFormat="1" applyFont="1" applyAlignment="1"/>
    <xf numFmtId="165" fontId="0" fillId="0" borderId="0" xfId="0" applyNumberFormat="1"/>
    <xf numFmtId="44" fontId="21" fillId="0" borderId="0" xfId="3" applyFont="1" applyFill="1" applyBorder="1" applyProtection="1">
      <protection locked="0"/>
    </xf>
    <xf numFmtId="44" fontId="21" fillId="0" borderId="0" xfId="3" applyFont="1" applyBorder="1"/>
    <xf numFmtId="43" fontId="1" fillId="0" borderId="0" xfId="0" applyNumberFormat="1" applyFont="1" applyAlignment="1"/>
    <xf numFmtId="0" fontId="18" fillId="4" borderId="7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43" fontId="12" fillId="0" borderId="0" xfId="0" applyNumberFormat="1" applyFont="1" applyAlignment="1"/>
    <xf numFmtId="17" fontId="33" fillId="0" borderId="14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6" borderId="6" xfId="0" applyFill="1" applyBorder="1"/>
    <xf numFmtId="0" fontId="0" fillId="6" borderId="8" xfId="0" applyFill="1" applyBorder="1"/>
    <xf numFmtId="0" fontId="5" fillId="6" borderId="8" xfId="0" applyFont="1" applyFill="1" applyBorder="1"/>
    <xf numFmtId="44" fontId="1" fillId="6" borderId="8" xfId="3" applyFont="1" applyFill="1" applyBorder="1"/>
    <xf numFmtId="44" fontId="12" fillId="6" borderId="8" xfId="3" applyNumberFormat="1" applyFont="1" applyFill="1" applyBorder="1"/>
    <xf numFmtId="44" fontId="22" fillId="6" borderId="10" xfId="3" applyNumberFormat="1" applyFont="1" applyFill="1" applyBorder="1"/>
    <xf numFmtId="44" fontId="22" fillId="6" borderId="8" xfId="3" applyNumberFormat="1" applyFont="1" applyFill="1" applyBorder="1"/>
    <xf numFmtId="44" fontId="1" fillId="6" borderId="8" xfId="3" applyNumberFormat="1" applyFont="1" applyFill="1" applyBorder="1"/>
    <xf numFmtId="44" fontId="22" fillId="6" borderId="10" xfId="3" applyFont="1" applyFill="1" applyBorder="1"/>
    <xf numFmtId="0" fontId="5" fillId="6" borderId="11" xfId="0" applyFont="1" applyFill="1" applyBorder="1"/>
    <xf numFmtId="0" fontId="5" fillId="6" borderId="12" xfId="0" applyFont="1" applyFill="1" applyBorder="1"/>
    <xf numFmtId="44" fontId="22" fillId="6" borderId="13" xfId="3" applyFont="1" applyFill="1" applyBorder="1"/>
    <xf numFmtId="0" fontId="0" fillId="5" borderId="6" xfId="0" applyFill="1" applyBorder="1"/>
    <xf numFmtId="0" fontId="0" fillId="5" borderId="8" xfId="0" applyFill="1" applyBorder="1"/>
    <xf numFmtId="0" fontId="5" fillId="5" borderId="8" xfId="0" applyFont="1" applyFill="1" applyBorder="1"/>
    <xf numFmtId="44" fontId="1" fillId="5" borderId="8" xfId="3" applyFont="1" applyFill="1" applyBorder="1"/>
    <xf numFmtId="44" fontId="12" fillId="5" borderId="8" xfId="3" applyNumberFormat="1" applyFont="1" applyFill="1" applyBorder="1"/>
    <xf numFmtId="44" fontId="22" fillId="5" borderId="10" xfId="3" applyNumberFormat="1" applyFont="1" applyFill="1" applyBorder="1"/>
    <xf numFmtId="44" fontId="22" fillId="5" borderId="8" xfId="3" applyNumberFormat="1" applyFont="1" applyFill="1" applyBorder="1"/>
    <xf numFmtId="0" fontId="18" fillId="5" borderId="8" xfId="0" applyFont="1" applyFill="1" applyBorder="1" applyAlignment="1">
      <alignment horizontal="center"/>
    </xf>
    <xf numFmtId="44" fontId="1" fillId="5" borderId="8" xfId="3" applyNumberFormat="1" applyFont="1" applyFill="1" applyBorder="1"/>
    <xf numFmtId="43" fontId="12" fillId="5" borderId="8" xfId="0" applyNumberFormat="1" applyFont="1" applyFill="1" applyBorder="1"/>
    <xf numFmtId="44" fontId="22" fillId="5" borderId="10" xfId="3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44" fontId="22" fillId="5" borderId="13" xfId="3" applyFont="1" applyFill="1" applyBorder="1"/>
    <xf numFmtId="44" fontId="5" fillId="0" borderId="0" xfId="3" applyFont="1"/>
    <xf numFmtId="0" fontId="18" fillId="6" borderId="7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164" fontId="0" fillId="0" borderId="0" xfId="2" applyNumberFormat="1" applyFont="1"/>
    <xf numFmtId="44" fontId="6" fillId="0" borderId="0" xfId="3" applyFont="1" applyAlignment="1">
      <alignment horizontal="center"/>
    </xf>
    <xf numFmtId="44" fontId="12" fillId="6" borderId="8" xfId="3" applyFont="1" applyFill="1" applyBorder="1"/>
    <xf numFmtId="43" fontId="34" fillId="0" borderId="0" xfId="0" applyNumberFormat="1" applyFont="1" applyAlignment="1"/>
    <xf numFmtId="10" fontId="34" fillId="0" borderId="0" xfId="5" applyNumberFormat="1" applyFont="1" applyFill="1" applyAlignment="1"/>
    <xf numFmtId="0" fontId="5" fillId="0" borderId="0" xfId="4" applyFont="1" applyFill="1" applyAlignment="1">
      <alignment horizontal="center"/>
    </xf>
    <xf numFmtId="164" fontId="24" fillId="0" borderId="0" xfId="10" applyNumberFormat="1" applyFont="1"/>
    <xf numFmtId="165" fontId="13" fillId="0" borderId="0" xfId="3" applyNumberFormat="1" applyFont="1"/>
    <xf numFmtId="0" fontId="15" fillId="7" borderId="4" xfId="0" applyFont="1" applyFill="1" applyBorder="1"/>
    <xf numFmtId="0" fontId="15" fillId="7" borderId="5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5" fillId="7" borderId="7" xfId="0" applyFont="1" applyFill="1" applyBorder="1"/>
    <xf numFmtId="0" fontId="5" fillId="7" borderId="0" xfId="0" applyFont="1" applyFill="1" applyBorder="1"/>
    <xf numFmtId="0" fontId="16" fillId="7" borderId="0" xfId="0" applyFont="1" applyFill="1" applyBorder="1"/>
    <xf numFmtId="0" fontId="0" fillId="7" borderId="0" xfId="0" applyFill="1" applyBorder="1"/>
    <xf numFmtId="0" fontId="0" fillId="7" borderId="8" xfId="0" applyFill="1" applyBorder="1"/>
    <xf numFmtId="15" fontId="5" fillId="7" borderId="7" xfId="0" applyNumberFormat="1" applyFont="1" applyFill="1" applyBorder="1"/>
    <xf numFmtId="15" fontId="5" fillId="7" borderId="0" xfId="0" applyNumberFormat="1" applyFont="1" applyFill="1" applyBorder="1"/>
    <xf numFmtId="0" fontId="0" fillId="7" borderId="7" xfId="0" applyFill="1" applyBorder="1"/>
    <xf numFmtId="0" fontId="5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19" fillId="7" borderId="9" xfId="0" applyFont="1" applyFill="1" applyBorder="1"/>
    <xf numFmtId="0" fontId="19" fillId="7" borderId="0" xfId="0" applyFont="1" applyFill="1" applyBorder="1"/>
    <xf numFmtId="0" fontId="0" fillId="7" borderId="0" xfId="0" applyFill="1" applyBorder="1" applyAlignment="1">
      <alignment horizontal="center"/>
    </xf>
    <xf numFmtId="0" fontId="1" fillId="7" borderId="7" xfId="0" applyFont="1" applyFill="1" applyBorder="1"/>
    <xf numFmtId="41" fontId="0" fillId="7" borderId="0" xfId="0" applyNumberFormat="1" applyFill="1" applyBorder="1"/>
    <xf numFmtId="44" fontId="20" fillId="7" borderId="0" xfId="3" applyNumberFormat="1" applyFont="1" applyFill="1" applyBorder="1"/>
    <xf numFmtId="167" fontId="20" fillId="7" borderId="0" xfId="3" applyNumberFormat="1" applyFont="1" applyFill="1" applyBorder="1"/>
    <xf numFmtId="0" fontId="21" fillId="7" borderId="0" xfId="0" applyFont="1" applyFill="1" applyBorder="1"/>
    <xf numFmtId="41" fontId="12" fillId="7" borderId="0" xfId="0" applyNumberFormat="1" applyFont="1" applyFill="1" applyBorder="1"/>
    <xf numFmtId="41" fontId="5" fillId="7" borderId="0" xfId="0" applyNumberFormat="1" applyFont="1" applyFill="1" applyBorder="1"/>
    <xf numFmtId="0" fontId="5" fillId="7" borderId="8" xfId="0" applyFont="1" applyFill="1" applyBorder="1"/>
    <xf numFmtId="164" fontId="0" fillId="7" borderId="0" xfId="0" applyNumberFormat="1" applyFill="1" applyBorder="1"/>
    <xf numFmtId="0" fontId="1" fillId="7" borderId="7" xfId="0" applyFont="1" applyFill="1" applyBorder="1" applyAlignment="1">
      <alignment horizontal="right"/>
    </xf>
    <xf numFmtId="44" fontId="1" fillId="7" borderId="8" xfId="3" applyFont="1" applyFill="1" applyBorder="1"/>
    <xf numFmtId="44" fontId="12" fillId="7" borderId="8" xfId="3" applyNumberFormat="1" applyFont="1" applyFill="1" applyBorder="1"/>
    <xf numFmtId="44" fontId="22" fillId="7" borderId="10" xfId="3" applyNumberFormat="1" applyFont="1" applyFill="1" applyBorder="1"/>
    <xf numFmtId="44" fontId="22" fillId="7" borderId="8" xfId="3" applyNumberFormat="1" applyFont="1" applyFill="1" applyBorder="1"/>
    <xf numFmtId="0" fontId="18" fillId="7" borderId="7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44" fontId="20" fillId="7" borderId="0" xfId="3" applyFont="1" applyFill="1" applyBorder="1"/>
    <xf numFmtId="44" fontId="1" fillId="7" borderId="8" xfId="3" applyNumberFormat="1" applyFont="1" applyFill="1" applyBorder="1"/>
    <xf numFmtId="165" fontId="1" fillId="7" borderId="0" xfId="3" applyNumberFormat="1" applyFont="1" applyFill="1" applyBorder="1"/>
    <xf numFmtId="43" fontId="12" fillId="7" borderId="8" xfId="0" applyNumberFormat="1" applyFont="1" applyFill="1" applyBorder="1"/>
    <xf numFmtId="44" fontId="22" fillId="7" borderId="10" xfId="3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0" fillId="7" borderId="12" xfId="0" applyFill="1" applyBorder="1"/>
    <xf numFmtId="44" fontId="22" fillId="7" borderId="13" xfId="3" applyFont="1" applyFill="1" applyBorder="1"/>
    <xf numFmtId="0" fontId="15" fillId="8" borderId="4" xfId="0" applyFont="1" applyFill="1" applyBorder="1"/>
    <xf numFmtId="0" fontId="15" fillId="8" borderId="5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5" fillId="8" borderId="7" xfId="0" applyFont="1" applyFill="1" applyBorder="1"/>
    <xf numFmtId="0" fontId="5" fillId="8" borderId="0" xfId="0" applyFont="1" applyFill="1" applyBorder="1"/>
    <xf numFmtId="0" fontId="16" fillId="8" borderId="0" xfId="0" applyFont="1" applyFill="1" applyBorder="1"/>
    <xf numFmtId="0" fontId="0" fillId="8" borderId="0" xfId="0" applyFill="1" applyBorder="1"/>
    <xf numFmtId="0" fontId="0" fillId="8" borderId="8" xfId="0" applyFill="1" applyBorder="1"/>
    <xf numFmtId="15" fontId="5" fillId="8" borderId="7" xfId="0" applyNumberFormat="1" applyFont="1" applyFill="1" applyBorder="1"/>
    <xf numFmtId="15" fontId="5" fillId="8" borderId="0" xfId="0" applyNumberFormat="1" applyFont="1" applyFill="1" applyBorder="1"/>
    <xf numFmtId="0" fontId="0" fillId="8" borderId="7" xfId="0" applyFill="1" applyBorder="1"/>
    <xf numFmtId="0" fontId="5" fillId="8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19" fillId="8" borderId="9" xfId="0" applyFont="1" applyFill="1" applyBorder="1"/>
    <xf numFmtId="0" fontId="19" fillId="8" borderId="0" xfId="0" applyFont="1" applyFill="1" applyBorder="1"/>
    <xf numFmtId="0" fontId="0" fillId="8" borderId="0" xfId="0" applyFill="1" applyBorder="1" applyAlignment="1">
      <alignment horizontal="center"/>
    </xf>
    <xf numFmtId="0" fontId="1" fillId="8" borderId="7" xfId="0" applyFont="1" applyFill="1" applyBorder="1"/>
    <xf numFmtId="41" fontId="0" fillId="8" borderId="0" xfId="0" applyNumberFormat="1" applyFill="1" applyBorder="1"/>
    <xf numFmtId="44" fontId="20" fillId="8" borderId="0" xfId="3" applyNumberFormat="1" applyFont="1" applyFill="1" applyBorder="1"/>
    <xf numFmtId="167" fontId="20" fillId="8" borderId="0" xfId="3" applyNumberFormat="1" applyFont="1" applyFill="1" applyBorder="1"/>
    <xf numFmtId="0" fontId="21" fillId="8" borderId="0" xfId="0" applyFont="1" applyFill="1" applyBorder="1"/>
    <xf numFmtId="41" fontId="12" fillId="8" borderId="0" xfId="0" applyNumberFormat="1" applyFont="1" applyFill="1" applyBorder="1"/>
    <xf numFmtId="41" fontId="5" fillId="8" borderId="0" xfId="0" applyNumberFormat="1" applyFont="1" applyFill="1" applyBorder="1"/>
    <xf numFmtId="0" fontId="5" fillId="8" borderId="8" xfId="0" applyFont="1" applyFill="1" applyBorder="1"/>
    <xf numFmtId="164" fontId="0" fillId="8" borderId="0" xfId="0" applyNumberFormat="1" applyFill="1" applyBorder="1"/>
    <xf numFmtId="0" fontId="1" fillId="8" borderId="7" xfId="0" applyFont="1" applyFill="1" applyBorder="1" applyAlignment="1">
      <alignment horizontal="right"/>
    </xf>
    <xf numFmtId="44" fontId="1" fillId="8" borderId="8" xfId="3" applyFont="1" applyFill="1" applyBorder="1"/>
    <xf numFmtId="44" fontId="12" fillId="8" borderId="8" xfId="3" applyNumberFormat="1" applyFont="1" applyFill="1" applyBorder="1"/>
    <xf numFmtId="44" fontId="22" fillId="8" borderId="10" xfId="3" applyNumberFormat="1" applyFont="1" applyFill="1" applyBorder="1"/>
    <xf numFmtId="44" fontId="22" fillId="8" borderId="8" xfId="3" applyNumberFormat="1" applyFont="1" applyFill="1" applyBorder="1"/>
    <xf numFmtId="0" fontId="18" fillId="8" borderId="7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44" fontId="20" fillId="8" borderId="0" xfId="3" applyFont="1" applyFill="1" applyBorder="1"/>
    <xf numFmtId="44" fontId="1" fillId="8" borderId="8" xfId="3" applyNumberFormat="1" applyFont="1" applyFill="1" applyBorder="1"/>
    <xf numFmtId="165" fontId="1" fillId="8" borderId="0" xfId="3" applyNumberFormat="1" applyFont="1" applyFill="1" applyBorder="1"/>
    <xf numFmtId="44" fontId="12" fillId="8" borderId="8" xfId="3" applyFont="1" applyFill="1" applyBorder="1"/>
    <xf numFmtId="44" fontId="22" fillId="8" borderId="10" xfId="3" applyFont="1" applyFill="1" applyBorder="1"/>
    <xf numFmtId="0" fontId="5" fillId="8" borderId="11" xfId="0" applyFont="1" applyFill="1" applyBorder="1"/>
    <xf numFmtId="0" fontId="5" fillId="8" borderId="12" xfId="0" applyFont="1" applyFill="1" applyBorder="1"/>
    <xf numFmtId="0" fontId="0" fillId="8" borderId="12" xfId="0" applyFill="1" applyBorder="1"/>
    <xf numFmtId="44" fontId="22" fillId="8" borderId="13" xfId="3" applyFont="1" applyFill="1" applyBorder="1"/>
    <xf numFmtId="164" fontId="23" fillId="0" borderId="0" xfId="10" applyNumberFormat="1" applyFont="1" applyFill="1"/>
    <xf numFmtId="166" fontId="0" fillId="0" borderId="0" xfId="5" applyNumberFormat="1" applyFont="1" applyAlignment="1"/>
    <xf numFmtId="164" fontId="35" fillId="0" borderId="0" xfId="10" applyNumberFormat="1" applyFont="1"/>
    <xf numFmtId="44" fontId="36" fillId="0" borderId="14" xfId="3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1" fillId="0" borderId="0" xfId="2" applyFont="1"/>
    <xf numFmtId="10" fontId="1" fillId="0" borderId="0" xfId="5" applyNumberFormat="1" applyFont="1" applyAlignment="1"/>
    <xf numFmtId="10" fontId="30" fillId="0" borderId="0" xfId="5" applyNumberFormat="1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32" fillId="0" borderId="0" xfId="2" applyFont="1" applyAlignment="1"/>
  </cellXfs>
  <cellStyles count="11">
    <cellStyle name="Comma" xfId="2" builtinId="3"/>
    <cellStyle name="Comma 2" xfId="10" xr:uid="{00000000-0005-0000-0000-000001000000}"/>
    <cellStyle name="Currency" xfId="3" builtinId="4"/>
    <cellStyle name="Currency 2" xfId="6" xr:uid="{00000000-0005-0000-0000-000003000000}"/>
    <cellStyle name="Currency 5" xfId="7" xr:uid="{00000000-0005-0000-0000-000004000000}"/>
    <cellStyle name="Currency 6" xfId="8" xr:uid="{00000000-0005-0000-0000-000005000000}"/>
    <cellStyle name="Normal" xfId="0" builtinId="0"/>
    <cellStyle name="Normal 3" xfId="4" xr:uid="{00000000-0005-0000-0000-000007000000}"/>
    <cellStyle name="Percent" xfId="5" builtinId="5"/>
    <cellStyle name="Percent 4" xfId="9" xr:uid="{00000000-0005-0000-0000-000009000000}"/>
    <cellStyle name="Total" xfId="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2"/>
  <sheetViews>
    <sheetView workbookViewId="0">
      <selection activeCell="B11" sqref="B11"/>
    </sheetView>
  </sheetViews>
  <sheetFormatPr defaultRowHeight="12.75" x14ac:dyDescent="0.2"/>
  <cols>
    <col min="1" max="1" width="58.85546875" bestFit="1" customWidth="1"/>
    <col min="3" max="3" width="10.42578125" bestFit="1" customWidth="1"/>
    <col min="4" max="4" width="11.28515625" bestFit="1" customWidth="1"/>
    <col min="5" max="5" width="10.28515625" bestFit="1" customWidth="1"/>
    <col min="6" max="6" width="9.28515625" bestFit="1" customWidth="1"/>
    <col min="7" max="7" width="58.85546875" bestFit="1" customWidth="1"/>
    <col min="9" max="9" width="10.42578125" bestFit="1" customWidth="1"/>
    <col min="10" max="10" width="11.28515625" bestFit="1" customWidth="1"/>
    <col min="11" max="11" width="10.28515625" bestFit="1" customWidth="1"/>
    <col min="12" max="12" width="9.28515625" bestFit="1" customWidth="1"/>
    <col min="13" max="13" width="58.85546875" bestFit="1" customWidth="1"/>
    <col min="15" max="15" width="10.42578125" bestFit="1" customWidth="1"/>
    <col min="16" max="16" width="11.28515625" bestFit="1" customWidth="1"/>
    <col min="17" max="18" width="10.28515625" bestFit="1" customWidth="1"/>
    <col min="19" max="19" width="58.85546875" bestFit="1" customWidth="1"/>
    <col min="21" max="21" width="10.42578125" bestFit="1" customWidth="1"/>
    <col min="22" max="22" width="11.28515625" bestFit="1" customWidth="1"/>
    <col min="23" max="23" width="10.28515625" bestFit="1" customWidth="1"/>
    <col min="24" max="24" width="9.28515625" bestFit="1" customWidth="1"/>
    <col min="25" max="25" width="58.85546875" bestFit="1" customWidth="1"/>
    <col min="27" max="27" width="10.42578125" bestFit="1" customWidth="1"/>
    <col min="28" max="28" width="11.28515625" bestFit="1" customWidth="1"/>
    <col min="29" max="29" width="10.28515625" bestFit="1" customWidth="1"/>
    <col min="30" max="30" width="9.7109375" bestFit="1" customWidth="1"/>
    <col min="31" max="31" width="58.85546875" bestFit="1" customWidth="1"/>
    <col min="33" max="33" width="10.42578125" bestFit="1" customWidth="1"/>
    <col min="34" max="34" width="11.28515625" bestFit="1" customWidth="1"/>
    <col min="35" max="35" width="10.28515625" bestFit="1" customWidth="1"/>
    <col min="36" max="36" width="9.28515625" bestFit="1" customWidth="1"/>
  </cols>
  <sheetData>
    <row r="1" spans="1:36" ht="19.5" customHeight="1" x14ac:dyDescent="0.4">
      <c r="A1" s="319" t="s">
        <v>64</v>
      </c>
      <c r="B1" s="320"/>
      <c r="C1" s="321"/>
      <c r="D1" s="321"/>
      <c r="E1" s="321"/>
      <c r="F1" s="322"/>
      <c r="G1" s="195" t="s">
        <v>64</v>
      </c>
      <c r="H1" s="196"/>
      <c r="I1" s="197"/>
      <c r="J1" s="197"/>
      <c r="K1" s="197"/>
      <c r="L1" s="237"/>
      <c r="M1" s="275" t="s">
        <v>64</v>
      </c>
      <c r="N1" s="276"/>
      <c r="O1" s="277"/>
      <c r="P1" s="277"/>
      <c r="Q1" s="277"/>
      <c r="R1" s="278"/>
      <c r="S1" s="163" t="s">
        <v>64</v>
      </c>
      <c r="T1" s="164"/>
      <c r="U1" s="165"/>
      <c r="V1" s="165"/>
      <c r="W1" s="165"/>
      <c r="X1" s="249"/>
      <c r="Y1" s="109" t="s">
        <v>64</v>
      </c>
      <c r="Z1" s="110"/>
      <c r="AA1" s="111"/>
      <c r="AB1" s="111"/>
      <c r="AC1" s="111"/>
      <c r="AD1" s="111"/>
      <c r="AE1" s="74" t="s">
        <v>64</v>
      </c>
      <c r="AF1" s="75"/>
      <c r="AG1" s="76"/>
      <c r="AH1" s="76"/>
      <c r="AI1" s="76"/>
      <c r="AJ1" s="76"/>
    </row>
    <row r="2" spans="1:36" ht="18" x14ac:dyDescent="0.35">
      <c r="A2" s="323"/>
      <c r="B2" s="324"/>
      <c r="C2" s="325"/>
      <c r="D2" s="326"/>
      <c r="E2" s="326"/>
      <c r="F2" s="327"/>
      <c r="G2" s="198"/>
      <c r="H2" s="199"/>
      <c r="I2" s="200"/>
      <c r="J2" s="201"/>
      <c r="K2" s="201"/>
      <c r="L2" s="238"/>
      <c r="M2" s="279"/>
      <c r="N2" s="280"/>
      <c r="O2" s="281"/>
      <c r="P2" s="282"/>
      <c r="Q2" s="282"/>
      <c r="R2" s="283"/>
      <c r="S2" s="166"/>
      <c r="T2" s="167"/>
      <c r="U2" s="168"/>
      <c r="V2" s="169"/>
      <c r="W2" s="169"/>
      <c r="X2" s="250"/>
      <c r="Y2" s="112" t="s">
        <v>65</v>
      </c>
      <c r="Z2" s="113"/>
      <c r="AA2" s="114"/>
      <c r="AB2" s="115"/>
      <c r="AC2" s="115"/>
      <c r="AD2" s="115"/>
      <c r="AE2" s="77" t="s">
        <v>65</v>
      </c>
      <c r="AF2" s="78"/>
      <c r="AG2" s="79"/>
      <c r="AH2" s="80"/>
      <c r="AI2" s="80"/>
      <c r="AJ2" s="80"/>
    </row>
    <row r="3" spans="1:36" x14ac:dyDescent="0.2">
      <c r="A3" s="328"/>
      <c r="B3" s="329"/>
      <c r="C3" s="326"/>
      <c r="D3" s="326"/>
      <c r="E3" s="326"/>
      <c r="F3" s="327"/>
      <c r="G3" s="202"/>
      <c r="H3" s="203"/>
      <c r="I3" s="201"/>
      <c r="J3" s="201"/>
      <c r="K3" s="201"/>
      <c r="L3" s="238"/>
      <c r="M3" s="284"/>
      <c r="N3" s="285"/>
      <c r="O3" s="282"/>
      <c r="P3" s="282"/>
      <c r="Q3" s="282"/>
      <c r="R3" s="283"/>
      <c r="S3" s="170"/>
      <c r="T3" s="171"/>
      <c r="U3" s="169"/>
      <c r="V3" s="169"/>
      <c r="W3" s="169"/>
      <c r="X3" s="250"/>
      <c r="Y3" s="116"/>
      <c r="Z3" s="117"/>
      <c r="AA3" s="115"/>
      <c r="AB3" s="115"/>
      <c r="AC3" s="115"/>
      <c r="AD3" s="115"/>
      <c r="AE3" s="81"/>
      <c r="AF3" s="82"/>
      <c r="AG3" s="80"/>
      <c r="AH3" s="80"/>
      <c r="AI3" s="80"/>
      <c r="AJ3" s="80"/>
    </row>
    <row r="4" spans="1:36" ht="20.25" x14ac:dyDescent="0.3">
      <c r="A4" s="393" t="s">
        <v>132</v>
      </c>
      <c r="B4" s="394"/>
      <c r="C4" s="394"/>
      <c r="D4" s="394"/>
      <c r="E4" s="394"/>
      <c r="F4" s="395"/>
      <c r="G4" s="403" t="s">
        <v>115</v>
      </c>
      <c r="H4" s="404"/>
      <c r="I4" s="404"/>
      <c r="J4" s="404"/>
      <c r="K4" s="404"/>
      <c r="L4" s="405"/>
      <c r="M4" s="377" t="s">
        <v>112</v>
      </c>
      <c r="N4" s="378"/>
      <c r="O4" s="378"/>
      <c r="P4" s="378"/>
      <c r="Q4" s="378"/>
      <c r="R4" s="379"/>
      <c r="S4" s="387" t="s">
        <v>110</v>
      </c>
      <c r="T4" s="388"/>
      <c r="U4" s="388"/>
      <c r="V4" s="388"/>
      <c r="W4" s="388"/>
      <c r="X4" s="389"/>
      <c r="Y4" s="383" t="s">
        <v>101</v>
      </c>
      <c r="Z4" s="384"/>
      <c r="AA4" s="384"/>
      <c r="AB4" s="384"/>
      <c r="AC4" s="384"/>
      <c r="AD4" s="384"/>
      <c r="AE4" s="399" t="s">
        <v>99</v>
      </c>
      <c r="AF4" s="400"/>
      <c r="AG4" s="400"/>
      <c r="AH4" s="400"/>
      <c r="AI4" s="400"/>
      <c r="AJ4" s="400"/>
    </row>
    <row r="5" spans="1:36" x14ac:dyDescent="0.2">
      <c r="A5" s="330"/>
      <c r="B5" s="326"/>
      <c r="C5" s="326"/>
      <c r="D5" s="326"/>
      <c r="E5" s="326"/>
      <c r="F5" s="327"/>
      <c r="G5" s="204"/>
      <c r="H5" s="201"/>
      <c r="I5" s="201"/>
      <c r="J5" s="201"/>
      <c r="K5" s="201"/>
      <c r="L5" s="238"/>
      <c r="M5" s="286"/>
      <c r="N5" s="282"/>
      <c r="O5" s="282"/>
      <c r="P5" s="282"/>
      <c r="Q5" s="282"/>
      <c r="R5" s="283"/>
      <c r="S5" s="172"/>
      <c r="T5" s="169"/>
      <c r="U5" s="169"/>
      <c r="V5" s="169"/>
      <c r="W5" s="169"/>
      <c r="X5" s="250"/>
      <c r="Y5" s="118"/>
      <c r="Z5" s="115"/>
      <c r="AA5" s="115"/>
      <c r="AB5" s="115"/>
      <c r="AC5" s="115"/>
      <c r="AD5" s="115"/>
      <c r="AE5" s="83"/>
      <c r="AF5" s="80"/>
      <c r="AG5" s="80"/>
      <c r="AH5" s="80"/>
      <c r="AI5" s="80"/>
      <c r="AJ5" s="80"/>
    </row>
    <row r="6" spans="1:36" ht="19.5" x14ac:dyDescent="0.4">
      <c r="A6" s="396" t="s">
        <v>19</v>
      </c>
      <c r="B6" s="397"/>
      <c r="C6" s="397"/>
      <c r="D6" s="397"/>
      <c r="E6" s="397"/>
      <c r="F6" s="398"/>
      <c r="G6" s="374" t="s">
        <v>19</v>
      </c>
      <c r="H6" s="375"/>
      <c r="I6" s="375"/>
      <c r="J6" s="375"/>
      <c r="K6" s="375"/>
      <c r="L6" s="376"/>
      <c r="M6" s="380" t="s">
        <v>19</v>
      </c>
      <c r="N6" s="381"/>
      <c r="O6" s="381"/>
      <c r="P6" s="381"/>
      <c r="Q6" s="381"/>
      <c r="R6" s="382"/>
      <c r="S6" s="390" t="s">
        <v>19</v>
      </c>
      <c r="T6" s="391"/>
      <c r="U6" s="391"/>
      <c r="V6" s="391"/>
      <c r="W6" s="391"/>
      <c r="X6" s="392"/>
      <c r="Y6" s="385" t="s">
        <v>19</v>
      </c>
      <c r="Z6" s="386"/>
      <c r="AA6" s="386"/>
      <c r="AB6" s="386"/>
      <c r="AC6" s="386"/>
      <c r="AD6" s="386"/>
      <c r="AE6" s="401" t="s">
        <v>19</v>
      </c>
      <c r="AF6" s="402"/>
      <c r="AG6" s="402"/>
      <c r="AH6" s="402"/>
      <c r="AI6" s="402"/>
      <c r="AJ6" s="402"/>
    </row>
    <row r="7" spans="1:36" x14ac:dyDescent="0.2">
      <c r="A7" s="330"/>
      <c r="B7" s="326"/>
      <c r="C7" s="326"/>
      <c r="D7" s="326"/>
      <c r="E7" s="326"/>
      <c r="F7" s="327"/>
      <c r="G7" s="204"/>
      <c r="H7" s="201"/>
      <c r="I7" s="201"/>
      <c r="J7" s="201"/>
      <c r="K7" s="201"/>
      <c r="L7" s="238"/>
      <c r="M7" s="286"/>
      <c r="N7" s="282"/>
      <c r="O7" s="282"/>
      <c r="P7" s="282"/>
      <c r="Q7" s="282"/>
      <c r="R7" s="283"/>
      <c r="S7" s="172"/>
      <c r="T7" s="169"/>
      <c r="U7" s="169"/>
      <c r="V7" s="169"/>
      <c r="W7" s="169"/>
      <c r="X7" s="250"/>
      <c r="Y7" s="118"/>
      <c r="Z7" s="115"/>
      <c r="AA7" s="115"/>
      <c r="AB7" s="115"/>
      <c r="AC7" s="115"/>
      <c r="AD7" s="115"/>
      <c r="AE7" s="83"/>
      <c r="AF7" s="80"/>
      <c r="AG7" s="80"/>
      <c r="AH7" s="80"/>
      <c r="AI7" s="80"/>
      <c r="AJ7" s="80"/>
    </row>
    <row r="8" spans="1:36" x14ac:dyDescent="0.2">
      <c r="A8" s="330"/>
      <c r="B8" s="326"/>
      <c r="C8" s="331"/>
      <c r="D8" s="331" t="s">
        <v>66</v>
      </c>
      <c r="E8" s="331" t="s">
        <v>22</v>
      </c>
      <c r="F8" s="327"/>
      <c r="G8" s="204"/>
      <c r="H8" s="201"/>
      <c r="I8" s="205"/>
      <c r="J8" s="205" t="s">
        <v>66</v>
      </c>
      <c r="K8" s="205" t="s">
        <v>22</v>
      </c>
      <c r="L8" s="238"/>
      <c r="M8" s="286"/>
      <c r="N8" s="282"/>
      <c r="O8" s="287"/>
      <c r="P8" s="287" t="s">
        <v>66</v>
      </c>
      <c r="Q8" s="287" t="s">
        <v>22</v>
      </c>
      <c r="R8" s="283"/>
      <c r="S8" s="172"/>
      <c r="T8" s="169"/>
      <c r="U8" s="173"/>
      <c r="V8" s="173" t="s">
        <v>66</v>
      </c>
      <c r="W8" s="173" t="s">
        <v>22</v>
      </c>
      <c r="X8" s="250"/>
      <c r="Y8" s="118"/>
      <c r="Z8" s="115"/>
      <c r="AA8" s="119"/>
      <c r="AB8" s="119" t="s">
        <v>66</v>
      </c>
      <c r="AC8" s="119" t="s">
        <v>22</v>
      </c>
      <c r="AD8" s="115"/>
      <c r="AE8" s="83"/>
      <c r="AF8" s="80"/>
      <c r="AG8" s="84"/>
      <c r="AH8" s="84" t="s">
        <v>66</v>
      </c>
      <c r="AI8" s="84" t="s">
        <v>22</v>
      </c>
      <c r="AJ8" s="80"/>
    </row>
    <row r="9" spans="1:36" x14ac:dyDescent="0.2">
      <c r="A9" s="330"/>
      <c r="B9" s="326"/>
      <c r="C9" s="332" t="s">
        <v>30</v>
      </c>
      <c r="D9" s="332" t="s">
        <v>67</v>
      </c>
      <c r="E9" s="332" t="s">
        <v>28</v>
      </c>
      <c r="F9" s="327"/>
      <c r="G9" s="204"/>
      <c r="H9" s="201"/>
      <c r="I9" s="206" t="s">
        <v>30</v>
      </c>
      <c r="J9" s="206" t="s">
        <v>67</v>
      </c>
      <c r="K9" s="206" t="s">
        <v>28</v>
      </c>
      <c r="L9" s="238"/>
      <c r="M9" s="286"/>
      <c r="N9" s="282"/>
      <c r="O9" s="288" t="s">
        <v>30</v>
      </c>
      <c r="P9" s="288" t="s">
        <v>67</v>
      </c>
      <c r="Q9" s="288" t="s">
        <v>28</v>
      </c>
      <c r="R9" s="283"/>
      <c r="S9" s="172"/>
      <c r="T9" s="169"/>
      <c r="U9" s="174" t="s">
        <v>30</v>
      </c>
      <c r="V9" s="174" t="s">
        <v>67</v>
      </c>
      <c r="W9" s="174" t="s">
        <v>28</v>
      </c>
      <c r="X9" s="250"/>
      <c r="Y9" s="118"/>
      <c r="Z9" s="115"/>
      <c r="AA9" s="120" t="s">
        <v>30</v>
      </c>
      <c r="AB9" s="120" t="s">
        <v>67</v>
      </c>
      <c r="AC9" s="120" t="s">
        <v>28</v>
      </c>
      <c r="AD9" s="115"/>
      <c r="AE9" s="83"/>
      <c r="AF9" s="80"/>
      <c r="AG9" s="85" t="s">
        <v>30</v>
      </c>
      <c r="AH9" s="85" t="s">
        <v>67</v>
      </c>
      <c r="AI9" s="85" t="s">
        <v>28</v>
      </c>
      <c r="AJ9" s="80"/>
    </row>
    <row r="10" spans="1:36" ht="16.5" x14ac:dyDescent="0.35">
      <c r="A10" s="333" t="s">
        <v>136</v>
      </c>
      <c r="B10" s="334"/>
      <c r="C10" s="335"/>
      <c r="D10" s="335"/>
      <c r="E10" s="335"/>
      <c r="F10" s="327"/>
      <c r="G10" s="207" t="s">
        <v>113</v>
      </c>
      <c r="H10" s="208"/>
      <c r="I10" s="209"/>
      <c r="J10" s="209"/>
      <c r="K10" s="209"/>
      <c r="L10" s="238"/>
      <c r="M10" s="289" t="s">
        <v>111</v>
      </c>
      <c r="N10" s="290"/>
      <c r="O10" s="291"/>
      <c r="P10" s="291"/>
      <c r="Q10" s="291"/>
      <c r="R10" s="283"/>
      <c r="S10" s="175" t="s">
        <v>104</v>
      </c>
      <c r="T10" s="176"/>
      <c r="U10" s="177"/>
      <c r="V10" s="177"/>
      <c r="W10" s="177"/>
      <c r="X10" s="250"/>
      <c r="Y10" s="121" t="s">
        <v>100</v>
      </c>
      <c r="Z10" s="122"/>
      <c r="AA10" s="123"/>
      <c r="AB10" s="123"/>
      <c r="AC10" s="123"/>
      <c r="AD10" s="115"/>
      <c r="AE10" s="86" t="s">
        <v>83</v>
      </c>
      <c r="AF10" s="87"/>
      <c r="AG10" s="88"/>
      <c r="AH10" s="88"/>
      <c r="AI10" s="88"/>
      <c r="AJ10" s="80"/>
    </row>
    <row r="11" spans="1:36" x14ac:dyDescent="0.2">
      <c r="A11" s="336" t="s">
        <v>68</v>
      </c>
      <c r="B11" s="326"/>
      <c r="C11" s="337">
        <f>+'Customer Counts'!B9+'Customer Counts'!B10</f>
        <v>92643</v>
      </c>
      <c r="D11" s="338">
        <f>+J13</f>
        <v>2.13</v>
      </c>
      <c r="E11" s="337">
        <f>C11*D11</f>
        <v>197329.59</v>
      </c>
      <c r="F11" s="327"/>
      <c r="G11" s="210" t="s">
        <v>68</v>
      </c>
      <c r="H11" s="201"/>
      <c r="I11" s="211">
        <v>91041</v>
      </c>
      <c r="J11" s="212">
        <v>1.63</v>
      </c>
      <c r="K11" s="211">
        <f>I11*J11</f>
        <v>148396.82999999999</v>
      </c>
      <c r="L11" s="238"/>
      <c r="M11" s="292" t="s">
        <v>68</v>
      </c>
      <c r="N11" s="282"/>
      <c r="O11" s="293">
        <v>86283</v>
      </c>
      <c r="P11" s="294">
        <f>+V13</f>
        <v>2.12</v>
      </c>
      <c r="Q11" s="293">
        <f>O11*P11</f>
        <v>182919.96000000002</v>
      </c>
      <c r="R11" s="283"/>
      <c r="S11" s="178" t="s">
        <v>68</v>
      </c>
      <c r="T11" s="169"/>
      <c r="U11" s="179">
        <v>84503</v>
      </c>
      <c r="V11" s="180">
        <v>2.25</v>
      </c>
      <c r="W11" s="179">
        <f>U11*V11</f>
        <v>190131.75</v>
      </c>
      <c r="X11" s="250"/>
      <c r="Y11" s="124" t="s">
        <v>68</v>
      </c>
      <c r="Z11" s="115"/>
      <c r="AA11" s="125">
        <v>81939</v>
      </c>
      <c r="AB11" s="146">
        <f>+AH13</f>
        <v>2.0699999999999998</v>
      </c>
      <c r="AC11" s="125">
        <f>AA11*AB11</f>
        <v>169613.72999999998</v>
      </c>
      <c r="AD11" s="115"/>
      <c r="AE11" s="89" t="s">
        <v>68</v>
      </c>
      <c r="AF11" s="80"/>
      <c r="AG11" s="90">
        <v>80957</v>
      </c>
      <c r="AH11" s="91">
        <v>3.24</v>
      </c>
      <c r="AI11" s="90">
        <f>AG11*AH11</f>
        <v>262300.68</v>
      </c>
      <c r="AJ11" s="80"/>
    </row>
    <row r="12" spans="1:36" x14ac:dyDescent="0.2">
      <c r="A12" s="336"/>
      <c r="B12" s="326"/>
      <c r="C12" s="337"/>
      <c r="D12" s="339"/>
      <c r="E12" s="337"/>
      <c r="F12" s="327"/>
      <c r="G12" s="210"/>
      <c r="H12" s="201"/>
      <c r="I12" s="211"/>
      <c r="J12" s="213"/>
      <c r="K12" s="211"/>
      <c r="L12" s="238"/>
      <c r="M12" s="292"/>
      <c r="N12" s="282"/>
      <c r="O12" s="293"/>
      <c r="P12" s="295"/>
      <c r="Q12" s="293"/>
      <c r="R12" s="283"/>
      <c r="S12" s="178"/>
      <c r="T12" s="169"/>
      <c r="U12" s="179"/>
      <c r="V12" s="181"/>
      <c r="W12" s="179"/>
      <c r="X12" s="250"/>
      <c r="Y12" s="124"/>
      <c r="Z12" s="115"/>
      <c r="AA12" s="125"/>
      <c r="AB12" s="145"/>
      <c r="AC12" s="125"/>
      <c r="AD12" s="115"/>
      <c r="AE12" s="89"/>
      <c r="AF12" s="80"/>
      <c r="AG12" s="90"/>
      <c r="AH12" s="91"/>
      <c r="AI12" s="90"/>
      <c r="AJ12" s="80"/>
    </row>
    <row r="13" spans="1:36" ht="15" x14ac:dyDescent="0.35">
      <c r="A13" s="336" t="s">
        <v>69</v>
      </c>
      <c r="B13" s="340"/>
      <c r="C13" s="341">
        <f>SUM('Customer Counts'!B11:B20)</f>
        <v>466374</v>
      </c>
      <c r="D13" s="338">
        <f>+L30</f>
        <v>0.99</v>
      </c>
      <c r="E13" s="341">
        <f>C13*D13</f>
        <v>461710.26</v>
      </c>
      <c r="F13" s="327"/>
      <c r="G13" s="210" t="s">
        <v>69</v>
      </c>
      <c r="H13" s="214"/>
      <c r="I13" s="215">
        <v>459532</v>
      </c>
      <c r="J13" s="212">
        <v>2.13</v>
      </c>
      <c r="K13" s="215">
        <f>I13*J13</f>
        <v>978803.15999999992</v>
      </c>
      <c r="L13" s="238"/>
      <c r="M13" s="292" t="s">
        <v>69</v>
      </c>
      <c r="N13" s="296"/>
      <c r="O13" s="297">
        <v>440676</v>
      </c>
      <c r="P13" s="294">
        <f>+X30</f>
        <v>1.63</v>
      </c>
      <c r="Q13" s="297">
        <f>O13*P13</f>
        <v>718301.88</v>
      </c>
      <c r="R13" s="283"/>
      <c r="S13" s="178" t="s">
        <v>69</v>
      </c>
      <c r="T13" s="182"/>
      <c r="U13" s="183">
        <v>426476</v>
      </c>
      <c r="V13" s="180">
        <v>2.12</v>
      </c>
      <c r="W13" s="183">
        <f>U13*V13</f>
        <v>904129.12</v>
      </c>
      <c r="X13" s="250"/>
      <c r="Y13" s="124" t="s">
        <v>69</v>
      </c>
      <c r="Z13" s="127"/>
      <c r="AA13" s="128">
        <v>415851</v>
      </c>
      <c r="AB13" s="146">
        <f>+AJ30</f>
        <v>2.2486813724127002</v>
      </c>
      <c r="AC13" s="128">
        <f>AA13*AB13</f>
        <v>935116.39739919372</v>
      </c>
      <c r="AD13" s="115"/>
      <c r="AE13" s="89" t="s">
        <v>69</v>
      </c>
      <c r="AF13" s="92"/>
      <c r="AG13" s="93">
        <v>407475</v>
      </c>
      <c r="AH13" s="91">
        <v>2.0699999999999998</v>
      </c>
      <c r="AI13" s="93">
        <f>AG13*AH13</f>
        <v>843473.24999999988</v>
      </c>
      <c r="AJ13" s="80"/>
    </row>
    <row r="14" spans="1:36" x14ac:dyDescent="0.2">
      <c r="A14" s="323" t="s">
        <v>22</v>
      </c>
      <c r="B14" s="324"/>
      <c r="C14" s="342">
        <f>SUM(C11:C13)</f>
        <v>559017</v>
      </c>
      <c r="D14" s="324"/>
      <c r="E14" s="342">
        <f>SUM(E11:E13)</f>
        <v>659039.85</v>
      </c>
      <c r="F14" s="343"/>
      <c r="G14" s="198" t="s">
        <v>22</v>
      </c>
      <c r="H14" s="199"/>
      <c r="I14" s="216">
        <f>SUM(I11:I13)</f>
        <v>550573</v>
      </c>
      <c r="J14" s="199"/>
      <c r="K14" s="216">
        <f>SUM(K11:K13)</f>
        <v>1127199.99</v>
      </c>
      <c r="L14" s="239"/>
      <c r="M14" s="279" t="s">
        <v>22</v>
      </c>
      <c r="N14" s="280"/>
      <c r="O14" s="298">
        <f>SUM(O11:O13)</f>
        <v>526959</v>
      </c>
      <c r="P14" s="280"/>
      <c r="Q14" s="298">
        <f>SUM(Q11:Q13)</f>
        <v>901221.84000000008</v>
      </c>
      <c r="R14" s="299"/>
      <c r="S14" s="166" t="s">
        <v>22</v>
      </c>
      <c r="T14" s="167"/>
      <c r="U14" s="184">
        <f>SUM(U11:U13)</f>
        <v>510979</v>
      </c>
      <c r="V14" s="167"/>
      <c r="W14" s="184">
        <f>SUM(W11:W13)</f>
        <v>1094260.8700000001</v>
      </c>
      <c r="X14" s="251"/>
      <c r="Y14" s="112" t="s">
        <v>22</v>
      </c>
      <c r="Z14" s="113"/>
      <c r="AA14" s="129">
        <f>SUM(AA11:AA13)</f>
        <v>497790</v>
      </c>
      <c r="AB14" s="113"/>
      <c r="AC14" s="129">
        <f>SUM(AC11:AC13)</f>
        <v>1104730.1273991936</v>
      </c>
      <c r="AD14" s="113"/>
      <c r="AE14" s="77" t="s">
        <v>22</v>
      </c>
      <c r="AF14" s="78"/>
      <c r="AG14" s="94">
        <f>SUM(AG11:AG13)</f>
        <v>488432</v>
      </c>
      <c r="AH14" s="78"/>
      <c r="AI14" s="94">
        <f>SUM(AI11:AI13)</f>
        <v>1105773.93</v>
      </c>
      <c r="AJ14" s="78"/>
    </row>
    <row r="15" spans="1:36" x14ac:dyDescent="0.2">
      <c r="A15" s="330"/>
      <c r="B15" s="326"/>
      <c r="C15" s="326"/>
      <c r="D15" s="326"/>
      <c r="E15" s="326"/>
      <c r="F15" s="327"/>
      <c r="G15" s="204"/>
      <c r="H15" s="201"/>
      <c r="I15" s="201"/>
      <c r="J15" s="201"/>
      <c r="K15" s="201"/>
      <c r="L15" s="238"/>
      <c r="M15" s="286"/>
      <c r="N15" s="282"/>
      <c r="O15" s="282"/>
      <c r="P15" s="282"/>
      <c r="Q15" s="282"/>
      <c r="R15" s="283"/>
      <c r="S15" s="172"/>
      <c r="T15" s="169"/>
      <c r="U15" s="169"/>
      <c r="V15" s="169"/>
      <c r="W15" s="169"/>
      <c r="X15" s="250"/>
      <c r="Y15" s="118"/>
      <c r="Z15" s="115"/>
      <c r="AA15" s="115"/>
      <c r="AB15" s="115"/>
      <c r="AC15" s="115"/>
      <c r="AD15" s="115"/>
      <c r="AE15" s="83"/>
      <c r="AF15" s="80"/>
      <c r="AG15" s="80"/>
      <c r="AH15" s="80"/>
      <c r="AI15" s="80"/>
      <c r="AJ15" s="80"/>
    </row>
    <row r="16" spans="1:36" x14ac:dyDescent="0.2">
      <c r="A16" s="336" t="s">
        <v>70</v>
      </c>
      <c r="B16" s="326"/>
      <c r="C16" s="326"/>
      <c r="D16" s="326"/>
      <c r="E16" s="337">
        <f>+'Calculation of Revenue'!F23</f>
        <v>392835.57488468004</v>
      </c>
      <c r="F16" s="327"/>
      <c r="G16" s="210" t="s">
        <v>70</v>
      </c>
      <c r="H16" s="201"/>
      <c r="I16" s="201"/>
      <c r="J16" s="201"/>
      <c r="K16" s="211">
        <v>637707.255490168</v>
      </c>
      <c r="L16" s="238"/>
      <c r="M16" s="292" t="s">
        <v>70</v>
      </c>
      <c r="N16" s="282"/>
      <c r="O16" s="282"/>
      <c r="P16" s="282"/>
      <c r="Q16" s="293">
        <v>1122741</v>
      </c>
      <c r="R16" s="283"/>
      <c r="S16" s="178" t="s">
        <v>70</v>
      </c>
      <c r="T16" s="169"/>
      <c r="U16" s="169"/>
      <c r="V16" s="169"/>
      <c r="W16" s="179">
        <v>832361</v>
      </c>
      <c r="X16" s="250"/>
      <c r="Y16" s="124" t="s">
        <v>70</v>
      </c>
      <c r="Z16" s="115"/>
      <c r="AA16" s="115"/>
      <c r="AB16" s="115"/>
      <c r="AC16" s="125">
        <v>1057229.1646778199</v>
      </c>
      <c r="AD16" s="115"/>
      <c r="AE16" s="89" t="s">
        <v>70</v>
      </c>
      <c r="AF16" s="80"/>
      <c r="AG16" s="80"/>
      <c r="AH16" s="80"/>
      <c r="AI16" s="90">
        <v>1098327.94009028</v>
      </c>
      <c r="AJ16" s="80"/>
    </row>
    <row r="17" spans="1:36" x14ac:dyDescent="0.2">
      <c r="A17" s="336"/>
      <c r="B17" s="326"/>
      <c r="C17" s="326"/>
      <c r="D17" s="344"/>
      <c r="E17" s="337"/>
      <c r="F17" s="327"/>
      <c r="G17" s="210"/>
      <c r="H17" s="201"/>
      <c r="I17" s="201"/>
      <c r="J17" s="217"/>
      <c r="K17" s="211"/>
      <c r="L17" s="238"/>
      <c r="M17" s="292"/>
      <c r="N17" s="282"/>
      <c r="O17" s="282"/>
      <c r="P17" s="300"/>
      <c r="Q17" s="293"/>
      <c r="R17" s="283"/>
      <c r="S17" s="178"/>
      <c r="T17" s="169"/>
      <c r="U17" s="169"/>
      <c r="V17" s="185"/>
      <c r="W17" s="179"/>
      <c r="X17" s="250"/>
      <c r="Y17" s="124"/>
      <c r="Z17" s="115"/>
      <c r="AA17" s="115"/>
      <c r="AB17" s="130"/>
      <c r="AC17" s="125"/>
      <c r="AD17" s="115"/>
      <c r="AE17" s="89"/>
      <c r="AF17" s="80"/>
      <c r="AG17" s="80"/>
      <c r="AH17" s="95"/>
      <c r="AI17" s="90"/>
      <c r="AJ17" s="80"/>
    </row>
    <row r="18" spans="1:36" ht="15" x14ac:dyDescent="0.35">
      <c r="A18" s="336"/>
      <c r="B18" s="326"/>
      <c r="C18" s="326"/>
      <c r="D18" s="341"/>
      <c r="E18" s="337"/>
      <c r="F18" s="327"/>
      <c r="G18" s="210"/>
      <c r="H18" s="201"/>
      <c r="I18" s="201"/>
      <c r="J18" s="215"/>
      <c r="K18" s="211"/>
      <c r="L18" s="238"/>
      <c r="M18" s="292"/>
      <c r="N18" s="282"/>
      <c r="O18" s="282"/>
      <c r="P18" s="297"/>
      <c r="Q18" s="293"/>
      <c r="R18" s="283"/>
      <c r="S18" s="178"/>
      <c r="T18" s="169"/>
      <c r="U18" s="169"/>
      <c r="V18" s="183"/>
      <c r="W18" s="179"/>
      <c r="X18" s="250"/>
      <c r="Y18" s="124"/>
      <c r="Z18" s="115"/>
      <c r="AA18" s="115"/>
      <c r="AB18" s="128"/>
      <c r="AC18" s="125"/>
      <c r="AD18" s="115"/>
      <c r="AE18" s="89"/>
      <c r="AF18" s="80"/>
      <c r="AG18" s="80"/>
      <c r="AH18" s="93"/>
      <c r="AI18" s="90"/>
      <c r="AJ18" s="80"/>
    </row>
    <row r="19" spans="1:36" ht="15" x14ac:dyDescent="0.35">
      <c r="A19" s="336"/>
      <c r="B19" s="326"/>
      <c r="C19" s="326"/>
      <c r="D19" s="326"/>
      <c r="E19" s="341"/>
      <c r="F19" s="327"/>
      <c r="G19" s="210"/>
      <c r="H19" s="201"/>
      <c r="I19" s="201"/>
      <c r="J19" s="201"/>
      <c r="K19" s="215"/>
      <c r="L19" s="238"/>
      <c r="M19" s="292"/>
      <c r="N19" s="282"/>
      <c r="O19" s="282"/>
      <c r="P19" s="282"/>
      <c r="Q19" s="297"/>
      <c r="R19" s="283"/>
      <c r="S19" s="178"/>
      <c r="T19" s="169"/>
      <c r="U19" s="169"/>
      <c r="V19" s="169"/>
      <c r="W19" s="183"/>
      <c r="X19" s="250"/>
      <c r="Y19" s="124"/>
      <c r="Z19" s="115"/>
      <c r="AA19" s="115"/>
      <c r="AB19" s="115"/>
      <c r="AC19" s="128"/>
      <c r="AD19" s="115"/>
      <c r="AE19" s="89"/>
      <c r="AF19" s="80"/>
      <c r="AG19" s="80"/>
      <c r="AH19" s="80"/>
      <c r="AI19" s="93"/>
      <c r="AJ19" s="80"/>
    </row>
    <row r="20" spans="1:36" x14ac:dyDescent="0.2">
      <c r="A20" s="345"/>
      <c r="B20" s="326"/>
      <c r="C20" s="326"/>
      <c r="D20" s="326"/>
      <c r="E20" s="337"/>
      <c r="F20" s="327"/>
      <c r="G20" s="218"/>
      <c r="H20" s="201"/>
      <c r="I20" s="201"/>
      <c r="J20" s="201"/>
      <c r="K20" s="211"/>
      <c r="L20" s="238"/>
      <c r="M20" s="301"/>
      <c r="N20" s="282"/>
      <c r="O20" s="282"/>
      <c r="P20" s="282"/>
      <c r="Q20" s="293"/>
      <c r="R20" s="283"/>
      <c r="S20" s="186"/>
      <c r="T20" s="169"/>
      <c r="U20" s="169"/>
      <c r="V20" s="169"/>
      <c r="W20" s="179"/>
      <c r="X20" s="250"/>
      <c r="Y20" s="131"/>
      <c r="Z20" s="115"/>
      <c r="AA20" s="115"/>
      <c r="AB20" s="115"/>
      <c r="AC20" s="125"/>
      <c r="AD20" s="115"/>
      <c r="AE20" s="96"/>
      <c r="AF20" s="80"/>
      <c r="AG20" s="80"/>
      <c r="AH20" s="80"/>
      <c r="AI20" s="90"/>
      <c r="AJ20" s="80"/>
    </row>
    <row r="21" spans="1:36" x14ac:dyDescent="0.2">
      <c r="A21" s="330"/>
      <c r="B21" s="326"/>
      <c r="C21" s="326"/>
      <c r="D21" s="326"/>
      <c r="E21" s="326"/>
      <c r="F21" s="327"/>
      <c r="G21" s="204"/>
      <c r="H21" s="201"/>
      <c r="I21" s="201"/>
      <c r="J21" s="201"/>
      <c r="K21" s="201"/>
      <c r="L21" s="238"/>
      <c r="M21" s="286"/>
      <c r="N21" s="282"/>
      <c r="O21" s="282"/>
      <c r="P21" s="282"/>
      <c r="Q21" s="282"/>
      <c r="R21" s="283"/>
      <c r="S21" s="172"/>
      <c r="T21" s="169"/>
      <c r="U21" s="169"/>
      <c r="V21" s="169"/>
      <c r="W21" s="169"/>
      <c r="X21" s="250"/>
      <c r="Y21" s="118"/>
      <c r="Z21" s="115"/>
      <c r="AA21" s="115"/>
      <c r="AB21" s="115"/>
      <c r="AC21" s="115"/>
      <c r="AD21" s="115"/>
      <c r="AE21" s="83"/>
      <c r="AF21" s="80"/>
      <c r="AG21" s="80"/>
      <c r="AH21" s="80"/>
      <c r="AI21" s="80"/>
      <c r="AJ21" s="80"/>
    </row>
    <row r="22" spans="1:36" x14ac:dyDescent="0.2">
      <c r="A22" s="330" t="s">
        <v>71</v>
      </c>
      <c r="B22" s="326"/>
      <c r="C22" s="326"/>
      <c r="D22" s="326"/>
      <c r="E22" s="337">
        <f>E16-E14</f>
        <v>-266204.27511531994</v>
      </c>
      <c r="F22" s="327"/>
      <c r="G22" s="204" t="s">
        <v>71</v>
      </c>
      <c r="H22" s="201"/>
      <c r="I22" s="201"/>
      <c r="J22" s="201"/>
      <c r="K22" s="211">
        <f>K16-K14</f>
        <v>-489492.73450983199</v>
      </c>
      <c r="L22" s="238"/>
      <c r="M22" s="286" t="s">
        <v>71</v>
      </c>
      <c r="N22" s="282"/>
      <c r="O22" s="282"/>
      <c r="P22" s="282"/>
      <c r="Q22" s="293">
        <f>Q16-Q14</f>
        <v>221519.15999999992</v>
      </c>
      <c r="R22" s="283"/>
      <c r="S22" s="172" t="s">
        <v>71</v>
      </c>
      <c r="T22" s="169"/>
      <c r="U22" s="169"/>
      <c r="V22" s="169"/>
      <c r="W22" s="179">
        <f>W16-W14</f>
        <v>-261899.87000000011</v>
      </c>
      <c r="X22" s="250"/>
      <c r="Y22" s="118" t="s">
        <v>71</v>
      </c>
      <c r="Z22" s="115"/>
      <c r="AA22" s="115"/>
      <c r="AB22" s="115"/>
      <c r="AC22" s="125">
        <f>AC16-AC14</f>
        <v>-47500.962721373653</v>
      </c>
      <c r="AD22" s="115"/>
      <c r="AE22" s="83" t="s">
        <v>71</v>
      </c>
      <c r="AF22" s="80"/>
      <c r="AG22" s="80"/>
      <c r="AH22" s="80"/>
      <c r="AI22" s="90">
        <f>AI16-AI14</f>
        <v>-7445.9899097199086</v>
      </c>
      <c r="AJ22" s="80"/>
    </row>
    <row r="23" spans="1:36" x14ac:dyDescent="0.2">
      <c r="A23" s="330"/>
      <c r="B23" s="326"/>
      <c r="C23" s="326"/>
      <c r="D23" s="326"/>
      <c r="E23" s="326"/>
      <c r="F23" s="327"/>
      <c r="G23" s="204"/>
      <c r="H23" s="201"/>
      <c r="I23" s="201"/>
      <c r="J23" s="201"/>
      <c r="K23" s="201"/>
      <c r="L23" s="238"/>
      <c r="M23" s="286"/>
      <c r="N23" s="282"/>
      <c r="O23" s="282"/>
      <c r="P23" s="282"/>
      <c r="Q23" s="282"/>
      <c r="R23" s="283"/>
      <c r="S23" s="172"/>
      <c r="T23" s="169"/>
      <c r="U23" s="169"/>
      <c r="V23" s="169"/>
      <c r="W23" s="169"/>
      <c r="X23" s="250"/>
      <c r="Y23" s="118"/>
      <c r="Z23" s="115"/>
      <c r="AA23" s="115"/>
      <c r="AB23" s="115"/>
      <c r="AC23" s="115"/>
      <c r="AD23" s="115"/>
      <c r="AE23" s="83"/>
      <c r="AF23" s="80"/>
      <c r="AG23" s="80"/>
      <c r="AH23" s="80"/>
      <c r="AI23" s="80"/>
      <c r="AJ23" s="80"/>
    </row>
    <row r="24" spans="1:36" x14ac:dyDescent="0.2">
      <c r="A24" s="330" t="s">
        <v>72</v>
      </c>
      <c r="B24" s="326"/>
      <c r="C24" s="326"/>
      <c r="D24" s="326"/>
      <c r="E24" s="337">
        <f>+C14</f>
        <v>559017</v>
      </c>
      <c r="F24" s="327"/>
      <c r="G24" s="204" t="s">
        <v>72</v>
      </c>
      <c r="H24" s="201"/>
      <c r="I24" s="201"/>
      <c r="J24" s="201"/>
      <c r="K24" s="211">
        <f>+I14</f>
        <v>550573</v>
      </c>
      <c r="L24" s="238"/>
      <c r="M24" s="286" t="s">
        <v>72</v>
      </c>
      <c r="N24" s="282"/>
      <c r="O24" s="282"/>
      <c r="P24" s="282"/>
      <c r="Q24" s="293">
        <f>+O14</f>
        <v>526959</v>
      </c>
      <c r="R24" s="283"/>
      <c r="S24" s="172" t="s">
        <v>72</v>
      </c>
      <c r="T24" s="169"/>
      <c r="U24" s="169"/>
      <c r="V24" s="169"/>
      <c r="W24" s="179">
        <f>+U14</f>
        <v>510979</v>
      </c>
      <c r="X24" s="250"/>
      <c r="Y24" s="118" t="s">
        <v>72</v>
      </c>
      <c r="Z24" s="115"/>
      <c r="AA24" s="115"/>
      <c r="AB24" s="115"/>
      <c r="AC24" s="125">
        <f>+AA14</f>
        <v>497790</v>
      </c>
      <c r="AD24" s="115"/>
      <c r="AE24" s="83" t="s">
        <v>72</v>
      </c>
      <c r="AF24" s="80"/>
      <c r="AG24" s="80"/>
      <c r="AH24" s="80"/>
      <c r="AI24" s="90">
        <f>+AG14</f>
        <v>488432</v>
      </c>
      <c r="AJ24" s="80"/>
    </row>
    <row r="25" spans="1:36" x14ac:dyDescent="0.2">
      <c r="A25" s="330"/>
      <c r="B25" s="326"/>
      <c r="C25" s="326"/>
      <c r="D25" s="326"/>
      <c r="E25" s="326"/>
      <c r="F25" s="327"/>
      <c r="G25" s="204"/>
      <c r="H25" s="201"/>
      <c r="I25" s="201"/>
      <c r="J25" s="201"/>
      <c r="K25" s="201"/>
      <c r="L25" s="238"/>
      <c r="M25" s="286"/>
      <c r="N25" s="282"/>
      <c r="O25" s="282"/>
      <c r="P25" s="282"/>
      <c r="Q25" s="282"/>
      <c r="R25" s="283"/>
      <c r="S25" s="172"/>
      <c r="T25" s="169"/>
      <c r="U25" s="169"/>
      <c r="V25" s="169"/>
      <c r="W25" s="169"/>
      <c r="X25" s="250"/>
      <c r="Y25" s="118"/>
      <c r="Z25" s="115"/>
      <c r="AA25" s="115"/>
      <c r="AB25" s="115"/>
      <c r="AC25" s="115"/>
      <c r="AD25" s="115"/>
      <c r="AE25" s="83"/>
      <c r="AF25" s="80"/>
      <c r="AG25" s="80"/>
      <c r="AH25" s="80"/>
      <c r="AI25" s="80"/>
      <c r="AJ25" s="80"/>
    </row>
    <row r="26" spans="1:36" x14ac:dyDescent="0.2">
      <c r="A26" s="330" t="s">
        <v>73</v>
      </c>
      <c r="B26" s="326"/>
      <c r="C26" s="326"/>
      <c r="D26" s="326"/>
      <c r="E26" s="326"/>
      <c r="F26" s="346">
        <f>ROUND(E22/E24,2)</f>
        <v>-0.48</v>
      </c>
      <c r="G26" s="204" t="s">
        <v>73</v>
      </c>
      <c r="H26" s="201"/>
      <c r="I26" s="201"/>
      <c r="J26" s="201"/>
      <c r="K26" s="201"/>
      <c r="L26" s="240">
        <f>ROUND(K22/K24,2)</f>
        <v>-0.89</v>
      </c>
      <c r="M26" s="286" t="s">
        <v>73</v>
      </c>
      <c r="N26" s="282"/>
      <c r="O26" s="282"/>
      <c r="P26" s="282"/>
      <c r="Q26" s="282"/>
      <c r="R26" s="302">
        <f>ROUND(Q22/Q24,2)</f>
        <v>0.42</v>
      </c>
      <c r="S26" s="172" t="s">
        <v>73</v>
      </c>
      <c r="T26" s="169"/>
      <c r="U26" s="169"/>
      <c r="V26" s="169"/>
      <c r="W26" s="169"/>
      <c r="X26" s="252">
        <f>ROUND(W22/W24,2)</f>
        <v>-0.51</v>
      </c>
      <c r="Y26" s="118" t="s">
        <v>73</v>
      </c>
      <c r="Z26" s="115"/>
      <c r="AA26" s="115"/>
      <c r="AB26" s="115"/>
      <c r="AC26" s="115"/>
      <c r="AD26" s="132">
        <f>ROUND(AC22/AC24,2)</f>
        <v>-0.1</v>
      </c>
      <c r="AE26" s="83" t="s">
        <v>73</v>
      </c>
      <c r="AF26" s="80"/>
      <c r="AG26" s="80"/>
      <c r="AH26" s="80"/>
      <c r="AI26" s="80"/>
      <c r="AJ26" s="97">
        <f>ROUND(AI22/AI24,2)</f>
        <v>-0.02</v>
      </c>
    </row>
    <row r="27" spans="1:36" x14ac:dyDescent="0.2">
      <c r="A27" s="330"/>
      <c r="B27" s="326"/>
      <c r="C27" s="326"/>
      <c r="D27" s="326"/>
      <c r="E27" s="326"/>
      <c r="F27" s="346"/>
      <c r="G27" s="204"/>
      <c r="H27" s="201"/>
      <c r="I27" s="201"/>
      <c r="J27" s="201"/>
      <c r="K27" s="201"/>
      <c r="L27" s="240"/>
      <c r="M27" s="286"/>
      <c r="N27" s="282"/>
      <c r="O27" s="282"/>
      <c r="P27" s="282"/>
      <c r="Q27" s="282"/>
      <c r="R27" s="302"/>
      <c r="S27" s="172"/>
      <c r="T27" s="169"/>
      <c r="U27" s="169"/>
      <c r="V27" s="169"/>
      <c r="W27" s="169"/>
      <c r="X27" s="252"/>
      <c r="Y27" s="118"/>
      <c r="Z27" s="115"/>
      <c r="AA27" s="115"/>
      <c r="AB27" s="115"/>
      <c r="AC27" s="115"/>
      <c r="AD27" s="132"/>
      <c r="AE27" s="83"/>
      <c r="AF27" s="80"/>
      <c r="AG27" s="80"/>
      <c r="AH27" s="80"/>
      <c r="AI27" s="80"/>
      <c r="AJ27" s="97"/>
    </row>
    <row r="28" spans="1:36" ht="17.25" customHeight="1" x14ac:dyDescent="0.35">
      <c r="A28" s="333" t="s">
        <v>137</v>
      </c>
      <c r="B28" s="334"/>
      <c r="C28" s="326"/>
      <c r="D28" s="326"/>
      <c r="E28" s="337">
        <f>'Calculation of Revenue'!F25/6*12</f>
        <v>341570.34487279999</v>
      </c>
      <c r="F28" s="346"/>
      <c r="G28" s="207" t="s">
        <v>125</v>
      </c>
      <c r="H28" s="208"/>
      <c r="I28" s="201"/>
      <c r="J28" s="201"/>
      <c r="K28" s="211">
        <v>546247.85422163608</v>
      </c>
      <c r="L28" s="240"/>
      <c r="M28" s="289" t="s">
        <v>113</v>
      </c>
      <c r="N28" s="290"/>
      <c r="O28" s="282"/>
      <c r="P28" s="282"/>
      <c r="Q28" s="293">
        <f>+Q16</f>
        <v>1122741</v>
      </c>
      <c r="R28" s="302"/>
      <c r="S28" s="175" t="s">
        <v>111</v>
      </c>
      <c r="T28" s="176"/>
      <c r="U28" s="169"/>
      <c r="V28" s="169"/>
      <c r="W28" s="179">
        <f>+W16</f>
        <v>832361</v>
      </c>
      <c r="X28" s="252"/>
      <c r="Y28" s="121" t="s">
        <v>104</v>
      </c>
      <c r="Z28" s="122"/>
      <c r="AA28" s="115"/>
      <c r="AB28" s="115"/>
      <c r="AC28" s="125">
        <f>+AC16</f>
        <v>1057229.1646778199</v>
      </c>
      <c r="AD28" s="132"/>
      <c r="AE28" s="86" t="s">
        <v>100</v>
      </c>
      <c r="AF28" s="87"/>
      <c r="AG28" s="80"/>
      <c r="AH28" s="80"/>
      <c r="AI28" s="90">
        <f>+AI16</f>
        <v>1098327.94009028</v>
      </c>
      <c r="AJ28" s="97"/>
    </row>
    <row r="29" spans="1:36" x14ac:dyDescent="0.2">
      <c r="A29" s="330" t="s">
        <v>72</v>
      </c>
      <c r="B29" s="326"/>
      <c r="C29" s="326"/>
      <c r="D29" s="326"/>
      <c r="E29" s="337">
        <f>+C14</f>
        <v>559017</v>
      </c>
      <c r="F29" s="346"/>
      <c r="G29" s="204" t="s">
        <v>72</v>
      </c>
      <c r="H29" s="201"/>
      <c r="I29" s="201"/>
      <c r="J29" s="201"/>
      <c r="K29" s="211">
        <f>+I14</f>
        <v>550573</v>
      </c>
      <c r="L29" s="240"/>
      <c r="M29" s="286" t="s">
        <v>72</v>
      </c>
      <c r="N29" s="282"/>
      <c r="O29" s="282"/>
      <c r="P29" s="282"/>
      <c r="Q29" s="293">
        <f>+O14</f>
        <v>526959</v>
      </c>
      <c r="R29" s="302"/>
      <c r="S29" s="172" t="s">
        <v>72</v>
      </c>
      <c r="T29" s="169"/>
      <c r="U29" s="169"/>
      <c r="V29" s="169"/>
      <c r="W29" s="179">
        <f>+U14</f>
        <v>510979</v>
      </c>
      <c r="X29" s="252"/>
      <c r="Y29" s="118" t="s">
        <v>72</v>
      </c>
      <c r="Z29" s="115"/>
      <c r="AA29" s="115"/>
      <c r="AB29" s="115"/>
      <c r="AC29" s="125">
        <f>+AA14</f>
        <v>497790</v>
      </c>
      <c r="AD29" s="132"/>
      <c r="AE29" s="83" t="s">
        <v>72</v>
      </c>
      <c r="AF29" s="80"/>
      <c r="AG29" s="80"/>
      <c r="AH29" s="80"/>
      <c r="AI29" s="90">
        <f>+AG14</f>
        <v>488432</v>
      </c>
      <c r="AJ29" s="97"/>
    </row>
    <row r="30" spans="1:36" ht="15" x14ac:dyDescent="0.35">
      <c r="A30" s="330" t="s">
        <v>74</v>
      </c>
      <c r="B30" s="326"/>
      <c r="C30" s="326"/>
      <c r="D30" s="326"/>
      <c r="E30" s="326"/>
      <c r="F30" s="347">
        <f>ROUND(+E28/E29,2)</f>
        <v>0.61</v>
      </c>
      <c r="G30" s="204" t="s">
        <v>74</v>
      </c>
      <c r="H30" s="201"/>
      <c r="I30" s="201"/>
      <c r="J30" s="201"/>
      <c r="K30" s="201"/>
      <c r="L30" s="241">
        <f>ROUND(+K28/K29,2)</f>
        <v>0.99</v>
      </c>
      <c r="M30" s="286" t="s">
        <v>74</v>
      </c>
      <c r="N30" s="282"/>
      <c r="O30" s="282"/>
      <c r="P30" s="282"/>
      <c r="Q30" s="282"/>
      <c r="R30" s="303">
        <f>ROUND(+Q28/Q29,2)</f>
        <v>2.13</v>
      </c>
      <c r="S30" s="172" t="s">
        <v>74</v>
      </c>
      <c r="T30" s="169"/>
      <c r="U30" s="169"/>
      <c r="V30" s="169"/>
      <c r="W30" s="169"/>
      <c r="X30" s="253">
        <f>ROUND(+W28/W29,2)</f>
        <v>1.63</v>
      </c>
      <c r="Y30" s="118" t="s">
        <v>74</v>
      </c>
      <c r="Z30" s="115"/>
      <c r="AA30" s="115"/>
      <c r="AB30" s="115"/>
      <c r="AC30" s="115"/>
      <c r="AD30" s="133">
        <f>ROUND(+AC28/AC29,2)</f>
        <v>2.12</v>
      </c>
      <c r="AE30" s="83" t="s">
        <v>74</v>
      </c>
      <c r="AF30" s="80"/>
      <c r="AG30" s="80"/>
      <c r="AH30" s="80"/>
      <c r="AI30" s="80"/>
      <c r="AJ30" s="98">
        <f>+AI28/AI29</f>
        <v>2.2486813724127002</v>
      </c>
    </row>
    <row r="31" spans="1:36" x14ac:dyDescent="0.2">
      <c r="A31" s="330"/>
      <c r="B31" s="326"/>
      <c r="C31" s="326"/>
      <c r="D31" s="326"/>
      <c r="E31" s="326"/>
      <c r="F31" s="346"/>
      <c r="G31" s="204"/>
      <c r="H31" s="201"/>
      <c r="I31" s="201"/>
      <c r="J31" s="201"/>
      <c r="K31" s="201"/>
      <c r="L31" s="240"/>
      <c r="M31" s="286"/>
      <c r="N31" s="282"/>
      <c r="O31" s="282"/>
      <c r="P31" s="282"/>
      <c r="Q31" s="282"/>
      <c r="R31" s="302"/>
      <c r="S31" s="172"/>
      <c r="T31" s="169"/>
      <c r="U31" s="169"/>
      <c r="V31" s="169"/>
      <c r="W31" s="169"/>
      <c r="X31" s="252"/>
      <c r="Y31" s="118"/>
      <c r="Z31" s="115"/>
      <c r="AA31" s="115"/>
      <c r="AB31" s="115"/>
      <c r="AC31" s="115"/>
      <c r="AD31" s="132"/>
      <c r="AE31" s="83"/>
      <c r="AF31" s="80"/>
      <c r="AG31" s="80"/>
      <c r="AH31" s="80"/>
      <c r="AI31" s="80"/>
      <c r="AJ31" s="97"/>
    </row>
    <row r="32" spans="1:36" ht="18.75" thickBot="1" x14ac:dyDescent="0.4">
      <c r="A32" s="323" t="s">
        <v>75</v>
      </c>
      <c r="B32" s="324"/>
      <c r="C32" s="326"/>
      <c r="D32" s="326"/>
      <c r="E32" s="326"/>
      <c r="F32" s="348">
        <f>+F26+F30</f>
        <v>0.13</v>
      </c>
      <c r="G32" s="198" t="s">
        <v>75</v>
      </c>
      <c r="H32" s="199"/>
      <c r="I32" s="201"/>
      <c r="J32" s="201"/>
      <c r="K32" s="201"/>
      <c r="L32" s="242">
        <f>+L26+L30</f>
        <v>9.9999999999999978E-2</v>
      </c>
      <c r="M32" s="279" t="s">
        <v>75</v>
      </c>
      <c r="N32" s="280"/>
      <c r="O32" s="282"/>
      <c r="P32" s="282"/>
      <c r="Q32" s="282"/>
      <c r="R32" s="304">
        <f>+R26+R30</f>
        <v>2.5499999999999998</v>
      </c>
      <c r="S32" s="166" t="s">
        <v>75</v>
      </c>
      <c r="T32" s="167"/>
      <c r="U32" s="169"/>
      <c r="V32" s="169"/>
      <c r="W32" s="169"/>
      <c r="X32" s="254">
        <f>+X26+X30</f>
        <v>1.1199999999999999</v>
      </c>
      <c r="Y32" s="112" t="s">
        <v>75</v>
      </c>
      <c r="Z32" s="113"/>
      <c r="AA32" s="115"/>
      <c r="AB32" s="115"/>
      <c r="AC32" s="115"/>
      <c r="AD32" s="134">
        <f>+AD26+AD30</f>
        <v>2.02</v>
      </c>
      <c r="AE32" s="77" t="s">
        <v>75</v>
      </c>
      <c r="AF32" s="78"/>
      <c r="AG32" s="80"/>
      <c r="AH32" s="80"/>
      <c r="AI32" s="80"/>
      <c r="AJ32" s="99">
        <f>+AJ26+AJ30</f>
        <v>2.2286813724127001</v>
      </c>
    </row>
    <row r="33" spans="1:36" ht="18.75" thickTop="1" x14ac:dyDescent="0.35">
      <c r="A33" s="323"/>
      <c r="B33" s="324"/>
      <c r="C33" s="326"/>
      <c r="D33" s="326"/>
      <c r="E33" s="326"/>
      <c r="F33" s="349"/>
      <c r="G33" s="198"/>
      <c r="H33" s="199"/>
      <c r="I33" s="201"/>
      <c r="J33" s="201"/>
      <c r="K33" s="201"/>
      <c r="L33" s="243"/>
      <c r="M33" s="279"/>
      <c r="N33" s="280"/>
      <c r="O33" s="282"/>
      <c r="P33" s="282"/>
      <c r="Q33" s="282"/>
      <c r="R33" s="305"/>
      <c r="S33" s="166"/>
      <c r="T33" s="167"/>
      <c r="U33" s="169"/>
      <c r="V33" s="169"/>
      <c r="W33" s="169"/>
      <c r="X33" s="255"/>
      <c r="Y33" s="112"/>
      <c r="Z33" s="113"/>
      <c r="AA33" s="115"/>
      <c r="AB33" s="115"/>
      <c r="AC33" s="115"/>
      <c r="AD33" s="135"/>
      <c r="AE33" s="77"/>
      <c r="AF33" s="78"/>
      <c r="AG33" s="80"/>
      <c r="AH33" s="80"/>
      <c r="AI33" s="80"/>
      <c r="AJ33" s="100"/>
    </row>
    <row r="34" spans="1:36" ht="18" x14ac:dyDescent="0.35">
      <c r="A34" s="323"/>
      <c r="B34" s="324"/>
      <c r="C34" s="326"/>
      <c r="D34" s="326"/>
      <c r="E34" s="326"/>
      <c r="F34" s="349"/>
      <c r="G34" s="198"/>
      <c r="H34" s="199"/>
      <c r="I34" s="201"/>
      <c r="J34" s="201"/>
      <c r="K34" s="201"/>
      <c r="L34" s="243"/>
      <c r="M34" s="279"/>
      <c r="N34" s="280"/>
      <c r="O34" s="282"/>
      <c r="P34" s="282"/>
      <c r="Q34" s="282"/>
      <c r="R34" s="305"/>
      <c r="S34" s="166"/>
      <c r="T34" s="167"/>
      <c r="U34" s="169"/>
      <c r="V34" s="169"/>
      <c r="W34" s="169"/>
      <c r="X34" s="255"/>
      <c r="Y34" s="112"/>
      <c r="Z34" s="113"/>
      <c r="AA34" s="115"/>
      <c r="AB34" s="115"/>
      <c r="AC34" s="115"/>
      <c r="AD34" s="135"/>
      <c r="AE34" s="77"/>
      <c r="AF34" s="78"/>
      <c r="AG34" s="80"/>
      <c r="AH34" s="80"/>
      <c r="AI34" s="80"/>
      <c r="AJ34" s="100"/>
    </row>
    <row r="35" spans="1:36" ht="19.5" x14ac:dyDescent="0.4">
      <c r="A35" s="350" t="s">
        <v>20</v>
      </c>
      <c r="B35" s="351"/>
      <c r="C35" s="351"/>
      <c r="D35" s="351"/>
      <c r="E35" s="351"/>
      <c r="F35" s="352"/>
      <c r="G35" s="264" t="s">
        <v>20</v>
      </c>
      <c r="H35" s="265"/>
      <c r="I35" s="265"/>
      <c r="J35" s="265"/>
      <c r="K35" s="265"/>
      <c r="L35" s="266"/>
      <c r="M35" s="306" t="s">
        <v>20</v>
      </c>
      <c r="N35" s="307"/>
      <c r="O35" s="307"/>
      <c r="P35" s="307"/>
      <c r="Q35" s="307"/>
      <c r="R35" s="308"/>
      <c r="S35" s="230" t="s">
        <v>20</v>
      </c>
      <c r="T35" s="231"/>
      <c r="U35" s="231"/>
      <c r="V35" s="231"/>
      <c r="W35" s="231"/>
      <c r="X35" s="256"/>
      <c r="Y35" s="228" t="s">
        <v>20</v>
      </c>
      <c r="Z35" s="229"/>
      <c r="AA35" s="229"/>
      <c r="AB35" s="229"/>
      <c r="AC35" s="229"/>
      <c r="AD35" s="229"/>
      <c r="AE35" s="232" t="s">
        <v>20</v>
      </c>
      <c r="AF35" s="233"/>
      <c r="AG35" s="233"/>
      <c r="AH35" s="233"/>
      <c r="AI35" s="233"/>
      <c r="AJ35" s="233"/>
    </row>
    <row r="36" spans="1:36" x14ac:dyDescent="0.2">
      <c r="A36" s="330"/>
      <c r="B36" s="326"/>
      <c r="C36" s="326"/>
      <c r="D36" s="326"/>
      <c r="E36" s="326"/>
      <c r="F36" s="327"/>
      <c r="G36" s="204"/>
      <c r="H36" s="201"/>
      <c r="I36" s="201"/>
      <c r="J36" s="201"/>
      <c r="K36" s="201"/>
      <c r="L36" s="238"/>
      <c r="M36" s="286"/>
      <c r="N36" s="282"/>
      <c r="O36" s="282"/>
      <c r="P36" s="282"/>
      <c r="Q36" s="282"/>
      <c r="R36" s="283"/>
      <c r="S36" s="172"/>
      <c r="T36" s="169"/>
      <c r="U36" s="169"/>
      <c r="V36" s="169"/>
      <c r="W36" s="169"/>
      <c r="X36" s="250"/>
      <c r="Y36" s="118"/>
      <c r="Z36" s="115"/>
      <c r="AA36" s="115"/>
      <c r="AB36" s="115"/>
      <c r="AC36" s="115"/>
      <c r="AD36" s="115"/>
      <c r="AE36" s="83"/>
      <c r="AF36" s="80"/>
      <c r="AG36" s="80"/>
      <c r="AH36" s="80"/>
      <c r="AI36" s="80"/>
      <c r="AJ36" s="80"/>
    </row>
    <row r="37" spans="1:36" x14ac:dyDescent="0.2">
      <c r="A37" s="330"/>
      <c r="B37" s="326"/>
      <c r="C37" s="331"/>
      <c r="D37" s="331" t="s">
        <v>66</v>
      </c>
      <c r="E37" s="331" t="s">
        <v>22</v>
      </c>
      <c r="F37" s="327"/>
      <c r="G37" s="204"/>
      <c r="H37" s="201"/>
      <c r="I37" s="205"/>
      <c r="J37" s="205" t="s">
        <v>66</v>
      </c>
      <c r="K37" s="205" t="s">
        <v>22</v>
      </c>
      <c r="L37" s="238"/>
      <c r="M37" s="286"/>
      <c r="N37" s="282"/>
      <c r="O37" s="287"/>
      <c r="P37" s="287" t="s">
        <v>66</v>
      </c>
      <c r="Q37" s="287" t="s">
        <v>22</v>
      </c>
      <c r="R37" s="283"/>
      <c r="S37" s="172"/>
      <c r="T37" s="169"/>
      <c r="U37" s="173"/>
      <c r="V37" s="173" t="s">
        <v>66</v>
      </c>
      <c r="W37" s="173" t="s">
        <v>22</v>
      </c>
      <c r="X37" s="250"/>
      <c r="Y37" s="118"/>
      <c r="Z37" s="115"/>
      <c r="AA37" s="119"/>
      <c r="AB37" s="119" t="s">
        <v>66</v>
      </c>
      <c r="AC37" s="119" t="s">
        <v>22</v>
      </c>
      <c r="AD37" s="115"/>
      <c r="AE37" s="83"/>
      <c r="AF37" s="80"/>
      <c r="AG37" s="84"/>
      <c r="AH37" s="84" t="s">
        <v>66</v>
      </c>
      <c r="AI37" s="84" t="s">
        <v>22</v>
      </c>
      <c r="AJ37" s="80"/>
    </row>
    <row r="38" spans="1:36" x14ac:dyDescent="0.2">
      <c r="A38" s="330"/>
      <c r="B38" s="326"/>
      <c r="C38" s="353" t="s">
        <v>30</v>
      </c>
      <c r="D38" s="353" t="s">
        <v>67</v>
      </c>
      <c r="E38" s="353" t="s">
        <v>28</v>
      </c>
      <c r="F38" s="327"/>
      <c r="G38" s="204"/>
      <c r="H38" s="201"/>
      <c r="I38" s="219" t="s">
        <v>30</v>
      </c>
      <c r="J38" s="219" t="s">
        <v>67</v>
      </c>
      <c r="K38" s="219" t="s">
        <v>28</v>
      </c>
      <c r="L38" s="238"/>
      <c r="M38" s="286"/>
      <c r="N38" s="282"/>
      <c r="O38" s="309" t="s">
        <v>30</v>
      </c>
      <c r="P38" s="309" t="s">
        <v>67</v>
      </c>
      <c r="Q38" s="309" t="s">
        <v>28</v>
      </c>
      <c r="R38" s="283"/>
      <c r="S38" s="172"/>
      <c r="T38" s="169"/>
      <c r="U38" s="187" t="s">
        <v>30</v>
      </c>
      <c r="V38" s="187" t="s">
        <v>67</v>
      </c>
      <c r="W38" s="187" t="s">
        <v>28</v>
      </c>
      <c r="X38" s="250"/>
      <c r="Y38" s="118"/>
      <c r="Z38" s="115"/>
      <c r="AA38" s="136" t="s">
        <v>30</v>
      </c>
      <c r="AB38" s="136" t="s">
        <v>67</v>
      </c>
      <c r="AC38" s="136" t="s">
        <v>28</v>
      </c>
      <c r="AD38" s="115"/>
      <c r="AE38" s="83"/>
      <c r="AF38" s="80"/>
      <c r="AG38" s="101" t="s">
        <v>30</v>
      </c>
      <c r="AH38" s="101" t="s">
        <v>67</v>
      </c>
      <c r="AI38" s="101" t="s">
        <v>28</v>
      </c>
      <c r="AJ38" s="80"/>
    </row>
    <row r="39" spans="1:36" ht="16.5" x14ac:dyDescent="0.35">
      <c r="A39" s="333" t="str">
        <f>A10</f>
        <v>Projected Revenue Sep 2018-Aug 2019</v>
      </c>
      <c r="B39" s="334"/>
      <c r="C39" s="335"/>
      <c r="D39" s="335"/>
      <c r="E39" s="335"/>
      <c r="F39" s="327"/>
      <c r="G39" s="207" t="str">
        <f>G10</f>
        <v>Projected Revenue Sep 2017-Aug 2018</v>
      </c>
      <c r="H39" s="208"/>
      <c r="I39" s="209"/>
      <c r="J39" s="209"/>
      <c r="K39" s="209"/>
      <c r="L39" s="238"/>
      <c r="M39" s="289" t="str">
        <f>M10</f>
        <v>Projected Revenue Sep 2016-Aug 2017</v>
      </c>
      <c r="N39" s="290"/>
      <c r="O39" s="291"/>
      <c r="P39" s="291"/>
      <c r="Q39" s="291"/>
      <c r="R39" s="283"/>
      <c r="S39" s="175" t="str">
        <f>S10</f>
        <v>Projected Revenue Sep 2015-Aug 2016</v>
      </c>
      <c r="T39" s="176"/>
      <c r="U39" s="177"/>
      <c r="V39" s="177"/>
      <c r="W39" s="177"/>
      <c r="X39" s="250"/>
      <c r="Y39" s="121" t="str">
        <f>Y10</f>
        <v>Projected Revenue Sep 2014-Aug 2015</v>
      </c>
      <c r="Z39" s="122"/>
      <c r="AA39" s="123"/>
      <c r="AB39" s="123"/>
      <c r="AC39" s="123"/>
      <c r="AD39" s="115"/>
      <c r="AE39" s="86" t="str">
        <f>AE10</f>
        <v>Projected Revenue Sep 2013-Aug 2014</v>
      </c>
      <c r="AF39" s="87"/>
      <c r="AG39" s="88"/>
      <c r="AH39" s="88"/>
      <c r="AI39" s="88"/>
      <c r="AJ39" s="80"/>
    </row>
    <row r="40" spans="1:36" x14ac:dyDescent="0.2">
      <c r="A40" s="336" t="s">
        <v>68</v>
      </c>
      <c r="B40" s="340"/>
      <c r="C40" s="337">
        <f>+'MF Units'!C9+'MF Units'!C10</f>
        <v>11761.868181818176</v>
      </c>
      <c r="D40" s="354">
        <f>+J42</f>
        <v>0.47</v>
      </c>
      <c r="E40" s="337">
        <f>C40*D40</f>
        <v>5528.078045454542</v>
      </c>
      <c r="F40" s="327"/>
      <c r="G40" s="210" t="s">
        <v>68</v>
      </c>
      <c r="H40" s="214"/>
      <c r="I40" s="211">
        <v>11389.822727272722</v>
      </c>
      <c r="J40" s="220">
        <v>0.34</v>
      </c>
      <c r="K40" s="211">
        <f>I40*J40</f>
        <v>3872.5397272727255</v>
      </c>
      <c r="L40" s="238"/>
      <c r="M40" s="292" t="s">
        <v>68</v>
      </c>
      <c r="N40" s="296"/>
      <c r="O40" s="293">
        <v>12789</v>
      </c>
      <c r="P40" s="310">
        <f>+V42</f>
        <v>0.39</v>
      </c>
      <c r="Q40" s="293">
        <f>O40*P40</f>
        <v>4987.71</v>
      </c>
      <c r="R40" s="283"/>
      <c r="S40" s="178" t="s">
        <v>68</v>
      </c>
      <c r="T40" s="182"/>
      <c r="U40" s="179">
        <v>12789</v>
      </c>
      <c r="V40" s="188">
        <v>0.39</v>
      </c>
      <c r="W40" s="179">
        <f>U40*V40</f>
        <v>4987.71</v>
      </c>
      <c r="X40" s="250"/>
      <c r="Y40" s="124" t="s">
        <v>68</v>
      </c>
      <c r="Z40" s="127"/>
      <c r="AA40" s="125">
        <v>12902</v>
      </c>
      <c r="AB40" s="126">
        <f>+AH42</f>
        <v>0.35</v>
      </c>
      <c r="AC40" s="125">
        <f>AA40*AB40</f>
        <v>4515.7</v>
      </c>
      <c r="AD40" s="115"/>
      <c r="AE40" s="89" t="s">
        <v>68</v>
      </c>
      <c r="AF40" s="92"/>
      <c r="AG40" s="90">
        <v>12916</v>
      </c>
      <c r="AH40" s="91">
        <v>0.5</v>
      </c>
      <c r="AI40" s="90">
        <f>AG40*AH40</f>
        <v>6458</v>
      </c>
      <c r="AJ40" s="80"/>
    </row>
    <row r="41" spans="1:36" x14ac:dyDescent="0.2">
      <c r="A41" s="336"/>
      <c r="B41" s="340"/>
      <c r="C41" s="337"/>
      <c r="D41" s="354"/>
      <c r="E41" s="337"/>
      <c r="F41" s="327"/>
      <c r="G41" s="210"/>
      <c r="H41" s="214"/>
      <c r="I41" s="211"/>
      <c r="J41" s="220"/>
      <c r="K41" s="211"/>
      <c r="L41" s="238"/>
      <c r="M41" s="292"/>
      <c r="N41" s="296"/>
      <c r="O41" s="293"/>
      <c r="P41" s="310"/>
      <c r="Q41" s="293"/>
      <c r="R41" s="283"/>
      <c r="S41" s="178"/>
      <c r="T41" s="182"/>
      <c r="U41" s="179"/>
      <c r="V41" s="188"/>
      <c r="W41" s="179"/>
      <c r="X41" s="250"/>
      <c r="Y41" s="124"/>
      <c r="Z41" s="127"/>
      <c r="AA41" s="125"/>
      <c r="AB41" s="126"/>
      <c r="AC41" s="125"/>
      <c r="AD41" s="115"/>
      <c r="AE41" s="89"/>
      <c r="AF41" s="92"/>
      <c r="AG41" s="90"/>
      <c r="AH41" s="91"/>
      <c r="AI41" s="90"/>
      <c r="AJ41" s="80"/>
    </row>
    <row r="42" spans="1:36" ht="15" x14ac:dyDescent="0.35">
      <c r="A42" s="336" t="s">
        <v>69</v>
      </c>
      <c r="B42" s="340"/>
      <c r="C42" s="341">
        <f>SUM('MF Units'!C11:C20)</f>
        <v>59929.054545454521</v>
      </c>
      <c r="D42" s="354">
        <f>+L59</f>
        <v>0.28999999999999998</v>
      </c>
      <c r="E42" s="341">
        <f>C42*D42</f>
        <v>17379.425818181811</v>
      </c>
      <c r="F42" s="327"/>
      <c r="G42" s="210" t="s">
        <v>69</v>
      </c>
      <c r="H42" s="214"/>
      <c r="I42" s="215">
        <v>56963.338636363609</v>
      </c>
      <c r="J42" s="220">
        <v>0.47</v>
      </c>
      <c r="K42" s="215">
        <f>I42*J42</f>
        <v>26772.769159090894</v>
      </c>
      <c r="L42" s="238"/>
      <c r="M42" s="292" t="s">
        <v>69</v>
      </c>
      <c r="N42" s="296"/>
      <c r="O42" s="297">
        <v>62797</v>
      </c>
      <c r="P42" s="310">
        <f>+X59</f>
        <v>0.34</v>
      </c>
      <c r="Q42" s="297">
        <f>O42*P42</f>
        <v>21350.980000000003</v>
      </c>
      <c r="R42" s="283"/>
      <c r="S42" s="178" t="s">
        <v>69</v>
      </c>
      <c r="T42" s="182"/>
      <c r="U42" s="183">
        <v>62774</v>
      </c>
      <c r="V42" s="188">
        <v>0.39</v>
      </c>
      <c r="W42" s="183">
        <f>U42*V42</f>
        <v>24481.86</v>
      </c>
      <c r="X42" s="250"/>
      <c r="Y42" s="124" t="s">
        <v>69</v>
      </c>
      <c r="Z42" s="127"/>
      <c r="AA42" s="128">
        <v>64538</v>
      </c>
      <c r="AB42" s="126">
        <f>+AJ59</f>
        <v>0.39292263980369369</v>
      </c>
      <c r="AC42" s="128">
        <f>AA42*AB42</f>
        <v>25358.441327650784</v>
      </c>
      <c r="AD42" s="115"/>
      <c r="AE42" s="89" t="s">
        <v>69</v>
      </c>
      <c r="AF42" s="92"/>
      <c r="AG42" s="93">
        <v>64514</v>
      </c>
      <c r="AH42" s="91">
        <v>0.35</v>
      </c>
      <c r="AI42" s="93">
        <f>AG42*AH42</f>
        <v>22579.899999999998</v>
      </c>
      <c r="AJ42" s="80"/>
    </row>
    <row r="43" spans="1:36" x14ac:dyDescent="0.2">
      <c r="A43" s="330" t="s">
        <v>22</v>
      </c>
      <c r="B43" s="326"/>
      <c r="C43" s="337">
        <f>SUM(C40:C42)</f>
        <v>71690.9227272727</v>
      </c>
      <c r="D43" s="326"/>
      <c r="E43" s="337">
        <f>SUM(E40:E42)</f>
        <v>22907.503863636353</v>
      </c>
      <c r="F43" s="327"/>
      <c r="G43" s="204" t="s">
        <v>22</v>
      </c>
      <c r="H43" s="201"/>
      <c r="I43" s="211">
        <f>SUM(I40:I42)</f>
        <v>68353.161363636333</v>
      </c>
      <c r="J43" s="201"/>
      <c r="K43" s="211">
        <f>SUM(K40:K42)</f>
        <v>30645.308886363619</v>
      </c>
      <c r="L43" s="238"/>
      <c r="M43" s="286" t="s">
        <v>22</v>
      </c>
      <c r="N43" s="282"/>
      <c r="O43" s="293">
        <f>SUM(O40:O42)</f>
        <v>75586</v>
      </c>
      <c r="P43" s="282"/>
      <c r="Q43" s="293">
        <f>SUM(Q40:Q42)</f>
        <v>26338.690000000002</v>
      </c>
      <c r="R43" s="283"/>
      <c r="S43" s="172" t="s">
        <v>22</v>
      </c>
      <c r="T43" s="169"/>
      <c r="U43" s="179">
        <f>SUM(U40:U42)</f>
        <v>75563</v>
      </c>
      <c r="V43" s="169"/>
      <c r="W43" s="179">
        <f>SUM(W40:W42)</f>
        <v>29469.57</v>
      </c>
      <c r="X43" s="250"/>
      <c r="Y43" s="118" t="s">
        <v>22</v>
      </c>
      <c r="Z43" s="115"/>
      <c r="AA43" s="125">
        <f>SUM(AA40:AA42)</f>
        <v>77440</v>
      </c>
      <c r="AB43" s="115"/>
      <c r="AC43" s="125">
        <f>SUM(AC40:AC42)</f>
        <v>29874.141327650785</v>
      </c>
      <c r="AD43" s="115"/>
      <c r="AE43" s="83" t="s">
        <v>22</v>
      </c>
      <c r="AF43" s="80"/>
      <c r="AG43" s="90">
        <f>SUM(AG40:AG42)</f>
        <v>77430</v>
      </c>
      <c r="AH43" s="80"/>
      <c r="AI43" s="90">
        <f>SUM(AI40:AI42)</f>
        <v>29037.899999999998</v>
      </c>
      <c r="AJ43" s="80"/>
    </row>
    <row r="44" spans="1:36" x14ac:dyDescent="0.2">
      <c r="A44" s="330"/>
      <c r="B44" s="326"/>
      <c r="C44" s="326"/>
      <c r="D44" s="326"/>
      <c r="E44" s="326"/>
      <c r="F44" s="327"/>
      <c r="G44" s="204"/>
      <c r="H44" s="201"/>
      <c r="I44" s="201"/>
      <c r="J44" s="201"/>
      <c r="K44" s="201"/>
      <c r="L44" s="238"/>
      <c r="M44" s="286"/>
      <c r="N44" s="282"/>
      <c r="O44" s="282"/>
      <c r="P44" s="282"/>
      <c r="Q44" s="282"/>
      <c r="R44" s="283"/>
      <c r="S44" s="172"/>
      <c r="T44" s="169"/>
      <c r="U44" s="169"/>
      <c r="V44" s="169"/>
      <c r="W44" s="169"/>
      <c r="X44" s="250"/>
      <c r="Y44" s="118"/>
      <c r="Z44" s="115"/>
      <c r="AA44" s="115"/>
      <c r="AB44" s="115"/>
      <c r="AC44" s="115"/>
      <c r="AD44" s="115"/>
      <c r="AE44" s="83"/>
      <c r="AF44" s="80"/>
      <c r="AG44" s="80"/>
      <c r="AH44" s="80"/>
      <c r="AI44" s="80"/>
      <c r="AJ44" s="80"/>
    </row>
    <row r="45" spans="1:36" x14ac:dyDescent="0.2">
      <c r="A45" s="336" t="s">
        <v>70</v>
      </c>
      <c r="B45" s="326"/>
      <c r="C45" s="326"/>
      <c r="D45" s="326"/>
      <c r="E45" s="337">
        <f>+'Calculation of Revenue'!F45</f>
        <v>24111.722634559996</v>
      </c>
      <c r="F45" s="327"/>
      <c r="G45" s="210" t="s">
        <v>70</v>
      </c>
      <c r="H45" s="201"/>
      <c r="I45" s="201"/>
      <c r="J45" s="201"/>
      <c r="K45" s="211">
        <v>23808.617180365382</v>
      </c>
      <c r="L45" s="238"/>
      <c r="M45" s="292" t="s">
        <v>70</v>
      </c>
      <c r="N45" s="282"/>
      <c r="O45" s="282"/>
      <c r="P45" s="282"/>
      <c r="Q45" s="293">
        <v>35869</v>
      </c>
      <c r="R45" s="283"/>
      <c r="S45" s="178" t="s">
        <v>70</v>
      </c>
      <c r="T45" s="169"/>
      <c r="U45" s="169"/>
      <c r="V45" s="169"/>
      <c r="W45" s="179">
        <v>25821</v>
      </c>
      <c r="X45" s="250"/>
      <c r="Y45" s="124" t="s">
        <v>70</v>
      </c>
      <c r="Z45" s="115"/>
      <c r="AA45" s="115"/>
      <c r="AB45" s="115"/>
      <c r="AC45" s="125">
        <v>30075.481689875349</v>
      </c>
      <c r="AD45" s="115"/>
      <c r="AE45" s="89" t="s">
        <v>70</v>
      </c>
      <c r="AF45" s="80"/>
      <c r="AG45" s="80"/>
      <c r="AH45" s="80"/>
      <c r="AI45" s="90">
        <v>30424</v>
      </c>
      <c r="AJ45" s="80"/>
    </row>
    <row r="46" spans="1:36" x14ac:dyDescent="0.2">
      <c r="A46" s="336"/>
      <c r="B46" s="326"/>
      <c r="C46" s="326"/>
      <c r="D46" s="344"/>
      <c r="E46" s="337"/>
      <c r="F46" s="327"/>
      <c r="G46" s="210"/>
      <c r="H46" s="201"/>
      <c r="I46" s="201"/>
      <c r="J46" s="217"/>
      <c r="K46" s="211"/>
      <c r="L46" s="238"/>
      <c r="M46" s="292"/>
      <c r="N46" s="282"/>
      <c r="O46" s="282"/>
      <c r="P46" s="300"/>
      <c r="Q46" s="293"/>
      <c r="R46" s="283"/>
      <c r="S46" s="178"/>
      <c r="T46" s="169"/>
      <c r="U46" s="169"/>
      <c r="V46" s="185"/>
      <c r="W46" s="179"/>
      <c r="X46" s="250"/>
      <c r="Y46" s="124"/>
      <c r="Z46" s="115"/>
      <c r="AA46" s="115"/>
      <c r="AB46" s="130"/>
      <c r="AC46" s="125"/>
      <c r="AD46" s="115"/>
      <c r="AE46" s="89"/>
      <c r="AF46" s="80"/>
      <c r="AG46" s="80"/>
      <c r="AH46" s="95"/>
      <c r="AI46" s="90"/>
      <c r="AJ46" s="80"/>
    </row>
    <row r="47" spans="1:36" ht="15" x14ac:dyDescent="0.35">
      <c r="A47" s="336"/>
      <c r="B47" s="326"/>
      <c r="C47" s="326"/>
      <c r="D47" s="341"/>
      <c r="E47" s="337"/>
      <c r="F47" s="327"/>
      <c r="G47" s="210"/>
      <c r="H47" s="201"/>
      <c r="I47" s="201"/>
      <c r="J47" s="215"/>
      <c r="K47" s="211"/>
      <c r="L47" s="238"/>
      <c r="M47" s="292"/>
      <c r="N47" s="282"/>
      <c r="O47" s="282"/>
      <c r="P47" s="297"/>
      <c r="Q47" s="293"/>
      <c r="R47" s="283"/>
      <c r="S47" s="178"/>
      <c r="T47" s="169"/>
      <c r="U47" s="169"/>
      <c r="V47" s="183"/>
      <c r="W47" s="179"/>
      <c r="X47" s="250"/>
      <c r="Y47" s="124"/>
      <c r="Z47" s="115"/>
      <c r="AA47" s="115"/>
      <c r="AB47" s="128"/>
      <c r="AC47" s="125"/>
      <c r="AD47" s="115"/>
      <c r="AE47" s="89"/>
      <c r="AF47" s="80"/>
      <c r="AG47" s="80"/>
      <c r="AH47" s="93"/>
      <c r="AI47" s="90"/>
      <c r="AJ47" s="80"/>
    </row>
    <row r="48" spans="1:36" ht="15" x14ac:dyDescent="0.35">
      <c r="A48" s="336"/>
      <c r="B48" s="326"/>
      <c r="C48" s="326"/>
      <c r="D48" s="326"/>
      <c r="E48" s="341"/>
      <c r="F48" s="327"/>
      <c r="G48" s="210"/>
      <c r="H48" s="201"/>
      <c r="I48" s="201"/>
      <c r="J48" s="201"/>
      <c r="K48" s="215"/>
      <c r="L48" s="238"/>
      <c r="M48" s="292"/>
      <c r="N48" s="282"/>
      <c r="O48" s="282"/>
      <c r="P48" s="282"/>
      <c r="Q48" s="297"/>
      <c r="R48" s="283"/>
      <c r="S48" s="178"/>
      <c r="T48" s="169"/>
      <c r="U48" s="169"/>
      <c r="V48" s="169"/>
      <c r="W48" s="183"/>
      <c r="X48" s="250"/>
      <c r="Y48" s="124"/>
      <c r="Z48" s="115"/>
      <c r="AA48" s="115"/>
      <c r="AB48" s="115"/>
      <c r="AC48" s="128"/>
      <c r="AD48" s="115"/>
      <c r="AE48" s="89"/>
      <c r="AF48" s="80"/>
      <c r="AG48" s="80"/>
      <c r="AH48" s="80"/>
      <c r="AI48" s="93"/>
      <c r="AJ48" s="80"/>
    </row>
    <row r="49" spans="1:36" x14ac:dyDescent="0.2">
      <c r="A49" s="345"/>
      <c r="B49" s="326"/>
      <c r="C49" s="326"/>
      <c r="D49" s="326"/>
      <c r="E49" s="337"/>
      <c r="F49" s="327"/>
      <c r="G49" s="218"/>
      <c r="H49" s="201"/>
      <c r="I49" s="201"/>
      <c r="J49" s="201"/>
      <c r="K49" s="211"/>
      <c r="L49" s="238"/>
      <c r="M49" s="301"/>
      <c r="N49" s="282"/>
      <c r="O49" s="282"/>
      <c r="P49" s="282"/>
      <c r="Q49" s="293"/>
      <c r="R49" s="283"/>
      <c r="S49" s="186"/>
      <c r="T49" s="169"/>
      <c r="U49" s="169"/>
      <c r="V49" s="169"/>
      <c r="W49" s="179"/>
      <c r="X49" s="250"/>
      <c r="Y49" s="131"/>
      <c r="Z49" s="115"/>
      <c r="AA49" s="115"/>
      <c r="AB49" s="115"/>
      <c r="AC49" s="125"/>
      <c r="AD49" s="115"/>
      <c r="AE49" s="96"/>
      <c r="AF49" s="80"/>
      <c r="AG49" s="80"/>
      <c r="AH49" s="80"/>
      <c r="AI49" s="90"/>
      <c r="AJ49" s="80"/>
    </row>
    <row r="50" spans="1:36" x14ac:dyDescent="0.2">
      <c r="A50" s="345"/>
      <c r="B50" s="326"/>
      <c r="C50" s="326"/>
      <c r="D50" s="326"/>
      <c r="E50" s="337"/>
      <c r="F50" s="327"/>
      <c r="G50" s="218"/>
      <c r="H50" s="201"/>
      <c r="I50" s="201"/>
      <c r="J50" s="201"/>
      <c r="K50" s="211"/>
      <c r="L50" s="238"/>
      <c r="M50" s="301"/>
      <c r="N50" s="282"/>
      <c r="O50" s="282"/>
      <c r="P50" s="282"/>
      <c r="Q50" s="293"/>
      <c r="R50" s="283"/>
      <c r="S50" s="186"/>
      <c r="T50" s="169"/>
      <c r="U50" s="169"/>
      <c r="V50" s="169"/>
      <c r="W50" s="179"/>
      <c r="X50" s="250"/>
      <c r="Y50" s="131"/>
      <c r="Z50" s="115"/>
      <c r="AA50" s="115"/>
      <c r="AB50" s="115"/>
      <c r="AC50" s="125"/>
      <c r="AD50" s="115"/>
      <c r="AE50" s="96"/>
      <c r="AF50" s="80"/>
      <c r="AG50" s="80"/>
      <c r="AH50" s="80"/>
      <c r="AI50" s="90"/>
      <c r="AJ50" s="80"/>
    </row>
    <row r="51" spans="1:36" x14ac:dyDescent="0.2">
      <c r="A51" s="330" t="s">
        <v>71</v>
      </c>
      <c r="B51" s="326"/>
      <c r="C51" s="326"/>
      <c r="D51" s="326"/>
      <c r="E51" s="337">
        <f>E45-E43</f>
        <v>1204.2187709236423</v>
      </c>
      <c r="F51" s="327"/>
      <c r="G51" s="204" t="s">
        <v>71</v>
      </c>
      <c r="H51" s="201"/>
      <c r="I51" s="201"/>
      <c r="J51" s="201"/>
      <c r="K51" s="211">
        <f>K45-K43</f>
        <v>-6836.691705998237</v>
      </c>
      <c r="L51" s="238"/>
      <c r="M51" s="286" t="s">
        <v>71</v>
      </c>
      <c r="N51" s="282"/>
      <c r="O51" s="282"/>
      <c r="P51" s="282"/>
      <c r="Q51" s="293">
        <f>Q45-Q43</f>
        <v>9530.3099999999977</v>
      </c>
      <c r="R51" s="283"/>
      <c r="S51" s="172" t="s">
        <v>71</v>
      </c>
      <c r="T51" s="169"/>
      <c r="U51" s="169"/>
      <c r="V51" s="169"/>
      <c r="W51" s="179">
        <f>W45-W43</f>
        <v>-3648.5699999999997</v>
      </c>
      <c r="X51" s="250"/>
      <c r="Y51" s="118" t="s">
        <v>71</v>
      </c>
      <c r="Z51" s="115"/>
      <c r="AA51" s="115"/>
      <c r="AB51" s="115"/>
      <c r="AC51" s="125">
        <f>AC45-AC43</f>
        <v>201.34036222456416</v>
      </c>
      <c r="AD51" s="115"/>
      <c r="AE51" s="83" t="s">
        <v>71</v>
      </c>
      <c r="AF51" s="80"/>
      <c r="AG51" s="80"/>
      <c r="AH51" s="80"/>
      <c r="AI51" s="90">
        <f>AI45-AI43</f>
        <v>1386.1000000000022</v>
      </c>
      <c r="AJ51" s="80"/>
    </row>
    <row r="52" spans="1:36" x14ac:dyDescent="0.2">
      <c r="A52" s="330"/>
      <c r="B52" s="326"/>
      <c r="C52" s="326"/>
      <c r="D52" s="326"/>
      <c r="E52" s="326"/>
      <c r="F52" s="327"/>
      <c r="G52" s="204"/>
      <c r="H52" s="201"/>
      <c r="I52" s="201"/>
      <c r="J52" s="201"/>
      <c r="K52" s="201"/>
      <c r="L52" s="238"/>
      <c r="M52" s="286"/>
      <c r="N52" s="282"/>
      <c r="O52" s="282"/>
      <c r="P52" s="282"/>
      <c r="Q52" s="282"/>
      <c r="R52" s="283"/>
      <c r="S52" s="172"/>
      <c r="T52" s="169"/>
      <c r="U52" s="169"/>
      <c r="V52" s="169"/>
      <c r="W52" s="169"/>
      <c r="X52" s="250"/>
      <c r="Y52" s="118"/>
      <c r="Z52" s="115"/>
      <c r="AA52" s="115"/>
      <c r="AB52" s="115"/>
      <c r="AC52" s="115"/>
      <c r="AD52" s="115"/>
      <c r="AE52" s="83"/>
      <c r="AF52" s="80"/>
      <c r="AG52" s="80"/>
      <c r="AH52" s="80"/>
      <c r="AI52" s="80"/>
      <c r="AJ52" s="80"/>
    </row>
    <row r="53" spans="1:36" x14ac:dyDescent="0.2">
      <c r="A53" s="330" t="s">
        <v>72</v>
      </c>
      <c r="B53" s="326"/>
      <c r="C53" s="326"/>
      <c r="D53" s="326"/>
      <c r="E53" s="337">
        <f>+C43</f>
        <v>71690.9227272727</v>
      </c>
      <c r="F53" s="327"/>
      <c r="G53" s="204" t="s">
        <v>72</v>
      </c>
      <c r="H53" s="201"/>
      <c r="I53" s="201"/>
      <c r="J53" s="201"/>
      <c r="K53" s="211">
        <f>+I43</f>
        <v>68353.161363636333</v>
      </c>
      <c r="L53" s="238"/>
      <c r="M53" s="286" t="s">
        <v>72</v>
      </c>
      <c r="N53" s="282"/>
      <c r="O53" s="282"/>
      <c r="P53" s="282"/>
      <c r="Q53" s="293">
        <f>+O43</f>
        <v>75586</v>
      </c>
      <c r="R53" s="283"/>
      <c r="S53" s="172" t="s">
        <v>72</v>
      </c>
      <c r="T53" s="169"/>
      <c r="U53" s="169"/>
      <c r="V53" s="169"/>
      <c r="W53" s="179">
        <f>+U43</f>
        <v>75563</v>
      </c>
      <c r="X53" s="250"/>
      <c r="Y53" s="118" t="s">
        <v>72</v>
      </c>
      <c r="Z53" s="115"/>
      <c r="AA53" s="115"/>
      <c r="AB53" s="115"/>
      <c r="AC53" s="125">
        <f>+AA43</f>
        <v>77440</v>
      </c>
      <c r="AD53" s="115"/>
      <c r="AE53" s="83" t="s">
        <v>72</v>
      </c>
      <c r="AF53" s="80"/>
      <c r="AG53" s="80"/>
      <c r="AH53" s="80"/>
      <c r="AI53" s="90">
        <f>+AG43</f>
        <v>77430</v>
      </c>
      <c r="AJ53" s="80"/>
    </row>
    <row r="54" spans="1:36" x14ac:dyDescent="0.2">
      <c r="A54" s="330"/>
      <c r="B54" s="326"/>
      <c r="C54" s="326"/>
      <c r="D54" s="326"/>
      <c r="E54" s="326"/>
      <c r="F54" s="327"/>
      <c r="G54" s="204"/>
      <c r="H54" s="201"/>
      <c r="I54" s="201"/>
      <c r="J54" s="201"/>
      <c r="K54" s="201"/>
      <c r="L54" s="238"/>
      <c r="M54" s="286"/>
      <c r="N54" s="282"/>
      <c r="O54" s="282"/>
      <c r="P54" s="282"/>
      <c r="Q54" s="282"/>
      <c r="R54" s="283"/>
      <c r="S54" s="172"/>
      <c r="T54" s="169"/>
      <c r="U54" s="169"/>
      <c r="V54" s="169"/>
      <c r="W54" s="169"/>
      <c r="X54" s="250"/>
      <c r="Y54" s="118"/>
      <c r="Z54" s="115"/>
      <c r="AA54" s="115"/>
      <c r="AB54" s="115"/>
      <c r="AC54" s="115"/>
      <c r="AD54" s="115"/>
      <c r="AE54" s="83"/>
      <c r="AF54" s="80"/>
      <c r="AG54" s="80"/>
      <c r="AH54" s="80"/>
      <c r="AI54" s="80"/>
      <c r="AJ54" s="80"/>
    </row>
    <row r="55" spans="1:36" x14ac:dyDescent="0.2">
      <c r="A55" s="330" t="s">
        <v>73</v>
      </c>
      <c r="B55" s="326"/>
      <c r="C55" s="326"/>
      <c r="D55" s="326"/>
      <c r="E55" s="326"/>
      <c r="F55" s="355">
        <f>ROUND(E51/E53,2)</f>
        <v>0.02</v>
      </c>
      <c r="G55" s="204" t="s">
        <v>73</v>
      </c>
      <c r="H55" s="201"/>
      <c r="I55" s="201"/>
      <c r="J55" s="201"/>
      <c r="K55" s="201"/>
      <c r="L55" s="244">
        <f>ROUND(K51/K53,2)</f>
        <v>-0.1</v>
      </c>
      <c r="M55" s="286" t="s">
        <v>73</v>
      </c>
      <c r="N55" s="282"/>
      <c r="O55" s="282"/>
      <c r="P55" s="282"/>
      <c r="Q55" s="282"/>
      <c r="R55" s="311">
        <f>ROUND(Q51/Q53,2)</f>
        <v>0.13</v>
      </c>
      <c r="S55" s="172" t="s">
        <v>73</v>
      </c>
      <c r="T55" s="169"/>
      <c r="U55" s="169"/>
      <c r="V55" s="169"/>
      <c r="W55" s="169"/>
      <c r="X55" s="257">
        <f>ROUND(W51/W53,2)</f>
        <v>-0.05</v>
      </c>
      <c r="Y55" s="118" t="s">
        <v>73</v>
      </c>
      <c r="Z55" s="115"/>
      <c r="AA55" s="115"/>
      <c r="AB55" s="115"/>
      <c r="AC55" s="115"/>
      <c r="AD55" s="137">
        <f>ROUND(AC51/AC53,2)</f>
        <v>0</v>
      </c>
      <c r="AE55" s="83" t="s">
        <v>73</v>
      </c>
      <c r="AF55" s="80"/>
      <c r="AG55" s="80"/>
      <c r="AH55" s="80"/>
      <c r="AI55" s="80"/>
      <c r="AJ55" s="102">
        <f>ROUND(AI51/AI53,2)</f>
        <v>0.02</v>
      </c>
    </row>
    <row r="56" spans="1:36" x14ac:dyDescent="0.2">
      <c r="A56" s="330"/>
      <c r="B56" s="326"/>
      <c r="C56" s="326"/>
      <c r="D56" s="326"/>
      <c r="E56" s="337"/>
      <c r="F56" s="327"/>
      <c r="G56" s="204"/>
      <c r="H56" s="201"/>
      <c r="I56" s="201"/>
      <c r="J56" s="201"/>
      <c r="K56" s="211"/>
      <c r="L56" s="238"/>
      <c r="M56" s="286"/>
      <c r="N56" s="282"/>
      <c r="O56" s="282"/>
      <c r="P56" s="282"/>
      <c r="Q56" s="293"/>
      <c r="R56" s="283"/>
      <c r="S56" s="172"/>
      <c r="T56" s="169"/>
      <c r="U56" s="169"/>
      <c r="V56" s="169"/>
      <c r="W56" s="179"/>
      <c r="X56" s="250"/>
      <c r="Y56" s="118"/>
      <c r="Z56" s="115"/>
      <c r="AA56" s="115"/>
      <c r="AB56" s="115"/>
      <c r="AC56" s="125"/>
      <c r="AD56" s="115"/>
      <c r="AE56" s="83"/>
      <c r="AF56" s="80"/>
      <c r="AG56" s="80"/>
      <c r="AH56" s="80"/>
      <c r="AI56" s="90"/>
      <c r="AJ56" s="80"/>
    </row>
    <row r="57" spans="1:36" ht="16.5" x14ac:dyDescent="0.35">
      <c r="A57" s="333" t="str">
        <f>A28</f>
        <v>Projected Revenue Sep 2019-Aug 2020 (annualization of most recent six months)</v>
      </c>
      <c r="B57" s="334"/>
      <c r="C57" s="326"/>
      <c r="D57" s="326"/>
      <c r="E57" s="356">
        <f>'Calculation of Revenue'!F47*2</f>
        <v>20456.041750600001</v>
      </c>
      <c r="F57" s="327"/>
      <c r="G57" s="207" t="str">
        <f>G28</f>
        <v>Projected Revenue Sep 2018-Aug 2019 (annualization of most recent six months)</v>
      </c>
      <c r="H57" s="208"/>
      <c r="I57" s="201"/>
      <c r="J57" s="201"/>
      <c r="K57" s="221">
        <v>19998.544344284699</v>
      </c>
      <c r="L57" s="238"/>
      <c r="M57" s="289" t="str">
        <f>M28</f>
        <v>Projected Revenue Sep 2017-Aug 2018</v>
      </c>
      <c r="N57" s="290"/>
      <c r="O57" s="282"/>
      <c r="P57" s="282"/>
      <c r="Q57" s="312">
        <f>+Q45</f>
        <v>35869</v>
      </c>
      <c r="R57" s="283"/>
      <c r="S57" s="175" t="str">
        <f>S28</f>
        <v>Projected Revenue Sep 2016-Aug 2017</v>
      </c>
      <c r="T57" s="176"/>
      <c r="U57" s="169"/>
      <c r="V57" s="169"/>
      <c r="W57" s="189">
        <f>+W45</f>
        <v>25821</v>
      </c>
      <c r="X57" s="250"/>
      <c r="Y57" s="121" t="str">
        <f>Y28</f>
        <v>Projected Revenue Sep 2015-Aug 2016</v>
      </c>
      <c r="Z57" s="122"/>
      <c r="AA57" s="115"/>
      <c r="AB57" s="115"/>
      <c r="AC57" s="138">
        <f>+AC45</f>
        <v>30075.481689875349</v>
      </c>
      <c r="AD57" s="115"/>
      <c r="AE57" s="86" t="str">
        <f>AE28</f>
        <v>Projected Revenue Sep 2014-Aug 2015</v>
      </c>
      <c r="AF57" s="87"/>
      <c r="AG57" s="80"/>
      <c r="AH57" s="80"/>
      <c r="AI57" s="103">
        <f>+AI45</f>
        <v>30424</v>
      </c>
      <c r="AJ57" s="80"/>
    </row>
    <row r="58" spans="1:36" x14ac:dyDescent="0.2">
      <c r="A58" s="330" t="s">
        <v>72</v>
      </c>
      <c r="B58" s="326"/>
      <c r="C58" s="326"/>
      <c r="D58" s="326"/>
      <c r="E58" s="337">
        <f>+C43</f>
        <v>71690.9227272727</v>
      </c>
      <c r="F58" s="327"/>
      <c r="G58" s="204" t="s">
        <v>72</v>
      </c>
      <c r="H58" s="201"/>
      <c r="I58" s="201"/>
      <c r="J58" s="201"/>
      <c r="K58" s="211">
        <f>+I43</f>
        <v>68353.161363636333</v>
      </c>
      <c r="L58" s="238"/>
      <c r="M58" s="286" t="s">
        <v>72</v>
      </c>
      <c r="N58" s="282"/>
      <c r="O58" s="282"/>
      <c r="P58" s="282"/>
      <c r="Q58" s="293">
        <f>+O43</f>
        <v>75586</v>
      </c>
      <c r="R58" s="283"/>
      <c r="S58" s="172" t="s">
        <v>72</v>
      </c>
      <c r="T58" s="169"/>
      <c r="U58" s="169"/>
      <c r="V58" s="169"/>
      <c r="W58" s="179">
        <f>+U43</f>
        <v>75563</v>
      </c>
      <c r="X58" s="250"/>
      <c r="Y58" s="118" t="s">
        <v>72</v>
      </c>
      <c r="Z58" s="115"/>
      <c r="AA58" s="115"/>
      <c r="AB58" s="115"/>
      <c r="AC58" s="125">
        <f>+AA43</f>
        <v>77440</v>
      </c>
      <c r="AD58" s="115"/>
      <c r="AE58" s="83" t="s">
        <v>72</v>
      </c>
      <c r="AF58" s="80"/>
      <c r="AG58" s="80"/>
      <c r="AH58" s="80"/>
      <c r="AI58" s="90">
        <f>+AG43</f>
        <v>77430</v>
      </c>
      <c r="AJ58" s="80"/>
    </row>
    <row r="59" spans="1:36" ht="15" x14ac:dyDescent="0.35">
      <c r="A59" s="330" t="s">
        <v>74</v>
      </c>
      <c r="B59" s="326"/>
      <c r="C59" s="326"/>
      <c r="D59" s="326"/>
      <c r="E59" s="326"/>
      <c r="F59" s="357">
        <f>ROUND(+E57/E58,2)</f>
        <v>0.28999999999999998</v>
      </c>
      <c r="G59" s="204" t="s">
        <v>74</v>
      </c>
      <c r="H59" s="201"/>
      <c r="I59" s="201"/>
      <c r="J59" s="201"/>
      <c r="K59" s="201"/>
      <c r="L59" s="269">
        <f>ROUND(+K57/K58,2)</f>
        <v>0.28999999999999998</v>
      </c>
      <c r="M59" s="286" t="s">
        <v>74</v>
      </c>
      <c r="N59" s="282"/>
      <c r="O59" s="282"/>
      <c r="P59" s="282"/>
      <c r="Q59" s="282"/>
      <c r="R59" s="313">
        <f>ROUND(+Q57/Q58,2)</f>
        <v>0.47</v>
      </c>
      <c r="S59" s="172" t="s">
        <v>74</v>
      </c>
      <c r="T59" s="169"/>
      <c r="U59" s="169"/>
      <c r="V59" s="169"/>
      <c r="W59" s="169"/>
      <c r="X59" s="258">
        <f>ROUND(+W57/W58,2)</f>
        <v>0.34</v>
      </c>
      <c r="Y59" s="118" t="s">
        <v>74</v>
      </c>
      <c r="Z59" s="115"/>
      <c r="AA59" s="115"/>
      <c r="AB59" s="115"/>
      <c r="AC59" s="115"/>
      <c r="AD59" s="139">
        <f>ROUND(+AC57/AC58,2)</f>
        <v>0.39</v>
      </c>
      <c r="AE59" s="83" t="s">
        <v>74</v>
      </c>
      <c r="AF59" s="80"/>
      <c r="AG59" s="80"/>
      <c r="AH59" s="80"/>
      <c r="AI59" s="80"/>
      <c r="AJ59" s="104">
        <f>+AI57/AI58</f>
        <v>0.39292263980369369</v>
      </c>
    </row>
    <row r="60" spans="1:36" x14ac:dyDescent="0.2">
      <c r="A60" s="330"/>
      <c r="B60" s="326"/>
      <c r="C60" s="326"/>
      <c r="D60" s="326"/>
      <c r="E60" s="326"/>
      <c r="F60" s="327"/>
      <c r="G60" s="204"/>
      <c r="H60" s="201"/>
      <c r="I60" s="201"/>
      <c r="J60" s="201"/>
      <c r="K60" s="201"/>
      <c r="L60" s="238"/>
      <c r="M60" s="286"/>
      <c r="N60" s="282"/>
      <c r="O60" s="282"/>
      <c r="P60" s="282"/>
      <c r="Q60" s="282"/>
      <c r="R60" s="283"/>
      <c r="S60" s="172"/>
      <c r="T60" s="169"/>
      <c r="U60" s="169"/>
      <c r="V60" s="169"/>
      <c r="W60" s="169"/>
      <c r="X60" s="250"/>
      <c r="Y60" s="118"/>
      <c r="Z60" s="115"/>
      <c r="AA60" s="115"/>
      <c r="AB60" s="115"/>
      <c r="AC60" s="115"/>
      <c r="AD60" s="115"/>
      <c r="AE60" s="83"/>
      <c r="AF60" s="80"/>
      <c r="AG60" s="80"/>
      <c r="AH60" s="80"/>
      <c r="AI60" s="80"/>
      <c r="AJ60" s="80"/>
    </row>
    <row r="61" spans="1:36" ht="18.75" thickBot="1" x14ac:dyDescent="0.4">
      <c r="A61" s="323" t="s">
        <v>76</v>
      </c>
      <c r="B61" s="324"/>
      <c r="C61" s="326"/>
      <c r="D61" s="326"/>
      <c r="E61" s="326"/>
      <c r="F61" s="358">
        <f>+F59+F55</f>
        <v>0.31</v>
      </c>
      <c r="G61" s="198" t="s">
        <v>76</v>
      </c>
      <c r="H61" s="199"/>
      <c r="I61" s="201"/>
      <c r="J61" s="201"/>
      <c r="K61" s="201"/>
      <c r="L61" s="245">
        <f>+L59+L55</f>
        <v>0.18999999999999997</v>
      </c>
      <c r="M61" s="279" t="s">
        <v>76</v>
      </c>
      <c r="N61" s="280"/>
      <c r="O61" s="282"/>
      <c r="P61" s="282"/>
      <c r="Q61" s="282"/>
      <c r="R61" s="314">
        <f>+R59+R55</f>
        <v>0.6</v>
      </c>
      <c r="S61" s="166" t="s">
        <v>76</v>
      </c>
      <c r="T61" s="167"/>
      <c r="U61" s="169"/>
      <c r="V61" s="169"/>
      <c r="W61" s="169"/>
      <c r="X61" s="259">
        <f>+X59+X55</f>
        <v>0.29000000000000004</v>
      </c>
      <c r="Y61" s="112" t="s">
        <v>76</v>
      </c>
      <c r="Z61" s="113"/>
      <c r="AA61" s="115"/>
      <c r="AB61" s="115"/>
      <c r="AC61" s="115"/>
      <c r="AD61" s="140">
        <f>+AD59+AD55</f>
        <v>0.39</v>
      </c>
      <c r="AE61" s="77" t="s">
        <v>76</v>
      </c>
      <c r="AF61" s="78"/>
      <c r="AG61" s="80"/>
      <c r="AH61" s="80"/>
      <c r="AI61" s="80"/>
      <c r="AJ61" s="105">
        <f>+AJ59+AJ55</f>
        <v>0.4129226398036937</v>
      </c>
    </row>
    <row r="62" spans="1:36" ht="19.5" thickTop="1" thickBot="1" x14ac:dyDescent="0.4">
      <c r="A62" s="359"/>
      <c r="B62" s="360"/>
      <c r="C62" s="361"/>
      <c r="D62" s="361"/>
      <c r="E62" s="361"/>
      <c r="F62" s="362"/>
      <c r="G62" s="246"/>
      <c r="H62" s="247"/>
      <c r="I62" s="222"/>
      <c r="J62" s="222"/>
      <c r="K62" s="222"/>
      <c r="L62" s="248"/>
      <c r="M62" s="315"/>
      <c r="N62" s="316"/>
      <c r="O62" s="317"/>
      <c r="P62" s="317"/>
      <c r="Q62" s="317"/>
      <c r="R62" s="318"/>
      <c r="S62" s="260"/>
      <c r="T62" s="261"/>
      <c r="U62" s="190"/>
      <c r="V62" s="190"/>
      <c r="W62" s="190"/>
      <c r="X62" s="262"/>
      <c r="Y62" s="112"/>
      <c r="Z62" s="113"/>
      <c r="AA62" s="115"/>
      <c r="AB62" s="115"/>
      <c r="AC62" s="115"/>
      <c r="AD62" s="141"/>
      <c r="AE62" s="77"/>
      <c r="AF62" s="78"/>
      <c r="AG62" s="80"/>
      <c r="AH62" s="80"/>
      <c r="AI62" s="80"/>
      <c r="AJ62" s="106"/>
    </row>
  </sheetData>
  <mergeCells count="12">
    <mergeCell ref="A4:F4"/>
    <mergeCell ref="A6:F6"/>
    <mergeCell ref="AE4:AJ4"/>
    <mergeCell ref="AE6:AJ6"/>
    <mergeCell ref="G4:L4"/>
    <mergeCell ref="G6:L6"/>
    <mergeCell ref="M4:R4"/>
    <mergeCell ref="M6:R6"/>
    <mergeCell ref="Y4:AD4"/>
    <mergeCell ref="Y6:AD6"/>
    <mergeCell ref="S4:X4"/>
    <mergeCell ref="S6:X6"/>
  </mergeCells>
  <pageMargins left="0.7" right="0.45" top="0.5" bottom="0.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7"/>
  <sheetViews>
    <sheetView topLeftCell="A31" workbookViewId="0">
      <selection activeCell="D26" sqref="D26"/>
    </sheetView>
  </sheetViews>
  <sheetFormatPr defaultRowHeight="12.75" x14ac:dyDescent="0.2"/>
  <cols>
    <col min="1" max="1" width="18" customWidth="1"/>
    <col min="2" max="3" width="10.42578125" bestFit="1" customWidth="1"/>
    <col min="4" max="4" width="10.28515625" bestFit="1" customWidth="1"/>
    <col min="5" max="5" width="9.7109375" bestFit="1" customWidth="1"/>
    <col min="6" max="6" width="11.28515625" bestFit="1" customWidth="1"/>
    <col min="7" max="8" width="9.5703125" bestFit="1" customWidth="1"/>
    <col min="9" max="9" width="11.28515625" bestFit="1" customWidth="1"/>
    <col min="10" max="10" width="3" customWidth="1"/>
    <col min="11" max="11" width="9.5703125" bestFit="1" customWidth="1"/>
    <col min="12" max="12" width="2.7109375" customWidth="1"/>
    <col min="13" max="13" width="11.28515625" bestFit="1" customWidth="1"/>
    <col min="232" max="232" width="18" customWidth="1"/>
    <col min="233" max="233" width="7.85546875" customWidth="1"/>
    <col min="234" max="234" width="11.28515625" bestFit="1" customWidth="1"/>
    <col min="235" max="235" width="10.5703125" bestFit="1" customWidth="1"/>
    <col min="236" max="236" width="10.28515625" customWidth="1"/>
    <col min="237" max="237" width="12.5703125" bestFit="1" customWidth="1"/>
    <col min="238" max="238" width="10.5703125" bestFit="1" customWidth="1"/>
    <col min="239" max="239" width="9.85546875" bestFit="1" customWidth="1"/>
    <col min="240" max="240" width="13" bestFit="1" customWidth="1"/>
    <col min="241" max="241" width="2.140625" customWidth="1"/>
    <col min="242" max="242" width="10.5703125" bestFit="1" customWidth="1"/>
    <col min="243" max="243" width="7.85546875" bestFit="1" customWidth="1"/>
    <col min="244" max="244" width="9.85546875" bestFit="1" customWidth="1"/>
    <col min="245" max="245" width="11.28515625" bestFit="1" customWidth="1"/>
    <col min="246" max="247" width="9.85546875" bestFit="1" customWidth="1"/>
    <col min="248" max="248" width="12" bestFit="1" customWidth="1"/>
    <col min="249" max="249" width="1.85546875" customWidth="1"/>
    <col min="251" max="251" width="3" customWidth="1"/>
    <col min="488" max="488" width="18" customWidth="1"/>
    <col min="489" max="489" width="7.85546875" customWidth="1"/>
    <col min="490" max="490" width="11.28515625" bestFit="1" customWidth="1"/>
    <col min="491" max="491" width="10.5703125" bestFit="1" customWidth="1"/>
    <col min="492" max="492" width="10.28515625" customWidth="1"/>
    <col min="493" max="493" width="12.5703125" bestFit="1" customWidth="1"/>
    <col min="494" max="494" width="10.5703125" bestFit="1" customWidth="1"/>
    <col min="495" max="495" width="9.85546875" bestFit="1" customWidth="1"/>
    <col min="496" max="496" width="13" bestFit="1" customWidth="1"/>
    <col min="497" max="497" width="2.140625" customWidth="1"/>
    <col min="498" max="498" width="10.5703125" bestFit="1" customWidth="1"/>
    <col min="499" max="499" width="7.85546875" bestFit="1" customWidth="1"/>
    <col min="500" max="500" width="9.85546875" bestFit="1" customWidth="1"/>
    <col min="501" max="501" width="11.28515625" bestFit="1" customWidth="1"/>
    <col min="502" max="503" width="9.85546875" bestFit="1" customWidth="1"/>
    <col min="504" max="504" width="12" bestFit="1" customWidth="1"/>
    <col min="505" max="505" width="1.85546875" customWidth="1"/>
    <col min="507" max="507" width="3" customWidth="1"/>
    <col min="744" max="744" width="18" customWidth="1"/>
    <col min="745" max="745" width="7.85546875" customWidth="1"/>
    <col min="746" max="746" width="11.28515625" bestFit="1" customWidth="1"/>
    <col min="747" max="747" width="10.5703125" bestFit="1" customWidth="1"/>
    <col min="748" max="748" width="10.28515625" customWidth="1"/>
    <col min="749" max="749" width="12.5703125" bestFit="1" customWidth="1"/>
    <col min="750" max="750" width="10.5703125" bestFit="1" customWidth="1"/>
    <col min="751" max="751" width="9.85546875" bestFit="1" customWidth="1"/>
    <col min="752" max="752" width="13" bestFit="1" customWidth="1"/>
    <col min="753" max="753" width="2.140625" customWidth="1"/>
    <col min="754" max="754" width="10.5703125" bestFit="1" customWidth="1"/>
    <col min="755" max="755" width="7.85546875" bestFit="1" customWidth="1"/>
    <col min="756" max="756" width="9.85546875" bestFit="1" customWidth="1"/>
    <col min="757" max="757" width="11.28515625" bestFit="1" customWidth="1"/>
    <col min="758" max="759" width="9.85546875" bestFit="1" customWidth="1"/>
    <col min="760" max="760" width="12" bestFit="1" customWidth="1"/>
    <col min="761" max="761" width="1.85546875" customWidth="1"/>
    <col min="763" max="763" width="3" customWidth="1"/>
    <col min="1000" max="1000" width="18" customWidth="1"/>
    <col min="1001" max="1001" width="7.85546875" customWidth="1"/>
    <col min="1002" max="1002" width="11.28515625" bestFit="1" customWidth="1"/>
    <col min="1003" max="1003" width="10.5703125" bestFit="1" customWidth="1"/>
    <col min="1004" max="1004" width="10.28515625" customWidth="1"/>
    <col min="1005" max="1005" width="12.5703125" bestFit="1" customWidth="1"/>
    <col min="1006" max="1006" width="10.5703125" bestFit="1" customWidth="1"/>
    <col min="1007" max="1007" width="9.85546875" bestFit="1" customWidth="1"/>
    <col min="1008" max="1008" width="13" bestFit="1" customWidth="1"/>
    <col min="1009" max="1009" width="2.140625" customWidth="1"/>
    <col min="1010" max="1010" width="10.5703125" bestFit="1" customWidth="1"/>
    <col min="1011" max="1011" width="7.85546875" bestFit="1" customWidth="1"/>
    <col min="1012" max="1012" width="9.85546875" bestFit="1" customWidth="1"/>
    <col min="1013" max="1013" width="11.28515625" bestFit="1" customWidth="1"/>
    <col min="1014" max="1015" width="9.85546875" bestFit="1" customWidth="1"/>
    <col min="1016" max="1016" width="12" bestFit="1" customWidth="1"/>
    <col min="1017" max="1017" width="1.85546875" customWidth="1"/>
    <col min="1019" max="1019" width="3" customWidth="1"/>
    <col min="1256" max="1256" width="18" customWidth="1"/>
    <col min="1257" max="1257" width="7.85546875" customWidth="1"/>
    <col min="1258" max="1258" width="11.28515625" bestFit="1" customWidth="1"/>
    <col min="1259" max="1259" width="10.5703125" bestFit="1" customWidth="1"/>
    <col min="1260" max="1260" width="10.28515625" customWidth="1"/>
    <col min="1261" max="1261" width="12.5703125" bestFit="1" customWidth="1"/>
    <col min="1262" max="1262" width="10.5703125" bestFit="1" customWidth="1"/>
    <col min="1263" max="1263" width="9.85546875" bestFit="1" customWidth="1"/>
    <col min="1264" max="1264" width="13" bestFit="1" customWidth="1"/>
    <col min="1265" max="1265" width="2.140625" customWidth="1"/>
    <col min="1266" max="1266" width="10.5703125" bestFit="1" customWidth="1"/>
    <col min="1267" max="1267" width="7.85546875" bestFit="1" customWidth="1"/>
    <col min="1268" max="1268" width="9.85546875" bestFit="1" customWidth="1"/>
    <col min="1269" max="1269" width="11.28515625" bestFit="1" customWidth="1"/>
    <col min="1270" max="1271" width="9.85546875" bestFit="1" customWidth="1"/>
    <col min="1272" max="1272" width="12" bestFit="1" customWidth="1"/>
    <col min="1273" max="1273" width="1.85546875" customWidth="1"/>
    <col min="1275" max="1275" width="3" customWidth="1"/>
    <col min="1512" max="1512" width="18" customWidth="1"/>
    <col min="1513" max="1513" width="7.85546875" customWidth="1"/>
    <col min="1514" max="1514" width="11.28515625" bestFit="1" customWidth="1"/>
    <col min="1515" max="1515" width="10.5703125" bestFit="1" customWidth="1"/>
    <col min="1516" max="1516" width="10.28515625" customWidth="1"/>
    <col min="1517" max="1517" width="12.5703125" bestFit="1" customWidth="1"/>
    <col min="1518" max="1518" width="10.5703125" bestFit="1" customWidth="1"/>
    <col min="1519" max="1519" width="9.85546875" bestFit="1" customWidth="1"/>
    <col min="1520" max="1520" width="13" bestFit="1" customWidth="1"/>
    <col min="1521" max="1521" width="2.140625" customWidth="1"/>
    <col min="1522" max="1522" width="10.5703125" bestFit="1" customWidth="1"/>
    <col min="1523" max="1523" width="7.85546875" bestFit="1" customWidth="1"/>
    <col min="1524" max="1524" width="9.85546875" bestFit="1" customWidth="1"/>
    <col min="1525" max="1525" width="11.28515625" bestFit="1" customWidth="1"/>
    <col min="1526" max="1527" width="9.85546875" bestFit="1" customWidth="1"/>
    <col min="1528" max="1528" width="12" bestFit="1" customWidth="1"/>
    <col min="1529" max="1529" width="1.85546875" customWidth="1"/>
    <col min="1531" max="1531" width="3" customWidth="1"/>
    <col min="1768" max="1768" width="18" customWidth="1"/>
    <col min="1769" max="1769" width="7.85546875" customWidth="1"/>
    <col min="1770" max="1770" width="11.28515625" bestFit="1" customWidth="1"/>
    <col min="1771" max="1771" width="10.5703125" bestFit="1" customWidth="1"/>
    <col min="1772" max="1772" width="10.28515625" customWidth="1"/>
    <col min="1773" max="1773" width="12.5703125" bestFit="1" customWidth="1"/>
    <col min="1774" max="1774" width="10.5703125" bestFit="1" customWidth="1"/>
    <col min="1775" max="1775" width="9.85546875" bestFit="1" customWidth="1"/>
    <col min="1776" max="1776" width="13" bestFit="1" customWidth="1"/>
    <col min="1777" max="1777" width="2.140625" customWidth="1"/>
    <col min="1778" max="1778" width="10.5703125" bestFit="1" customWidth="1"/>
    <col min="1779" max="1779" width="7.85546875" bestFit="1" customWidth="1"/>
    <col min="1780" max="1780" width="9.85546875" bestFit="1" customWidth="1"/>
    <col min="1781" max="1781" width="11.28515625" bestFit="1" customWidth="1"/>
    <col min="1782" max="1783" width="9.85546875" bestFit="1" customWidth="1"/>
    <col min="1784" max="1784" width="12" bestFit="1" customWidth="1"/>
    <col min="1785" max="1785" width="1.85546875" customWidth="1"/>
    <col min="1787" max="1787" width="3" customWidth="1"/>
    <col min="2024" max="2024" width="18" customWidth="1"/>
    <col min="2025" max="2025" width="7.85546875" customWidth="1"/>
    <col min="2026" max="2026" width="11.28515625" bestFit="1" customWidth="1"/>
    <col min="2027" max="2027" width="10.5703125" bestFit="1" customWidth="1"/>
    <col min="2028" max="2028" width="10.28515625" customWidth="1"/>
    <col min="2029" max="2029" width="12.5703125" bestFit="1" customWidth="1"/>
    <col min="2030" max="2030" width="10.5703125" bestFit="1" customWidth="1"/>
    <col min="2031" max="2031" width="9.85546875" bestFit="1" customWidth="1"/>
    <col min="2032" max="2032" width="13" bestFit="1" customWidth="1"/>
    <col min="2033" max="2033" width="2.140625" customWidth="1"/>
    <col min="2034" max="2034" width="10.5703125" bestFit="1" customWidth="1"/>
    <col min="2035" max="2035" width="7.85546875" bestFit="1" customWidth="1"/>
    <col min="2036" max="2036" width="9.85546875" bestFit="1" customWidth="1"/>
    <col min="2037" max="2037" width="11.28515625" bestFit="1" customWidth="1"/>
    <col min="2038" max="2039" width="9.85546875" bestFit="1" customWidth="1"/>
    <col min="2040" max="2040" width="12" bestFit="1" customWidth="1"/>
    <col min="2041" max="2041" width="1.85546875" customWidth="1"/>
    <col min="2043" max="2043" width="3" customWidth="1"/>
    <col min="2280" max="2280" width="18" customWidth="1"/>
    <col min="2281" max="2281" width="7.85546875" customWidth="1"/>
    <col min="2282" max="2282" width="11.28515625" bestFit="1" customWidth="1"/>
    <col min="2283" max="2283" width="10.5703125" bestFit="1" customWidth="1"/>
    <col min="2284" max="2284" width="10.28515625" customWidth="1"/>
    <col min="2285" max="2285" width="12.5703125" bestFit="1" customWidth="1"/>
    <col min="2286" max="2286" width="10.5703125" bestFit="1" customWidth="1"/>
    <col min="2287" max="2287" width="9.85546875" bestFit="1" customWidth="1"/>
    <col min="2288" max="2288" width="13" bestFit="1" customWidth="1"/>
    <col min="2289" max="2289" width="2.140625" customWidth="1"/>
    <col min="2290" max="2290" width="10.5703125" bestFit="1" customWidth="1"/>
    <col min="2291" max="2291" width="7.85546875" bestFit="1" customWidth="1"/>
    <col min="2292" max="2292" width="9.85546875" bestFit="1" customWidth="1"/>
    <col min="2293" max="2293" width="11.28515625" bestFit="1" customWidth="1"/>
    <col min="2294" max="2295" width="9.85546875" bestFit="1" customWidth="1"/>
    <col min="2296" max="2296" width="12" bestFit="1" customWidth="1"/>
    <col min="2297" max="2297" width="1.85546875" customWidth="1"/>
    <col min="2299" max="2299" width="3" customWidth="1"/>
    <col min="2536" max="2536" width="18" customWidth="1"/>
    <col min="2537" max="2537" width="7.85546875" customWidth="1"/>
    <col min="2538" max="2538" width="11.28515625" bestFit="1" customWidth="1"/>
    <col min="2539" max="2539" width="10.5703125" bestFit="1" customWidth="1"/>
    <col min="2540" max="2540" width="10.28515625" customWidth="1"/>
    <col min="2541" max="2541" width="12.5703125" bestFit="1" customWidth="1"/>
    <col min="2542" max="2542" width="10.5703125" bestFit="1" customWidth="1"/>
    <col min="2543" max="2543" width="9.85546875" bestFit="1" customWidth="1"/>
    <col min="2544" max="2544" width="13" bestFit="1" customWidth="1"/>
    <col min="2545" max="2545" width="2.140625" customWidth="1"/>
    <col min="2546" max="2546" width="10.5703125" bestFit="1" customWidth="1"/>
    <col min="2547" max="2547" width="7.85546875" bestFit="1" customWidth="1"/>
    <col min="2548" max="2548" width="9.85546875" bestFit="1" customWidth="1"/>
    <col min="2549" max="2549" width="11.28515625" bestFit="1" customWidth="1"/>
    <col min="2550" max="2551" width="9.85546875" bestFit="1" customWidth="1"/>
    <col min="2552" max="2552" width="12" bestFit="1" customWidth="1"/>
    <col min="2553" max="2553" width="1.85546875" customWidth="1"/>
    <col min="2555" max="2555" width="3" customWidth="1"/>
    <col min="2792" max="2792" width="18" customWidth="1"/>
    <col min="2793" max="2793" width="7.85546875" customWidth="1"/>
    <col min="2794" max="2794" width="11.28515625" bestFit="1" customWidth="1"/>
    <col min="2795" max="2795" width="10.5703125" bestFit="1" customWidth="1"/>
    <col min="2796" max="2796" width="10.28515625" customWidth="1"/>
    <col min="2797" max="2797" width="12.5703125" bestFit="1" customWidth="1"/>
    <col min="2798" max="2798" width="10.5703125" bestFit="1" customWidth="1"/>
    <col min="2799" max="2799" width="9.85546875" bestFit="1" customWidth="1"/>
    <col min="2800" max="2800" width="13" bestFit="1" customWidth="1"/>
    <col min="2801" max="2801" width="2.140625" customWidth="1"/>
    <col min="2802" max="2802" width="10.5703125" bestFit="1" customWidth="1"/>
    <col min="2803" max="2803" width="7.85546875" bestFit="1" customWidth="1"/>
    <col min="2804" max="2804" width="9.85546875" bestFit="1" customWidth="1"/>
    <col min="2805" max="2805" width="11.28515625" bestFit="1" customWidth="1"/>
    <col min="2806" max="2807" width="9.85546875" bestFit="1" customWidth="1"/>
    <col min="2808" max="2808" width="12" bestFit="1" customWidth="1"/>
    <col min="2809" max="2809" width="1.85546875" customWidth="1"/>
    <col min="2811" max="2811" width="3" customWidth="1"/>
    <col min="3048" max="3048" width="18" customWidth="1"/>
    <col min="3049" max="3049" width="7.85546875" customWidth="1"/>
    <col min="3050" max="3050" width="11.28515625" bestFit="1" customWidth="1"/>
    <col min="3051" max="3051" width="10.5703125" bestFit="1" customWidth="1"/>
    <col min="3052" max="3052" width="10.28515625" customWidth="1"/>
    <col min="3053" max="3053" width="12.5703125" bestFit="1" customWidth="1"/>
    <col min="3054" max="3054" width="10.5703125" bestFit="1" customWidth="1"/>
    <col min="3055" max="3055" width="9.85546875" bestFit="1" customWidth="1"/>
    <col min="3056" max="3056" width="13" bestFit="1" customWidth="1"/>
    <col min="3057" max="3057" width="2.140625" customWidth="1"/>
    <col min="3058" max="3058" width="10.5703125" bestFit="1" customWidth="1"/>
    <col min="3059" max="3059" width="7.85546875" bestFit="1" customWidth="1"/>
    <col min="3060" max="3060" width="9.85546875" bestFit="1" customWidth="1"/>
    <col min="3061" max="3061" width="11.28515625" bestFit="1" customWidth="1"/>
    <col min="3062" max="3063" width="9.85546875" bestFit="1" customWidth="1"/>
    <col min="3064" max="3064" width="12" bestFit="1" customWidth="1"/>
    <col min="3065" max="3065" width="1.85546875" customWidth="1"/>
    <col min="3067" max="3067" width="3" customWidth="1"/>
    <col min="3304" max="3304" width="18" customWidth="1"/>
    <col min="3305" max="3305" width="7.85546875" customWidth="1"/>
    <col min="3306" max="3306" width="11.28515625" bestFit="1" customWidth="1"/>
    <col min="3307" max="3307" width="10.5703125" bestFit="1" customWidth="1"/>
    <col min="3308" max="3308" width="10.28515625" customWidth="1"/>
    <col min="3309" max="3309" width="12.5703125" bestFit="1" customWidth="1"/>
    <col min="3310" max="3310" width="10.5703125" bestFit="1" customWidth="1"/>
    <col min="3311" max="3311" width="9.85546875" bestFit="1" customWidth="1"/>
    <col min="3312" max="3312" width="13" bestFit="1" customWidth="1"/>
    <col min="3313" max="3313" width="2.140625" customWidth="1"/>
    <col min="3314" max="3314" width="10.5703125" bestFit="1" customWidth="1"/>
    <col min="3315" max="3315" width="7.85546875" bestFit="1" customWidth="1"/>
    <col min="3316" max="3316" width="9.85546875" bestFit="1" customWidth="1"/>
    <col min="3317" max="3317" width="11.28515625" bestFit="1" customWidth="1"/>
    <col min="3318" max="3319" width="9.85546875" bestFit="1" customWidth="1"/>
    <col min="3320" max="3320" width="12" bestFit="1" customWidth="1"/>
    <col min="3321" max="3321" width="1.85546875" customWidth="1"/>
    <col min="3323" max="3323" width="3" customWidth="1"/>
    <col min="3560" max="3560" width="18" customWidth="1"/>
    <col min="3561" max="3561" width="7.85546875" customWidth="1"/>
    <col min="3562" max="3562" width="11.28515625" bestFit="1" customWidth="1"/>
    <col min="3563" max="3563" width="10.5703125" bestFit="1" customWidth="1"/>
    <col min="3564" max="3564" width="10.28515625" customWidth="1"/>
    <col min="3565" max="3565" width="12.5703125" bestFit="1" customWidth="1"/>
    <col min="3566" max="3566" width="10.5703125" bestFit="1" customWidth="1"/>
    <col min="3567" max="3567" width="9.85546875" bestFit="1" customWidth="1"/>
    <col min="3568" max="3568" width="13" bestFit="1" customWidth="1"/>
    <col min="3569" max="3569" width="2.140625" customWidth="1"/>
    <col min="3570" max="3570" width="10.5703125" bestFit="1" customWidth="1"/>
    <col min="3571" max="3571" width="7.85546875" bestFit="1" customWidth="1"/>
    <col min="3572" max="3572" width="9.85546875" bestFit="1" customWidth="1"/>
    <col min="3573" max="3573" width="11.28515625" bestFit="1" customWidth="1"/>
    <col min="3574" max="3575" width="9.85546875" bestFit="1" customWidth="1"/>
    <col min="3576" max="3576" width="12" bestFit="1" customWidth="1"/>
    <col min="3577" max="3577" width="1.85546875" customWidth="1"/>
    <col min="3579" max="3579" width="3" customWidth="1"/>
    <col min="3816" max="3816" width="18" customWidth="1"/>
    <col min="3817" max="3817" width="7.85546875" customWidth="1"/>
    <col min="3818" max="3818" width="11.28515625" bestFit="1" customWidth="1"/>
    <col min="3819" max="3819" width="10.5703125" bestFit="1" customWidth="1"/>
    <col min="3820" max="3820" width="10.28515625" customWidth="1"/>
    <col min="3821" max="3821" width="12.5703125" bestFit="1" customWidth="1"/>
    <col min="3822" max="3822" width="10.5703125" bestFit="1" customWidth="1"/>
    <col min="3823" max="3823" width="9.85546875" bestFit="1" customWidth="1"/>
    <col min="3824" max="3824" width="13" bestFit="1" customWidth="1"/>
    <col min="3825" max="3825" width="2.140625" customWidth="1"/>
    <col min="3826" max="3826" width="10.5703125" bestFit="1" customWidth="1"/>
    <col min="3827" max="3827" width="7.85546875" bestFit="1" customWidth="1"/>
    <col min="3828" max="3828" width="9.85546875" bestFit="1" customWidth="1"/>
    <col min="3829" max="3829" width="11.28515625" bestFit="1" customWidth="1"/>
    <col min="3830" max="3831" width="9.85546875" bestFit="1" customWidth="1"/>
    <col min="3832" max="3832" width="12" bestFit="1" customWidth="1"/>
    <col min="3833" max="3833" width="1.85546875" customWidth="1"/>
    <col min="3835" max="3835" width="3" customWidth="1"/>
    <col min="4072" max="4072" width="18" customWidth="1"/>
    <col min="4073" max="4073" width="7.85546875" customWidth="1"/>
    <col min="4074" max="4074" width="11.28515625" bestFit="1" customWidth="1"/>
    <col min="4075" max="4075" width="10.5703125" bestFit="1" customWidth="1"/>
    <col min="4076" max="4076" width="10.28515625" customWidth="1"/>
    <col min="4077" max="4077" width="12.5703125" bestFit="1" customWidth="1"/>
    <col min="4078" max="4078" width="10.5703125" bestFit="1" customWidth="1"/>
    <col min="4079" max="4079" width="9.85546875" bestFit="1" customWidth="1"/>
    <col min="4080" max="4080" width="13" bestFit="1" customWidth="1"/>
    <col min="4081" max="4081" width="2.140625" customWidth="1"/>
    <col min="4082" max="4082" width="10.5703125" bestFit="1" customWidth="1"/>
    <col min="4083" max="4083" width="7.85546875" bestFit="1" customWidth="1"/>
    <col min="4084" max="4084" width="9.85546875" bestFit="1" customWidth="1"/>
    <col min="4085" max="4085" width="11.28515625" bestFit="1" customWidth="1"/>
    <col min="4086" max="4087" width="9.85546875" bestFit="1" customWidth="1"/>
    <col min="4088" max="4088" width="12" bestFit="1" customWidth="1"/>
    <col min="4089" max="4089" width="1.85546875" customWidth="1"/>
    <col min="4091" max="4091" width="3" customWidth="1"/>
    <col min="4328" max="4328" width="18" customWidth="1"/>
    <col min="4329" max="4329" width="7.85546875" customWidth="1"/>
    <col min="4330" max="4330" width="11.28515625" bestFit="1" customWidth="1"/>
    <col min="4331" max="4331" width="10.5703125" bestFit="1" customWidth="1"/>
    <col min="4332" max="4332" width="10.28515625" customWidth="1"/>
    <col min="4333" max="4333" width="12.5703125" bestFit="1" customWidth="1"/>
    <col min="4334" max="4334" width="10.5703125" bestFit="1" customWidth="1"/>
    <col min="4335" max="4335" width="9.85546875" bestFit="1" customWidth="1"/>
    <col min="4336" max="4336" width="13" bestFit="1" customWidth="1"/>
    <col min="4337" max="4337" width="2.140625" customWidth="1"/>
    <col min="4338" max="4338" width="10.5703125" bestFit="1" customWidth="1"/>
    <col min="4339" max="4339" width="7.85546875" bestFit="1" customWidth="1"/>
    <col min="4340" max="4340" width="9.85546875" bestFit="1" customWidth="1"/>
    <col min="4341" max="4341" width="11.28515625" bestFit="1" customWidth="1"/>
    <col min="4342" max="4343" width="9.85546875" bestFit="1" customWidth="1"/>
    <col min="4344" max="4344" width="12" bestFit="1" customWidth="1"/>
    <col min="4345" max="4345" width="1.85546875" customWidth="1"/>
    <col min="4347" max="4347" width="3" customWidth="1"/>
    <col min="4584" max="4584" width="18" customWidth="1"/>
    <col min="4585" max="4585" width="7.85546875" customWidth="1"/>
    <col min="4586" max="4586" width="11.28515625" bestFit="1" customWidth="1"/>
    <col min="4587" max="4587" width="10.5703125" bestFit="1" customWidth="1"/>
    <col min="4588" max="4588" width="10.28515625" customWidth="1"/>
    <col min="4589" max="4589" width="12.5703125" bestFit="1" customWidth="1"/>
    <col min="4590" max="4590" width="10.5703125" bestFit="1" customWidth="1"/>
    <col min="4591" max="4591" width="9.85546875" bestFit="1" customWidth="1"/>
    <col min="4592" max="4592" width="13" bestFit="1" customWidth="1"/>
    <col min="4593" max="4593" width="2.140625" customWidth="1"/>
    <col min="4594" max="4594" width="10.5703125" bestFit="1" customWidth="1"/>
    <col min="4595" max="4595" width="7.85546875" bestFit="1" customWidth="1"/>
    <col min="4596" max="4596" width="9.85546875" bestFit="1" customWidth="1"/>
    <col min="4597" max="4597" width="11.28515625" bestFit="1" customWidth="1"/>
    <col min="4598" max="4599" width="9.85546875" bestFit="1" customWidth="1"/>
    <col min="4600" max="4600" width="12" bestFit="1" customWidth="1"/>
    <col min="4601" max="4601" width="1.85546875" customWidth="1"/>
    <col min="4603" max="4603" width="3" customWidth="1"/>
    <col min="4840" max="4840" width="18" customWidth="1"/>
    <col min="4841" max="4841" width="7.85546875" customWidth="1"/>
    <col min="4842" max="4842" width="11.28515625" bestFit="1" customWidth="1"/>
    <col min="4843" max="4843" width="10.5703125" bestFit="1" customWidth="1"/>
    <col min="4844" max="4844" width="10.28515625" customWidth="1"/>
    <col min="4845" max="4845" width="12.5703125" bestFit="1" customWidth="1"/>
    <col min="4846" max="4846" width="10.5703125" bestFit="1" customWidth="1"/>
    <col min="4847" max="4847" width="9.85546875" bestFit="1" customWidth="1"/>
    <col min="4848" max="4848" width="13" bestFit="1" customWidth="1"/>
    <col min="4849" max="4849" width="2.140625" customWidth="1"/>
    <col min="4850" max="4850" width="10.5703125" bestFit="1" customWidth="1"/>
    <col min="4851" max="4851" width="7.85546875" bestFit="1" customWidth="1"/>
    <col min="4852" max="4852" width="9.85546875" bestFit="1" customWidth="1"/>
    <col min="4853" max="4853" width="11.28515625" bestFit="1" customWidth="1"/>
    <col min="4854" max="4855" width="9.85546875" bestFit="1" customWidth="1"/>
    <col min="4856" max="4856" width="12" bestFit="1" customWidth="1"/>
    <col min="4857" max="4857" width="1.85546875" customWidth="1"/>
    <col min="4859" max="4859" width="3" customWidth="1"/>
    <col min="5096" max="5096" width="18" customWidth="1"/>
    <col min="5097" max="5097" width="7.85546875" customWidth="1"/>
    <col min="5098" max="5098" width="11.28515625" bestFit="1" customWidth="1"/>
    <col min="5099" max="5099" width="10.5703125" bestFit="1" customWidth="1"/>
    <col min="5100" max="5100" width="10.28515625" customWidth="1"/>
    <col min="5101" max="5101" width="12.5703125" bestFit="1" customWidth="1"/>
    <col min="5102" max="5102" width="10.5703125" bestFit="1" customWidth="1"/>
    <col min="5103" max="5103" width="9.85546875" bestFit="1" customWidth="1"/>
    <col min="5104" max="5104" width="13" bestFit="1" customWidth="1"/>
    <col min="5105" max="5105" width="2.140625" customWidth="1"/>
    <col min="5106" max="5106" width="10.5703125" bestFit="1" customWidth="1"/>
    <col min="5107" max="5107" width="7.85546875" bestFit="1" customWidth="1"/>
    <col min="5108" max="5108" width="9.85546875" bestFit="1" customWidth="1"/>
    <col min="5109" max="5109" width="11.28515625" bestFit="1" customWidth="1"/>
    <col min="5110" max="5111" width="9.85546875" bestFit="1" customWidth="1"/>
    <col min="5112" max="5112" width="12" bestFit="1" customWidth="1"/>
    <col min="5113" max="5113" width="1.85546875" customWidth="1"/>
    <col min="5115" max="5115" width="3" customWidth="1"/>
    <col min="5352" max="5352" width="18" customWidth="1"/>
    <col min="5353" max="5353" width="7.85546875" customWidth="1"/>
    <col min="5354" max="5354" width="11.28515625" bestFit="1" customWidth="1"/>
    <col min="5355" max="5355" width="10.5703125" bestFit="1" customWidth="1"/>
    <col min="5356" max="5356" width="10.28515625" customWidth="1"/>
    <col min="5357" max="5357" width="12.5703125" bestFit="1" customWidth="1"/>
    <col min="5358" max="5358" width="10.5703125" bestFit="1" customWidth="1"/>
    <col min="5359" max="5359" width="9.85546875" bestFit="1" customWidth="1"/>
    <col min="5360" max="5360" width="13" bestFit="1" customWidth="1"/>
    <col min="5361" max="5361" width="2.140625" customWidth="1"/>
    <col min="5362" max="5362" width="10.5703125" bestFit="1" customWidth="1"/>
    <col min="5363" max="5363" width="7.85546875" bestFit="1" customWidth="1"/>
    <col min="5364" max="5364" width="9.85546875" bestFit="1" customWidth="1"/>
    <col min="5365" max="5365" width="11.28515625" bestFit="1" customWidth="1"/>
    <col min="5366" max="5367" width="9.85546875" bestFit="1" customWidth="1"/>
    <col min="5368" max="5368" width="12" bestFit="1" customWidth="1"/>
    <col min="5369" max="5369" width="1.85546875" customWidth="1"/>
    <col min="5371" max="5371" width="3" customWidth="1"/>
    <col min="5608" max="5608" width="18" customWidth="1"/>
    <col min="5609" max="5609" width="7.85546875" customWidth="1"/>
    <col min="5610" max="5610" width="11.28515625" bestFit="1" customWidth="1"/>
    <col min="5611" max="5611" width="10.5703125" bestFit="1" customWidth="1"/>
    <col min="5612" max="5612" width="10.28515625" customWidth="1"/>
    <col min="5613" max="5613" width="12.5703125" bestFit="1" customWidth="1"/>
    <col min="5614" max="5614" width="10.5703125" bestFit="1" customWidth="1"/>
    <col min="5615" max="5615" width="9.85546875" bestFit="1" customWidth="1"/>
    <col min="5616" max="5616" width="13" bestFit="1" customWidth="1"/>
    <col min="5617" max="5617" width="2.140625" customWidth="1"/>
    <col min="5618" max="5618" width="10.5703125" bestFit="1" customWidth="1"/>
    <col min="5619" max="5619" width="7.85546875" bestFit="1" customWidth="1"/>
    <col min="5620" max="5620" width="9.85546875" bestFit="1" customWidth="1"/>
    <col min="5621" max="5621" width="11.28515625" bestFit="1" customWidth="1"/>
    <col min="5622" max="5623" width="9.85546875" bestFit="1" customWidth="1"/>
    <col min="5624" max="5624" width="12" bestFit="1" customWidth="1"/>
    <col min="5625" max="5625" width="1.85546875" customWidth="1"/>
    <col min="5627" max="5627" width="3" customWidth="1"/>
    <col min="5864" max="5864" width="18" customWidth="1"/>
    <col min="5865" max="5865" width="7.85546875" customWidth="1"/>
    <col min="5866" max="5866" width="11.28515625" bestFit="1" customWidth="1"/>
    <col min="5867" max="5867" width="10.5703125" bestFit="1" customWidth="1"/>
    <col min="5868" max="5868" width="10.28515625" customWidth="1"/>
    <col min="5869" max="5869" width="12.5703125" bestFit="1" customWidth="1"/>
    <col min="5870" max="5870" width="10.5703125" bestFit="1" customWidth="1"/>
    <col min="5871" max="5871" width="9.85546875" bestFit="1" customWidth="1"/>
    <col min="5872" max="5872" width="13" bestFit="1" customWidth="1"/>
    <col min="5873" max="5873" width="2.140625" customWidth="1"/>
    <col min="5874" max="5874" width="10.5703125" bestFit="1" customWidth="1"/>
    <col min="5875" max="5875" width="7.85546875" bestFit="1" customWidth="1"/>
    <col min="5876" max="5876" width="9.85546875" bestFit="1" customWidth="1"/>
    <col min="5877" max="5877" width="11.28515625" bestFit="1" customWidth="1"/>
    <col min="5878" max="5879" width="9.85546875" bestFit="1" customWidth="1"/>
    <col min="5880" max="5880" width="12" bestFit="1" customWidth="1"/>
    <col min="5881" max="5881" width="1.85546875" customWidth="1"/>
    <col min="5883" max="5883" width="3" customWidth="1"/>
    <col min="6120" max="6120" width="18" customWidth="1"/>
    <col min="6121" max="6121" width="7.85546875" customWidth="1"/>
    <col min="6122" max="6122" width="11.28515625" bestFit="1" customWidth="1"/>
    <col min="6123" max="6123" width="10.5703125" bestFit="1" customWidth="1"/>
    <col min="6124" max="6124" width="10.28515625" customWidth="1"/>
    <col min="6125" max="6125" width="12.5703125" bestFit="1" customWidth="1"/>
    <col min="6126" max="6126" width="10.5703125" bestFit="1" customWidth="1"/>
    <col min="6127" max="6127" width="9.85546875" bestFit="1" customWidth="1"/>
    <col min="6128" max="6128" width="13" bestFit="1" customWidth="1"/>
    <col min="6129" max="6129" width="2.140625" customWidth="1"/>
    <col min="6130" max="6130" width="10.5703125" bestFit="1" customWidth="1"/>
    <col min="6131" max="6131" width="7.85546875" bestFit="1" customWidth="1"/>
    <col min="6132" max="6132" width="9.85546875" bestFit="1" customWidth="1"/>
    <col min="6133" max="6133" width="11.28515625" bestFit="1" customWidth="1"/>
    <col min="6134" max="6135" width="9.85546875" bestFit="1" customWidth="1"/>
    <col min="6136" max="6136" width="12" bestFit="1" customWidth="1"/>
    <col min="6137" max="6137" width="1.85546875" customWidth="1"/>
    <col min="6139" max="6139" width="3" customWidth="1"/>
    <col min="6376" max="6376" width="18" customWidth="1"/>
    <col min="6377" max="6377" width="7.85546875" customWidth="1"/>
    <col min="6378" max="6378" width="11.28515625" bestFit="1" customWidth="1"/>
    <col min="6379" max="6379" width="10.5703125" bestFit="1" customWidth="1"/>
    <col min="6380" max="6380" width="10.28515625" customWidth="1"/>
    <col min="6381" max="6381" width="12.5703125" bestFit="1" customWidth="1"/>
    <col min="6382" max="6382" width="10.5703125" bestFit="1" customWidth="1"/>
    <col min="6383" max="6383" width="9.85546875" bestFit="1" customWidth="1"/>
    <col min="6384" max="6384" width="13" bestFit="1" customWidth="1"/>
    <col min="6385" max="6385" width="2.140625" customWidth="1"/>
    <col min="6386" max="6386" width="10.5703125" bestFit="1" customWidth="1"/>
    <col min="6387" max="6387" width="7.85546875" bestFit="1" customWidth="1"/>
    <col min="6388" max="6388" width="9.85546875" bestFit="1" customWidth="1"/>
    <col min="6389" max="6389" width="11.28515625" bestFit="1" customWidth="1"/>
    <col min="6390" max="6391" width="9.85546875" bestFit="1" customWidth="1"/>
    <col min="6392" max="6392" width="12" bestFit="1" customWidth="1"/>
    <col min="6393" max="6393" width="1.85546875" customWidth="1"/>
    <col min="6395" max="6395" width="3" customWidth="1"/>
    <col min="6632" max="6632" width="18" customWidth="1"/>
    <col min="6633" max="6633" width="7.85546875" customWidth="1"/>
    <col min="6634" max="6634" width="11.28515625" bestFit="1" customWidth="1"/>
    <col min="6635" max="6635" width="10.5703125" bestFit="1" customWidth="1"/>
    <col min="6636" max="6636" width="10.28515625" customWidth="1"/>
    <col min="6637" max="6637" width="12.5703125" bestFit="1" customWidth="1"/>
    <col min="6638" max="6638" width="10.5703125" bestFit="1" customWidth="1"/>
    <col min="6639" max="6639" width="9.85546875" bestFit="1" customWidth="1"/>
    <col min="6640" max="6640" width="13" bestFit="1" customWidth="1"/>
    <col min="6641" max="6641" width="2.140625" customWidth="1"/>
    <col min="6642" max="6642" width="10.5703125" bestFit="1" customWidth="1"/>
    <col min="6643" max="6643" width="7.85546875" bestFit="1" customWidth="1"/>
    <col min="6644" max="6644" width="9.85546875" bestFit="1" customWidth="1"/>
    <col min="6645" max="6645" width="11.28515625" bestFit="1" customWidth="1"/>
    <col min="6646" max="6647" width="9.85546875" bestFit="1" customWidth="1"/>
    <col min="6648" max="6648" width="12" bestFit="1" customWidth="1"/>
    <col min="6649" max="6649" width="1.85546875" customWidth="1"/>
    <col min="6651" max="6651" width="3" customWidth="1"/>
    <col min="6888" max="6888" width="18" customWidth="1"/>
    <col min="6889" max="6889" width="7.85546875" customWidth="1"/>
    <col min="6890" max="6890" width="11.28515625" bestFit="1" customWidth="1"/>
    <col min="6891" max="6891" width="10.5703125" bestFit="1" customWidth="1"/>
    <col min="6892" max="6892" width="10.28515625" customWidth="1"/>
    <col min="6893" max="6893" width="12.5703125" bestFit="1" customWidth="1"/>
    <col min="6894" max="6894" width="10.5703125" bestFit="1" customWidth="1"/>
    <col min="6895" max="6895" width="9.85546875" bestFit="1" customWidth="1"/>
    <col min="6896" max="6896" width="13" bestFit="1" customWidth="1"/>
    <col min="6897" max="6897" width="2.140625" customWidth="1"/>
    <col min="6898" max="6898" width="10.5703125" bestFit="1" customWidth="1"/>
    <col min="6899" max="6899" width="7.85546875" bestFit="1" customWidth="1"/>
    <col min="6900" max="6900" width="9.85546875" bestFit="1" customWidth="1"/>
    <col min="6901" max="6901" width="11.28515625" bestFit="1" customWidth="1"/>
    <col min="6902" max="6903" width="9.85546875" bestFit="1" customWidth="1"/>
    <col min="6904" max="6904" width="12" bestFit="1" customWidth="1"/>
    <col min="6905" max="6905" width="1.85546875" customWidth="1"/>
    <col min="6907" max="6907" width="3" customWidth="1"/>
    <col min="7144" max="7144" width="18" customWidth="1"/>
    <col min="7145" max="7145" width="7.85546875" customWidth="1"/>
    <col min="7146" max="7146" width="11.28515625" bestFit="1" customWidth="1"/>
    <col min="7147" max="7147" width="10.5703125" bestFit="1" customWidth="1"/>
    <col min="7148" max="7148" width="10.28515625" customWidth="1"/>
    <col min="7149" max="7149" width="12.5703125" bestFit="1" customWidth="1"/>
    <col min="7150" max="7150" width="10.5703125" bestFit="1" customWidth="1"/>
    <col min="7151" max="7151" width="9.85546875" bestFit="1" customWidth="1"/>
    <col min="7152" max="7152" width="13" bestFit="1" customWidth="1"/>
    <col min="7153" max="7153" width="2.140625" customWidth="1"/>
    <col min="7154" max="7154" width="10.5703125" bestFit="1" customWidth="1"/>
    <col min="7155" max="7155" width="7.85546875" bestFit="1" customWidth="1"/>
    <col min="7156" max="7156" width="9.85546875" bestFit="1" customWidth="1"/>
    <col min="7157" max="7157" width="11.28515625" bestFit="1" customWidth="1"/>
    <col min="7158" max="7159" width="9.85546875" bestFit="1" customWidth="1"/>
    <col min="7160" max="7160" width="12" bestFit="1" customWidth="1"/>
    <col min="7161" max="7161" width="1.85546875" customWidth="1"/>
    <col min="7163" max="7163" width="3" customWidth="1"/>
    <col min="7400" max="7400" width="18" customWidth="1"/>
    <col min="7401" max="7401" width="7.85546875" customWidth="1"/>
    <col min="7402" max="7402" width="11.28515625" bestFit="1" customWidth="1"/>
    <col min="7403" max="7403" width="10.5703125" bestFit="1" customWidth="1"/>
    <col min="7404" max="7404" width="10.28515625" customWidth="1"/>
    <col min="7405" max="7405" width="12.5703125" bestFit="1" customWidth="1"/>
    <col min="7406" max="7406" width="10.5703125" bestFit="1" customWidth="1"/>
    <col min="7407" max="7407" width="9.85546875" bestFit="1" customWidth="1"/>
    <col min="7408" max="7408" width="13" bestFit="1" customWidth="1"/>
    <col min="7409" max="7409" width="2.140625" customWidth="1"/>
    <col min="7410" max="7410" width="10.5703125" bestFit="1" customWidth="1"/>
    <col min="7411" max="7411" width="7.85546875" bestFit="1" customWidth="1"/>
    <col min="7412" max="7412" width="9.85546875" bestFit="1" customWidth="1"/>
    <col min="7413" max="7413" width="11.28515625" bestFit="1" customWidth="1"/>
    <col min="7414" max="7415" width="9.85546875" bestFit="1" customWidth="1"/>
    <col min="7416" max="7416" width="12" bestFit="1" customWidth="1"/>
    <col min="7417" max="7417" width="1.85546875" customWidth="1"/>
    <col min="7419" max="7419" width="3" customWidth="1"/>
    <col min="7656" max="7656" width="18" customWidth="1"/>
    <col min="7657" max="7657" width="7.85546875" customWidth="1"/>
    <col min="7658" max="7658" width="11.28515625" bestFit="1" customWidth="1"/>
    <col min="7659" max="7659" width="10.5703125" bestFit="1" customWidth="1"/>
    <col min="7660" max="7660" width="10.28515625" customWidth="1"/>
    <col min="7661" max="7661" width="12.5703125" bestFit="1" customWidth="1"/>
    <col min="7662" max="7662" width="10.5703125" bestFit="1" customWidth="1"/>
    <col min="7663" max="7663" width="9.85546875" bestFit="1" customWidth="1"/>
    <col min="7664" max="7664" width="13" bestFit="1" customWidth="1"/>
    <col min="7665" max="7665" width="2.140625" customWidth="1"/>
    <col min="7666" max="7666" width="10.5703125" bestFit="1" customWidth="1"/>
    <col min="7667" max="7667" width="7.85546875" bestFit="1" customWidth="1"/>
    <col min="7668" max="7668" width="9.85546875" bestFit="1" customWidth="1"/>
    <col min="7669" max="7669" width="11.28515625" bestFit="1" customWidth="1"/>
    <col min="7670" max="7671" width="9.85546875" bestFit="1" customWidth="1"/>
    <col min="7672" max="7672" width="12" bestFit="1" customWidth="1"/>
    <col min="7673" max="7673" width="1.85546875" customWidth="1"/>
    <col min="7675" max="7675" width="3" customWidth="1"/>
    <col min="7912" max="7912" width="18" customWidth="1"/>
    <col min="7913" max="7913" width="7.85546875" customWidth="1"/>
    <col min="7914" max="7914" width="11.28515625" bestFit="1" customWidth="1"/>
    <col min="7915" max="7915" width="10.5703125" bestFit="1" customWidth="1"/>
    <col min="7916" max="7916" width="10.28515625" customWidth="1"/>
    <col min="7917" max="7917" width="12.5703125" bestFit="1" customWidth="1"/>
    <col min="7918" max="7918" width="10.5703125" bestFit="1" customWidth="1"/>
    <col min="7919" max="7919" width="9.85546875" bestFit="1" customWidth="1"/>
    <col min="7920" max="7920" width="13" bestFit="1" customWidth="1"/>
    <col min="7921" max="7921" width="2.140625" customWidth="1"/>
    <col min="7922" max="7922" width="10.5703125" bestFit="1" customWidth="1"/>
    <col min="7923" max="7923" width="7.85546875" bestFit="1" customWidth="1"/>
    <col min="7924" max="7924" width="9.85546875" bestFit="1" customWidth="1"/>
    <col min="7925" max="7925" width="11.28515625" bestFit="1" customWidth="1"/>
    <col min="7926" max="7927" width="9.85546875" bestFit="1" customWidth="1"/>
    <col min="7928" max="7928" width="12" bestFit="1" customWidth="1"/>
    <col min="7929" max="7929" width="1.85546875" customWidth="1"/>
    <col min="7931" max="7931" width="3" customWidth="1"/>
    <col min="8168" max="8168" width="18" customWidth="1"/>
    <col min="8169" max="8169" width="7.85546875" customWidth="1"/>
    <col min="8170" max="8170" width="11.28515625" bestFit="1" customWidth="1"/>
    <col min="8171" max="8171" width="10.5703125" bestFit="1" customWidth="1"/>
    <col min="8172" max="8172" width="10.28515625" customWidth="1"/>
    <col min="8173" max="8173" width="12.5703125" bestFit="1" customWidth="1"/>
    <col min="8174" max="8174" width="10.5703125" bestFit="1" customWidth="1"/>
    <col min="8175" max="8175" width="9.85546875" bestFit="1" customWidth="1"/>
    <col min="8176" max="8176" width="13" bestFit="1" customWidth="1"/>
    <col min="8177" max="8177" width="2.140625" customWidth="1"/>
    <col min="8178" max="8178" width="10.5703125" bestFit="1" customWidth="1"/>
    <col min="8179" max="8179" width="7.85546875" bestFit="1" customWidth="1"/>
    <col min="8180" max="8180" width="9.85546875" bestFit="1" customWidth="1"/>
    <col min="8181" max="8181" width="11.28515625" bestFit="1" customWidth="1"/>
    <col min="8182" max="8183" width="9.85546875" bestFit="1" customWidth="1"/>
    <col min="8184" max="8184" width="12" bestFit="1" customWidth="1"/>
    <col min="8185" max="8185" width="1.85546875" customWidth="1"/>
    <col min="8187" max="8187" width="3" customWidth="1"/>
    <col min="8424" max="8424" width="18" customWidth="1"/>
    <col min="8425" max="8425" width="7.85546875" customWidth="1"/>
    <col min="8426" max="8426" width="11.28515625" bestFit="1" customWidth="1"/>
    <col min="8427" max="8427" width="10.5703125" bestFit="1" customWidth="1"/>
    <col min="8428" max="8428" width="10.28515625" customWidth="1"/>
    <col min="8429" max="8429" width="12.5703125" bestFit="1" customWidth="1"/>
    <col min="8430" max="8430" width="10.5703125" bestFit="1" customWidth="1"/>
    <col min="8431" max="8431" width="9.85546875" bestFit="1" customWidth="1"/>
    <col min="8432" max="8432" width="13" bestFit="1" customWidth="1"/>
    <col min="8433" max="8433" width="2.140625" customWidth="1"/>
    <col min="8434" max="8434" width="10.5703125" bestFit="1" customWidth="1"/>
    <col min="8435" max="8435" width="7.85546875" bestFit="1" customWidth="1"/>
    <col min="8436" max="8436" width="9.85546875" bestFit="1" customWidth="1"/>
    <col min="8437" max="8437" width="11.28515625" bestFit="1" customWidth="1"/>
    <col min="8438" max="8439" width="9.85546875" bestFit="1" customWidth="1"/>
    <col min="8440" max="8440" width="12" bestFit="1" customWidth="1"/>
    <col min="8441" max="8441" width="1.85546875" customWidth="1"/>
    <col min="8443" max="8443" width="3" customWidth="1"/>
    <col min="8680" max="8680" width="18" customWidth="1"/>
    <col min="8681" max="8681" width="7.85546875" customWidth="1"/>
    <col min="8682" max="8682" width="11.28515625" bestFit="1" customWidth="1"/>
    <col min="8683" max="8683" width="10.5703125" bestFit="1" customWidth="1"/>
    <col min="8684" max="8684" width="10.28515625" customWidth="1"/>
    <col min="8685" max="8685" width="12.5703125" bestFit="1" customWidth="1"/>
    <col min="8686" max="8686" width="10.5703125" bestFit="1" customWidth="1"/>
    <col min="8687" max="8687" width="9.85546875" bestFit="1" customWidth="1"/>
    <col min="8688" max="8688" width="13" bestFit="1" customWidth="1"/>
    <col min="8689" max="8689" width="2.140625" customWidth="1"/>
    <col min="8690" max="8690" width="10.5703125" bestFit="1" customWidth="1"/>
    <col min="8691" max="8691" width="7.85546875" bestFit="1" customWidth="1"/>
    <col min="8692" max="8692" width="9.85546875" bestFit="1" customWidth="1"/>
    <col min="8693" max="8693" width="11.28515625" bestFit="1" customWidth="1"/>
    <col min="8694" max="8695" width="9.85546875" bestFit="1" customWidth="1"/>
    <col min="8696" max="8696" width="12" bestFit="1" customWidth="1"/>
    <col min="8697" max="8697" width="1.85546875" customWidth="1"/>
    <col min="8699" max="8699" width="3" customWidth="1"/>
    <col min="8936" max="8936" width="18" customWidth="1"/>
    <col min="8937" max="8937" width="7.85546875" customWidth="1"/>
    <col min="8938" max="8938" width="11.28515625" bestFit="1" customWidth="1"/>
    <col min="8939" max="8939" width="10.5703125" bestFit="1" customWidth="1"/>
    <col min="8940" max="8940" width="10.28515625" customWidth="1"/>
    <col min="8941" max="8941" width="12.5703125" bestFit="1" customWidth="1"/>
    <col min="8942" max="8942" width="10.5703125" bestFit="1" customWidth="1"/>
    <col min="8943" max="8943" width="9.85546875" bestFit="1" customWidth="1"/>
    <col min="8944" max="8944" width="13" bestFit="1" customWidth="1"/>
    <col min="8945" max="8945" width="2.140625" customWidth="1"/>
    <col min="8946" max="8946" width="10.5703125" bestFit="1" customWidth="1"/>
    <col min="8947" max="8947" width="7.85546875" bestFit="1" customWidth="1"/>
    <col min="8948" max="8948" width="9.85546875" bestFit="1" customWidth="1"/>
    <col min="8949" max="8949" width="11.28515625" bestFit="1" customWidth="1"/>
    <col min="8950" max="8951" width="9.85546875" bestFit="1" customWidth="1"/>
    <col min="8952" max="8952" width="12" bestFit="1" customWidth="1"/>
    <col min="8953" max="8953" width="1.85546875" customWidth="1"/>
    <col min="8955" max="8955" width="3" customWidth="1"/>
    <col min="9192" max="9192" width="18" customWidth="1"/>
    <col min="9193" max="9193" width="7.85546875" customWidth="1"/>
    <col min="9194" max="9194" width="11.28515625" bestFit="1" customWidth="1"/>
    <col min="9195" max="9195" width="10.5703125" bestFit="1" customWidth="1"/>
    <col min="9196" max="9196" width="10.28515625" customWidth="1"/>
    <col min="9197" max="9197" width="12.5703125" bestFit="1" customWidth="1"/>
    <col min="9198" max="9198" width="10.5703125" bestFit="1" customWidth="1"/>
    <col min="9199" max="9199" width="9.85546875" bestFit="1" customWidth="1"/>
    <col min="9200" max="9200" width="13" bestFit="1" customWidth="1"/>
    <col min="9201" max="9201" width="2.140625" customWidth="1"/>
    <col min="9202" max="9202" width="10.5703125" bestFit="1" customWidth="1"/>
    <col min="9203" max="9203" width="7.85546875" bestFit="1" customWidth="1"/>
    <col min="9204" max="9204" width="9.85546875" bestFit="1" customWidth="1"/>
    <col min="9205" max="9205" width="11.28515625" bestFit="1" customWidth="1"/>
    <col min="9206" max="9207" width="9.85546875" bestFit="1" customWidth="1"/>
    <col min="9208" max="9208" width="12" bestFit="1" customWidth="1"/>
    <col min="9209" max="9209" width="1.85546875" customWidth="1"/>
    <col min="9211" max="9211" width="3" customWidth="1"/>
    <col min="9448" max="9448" width="18" customWidth="1"/>
    <col min="9449" max="9449" width="7.85546875" customWidth="1"/>
    <col min="9450" max="9450" width="11.28515625" bestFit="1" customWidth="1"/>
    <col min="9451" max="9451" width="10.5703125" bestFit="1" customWidth="1"/>
    <col min="9452" max="9452" width="10.28515625" customWidth="1"/>
    <col min="9453" max="9453" width="12.5703125" bestFit="1" customWidth="1"/>
    <col min="9454" max="9454" width="10.5703125" bestFit="1" customWidth="1"/>
    <col min="9455" max="9455" width="9.85546875" bestFit="1" customWidth="1"/>
    <col min="9456" max="9456" width="13" bestFit="1" customWidth="1"/>
    <col min="9457" max="9457" width="2.140625" customWidth="1"/>
    <col min="9458" max="9458" width="10.5703125" bestFit="1" customWidth="1"/>
    <col min="9459" max="9459" width="7.85546875" bestFit="1" customWidth="1"/>
    <col min="9460" max="9460" width="9.85546875" bestFit="1" customWidth="1"/>
    <col min="9461" max="9461" width="11.28515625" bestFit="1" customWidth="1"/>
    <col min="9462" max="9463" width="9.85546875" bestFit="1" customWidth="1"/>
    <col min="9464" max="9464" width="12" bestFit="1" customWidth="1"/>
    <col min="9465" max="9465" width="1.85546875" customWidth="1"/>
    <col min="9467" max="9467" width="3" customWidth="1"/>
    <col min="9704" max="9704" width="18" customWidth="1"/>
    <col min="9705" max="9705" width="7.85546875" customWidth="1"/>
    <col min="9706" max="9706" width="11.28515625" bestFit="1" customWidth="1"/>
    <col min="9707" max="9707" width="10.5703125" bestFit="1" customWidth="1"/>
    <col min="9708" max="9708" width="10.28515625" customWidth="1"/>
    <col min="9709" max="9709" width="12.5703125" bestFit="1" customWidth="1"/>
    <col min="9710" max="9710" width="10.5703125" bestFit="1" customWidth="1"/>
    <col min="9711" max="9711" width="9.85546875" bestFit="1" customWidth="1"/>
    <col min="9712" max="9712" width="13" bestFit="1" customWidth="1"/>
    <col min="9713" max="9713" width="2.140625" customWidth="1"/>
    <col min="9714" max="9714" width="10.5703125" bestFit="1" customWidth="1"/>
    <col min="9715" max="9715" width="7.85546875" bestFit="1" customWidth="1"/>
    <col min="9716" max="9716" width="9.85546875" bestFit="1" customWidth="1"/>
    <col min="9717" max="9717" width="11.28515625" bestFit="1" customWidth="1"/>
    <col min="9718" max="9719" width="9.85546875" bestFit="1" customWidth="1"/>
    <col min="9720" max="9720" width="12" bestFit="1" customWidth="1"/>
    <col min="9721" max="9721" width="1.85546875" customWidth="1"/>
    <col min="9723" max="9723" width="3" customWidth="1"/>
    <col min="9960" max="9960" width="18" customWidth="1"/>
    <col min="9961" max="9961" width="7.85546875" customWidth="1"/>
    <col min="9962" max="9962" width="11.28515625" bestFit="1" customWidth="1"/>
    <col min="9963" max="9963" width="10.5703125" bestFit="1" customWidth="1"/>
    <col min="9964" max="9964" width="10.28515625" customWidth="1"/>
    <col min="9965" max="9965" width="12.5703125" bestFit="1" customWidth="1"/>
    <col min="9966" max="9966" width="10.5703125" bestFit="1" customWidth="1"/>
    <col min="9967" max="9967" width="9.85546875" bestFit="1" customWidth="1"/>
    <col min="9968" max="9968" width="13" bestFit="1" customWidth="1"/>
    <col min="9969" max="9969" width="2.140625" customWidth="1"/>
    <col min="9970" max="9970" width="10.5703125" bestFit="1" customWidth="1"/>
    <col min="9971" max="9971" width="7.85546875" bestFit="1" customWidth="1"/>
    <col min="9972" max="9972" width="9.85546875" bestFit="1" customWidth="1"/>
    <col min="9973" max="9973" width="11.28515625" bestFit="1" customWidth="1"/>
    <col min="9974" max="9975" width="9.85546875" bestFit="1" customWidth="1"/>
    <col min="9976" max="9976" width="12" bestFit="1" customWidth="1"/>
    <col min="9977" max="9977" width="1.85546875" customWidth="1"/>
    <col min="9979" max="9979" width="3" customWidth="1"/>
    <col min="10216" max="10216" width="18" customWidth="1"/>
    <col min="10217" max="10217" width="7.85546875" customWidth="1"/>
    <col min="10218" max="10218" width="11.28515625" bestFit="1" customWidth="1"/>
    <col min="10219" max="10219" width="10.5703125" bestFit="1" customWidth="1"/>
    <col min="10220" max="10220" width="10.28515625" customWidth="1"/>
    <col min="10221" max="10221" width="12.5703125" bestFit="1" customWidth="1"/>
    <col min="10222" max="10222" width="10.5703125" bestFit="1" customWidth="1"/>
    <col min="10223" max="10223" width="9.85546875" bestFit="1" customWidth="1"/>
    <col min="10224" max="10224" width="13" bestFit="1" customWidth="1"/>
    <col min="10225" max="10225" width="2.140625" customWidth="1"/>
    <col min="10226" max="10226" width="10.5703125" bestFit="1" customWidth="1"/>
    <col min="10227" max="10227" width="7.85546875" bestFit="1" customWidth="1"/>
    <col min="10228" max="10228" width="9.85546875" bestFit="1" customWidth="1"/>
    <col min="10229" max="10229" width="11.28515625" bestFit="1" customWidth="1"/>
    <col min="10230" max="10231" width="9.85546875" bestFit="1" customWidth="1"/>
    <col min="10232" max="10232" width="12" bestFit="1" customWidth="1"/>
    <col min="10233" max="10233" width="1.85546875" customWidth="1"/>
    <col min="10235" max="10235" width="3" customWidth="1"/>
    <col min="10472" max="10472" width="18" customWidth="1"/>
    <col min="10473" max="10473" width="7.85546875" customWidth="1"/>
    <col min="10474" max="10474" width="11.28515625" bestFit="1" customWidth="1"/>
    <col min="10475" max="10475" width="10.5703125" bestFit="1" customWidth="1"/>
    <col min="10476" max="10476" width="10.28515625" customWidth="1"/>
    <col min="10477" max="10477" width="12.5703125" bestFit="1" customWidth="1"/>
    <col min="10478" max="10478" width="10.5703125" bestFit="1" customWidth="1"/>
    <col min="10479" max="10479" width="9.85546875" bestFit="1" customWidth="1"/>
    <col min="10480" max="10480" width="13" bestFit="1" customWidth="1"/>
    <col min="10481" max="10481" width="2.140625" customWidth="1"/>
    <col min="10482" max="10482" width="10.5703125" bestFit="1" customWidth="1"/>
    <col min="10483" max="10483" width="7.85546875" bestFit="1" customWidth="1"/>
    <col min="10484" max="10484" width="9.85546875" bestFit="1" customWidth="1"/>
    <col min="10485" max="10485" width="11.28515625" bestFit="1" customWidth="1"/>
    <col min="10486" max="10487" width="9.85546875" bestFit="1" customWidth="1"/>
    <col min="10488" max="10488" width="12" bestFit="1" customWidth="1"/>
    <col min="10489" max="10489" width="1.85546875" customWidth="1"/>
    <col min="10491" max="10491" width="3" customWidth="1"/>
    <col min="10728" max="10728" width="18" customWidth="1"/>
    <col min="10729" max="10729" width="7.85546875" customWidth="1"/>
    <col min="10730" max="10730" width="11.28515625" bestFit="1" customWidth="1"/>
    <col min="10731" max="10731" width="10.5703125" bestFit="1" customWidth="1"/>
    <col min="10732" max="10732" width="10.28515625" customWidth="1"/>
    <col min="10733" max="10733" width="12.5703125" bestFit="1" customWidth="1"/>
    <col min="10734" max="10734" width="10.5703125" bestFit="1" customWidth="1"/>
    <col min="10735" max="10735" width="9.85546875" bestFit="1" customWidth="1"/>
    <col min="10736" max="10736" width="13" bestFit="1" customWidth="1"/>
    <col min="10737" max="10737" width="2.140625" customWidth="1"/>
    <col min="10738" max="10738" width="10.5703125" bestFit="1" customWidth="1"/>
    <col min="10739" max="10739" width="7.85546875" bestFit="1" customWidth="1"/>
    <col min="10740" max="10740" width="9.85546875" bestFit="1" customWidth="1"/>
    <col min="10741" max="10741" width="11.28515625" bestFit="1" customWidth="1"/>
    <col min="10742" max="10743" width="9.85546875" bestFit="1" customWidth="1"/>
    <col min="10744" max="10744" width="12" bestFit="1" customWidth="1"/>
    <col min="10745" max="10745" width="1.85546875" customWidth="1"/>
    <col min="10747" max="10747" width="3" customWidth="1"/>
    <col min="10984" max="10984" width="18" customWidth="1"/>
    <col min="10985" max="10985" width="7.85546875" customWidth="1"/>
    <col min="10986" max="10986" width="11.28515625" bestFit="1" customWidth="1"/>
    <col min="10987" max="10987" width="10.5703125" bestFit="1" customWidth="1"/>
    <col min="10988" max="10988" width="10.28515625" customWidth="1"/>
    <col min="10989" max="10989" width="12.5703125" bestFit="1" customWidth="1"/>
    <col min="10990" max="10990" width="10.5703125" bestFit="1" customWidth="1"/>
    <col min="10991" max="10991" width="9.85546875" bestFit="1" customWidth="1"/>
    <col min="10992" max="10992" width="13" bestFit="1" customWidth="1"/>
    <col min="10993" max="10993" width="2.140625" customWidth="1"/>
    <col min="10994" max="10994" width="10.5703125" bestFit="1" customWidth="1"/>
    <col min="10995" max="10995" width="7.85546875" bestFit="1" customWidth="1"/>
    <col min="10996" max="10996" width="9.85546875" bestFit="1" customWidth="1"/>
    <col min="10997" max="10997" width="11.28515625" bestFit="1" customWidth="1"/>
    <col min="10998" max="10999" width="9.85546875" bestFit="1" customWidth="1"/>
    <col min="11000" max="11000" width="12" bestFit="1" customWidth="1"/>
    <col min="11001" max="11001" width="1.85546875" customWidth="1"/>
    <col min="11003" max="11003" width="3" customWidth="1"/>
    <col min="11240" max="11240" width="18" customWidth="1"/>
    <col min="11241" max="11241" width="7.85546875" customWidth="1"/>
    <col min="11242" max="11242" width="11.28515625" bestFit="1" customWidth="1"/>
    <col min="11243" max="11243" width="10.5703125" bestFit="1" customWidth="1"/>
    <col min="11244" max="11244" width="10.28515625" customWidth="1"/>
    <col min="11245" max="11245" width="12.5703125" bestFit="1" customWidth="1"/>
    <col min="11246" max="11246" width="10.5703125" bestFit="1" customWidth="1"/>
    <col min="11247" max="11247" width="9.85546875" bestFit="1" customWidth="1"/>
    <col min="11248" max="11248" width="13" bestFit="1" customWidth="1"/>
    <col min="11249" max="11249" width="2.140625" customWidth="1"/>
    <col min="11250" max="11250" width="10.5703125" bestFit="1" customWidth="1"/>
    <col min="11251" max="11251" width="7.85546875" bestFit="1" customWidth="1"/>
    <col min="11252" max="11252" width="9.85546875" bestFit="1" customWidth="1"/>
    <col min="11253" max="11253" width="11.28515625" bestFit="1" customWidth="1"/>
    <col min="11254" max="11255" width="9.85546875" bestFit="1" customWidth="1"/>
    <col min="11256" max="11256" width="12" bestFit="1" customWidth="1"/>
    <col min="11257" max="11257" width="1.85546875" customWidth="1"/>
    <col min="11259" max="11259" width="3" customWidth="1"/>
    <col min="11496" max="11496" width="18" customWidth="1"/>
    <col min="11497" max="11497" width="7.85546875" customWidth="1"/>
    <col min="11498" max="11498" width="11.28515625" bestFit="1" customWidth="1"/>
    <col min="11499" max="11499" width="10.5703125" bestFit="1" customWidth="1"/>
    <col min="11500" max="11500" width="10.28515625" customWidth="1"/>
    <col min="11501" max="11501" width="12.5703125" bestFit="1" customWidth="1"/>
    <col min="11502" max="11502" width="10.5703125" bestFit="1" customWidth="1"/>
    <col min="11503" max="11503" width="9.85546875" bestFit="1" customWidth="1"/>
    <col min="11504" max="11504" width="13" bestFit="1" customWidth="1"/>
    <col min="11505" max="11505" width="2.140625" customWidth="1"/>
    <col min="11506" max="11506" width="10.5703125" bestFit="1" customWidth="1"/>
    <col min="11507" max="11507" width="7.85546875" bestFit="1" customWidth="1"/>
    <col min="11508" max="11508" width="9.85546875" bestFit="1" customWidth="1"/>
    <col min="11509" max="11509" width="11.28515625" bestFit="1" customWidth="1"/>
    <col min="11510" max="11511" width="9.85546875" bestFit="1" customWidth="1"/>
    <col min="11512" max="11512" width="12" bestFit="1" customWidth="1"/>
    <col min="11513" max="11513" width="1.85546875" customWidth="1"/>
    <col min="11515" max="11515" width="3" customWidth="1"/>
    <col min="11752" max="11752" width="18" customWidth="1"/>
    <col min="11753" max="11753" width="7.85546875" customWidth="1"/>
    <col min="11754" max="11754" width="11.28515625" bestFit="1" customWidth="1"/>
    <col min="11755" max="11755" width="10.5703125" bestFit="1" customWidth="1"/>
    <col min="11756" max="11756" width="10.28515625" customWidth="1"/>
    <col min="11757" max="11757" width="12.5703125" bestFit="1" customWidth="1"/>
    <col min="11758" max="11758" width="10.5703125" bestFit="1" customWidth="1"/>
    <col min="11759" max="11759" width="9.85546875" bestFit="1" customWidth="1"/>
    <col min="11760" max="11760" width="13" bestFit="1" customWidth="1"/>
    <col min="11761" max="11761" width="2.140625" customWidth="1"/>
    <col min="11762" max="11762" width="10.5703125" bestFit="1" customWidth="1"/>
    <col min="11763" max="11763" width="7.85546875" bestFit="1" customWidth="1"/>
    <col min="11764" max="11764" width="9.85546875" bestFit="1" customWidth="1"/>
    <col min="11765" max="11765" width="11.28515625" bestFit="1" customWidth="1"/>
    <col min="11766" max="11767" width="9.85546875" bestFit="1" customWidth="1"/>
    <col min="11768" max="11768" width="12" bestFit="1" customWidth="1"/>
    <col min="11769" max="11769" width="1.85546875" customWidth="1"/>
    <col min="11771" max="11771" width="3" customWidth="1"/>
    <col min="12008" max="12008" width="18" customWidth="1"/>
    <col min="12009" max="12009" width="7.85546875" customWidth="1"/>
    <col min="12010" max="12010" width="11.28515625" bestFit="1" customWidth="1"/>
    <col min="12011" max="12011" width="10.5703125" bestFit="1" customWidth="1"/>
    <col min="12012" max="12012" width="10.28515625" customWidth="1"/>
    <col min="12013" max="12013" width="12.5703125" bestFit="1" customWidth="1"/>
    <col min="12014" max="12014" width="10.5703125" bestFit="1" customWidth="1"/>
    <col min="12015" max="12015" width="9.85546875" bestFit="1" customWidth="1"/>
    <col min="12016" max="12016" width="13" bestFit="1" customWidth="1"/>
    <col min="12017" max="12017" width="2.140625" customWidth="1"/>
    <col min="12018" max="12018" width="10.5703125" bestFit="1" customWidth="1"/>
    <col min="12019" max="12019" width="7.85546875" bestFit="1" customWidth="1"/>
    <col min="12020" max="12020" width="9.85546875" bestFit="1" customWidth="1"/>
    <col min="12021" max="12021" width="11.28515625" bestFit="1" customWidth="1"/>
    <col min="12022" max="12023" width="9.85546875" bestFit="1" customWidth="1"/>
    <col min="12024" max="12024" width="12" bestFit="1" customWidth="1"/>
    <col min="12025" max="12025" width="1.85546875" customWidth="1"/>
    <col min="12027" max="12027" width="3" customWidth="1"/>
    <col min="12264" max="12264" width="18" customWidth="1"/>
    <col min="12265" max="12265" width="7.85546875" customWidth="1"/>
    <col min="12266" max="12266" width="11.28515625" bestFit="1" customWidth="1"/>
    <col min="12267" max="12267" width="10.5703125" bestFit="1" customWidth="1"/>
    <col min="12268" max="12268" width="10.28515625" customWidth="1"/>
    <col min="12269" max="12269" width="12.5703125" bestFit="1" customWidth="1"/>
    <col min="12270" max="12270" width="10.5703125" bestFit="1" customWidth="1"/>
    <col min="12271" max="12271" width="9.85546875" bestFit="1" customWidth="1"/>
    <col min="12272" max="12272" width="13" bestFit="1" customWidth="1"/>
    <col min="12273" max="12273" width="2.140625" customWidth="1"/>
    <col min="12274" max="12274" width="10.5703125" bestFit="1" customWidth="1"/>
    <col min="12275" max="12275" width="7.85546875" bestFit="1" customWidth="1"/>
    <col min="12276" max="12276" width="9.85546875" bestFit="1" customWidth="1"/>
    <col min="12277" max="12277" width="11.28515625" bestFit="1" customWidth="1"/>
    <col min="12278" max="12279" width="9.85546875" bestFit="1" customWidth="1"/>
    <col min="12280" max="12280" width="12" bestFit="1" customWidth="1"/>
    <col min="12281" max="12281" width="1.85546875" customWidth="1"/>
    <col min="12283" max="12283" width="3" customWidth="1"/>
    <col min="12520" max="12520" width="18" customWidth="1"/>
    <col min="12521" max="12521" width="7.85546875" customWidth="1"/>
    <col min="12522" max="12522" width="11.28515625" bestFit="1" customWidth="1"/>
    <col min="12523" max="12523" width="10.5703125" bestFit="1" customWidth="1"/>
    <col min="12524" max="12524" width="10.28515625" customWidth="1"/>
    <col min="12525" max="12525" width="12.5703125" bestFit="1" customWidth="1"/>
    <col min="12526" max="12526" width="10.5703125" bestFit="1" customWidth="1"/>
    <col min="12527" max="12527" width="9.85546875" bestFit="1" customWidth="1"/>
    <col min="12528" max="12528" width="13" bestFit="1" customWidth="1"/>
    <col min="12529" max="12529" width="2.140625" customWidth="1"/>
    <col min="12530" max="12530" width="10.5703125" bestFit="1" customWidth="1"/>
    <col min="12531" max="12531" width="7.85546875" bestFit="1" customWidth="1"/>
    <col min="12532" max="12532" width="9.85546875" bestFit="1" customWidth="1"/>
    <col min="12533" max="12533" width="11.28515625" bestFit="1" customWidth="1"/>
    <col min="12534" max="12535" width="9.85546875" bestFit="1" customWidth="1"/>
    <col min="12536" max="12536" width="12" bestFit="1" customWidth="1"/>
    <col min="12537" max="12537" width="1.85546875" customWidth="1"/>
    <col min="12539" max="12539" width="3" customWidth="1"/>
    <col min="12776" max="12776" width="18" customWidth="1"/>
    <col min="12777" max="12777" width="7.85546875" customWidth="1"/>
    <col min="12778" max="12778" width="11.28515625" bestFit="1" customWidth="1"/>
    <col min="12779" max="12779" width="10.5703125" bestFit="1" customWidth="1"/>
    <col min="12780" max="12780" width="10.28515625" customWidth="1"/>
    <col min="12781" max="12781" width="12.5703125" bestFit="1" customWidth="1"/>
    <col min="12782" max="12782" width="10.5703125" bestFit="1" customWidth="1"/>
    <col min="12783" max="12783" width="9.85546875" bestFit="1" customWidth="1"/>
    <col min="12784" max="12784" width="13" bestFit="1" customWidth="1"/>
    <col min="12785" max="12785" width="2.140625" customWidth="1"/>
    <col min="12786" max="12786" width="10.5703125" bestFit="1" customWidth="1"/>
    <col min="12787" max="12787" width="7.85546875" bestFit="1" customWidth="1"/>
    <col min="12788" max="12788" width="9.85546875" bestFit="1" customWidth="1"/>
    <col min="12789" max="12789" width="11.28515625" bestFit="1" customWidth="1"/>
    <col min="12790" max="12791" width="9.85546875" bestFit="1" customWidth="1"/>
    <col min="12792" max="12792" width="12" bestFit="1" customWidth="1"/>
    <col min="12793" max="12793" width="1.85546875" customWidth="1"/>
    <col min="12795" max="12795" width="3" customWidth="1"/>
    <col min="13032" max="13032" width="18" customWidth="1"/>
    <col min="13033" max="13033" width="7.85546875" customWidth="1"/>
    <col min="13034" max="13034" width="11.28515625" bestFit="1" customWidth="1"/>
    <col min="13035" max="13035" width="10.5703125" bestFit="1" customWidth="1"/>
    <col min="13036" max="13036" width="10.28515625" customWidth="1"/>
    <col min="13037" max="13037" width="12.5703125" bestFit="1" customWidth="1"/>
    <col min="13038" max="13038" width="10.5703125" bestFit="1" customWidth="1"/>
    <col min="13039" max="13039" width="9.85546875" bestFit="1" customWidth="1"/>
    <col min="13040" max="13040" width="13" bestFit="1" customWidth="1"/>
    <col min="13041" max="13041" width="2.140625" customWidth="1"/>
    <col min="13042" max="13042" width="10.5703125" bestFit="1" customWidth="1"/>
    <col min="13043" max="13043" width="7.85546875" bestFit="1" customWidth="1"/>
    <col min="13044" max="13044" width="9.85546875" bestFit="1" customWidth="1"/>
    <col min="13045" max="13045" width="11.28515625" bestFit="1" customWidth="1"/>
    <col min="13046" max="13047" width="9.85546875" bestFit="1" customWidth="1"/>
    <col min="13048" max="13048" width="12" bestFit="1" customWidth="1"/>
    <col min="13049" max="13049" width="1.85546875" customWidth="1"/>
    <col min="13051" max="13051" width="3" customWidth="1"/>
    <col min="13288" max="13288" width="18" customWidth="1"/>
    <col min="13289" max="13289" width="7.85546875" customWidth="1"/>
    <col min="13290" max="13290" width="11.28515625" bestFit="1" customWidth="1"/>
    <col min="13291" max="13291" width="10.5703125" bestFit="1" customWidth="1"/>
    <col min="13292" max="13292" width="10.28515625" customWidth="1"/>
    <col min="13293" max="13293" width="12.5703125" bestFit="1" customWidth="1"/>
    <col min="13294" max="13294" width="10.5703125" bestFit="1" customWidth="1"/>
    <col min="13295" max="13295" width="9.85546875" bestFit="1" customWidth="1"/>
    <col min="13296" max="13296" width="13" bestFit="1" customWidth="1"/>
    <col min="13297" max="13297" width="2.140625" customWidth="1"/>
    <col min="13298" max="13298" width="10.5703125" bestFit="1" customWidth="1"/>
    <col min="13299" max="13299" width="7.85546875" bestFit="1" customWidth="1"/>
    <col min="13300" max="13300" width="9.85546875" bestFit="1" customWidth="1"/>
    <col min="13301" max="13301" width="11.28515625" bestFit="1" customWidth="1"/>
    <col min="13302" max="13303" width="9.85546875" bestFit="1" customWidth="1"/>
    <col min="13304" max="13304" width="12" bestFit="1" customWidth="1"/>
    <col min="13305" max="13305" width="1.85546875" customWidth="1"/>
    <col min="13307" max="13307" width="3" customWidth="1"/>
    <col min="13544" max="13544" width="18" customWidth="1"/>
    <col min="13545" max="13545" width="7.85546875" customWidth="1"/>
    <col min="13546" max="13546" width="11.28515625" bestFit="1" customWidth="1"/>
    <col min="13547" max="13547" width="10.5703125" bestFit="1" customWidth="1"/>
    <col min="13548" max="13548" width="10.28515625" customWidth="1"/>
    <col min="13549" max="13549" width="12.5703125" bestFit="1" customWidth="1"/>
    <col min="13550" max="13550" width="10.5703125" bestFit="1" customWidth="1"/>
    <col min="13551" max="13551" width="9.85546875" bestFit="1" customWidth="1"/>
    <col min="13552" max="13552" width="13" bestFit="1" customWidth="1"/>
    <col min="13553" max="13553" width="2.140625" customWidth="1"/>
    <col min="13554" max="13554" width="10.5703125" bestFit="1" customWidth="1"/>
    <col min="13555" max="13555" width="7.85546875" bestFit="1" customWidth="1"/>
    <col min="13556" max="13556" width="9.85546875" bestFit="1" customWidth="1"/>
    <col min="13557" max="13557" width="11.28515625" bestFit="1" customWidth="1"/>
    <col min="13558" max="13559" width="9.85546875" bestFit="1" customWidth="1"/>
    <col min="13560" max="13560" width="12" bestFit="1" customWidth="1"/>
    <col min="13561" max="13561" width="1.85546875" customWidth="1"/>
    <col min="13563" max="13563" width="3" customWidth="1"/>
    <col min="13800" max="13800" width="18" customWidth="1"/>
    <col min="13801" max="13801" width="7.85546875" customWidth="1"/>
    <col min="13802" max="13802" width="11.28515625" bestFit="1" customWidth="1"/>
    <col min="13803" max="13803" width="10.5703125" bestFit="1" customWidth="1"/>
    <col min="13804" max="13804" width="10.28515625" customWidth="1"/>
    <col min="13805" max="13805" width="12.5703125" bestFit="1" customWidth="1"/>
    <col min="13806" max="13806" width="10.5703125" bestFit="1" customWidth="1"/>
    <col min="13807" max="13807" width="9.85546875" bestFit="1" customWidth="1"/>
    <col min="13808" max="13808" width="13" bestFit="1" customWidth="1"/>
    <col min="13809" max="13809" width="2.140625" customWidth="1"/>
    <col min="13810" max="13810" width="10.5703125" bestFit="1" customWidth="1"/>
    <col min="13811" max="13811" width="7.85546875" bestFit="1" customWidth="1"/>
    <col min="13812" max="13812" width="9.85546875" bestFit="1" customWidth="1"/>
    <col min="13813" max="13813" width="11.28515625" bestFit="1" customWidth="1"/>
    <col min="13814" max="13815" width="9.85546875" bestFit="1" customWidth="1"/>
    <col min="13816" max="13816" width="12" bestFit="1" customWidth="1"/>
    <col min="13817" max="13817" width="1.85546875" customWidth="1"/>
    <col min="13819" max="13819" width="3" customWidth="1"/>
    <col min="14056" max="14056" width="18" customWidth="1"/>
    <col min="14057" max="14057" width="7.85546875" customWidth="1"/>
    <col min="14058" max="14058" width="11.28515625" bestFit="1" customWidth="1"/>
    <col min="14059" max="14059" width="10.5703125" bestFit="1" customWidth="1"/>
    <col min="14060" max="14060" width="10.28515625" customWidth="1"/>
    <col min="14061" max="14061" width="12.5703125" bestFit="1" customWidth="1"/>
    <col min="14062" max="14062" width="10.5703125" bestFit="1" customWidth="1"/>
    <col min="14063" max="14063" width="9.85546875" bestFit="1" customWidth="1"/>
    <col min="14064" max="14064" width="13" bestFit="1" customWidth="1"/>
    <col min="14065" max="14065" width="2.140625" customWidth="1"/>
    <col min="14066" max="14066" width="10.5703125" bestFit="1" customWidth="1"/>
    <col min="14067" max="14067" width="7.85546875" bestFit="1" customWidth="1"/>
    <col min="14068" max="14068" width="9.85546875" bestFit="1" customWidth="1"/>
    <col min="14069" max="14069" width="11.28515625" bestFit="1" customWidth="1"/>
    <col min="14070" max="14071" width="9.85546875" bestFit="1" customWidth="1"/>
    <col min="14072" max="14072" width="12" bestFit="1" customWidth="1"/>
    <col min="14073" max="14073" width="1.85546875" customWidth="1"/>
    <col min="14075" max="14075" width="3" customWidth="1"/>
    <col min="14312" max="14312" width="18" customWidth="1"/>
    <col min="14313" max="14313" width="7.85546875" customWidth="1"/>
    <col min="14314" max="14314" width="11.28515625" bestFit="1" customWidth="1"/>
    <col min="14315" max="14315" width="10.5703125" bestFit="1" customWidth="1"/>
    <col min="14316" max="14316" width="10.28515625" customWidth="1"/>
    <col min="14317" max="14317" width="12.5703125" bestFit="1" customWidth="1"/>
    <col min="14318" max="14318" width="10.5703125" bestFit="1" customWidth="1"/>
    <col min="14319" max="14319" width="9.85546875" bestFit="1" customWidth="1"/>
    <col min="14320" max="14320" width="13" bestFit="1" customWidth="1"/>
    <col min="14321" max="14321" width="2.140625" customWidth="1"/>
    <col min="14322" max="14322" width="10.5703125" bestFit="1" customWidth="1"/>
    <col min="14323" max="14323" width="7.85546875" bestFit="1" customWidth="1"/>
    <col min="14324" max="14324" width="9.85546875" bestFit="1" customWidth="1"/>
    <col min="14325" max="14325" width="11.28515625" bestFit="1" customWidth="1"/>
    <col min="14326" max="14327" width="9.85546875" bestFit="1" customWidth="1"/>
    <col min="14328" max="14328" width="12" bestFit="1" customWidth="1"/>
    <col min="14329" max="14329" width="1.85546875" customWidth="1"/>
    <col min="14331" max="14331" width="3" customWidth="1"/>
    <col min="14568" max="14568" width="18" customWidth="1"/>
    <col min="14569" max="14569" width="7.85546875" customWidth="1"/>
    <col min="14570" max="14570" width="11.28515625" bestFit="1" customWidth="1"/>
    <col min="14571" max="14571" width="10.5703125" bestFit="1" customWidth="1"/>
    <col min="14572" max="14572" width="10.28515625" customWidth="1"/>
    <col min="14573" max="14573" width="12.5703125" bestFit="1" customWidth="1"/>
    <col min="14574" max="14574" width="10.5703125" bestFit="1" customWidth="1"/>
    <col min="14575" max="14575" width="9.85546875" bestFit="1" customWidth="1"/>
    <col min="14576" max="14576" width="13" bestFit="1" customWidth="1"/>
    <col min="14577" max="14577" width="2.140625" customWidth="1"/>
    <col min="14578" max="14578" width="10.5703125" bestFit="1" customWidth="1"/>
    <col min="14579" max="14579" width="7.85546875" bestFit="1" customWidth="1"/>
    <col min="14580" max="14580" width="9.85546875" bestFit="1" customWidth="1"/>
    <col min="14581" max="14581" width="11.28515625" bestFit="1" customWidth="1"/>
    <col min="14582" max="14583" width="9.85546875" bestFit="1" customWidth="1"/>
    <col min="14584" max="14584" width="12" bestFit="1" customWidth="1"/>
    <col min="14585" max="14585" width="1.85546875" customWidth="1"/>
    <col min="14587" max="14587" width="3" customWidth="1"/>
    <col min="14824" max="14824" width="18" customWidth="1"/>
    <col min="14825" max="14825" width="7.85546875" customWidth="1"/>
    <col min="14826" max="14826" width="11.28515625" bestFit="1" customWidth="1"/>
    <col min="14827" max="14827" width="10.5703125" bestFit="1" customWidth="1"/>
    <col min="14828" max="14828" width="10.28515625" customWidth="1"/>
    <col min="14829" max="14829" width="12.5703125" bestFit="1" customWidth="1"/>
    <col min="14830" max="14830" width="10.5703125" bestFit="1" customWidth="1"/>
    <col min="14831" max="14831" width="9.85546875" bestFit="1" customWidth="1"/>
    <col min="14832" max="14832" width="13" bestFit="1" customWidth="1"/>
    <col min="14833" max="14833" width="2.140625" customWidth="1"/>
    <col min="14834" max="14834" width="10.5703125" bestFit="1" customWidth="1"/>
    <col min="14835" max="14835" width="7.85546875" bestFit="1" customWidth="1"/>
    <col min="14836" max="14836" width="9.85546875" bestFit="1" customWidth="1"/>
    <col min="14837" max="14837" width="11.28515625" bestFit="1" customWidth="1"/>
    <col min="14838" max="14839" width="9.85546875" bestFit="1" customWidth="1"/>
    <col min="14840" max="14840" width="12" bestFit="1" customWidth="1"/>
    <col min="14841" max="14841" width="1.85546875" customWidth="1"/>
    <col min="14843" max="14843" width="3" customWidth="1"/>
    <col min="15080" max="15080" width="18" customWidth="1"/>
    <col min="15081" max="15081" width="7.85546875" customWidth="1"/>
    <col min="15082" max="15082" width="11.28515625" bestFit="1" customWidth="1"/>
    <col min="15083" max="15083" width="10.5703125" bestFit="1" customWidth="1"/>
    <col min="15084" max="15084" width="10.28515625" customWidth="1"/>
    <col min="15085" max="15085" width="12.5703125" bestFit="1" customWidth="1"/>
    <col min="15086" max="15086" width="10.5703125" bestFit="1" customWidth="1"/>
    <col min="15087" max="15087" width="9.85546875" bestFit="1" customWidth="1"/>
    <col min="15088" max="15088" width="13" bestFit="1" customWidth="1"/>
    <col min="15089" max="15089" width="2.140625" customWidth="1"/>
    <col min="15090" max="15090" width="10.5703125" bestFit="1" customWidth="1"/>
    <col min="15091" max="15091" width="7.85546875" bestFit="1" customWidth="1"/>
    <col min="15092" max="15092" width="9.85546875" bestFit="1" customWidth="1"/>
    <col min="15093" max="15093" width="11.28515625" bestFit="1" customWidth="1"/>
    <col min="15094" max="15095" width="9.85546875" bestFit="1" customWidth="1"/>
    <col min="15096" max="15096" width="12" bestFit="1" customWidth="1"/>
    <col min="15097" max="15097" width="1.85546875" customWidth="1"/>
    <col min="15099" max="15099" width="3" customWidth="1"/>
    <col min="15336" max="15336" width="18" customWidth="1"/>
    <col min="15337" max="15337" width="7.85546875" customWidth="1"/>
    <col min="15338" max="15338" width="11.28515625" bestFit="1" customWidth="1"/>
    <col min="15339" max="15339" width="10.5703125" bestFit="1" customWidth="1"/>
    <col min="15340" max="15340" width="10.28515625" customWidth="1"/>
    <col min="15341" max="15341" width="12.5703125" bestFit="1" customWidth="1"/>
    <col min="15342" max="15342" width="10.5703125" bestFit="1" customWidth="1"/>
    <col min="15343" max="15343" width="9.85546875" bestFit="1" customWidth="1"/>
    <col min="15344" max="15344" width="13" bestFit="1" customWidth="1"/>
    <col min="15345" max="15345" width="2.140625" customWidth="1"/>
    <col min="15346" max="15346" width="10.5703125" bestFit="1" customWidth="1"/>
    <col min="15347" max="15347" width="7.85546875" bestFit="1" customWidth="1"/>
    <col min="15348" max="15348" width="9.85546875" bestFit="1" customWidth="1"/>
    <col min="15349" max="15349" width="11.28515625" bestFit="1" customWidth="1"/>
    <col min="15350" max="15351" width="9.85546875" bestFit="1" customWidth="1"/>
    <col min="15352" max="15352" width="12" bestFit="1" customWidth="1"/>
    <col min="15353" max="15353" width="1.85546875" customWidth="1"/>
    <col min="15355" max="15355" width="3" customWidth="1"/>
    <col min="15592" max="15592" width="18" customWidth="1"/>
    <col min="15593" max="15593" width="7.85546875" customWidth="1"/>
    <col min="15594" max="15594" width="11.28515625" bestFit="1" customWidth="1"/>
    <col min="15595" max="15595" width="10.5703125" bestFit="1" customWidth="1"/>
    <col min="15596" max="15596" width="10.28515625" customWidth="1"/>
    <col min="15597" max="15597" width="12.5703125" bestFit="1" customWidth="1"/>
    <col min="15598" max="15598" width="10.5703125" bestFit="1" customWidth="1"/>
    <col min="15599" max="15599" width="9.85546875" bestFit="1" customWidth="1"/>
    <col min="15600" max="15600" width="13" bestFit="1" customWidth="1"/>
    <col min="15601" max="15601" width="2.140625" customWidth="1"/>
    <col min="15602" max="15602" width="10.5703125" bestFit="1" customWidth="1"/>
    <col min="15603" max="15603" width="7.85546875" bestFit="1" customWidth="1"/>
    <col min="15604" max="15604" width="9.85546875" bestFit="1" customWidth="1"/>
    <col min="15605" max="15605" width="11.28515625" bestFit="1" customWidth="1"/>
    <col min="15606" max="15607" width="9.85546875" bestFit="1" customWidth="1"/>
    <col min="15608" max="15608" width="12" bestFit="1" customWidth="1"/>
    <col min="15609" max="15609" width="1.85546875" customWidth="1"/>
    <col min="15611" max="15611" width="3" customWidth="1"/>
    <col min="15848" max="15848" width="18" customWidth="1"/>
    <col min="15849" max="15849" width="7.85546875" customWidth="1"/>
    <col min="15850" max="15850" width="11.28515625" bestFit="1" customWidth="1"/>
    <col min="15851" max="15851" width="10.5703125" bestFit="1" customWidth="1"/>
    <col min="15852" max="15852" width="10.28515625" customWidth="1"/>
    <col min="15853" max="15853" width="12.5703125" bestFit="1" customWidth="1"/>
    <col min="15854" max="15854" width="10.5703125" bestFit="1" customWidth="1"/>
    <col min="15855" max="15855" width="9.85546875" bestFit="1" customWidth="1"/>
    <col min="15856" max="15856" width="13" bestFit="1" customWidth="1"/>
    <col min="15857" max="15857" width="2.140625" customWidth="1"/>
    <col min="15858" max="15858" width="10.5703125" bestFit="1" customWidth="1"/>
    <col min="15859" max="15859" width="7.85546875" bestFit="1" customWidth="1"/>
    <col min="15860" max="15860" width="9.85546875" bestFit="1" customWidth="1"/>
    <col min="15861" max="15861" width="11.28515625" bestFit="1" customWidth="1"/>
    <col min="15862" max="15863" width="9.85546875" bestFit="1" customWidth="1"/>
    <col min="15864" max="15864" width="12" bestFit="1" customWidth="1"/>
    <col min="15865" max="15865" width="1.85546875" customWidth="1"/>
    <col min="15867" max="15867" width="3" customWidth="1"/>
    <col min="16104" max="16104" width="18" customWidth="1"/>
    <col min="16105" max="16105" width="7.85546875" customWidth="1"/>
    <col min="16106" max="16106" width="11.28515625" bestFit="1" customWidth="1"/>
    <col min="16107" max="16107" width="10.5703125" bestFit="1" customWidth="1"/>
    <col min="16108" max="16108" width="10.28515625" customWidth="1"/>
    <col min="16109" max="16109" width="12.5703125" bestFit="1" customWidth="1"/>
    <col min="16110" max="16110" width="10.5703125" bestFit="1" customWidth="1"/>
    <col min="16111" max="16111" width="9.85546875" bestFit="1" customWidth="1"/>
    <col min="16112" max="16112" width="13" bestFit="1" customWidth="1"/>
    <col min="16113" max="16113" width="2.140625" customWidth="1"/>
    <col min="16114" max="16114" width="10.5703125" bestFit="1" customWidth="1"/>
    <col min="16115" max="16115" width="7.85546875" bestFit="1" customWidth="1"/>
    <col min="16116" max="16116" width="9.85546875" bestFit="1" customWidth="1"/>
    <col min="16117" max="16117" width="11.28515625" bestFit="1" customWidth="1"/>
    <col min="16118" max="16119" width="9.85546875" bestFit="1" customWidth="1"/>
    <col min="16120" max="16120" width="12" bestFit="1" customWidth="1"/>
    <col min="16121" max="16121" width="1.85546875" customWidth="1"/>
    <col min="16123" max="16123" width="3" customWidth="1"/>
  </cols>
  <sheetData>
    <row r="1" spans="1:11" ht="26.25" x14ac:dyDescent="0.4">
      <c r="A1" s="7" t="s">
        <v>18</v>
      </c>
    </row>
    <row r="2" spans="1:11" ht="15" x14ac:dyDescent="0.25">
      <c r="A2" s="8" t="s">
        <v>109</v>
      </c>
    </row>
    <row r="6" spans="1:11" ht="15" x14ac:dyDescent="0.2">
      <c r="A6" s="68" t="s">
        <v>19</v>
      </c>
      <c r="B6" s="62"/>
      <c r="C6" s="62"/>
      <c r="D6" s="62"/>
      <c r="E6" s="62"/>
      <c r="F6" s="62"/>
      <c r="G6" s="62"/>
    </row>
    <row r="7" spans="1:11" x14ac:dyDescent="0.2">
      <c r="D7" s="9"/>
      <c r="E7" s="2" t="s">
        <v>21</v>
      </c>
      <c r="F7" s="9"/>
      <c r="H7" s="4"/>
      <c r="I7" s="2" t="s">
        <v>22</v>
      </c>
      <c r="J7" s="4"/>
      <c r="K7" s="2" t="s">
        <v>23</v>
      </c>
    </row>
    <row r="8" spans="1:11" x14ac:dyDescent="0.2">
      <c r="B8" s="2" t="s">
        <v>62</v>
      </c>
      <c r="D8" s="2" t="s">
        <v>0</v>
      </c>
      <c r="E8" s="2" t="s">
        <v>25</v>
      </c>
      <c r="F8" s="9"/>
      <c r="G8" s="2" t="s">
        <v>26</v>
      </c>
      <c r="H8" s="11" t="s">
        <v>27</v>
      </c>
      <c r="I8" s="11" t="s">
        <v>28</v>
      </c>
      <c r="J8" s="4"/>
      <c r="K8" s="11" t="s">
        <v>29</v>
      </c>
    </row>
    <row r="9" spans="1:11" x14ac:dyDescent="0.2">
      <c r="B9" s="10" t="s">
        <v>63</v>
      </c>
      <c r="C9" s="12" t="s">
        <v>30</v>
      </c>
      <c r="D9" s="10" t="s">
        <v>139</v>
      </c>
      <c r="E9" s="10" t="s">
        <v>31</v>
      </c>
      <c r="F9" s="10" t="s">
        <v>7</v>
      </c>
      <c r="G9" s="10" t="s">
        <v>32</v>
      </c>
      <c r="H9" s="13" t="s">
        <v>32</v>
      </c>
      <c r="I9" s="13" t="s">
        <v>33</v>
      </c>
      <c r="K9" s="13" t="s">
        <v>32</v>
      </c>
    </row>
    <row r="10" spans="1:11" x14ac:dyDescent="0.2">
      <c r="A10" s="14"/>
      <c r="B10" s="3"/>
    </row>
    <row r="11" spans="1:11" x14ac:dyDescent="0.2">
      <c r="A11" s="15" t="s">
        <v>130</v>
      </c>
      <c r="B11" s="45" t="s">
        <v>61</v>
      </c>
      <c r="C11" s="16">
        <f>+'Customer Counts'!B9</f>
        <v>46352</v>
      </c>
      <c r="D11" s="17">
        <f>+'Total Company Tonnage'!F10</f>
        <v>751.99</v>
      </c>
      <c r="E11" s="18">
        <f t="shared" ref="E11:E12" si="0">+F11/D11</f>
        <v>49.097470999999999</v>
      </c>
      <c r="F11" s="19">
        <f>+'Reg. Res''l - SS Mix &amp; Prices'!B56</f>
        <v>36920.807217289999</v>
      </c>
      <c r="G11" s="18">
        <f t="shared" ref="G11:G23" si="1">+F11/C11</f>
        <v>0.79653104973442357</v>
      </c>
      <c r="H11" s="18">
        <f>+'Rebate Analysis'!R32</f>
        <v>2.5499999999999998</v>
      </c>
      <c r="I11" s="20">
        <f t="shared" ref="I11:I18" si="2">+H11*C11</f>
        <v>118197.59999999999</v>
      </c>
      <c r="K11" s="21">
        <f t="shared" ref="K11:K23" si="3">+D11*2000/C11</f>
        <v>32.446927856403178</v>
      </c>
    </row>
    <row r="12" spans="1:11" x14ac:dyDescent="0.2">
      <c r="A12" s="15" t="s">
        <v>35</v>
      </c>
      <c r="B12" s="3" t="s">
        <v>61</v>
      </c>
      <c r="C12" s="16">
        <f>+'Customer Counts'!B10</f>
        <v>46291</v>
      </c>
      <c r="D12" s="17">
        <f>+'Total Company Tonnage'!F11</f>
        <v>829.37</v>
      </c>
      <c r="E12" s="18">
        <f t="shared" si="0"/>
        <v>52.176414999999999</v>
      </c>
      <c r="F12" s="19">
        <f>+'Reg. Res''l - SS Mix &amp; Prices'!B57</f>
        <v>43273.553308549999</v>
      </c>
      <c r="G12" s="18">
        <f t="shared" ref="G12" si="4">+F12/C12</f>
        <v>0.93481569438011702</v>
      </c>
      <c r="H12" s="18">
        <f>+H11</f>
        <v>2.5499999999999998</v>
      </c>
      <c r="I12" s="20">
        <f t="shared" ref="I12" si="5">+H12*C12</f>
        <v>118042.04999999999</v>
      </c>
      <c r="K12" s="21">
        <f t="shared" si="3"/>
        <v>35.832883281847444</v>
      </c>
    </row>
    <row r="13" spans="1:11" x14ac:dyDescent="0.2">
      <c r="A13" s="15" t="s">
        <v>36</v>
      </c>
      <c r="B13" s="3" t="s">
        <v>61</v>
      </c>
      <c r="C13" s="16">
        <f>+'Customer Counts'!B11</f>
        <v>46306</v>
      </c>
      <c r="D13" s="17">
        <f>+'Total Company Tonnage'!F12</f>
        <v>867.59</v>
      </c>
      <c r="E13" s="18">
        <f t="shared" ref="E13:E18" si="6">+F13/D13</f>
        <v>48.816227000000005</v>
      </c>
      <c r="F13" s="19">
        <f>+'Reg. Res''l - SS Mix &amp; Prices'!B58</f>
        <v>42352.470382930005</v>
      </c>
      <c r="G13" s="18">
        <f t="shared" si="1"/>
        <v>0.91462165557228015</v>
      </c>
      <c r="H13" s="18">
        <f>+'Rebate Analysis'!L32</f>
        <v>9.9999999999999978E-2</v>
      </c>
      <c r="I13" s="20">
        <f t="shared" si="2"/>
        <v>4630.5999999999985</v>
      </c>
      <c r="K13" s="21">
        <f t="shared" si="3"/>
        <v>37.472033861702585</v>
      </c>
    </row>
    <row r="14" spans="1:11" x14ac:dyDescent="0.2">
      <c r="A14" s="15" t="s">
        <v>37</v>
      </c>
      <c r="B14" s="3" t="s">
        <v>61</v>
      </c>
      <c r="C14" s="16">
        <f>+'Customer Counts'!B12</f>
        <v>46314</v>
      </c>
      <c r="D14" s="17">
        <f>+'Total Company Tonnage'!F13</f>
        <v>903.44</v>
      </c>
      <c r="E14" s="18">
        <f t="shared" si="6"/>
        <v>43.775415999999993</v>
      </c>
      <c r="F14" s="19">
        <f>+'Reg. Res''l - SS Mix &amp; Prices'!B59</f>
        <v>39548.461831039996</v>
      </c>
      <c r="G14" s="18">
        <f t="shared" si="1"/>
        <v>0.85392023645204462</v>
      </c>
      <c r="H14" s="18">
        <f>+H13</f>
        <v>9.9999999999999978E-2</v>
      </c>
      <c r="I14" s="20">
        <f t="shared" si="2"/>
        <v>4631.3999999999987</v>
      </c>
      <c r="K14" s="21">
        <f t="shared" si="3"/>
        <v>39.013689165263202</v>
      </c>
    </row>
    <row r="15" spans="1:11" x14ac:dyDescent="0.2">
      <c r="A15" s="15" t="s">
        <v>131</v>
      </c>
      <c r="B15" s="3" t="s">
        <v>61</v>
      </c>
      <c r="C15" s="16">
        <f>+'Customer Counts'!B13</f>
        <v>46383</v>
      </c>
      <c r="D15" s="17">
        <f>+'Total Company Tonnage'!F14</f>
        <v>977.97</v>
      </c>
      <c r="E15" s="18">
        <f t="shared" si="6"/>
        <v>41.421514999999992</v>
      </c>
      <c r="F15" s="19">
        <f>+'Reg. Res''l - SS Mix &amp; Prices'!B60</f>
        <v>40508.999024549994</v>
      </c>
      <c r="G15" s="18">
        <f t="shared" si="1"/>
        <v>0.87335875265830143</v>
      </c>
      <c r="H15" s="18">
        <f t="shared" ref="H15:H22" si="7">+H14</f>
        <v>9.9999999999999978E-2</v>
      </c>
      <c r="I15" s="20">
        <f t="shared" si="2"/>
        <v>4638.2999999999993</v>
      </c>
      <c r="K15" s="21">
        <f t="shared" si="3"/>
        <v>42.169329280124181</v>
      </c>
    </row>
    <row r="16" spans="1:11" x14ac:dyDescent="0.2">
      <c r="A16" s="15" t="s">
        <v>38</v>
      </c>
      <c r="B16" s="3" t="s">
        <v>61</v>
      </c>
      <c r="C16" s="16">
        <f>+'Customer Counts'!B14</f>
        <v>46321</v>
      </c>
      <c r="D16" s="17">
        <f>+'Total Company Tonnage'!F15</f>
        <v>673.88</v>
      </c>
      <c r="E16" s="18">
        <f t="shared" si="6"/>
        <v>28.856934000000006</v>
      </c>
      <c r="F16" s="19">
        <f>+'Reg. Res''l - SS Mix &amp; Prices'!B61</f>
        <v>19446.110683920004</v>
      </c>
      <c r="G16" s="18">
        <f t="shared" si="1"/>
        <v>0.41981197910062401</v>
      </c>
      <c r="H16" s="18">
        <f t="shared" si="7"/>
        <v>9.9999999999999978E-2</v>
      </c>
      <c r="I16" s="20">
        <f t="shared" si="2"/>
        <v>4632.0999999999985</v>
      </c>
      <c r="K16" s="21">
        <f t="shared" si="3"/>
        <v>29.096090326201939</v>
      </c>
    </row>
    <row r="17" spans="1:14" x14ac:dyDescent="0.2">
      <c r="A17" s="15" t="s">
        <v>39</v>
      </c>
      <c r="B17" s="3" t="s">
        <v>61</v>
      </c>
      <c r="C17" s="16">
        <f>+'Customer Counts'!B15</f>
        <v>46417</v>
      </c>
      <c r="D17" s="17">
        <f>+'Total Company Tonnage'!F16</f>
        <v>646.48</v>
      </c>
      <c r="E17" s="18">
        <f t="shared" si="6"/>
        <v>31.266585000000006</v>
      </c>
      <c r="F17" s="19">
        <f>+'Reg. Res''l - SS Mix &amp; Prices'!B62</f>
        <v>20213.221870800004</v>
      </c>
      <c r="G17" s="18">
        <f t="shared" si="1"/>
        <v>0.43547023441411559</v>
      </c>
      <c r="H17" s="18">
        <f t="shared" si="7"/>
        <v>9.9999999999999978E-2</v>
      </c>
      <c r="I17" s="20">
        <f t="shared" si="2"/>
        <v>4641.6999999999989</v>
      </c>
      <c r="K17" s="21">
        <f t="shared" si="3"/>
        <v>27.855311631514315</v>
      </c>
    </row>
    <row r="18" spans="1:14" x14ac:dyDescent="0.2">
      <c r="A18" s="15" t="s">
        <v>40</v>
      </c>
      <c r="B18" s="3" t="s">
        <v>61</v>
      </c>
      <c r="C18" s="16">
        <f>+'Customer Counts'!B16</f>
        <v>46669</v>
      </c>
      <c r="D18" s="17">
        <f>+'Total Company Tonnage'!F17</f>
        <v>826.93</v>
      </c>
      <c r="E18" s="18">
        <f t="shared" si="6"/>
        <v>29.919969999999999</v>
      </c>
      <c r="F18" s="19">
        <f>+'Reg. Res''l - SS Mix &amp; Prices'!B63</f>
        <v>24741.720792099997</v>
      </c>
      <c r="G18" s="18">
        <f t="shared" si="1"/>
        <v>0.53015322359810579</v>
      </c>
      <c r="H18" s="18">
        <f t="shared" si="7"/>
        <v>9.9999999999999978E-2</v>
      </c>
      <c r="I18" s="20">
        <f t="shared" si="2"/>
        <v>4666.8999999999987</v>
      </c>
      <c r="K18" s="21">
        <f t="shared" si="3"/>
        <v>35.438085238595214</v>
      </c>
    </row>
    <row r="19" spans="1:14" x14ac:dyDescent="0.2">
      <c r="A19" s="15" t="s">
        <v>10</v>
      </c>
      <c r="B19" s="3" t="s">
        <v>61</v>
      </c>
      <c r="C19" s="16">
        <f>+'Customer Counts'!B17</f>
        <v>46852</v>
      </c>
      <c r="D19" s="17">
        <f>+'Total Company Tonnage'!F18</f>
        <v>855.02</v>
      </c>
      <c r="E19" s="18">
        <f t="shared" ref="E19:E20" si="8">+F19/D19</f>
        <v>33.626039000000006</v>
      </c>
      <c r="F19" s="19">
        <f>+'Reg. Res''l - SS Mix &amp; Prices'!B64</f>
        <v>28750.935865780004</v>
      </c>
      <c r="G19" s="18">
        <f t="shared" ref="G19:G20" si="9">+F19/C19</f>
        <v>0.61365439822803736</v>
      </c>
      <c r="H19" s="18">
        <f t="shared" si="7"/>
        <v>9.9999999999999978E-2</v>
      </c>
      <c r="I19" s="20">
        <f t="shared" ref="I19:I20" si="10">+H19*C19</f>
        <v>4685.1999999999989</v>
      </c>
      <c r="K19" s="21">
        <f t="shared" ref="K19:K20" si="11">+D19*2000/C19</f>
        <v>36.498762059250403</v>
      </c>
    </row>
    <row r="20" spans="1:14" x14ac:dyDescent="0.2">
      <c r="A20" s="15" t="s">
        <v>41</v>
      </c>
      <c r="B20" s="3" t="s">
        <v>61</v>
      </c>
      <c r="C20" s="16">
        <f>+'Customer Counts'!B18</f>
        <v>46917</v>
      </c>
      <c r="D20" s="17">
        <f>+'Total Company Tonnage'!F19</f>
        <v>770.76</v>
      </c>
      <c r="E20" s="18">
        <f t="shared" si="8"/>
        <v>36.515907999999996</v>
      </c>
      <c r="F20" s="19">
        <f>+'Reg. Res''l - SS Mix &amp; Prices'!B65</f>
        <v>28145.001250079997</v>
      </c>
      <c r="G20" s="18">
        <f t="shared" si="9"/>
        <v>0.59988919261845375</v>
      </c>
      <c r="H20" s="18">
        <f t="shared" si="7"/>
        <v>9.9999999999999978E-2</v>
      </c>
      <c r="I20" s="20">
        <f t="shared" si="10"/>
        <v>4691.6999999999989</v>
      </c>
      <c r="K20" s="21">
        <f t="shared" si="11"/>
        <v>32.856320736619992</v>
      </c>
    </row>
    <row r="21" spans="1:14" x14ac:dyDescent="0.2">
      <c r="A21" s="15" t="s">
        <v>42</v>
      </c>
      <c r="B21" s="3" t="s">
        <v>61</v>
      </c>
      <c r="C21" s="16">
        <f>+'Customer Counts'!B19</f>
        <v>47034</v>
      </c>
      <c r="D21" s="17">
        <f>+'Total Company Tonnage'!F20</f>
        <v>888.79</v>
      </c>
      <c r="E21" s="18">
        <f t="shared" ref="E21:E22" si="12">+F21/D21</f>
        <v>37.131830000000001</v>
      </c>
      <c r="F21" s="19">
        <f>+'Reg. Res''l - SS Mix &amp; Prices'!B66</f>
        <v>33002.3991857</v>
      </c>
      <c r="G21" s="18">
        <f t="shared" ref="G21:G22" si="13">+F21/C21</f>
        <v>0.70167111420887018</v>
      </c>
      <c r="H21" s="18">
        <f t="shared" si="7"/>
        <v>9.9999999999999978E-2</v>
      </c>
      <c r="I21" s="20">
        <f t="shared" ref="I21:I22" si="14">+H21*C21</f>
        <v>4703.3999999999987</v>
      </c>
      <c r="K21" s="21">
        <f t="shared" ref="K21:K22" si="15">+D21*2000/C21</f>
        <v>37.793511077093164</v>
      </c>
    </row>
    <row r="22" spans="1:14" ht="15" x14ac:dyDescent="0.35">
      <c r="A22" s="15" t="s">
        <v>43</v>
      </c>
      <c r="B22" s="3" t="s">
        <v>61</v>
      </c>
      <c r="C22" s="23">
        <f>+'Customer Counts'!B20</f>
        <v>47161</v>
      </c>
      <c r="D22" s="24">
        <f>+'Total Company Tonnage'!F21</f>
        <v>872.47</v>
      </c>
      <c r="E22" s="25">
        <f t="shared" si="12"/>
        <v>41.184101999999989</v>
      </c>
      <c r="F22" s="26">
        <f>+'Reg. Res''l - SS Mix &amp; Prices'!B67</f>
        <v>35931.893471939991</v>
      </c>
      <c r="G22" s="25">
        <f t="shared" si="13"/>
        <v>0.76189846423824747</v>
      </c>
      <c r="H22" s="25">
        <f t="shared" si="7"/>
        <v>9.9999999999999978E-2</v>
      </c>
      <c r="I22" s="27">
        <f t="shared" si="14"/>
        <v>4716.0999999999985</v>
      </c>
      <c r="J22" s="29"/>
      <c r="K22" s="28">
        <f t="shared" si="15"/>
        <v>36.999639532664702</v>
      </c>
    </row>
    <row r="23" spans="1:14" ht="15" x14ac:dyDescent="0.35">
      <c r="A23" s="11" t="s">
        <v>44</v>
      </c>
      <c r="B23" s="44"/>
      <c r="C23" s="30">
        <f>SUM(C11:C22)</f>
        <v>559017</v>
      </c>
      <c r="D23" s="31">
        <f>SUM(D11:D22)</f>
        <v>9864.69</v>
      </c>
      <c r="E23" s="32">
        <f>+F23/D23</f>
        <v>39.822394305820055</v>
      </c>
      <c r="F23" s="33">
        <f>SUM(F11:F22)</f>
        <v>392835.57488468004</v>
      </c>
      <c r="G23" s="34">
        <f t="shared" si="1"/>
        <v>0.70272563246677655</v>
      </c>
      <c r="H23" s="34">
        <f>+I23/C23</f>
        <v>0.506025845367851</v>
      </c>
      <c r="I23" s="33">
        <f>SUM(I11:I22)</f>
        <v>282877.05</v>
      </c>
      <c r="J23" s="35"/>
      <c r="K23" s="36">
        <f t="shared" si="3"/>
        <v>35.292987512007684</v>
      </c>
      <c r="M23" s="224"/>
      <c r="N23" s="17"/>
    </row>
    <row r="24" spans="1:14" x14ac:dyDescent="0.2">
      <c r="B24" s="15"/>
      <c r="E24" s="15"/>
      <c r="F24" s="15"/>
    </row>
    <row r="25" spans="1:14" ht="15" x14ac:dyDescent="0.35">
      <c r="A25" s="6" t="s">
        <v>129</v>
      </c>
      <c r="B25" s="15"/>
      <c r="F25" s="39">
        <f>SUM(F17:F22)</f>
        <v>170785.1724364</v>
      </c>
    </row>
    <row r="26" spans="1:14" x14ac:dyDescent="0.2">
      <c r="B26" s="15"/>
      <c r="E26" s="15"/>
      <c r="F26" s="15"/>
    </row>
    <row r="27" spans="1:14" x14ac:dyDescent="0.2">
      <c r="B27" s="15"/>
      <c r="E27" s="15"/>
      <c r="F27" s="15"/>
    </row>
    <row r="28" spans="1:14" ht="15" x14ac:dyDescent="0.2">
      <c r="A28" s="68" t="s">
        <v>20</v>
      </c>
      <c r="B28" s="67"/>
      <c r="C28" s="67"/>
      <c r="D28" s="67"/>
      <c r="E28" s="67"/>
      <c r="F28" s="67"/>
      <c r="G28" s="67"/>
    </row>
    <row r="29" spans="1:14" x14ac:dyDescent="0.2">
      <c r="C29" s="10"/>
      <c r="D29" s="10"/>
      <c r="E29" s="2" t="s">
        <v>21</v>
      </c>
      <c r="H29" s="4"/>
      <c r="I29" s="2" t="s">
        <v>22</v>
      </c>
      <c r="K29" s="2" t="s">
        <v>24</v>
      </c>
    </row>
    <row r="30" spans="1:14" x14ac:dyDescent="0.2">
      <c r="B30" s="2" t="s">
        <v>62</v>
      </c>
      <c r="C30" s="10"/>
      <c r="D30" s="372" t="s">
        <v>0</v>
      </c>
      <c r="E30" s="2" t="s">
        <v>25</v>
      </c>
      <c r="G30" s="2" t="s">
        <v>26</v>
      </c>
      <c r="H30" s="11" t="s">
        <v>27</v>
      </c>
      <c r="I30" s="11" t="s">
        <v>28</v>
      </c>
      <c r="K30" s="11" t="s">
        <v>29</v>
      </c>
    </row>
    <row r="31" spans="1:14" x14ac:dyDescent="0.2">
      <c r="B31" s="10" t="s">
        <v>63</v>
      </c>
      <c r="C31" s="12" t="s">
        <v>30</v>
      </c>
      <c r="D31" s="373" t="s">
        <v>139</v>
      </c>
      <c r="E31" s="10" t="s">
        <v>31</v>
      </c>
      <c r="F31" s="10" t="s">
        <v>7</v>
      </c>
      <c r="G31" s="10" t="s">
        <v>32</v>
      </c>
      <c r="H31" s="13" t="s">
        <v>32</v>
      </c>
      <c r="I31" s="13" t="s">
        <v>33</v>
      </c>
      <c r="K31" s="13" t="s">
        <v>34</v>
      </c>
    </row>
    <row r="32" spans="1:14" x14ac:dyDescent="0.2">
      <c r="A32" s="14"/>
      <c r="B32" s="3"/>
    </row>
    <row r="33" spans="1:14" x14ac:dyDescent="0.2">
      <c r="A33" s="15" t="s">
        <v>130</v>
      </c>
      <c r="B33" s="45" t="s">
        <v>61</v>
      </c>
      <c r="C33" s="16">
        <f>+'Customer Counts'!G9</f>
        <v>5876.4568181818149</v>
      </c>
      <c r="D33" s="17">
        <f>+'Total Company Tonnage'!H10</f>
        <v>46.59</v>
      </c>
      <c r="E33" s="18">
        <f>+F33/D33</f>
        <v>49.097470999999999</v>
      </c>
      <c r="F33" s="19">
        <f>+'Reg. MF - SS Mix &amp; Prices'!B56</f>
        <v>2287.4511738900001</v>
      </c>
      <c r="G33" s="18">
        <f t="shared" ref="G33:G45" si="16">+F33/C33</f>
        <v>0.38925686764388429</v>
      </c>
      <c r="H33" s="18">
        <f>+'Rebate Analysis'!R61</f>
        <v>0.6</v>
      </c>
      <c r="I33" s="20">
        <f>+H33*C33</f>
        <v>3525.8740909090889</v>
      </c>
      <c r="K33" s="21">
        <f t="shared" ref="K33:K45" si="17">+D33*2000/C33</f>
        <v>15.856493612222279</v>
      </c>
    </row>
    <row r="34" spans="1:14" x14ac:dyDescent="0.2">
      <c r="A34" s="15" t="s">
        <v>35</v>
      </c>
      <c r="B34" s="3" t="s">
        <v>61</v>
      </c>
      <c r="C34" s="16">
        <f>+'Customer Counts'!G10</f>
        <v>5885.4113636363609</v>
      </c>
      <c r="D34" s="17">
        <f>+'Total Company Tonnage'!H11</f>
        <v>55.76</v>
      </c>
      <c r="E34" s="18">
        <f t="shared" ref="E34:E44" si="18">+F34/D34</f>
        <v>52.176414999999999</v>
      </c>
      <c r="F34" s="19">
        <f>+'Reg. MF - SS Mix &amp; Prices'!B57</f>
        <v>2909.3569003999996</v>
      </c>
      <c r="G34" s="18">
        <f t="shared" si="16"/>
        <v>0.49433365327286555</v>
      </c>
      <c r="H34" s="18">
        <f>+H33</f>
        <v>0.6</v>
      </c>
      <c r="I34" s="20">
        <f t="shared" ref="I34:I44" si="19">+H34*C34</f>
        <v>3531.2468181818163</v>
      </c>
      <c r="K34" s="21">
        <f t="shared" si="17"/>
        <v>18.948548046962046</v>
      </c>
    </row>
    <row r="35" spans="1:14" x14ac:dyDescent="0.2">
      <c r="A35" s="15" t="s">
        <v>36</v>
      </c>
      <c r="B35" s="3" t="s">
        <v>61</v>
      </c>
      <c r="C35" s="16">
        <f>+'Customer Counts'!G11</f>
        <v>5922.1431818181791</v>
      </c>
      <c r="D35" s="17">
        <f>+'Total Company Tonnage'!H12</f>
        <v>51.05</v>
      </c>
      <c r="E35" s="18">
        <f t="shared" si="18"/>
        <v>48.816226999999998</v>
      </c>
      <c r="F35" s="19">
        <f>+'Reg. MF - SS Mix &amp; Prices'!B58</f>
        <v>2492.0683883499996</v>
      </c>
      <c r="G35" s="18">
        <f t="shared" si="16"/>
        <v>0.42080515648473404</v>
      </c>
      <c r="H35" s="22">
        <f>+'Rebate Analysis'!L61</f>
        <v>0.18999999999999997</v>
      </c>
      <c r="I35" s="20">
        <f t="shared" si="19"/>
        <v>1125.2072045454538</v>
      </c>
      <c r="K35" s="21">
        <f t="shared" si="17"/>
        <v>17.240380190985842</v>
      </c>
    </row>
    <row r="36" spans="1:14" x14ac:dyDescent="0.2">
      <c r="A36" s="15" t="s">
        <v>37</v>
      </c>
      <c r="B36" s="3" t="s">
        <v>61</v>
      </c>
      <c r="C36" s="16">
        <f>+'Customer Counts'!G12</f>
        <v>6002.1363636363603</v>
      </c>
      <c r="D36" s="17">
        <f>+'Total Company Tonnage'!H13</f>
        <v>55.96</v>
      </c>
      <c r="E36" s="18">
        <f t="shared" si="18"/>
        <v>43.775416000000014</v>
      </c>
      <c r="F36" s="19">
        <f>+'Reg. MF - SS Mix &amp; Prices'!B59</f>
        <v>2449.6722793600006</v>
      </c>
      <c r="G36" s="18">
        <f t="shared" si="16"/>
        <v>0.40813339300340062</v>
      </c>
      <c r="H36" s="18">
        <f>+H35</f>
        <v>0.18999999999999997</v>
      </c>
      <c r="I36" s="20">
        <f t="shared" si="19"/>
        <v>1140.4059090909084</v>
      </c>
      <c r="K36" s="21">
        <f t="shared" si="17"/>
        <v>18.646693980173737</v>
      </c>
    </row>
    <row r="37" spans="1:14" x14ac:dyDescent="0.2">
      <c r="A37" s="15" t="s">
        <v>131</v>
      </c>
      <c r="B37" s="3" t="s">
        <v>61</v>
      </c>
      <c r="C37" s="16">
        <f>+'Customer Counts'!G13</f>
        <v>5966.6363636363603</v>
      </c>
      <c r="D37" s="17">
        <f>+'Total Company Tonnage'!H14</f>
        <v>61.72</v>
      </c>
      <c r="E37" s="18">
        <f t="shared" si="18"/>
        <v>41.421514999999999</v>
      </c>
      <c r="F37" s="19">
        <f>+'Reg. MF - SS Mix &amp; Prices'!B60</f>
        <v>2556.5359057999999</v>
      </c>
      <c r="G37" s="18">
        <f t="shared" si="16"/>
        <v>0.42847188097146277</v>
      </c>
      <c r="H37" s="18">
        <f t="shared" ref="H37:H44" si="20">+H36</f>
        <v>0.18999999999999997</v>
      </c>
      <c r="I37" s="20">
        <f t="shared" si="19"/>
        <v>1133.6609090909083</v>
      </c>
      <c r="K37" s="21">
        <f t="shared" si="17"/>
        <v>20.688373226882831</v>
      </c>
    </row>
    <row r="38" spans="1:14" x14ac:dyDescent="0.2">
      <c r="A38" s="15" t="s">
        <v>38</v>
      </c>
      <c r="B38" s="3" t="s">
        <v>61</v>
      </c>
      <c r="C38" s="16">
        <f>+'Customer Counts'!G14</f>
        <v>5967.7590909090877</v>
      </c>
      <c r="D38" s="17">
        <f>+'Total Company Tonnage'!H15</f>
        <v>41.19</v>
      </c>
      <c r="E38" s="18">
        <f t="shared" si="18"/>
        <v>28.856933999999999</v>
      </c>
      <c r="F38" s="19">
        <f>+'Reg. MF - SS Mix &amp; Prices'!B61</f>
        <v>1188.6171114599999</v>
      </c>
      <c r="G38" s="18">
        <f t="shared" si="16"/>
        <v>0.1991731055750332</v>
      </c>
      <c r="H38" s="18">
        <f t="shared" si="20"/>
        <v>0.18999999999999997</v>
      </c>
      <c r="I38" s="20">
        <f t="shared" si="19"/>
        <v>1133.8742272727266</v>
      </c>
      <c r="K38" s="21">
        <f t="shared" si="17"/>
        <v>13.804176533448302</v>
      </c>
    </row>
    <row r="39" spans="1:14" x14ac:dyDescent="0.2">
      <c r="A39" s="15" t="s">
        <v>39</v>
      </c>
      <c r="B39" s="3" t="s">
        <v>61</v>
      </c>
      <c r="C39" s="16">
        <f>+'Customer Counts'!G15</f>
        <v>5986.5022727272699</v>
      </c>
      <c r="D39" s="17">
        <f>+'Total Company Tonnage'!H16</f>
        <v>42.81</v>
      </c>
      <c r="E39" s="18">
        <f t="shared" si="18"/>
        <v>31.266584999999992</v>
      </c>
      <c r="F39" s="19">
        <f>+'Reg. MF - SS Mix &amp; Prices'!B62</f>
        <v>1338.5225038499998</v>
      </c>
      <c r="G39" s="18">
        <f t="shared" si="16"/>
        <v>0.22359007695493771</v>
      </c>
      <c r="H39" s="18">
        <f t="shared" si="20"/>
        <v>0.18999999999999997</v>
      </c>
      <c r="I39" s="20">
        <f t="shared" si="19"/>
        <v>1137.4354318181811</v>
      </c>
      <c r="K39" s="21">
        <f t="shared" si="17"/>
        <v>14.302174475078601</v>
      </c>
    </row>
    <row r="40" spans="1:14" x14ac:dyDescent="0.2">
      <c r="A40" s="15" t="s">
        <v>40</v>
      </c>
      <c r="B40" s="3" t="s">
        <v>61</v>
      </c>
      <c r="C40" s="16">
        <f>+'Customer Counts'!G16</f>
        <v>6017.5931818181789</v>
      </c>
      <c r="D40" s="17">
        <f>+'Total Company Tonnage'!H17</f>
        <v>55.29</v>
      </c>
      <c r="E40" s="18">
        <f t="shared" si="18"/>
        <v>29.919970000000003</v>
      </c>
      <c r="F40" s="19">
        <f>+'Reg. MF - SS Mix &amp; Prices'!B63</f>
        <v>1654.2751413000001</v>
      </c>
      <c r="G40" s="18">
        <f t="shared" si="16"/>
        <v>0.27490644370880701</v>
      </c>
      <c r="H40" s="18">
        <f t="shared" si="20"/>
        <v>0.18999999999999997</v>
      </c>
      <c r="I40" s="20">
        <f t="shared" si="19"/>
        <v>1143.3427045454539</v>
      </c>
      <c r="K40" s="21">
        <f t="shared" si="17"/>
        <v>18.376117603647799</v>
      </c>
    </row>
    <row r="41" spans="1:14" x14ac:dyDescent="0.2">
      <c r="A41" s="15" t="s">
        <v>10</v>
      </c>
      <c r="B41" s="3" t="s">
        <v>61</v>
      </c>
      <c r="C41" s="16">
        <f>+'Customer Counts'!G17</f>
        <v>5990.3204545454519</v>
      </c>
      <c r="D41" s="17">
        <f>+'Total Company Tonnage'!H18</f>
        <v>50.07</v>
      </c>
      <c r="E41" s="18">
        <f>+E19</f>
        <v>33.626039000000006</v>
      </c>
      <c r="F41" s="19">
        <f>+E41*D41</f>
        <v>1683.6557727300003</v>
      </c>
      <c r="G41" s="18">
        <f t="shared" si="16"/>
        <v>0.28106272202056287</v>
      </c>
      <c r="H41" s="18">
        <f t="shared" si="20"/>
        <v>0.18999999999999997</v>
      </c>
      <c r="I41" s="20">
        <f t="shared" si="19"/>
        <v>1138.1608863636357</v>
      </c>
      <c r="K41" s="21">
        <f t="shared" si="17"/>
        <v>16.716968776522435</v>
      </c>
    </row>
    <row r="42" spans="1:14" x14ac:dyDescent="0.2">
      <c r="A42" s="15" t="s">
        <v>41</v>
      </c>
      <c r="B42" s="3" t="s">
        <v>61</v>
      </c>
      <c r="C42" s="16">
        <f>+'Customer Counts'!G18</f>
        <v>6004.9772727272702</v>
      </c>
      <c r="D42" s="17">
        <f>+'Total Company Tonnage'!H19</f>
        <v>43.47</v>
      </c>
      <c r="E42" s="18">
        <f>+E20</f>
        <v>36.515907999999996</v>
      </c>
      <c r="F42" s="19">
        <f>+E42*D42</f>
        <v>1587.3465207599997</v>
      </c>
      <c r="G42" s="18">
        <f t="shared" si="16"/>
        <v>0.2643384726815256</v>
      </c>
      <c r="H42" s="18">
        <f t="shared" si="20"/>
        <v>0.18999999999999997</v>
      </c>
      <c r="I42" s="20">
        <f t="shared" si="19"/>
        <v>1140.9456818181811</v>
      </c>
      <c r="K42" s="21">
        <f t="shared" si="17"/>
        <v>14.477989849329539</v>
      </c>
    </row>
    <row r="43" spans="1:14" x14ac:dyDescent="0.2">
      <c r="A43" s="15" t="s">
        <v>42</v>
      </c>
      <c r="B43" s="3" t="s">
        <v>61</v>
      </c>
      <c r="C43" s="16">
        <f>+'Customer Counts'!G19</f>
        <v>6035.4931818181794</v>
      </c>
      <c r="D43" s="17">
        <f>+'Total Company Tonnage'!H20</f>
        <v>52.99</v>
      </c>
      <c r="E43" s="18">
        <f>+E21</f>
        <v>37.131830000000001</v>
      </c>
      <c r="F43" s="19">
        <f>+E43*D43</f>
        <v>1967.6156717000001</v>
      </c>
      <c r="G43" s="18">
        <f t="shared" si="16"/>
        <v>0.3260074384024505</v>
      </c>
      <c r="H43" s="18">
        <f t="shared" si="20"/>
        <v>0.18999999999999997</v>
      </c>
      <c r="I43" s="20">
        <f t="shared" si="19"/>
        <v>1146.743704545454</v>
      </c>
      <c r="K43" s="21">
        <f t="shared" si="17"/>
        <v>17.55945981668291</v>
      </c>
    </row>
    <row r="44" spans="1:14" ht="15" x14ac:dyDescent="0.35">
      <c r="A44" s="15" t="s">
        <v>43</v>
      </c>
      <c r="B44" s="3" t="s">
        <v>61</v>
      </c>
      <c r="C44" s="23">
        <f>+'Customer Counts'!G20</f>
        <v>6035.4931818181794</v>
      </c>
      <c r="D44" s="24">
        <f>+'Total Company Tonnage'!H21</f>
        <v>48.48</v>
      </c>
      <c r="E44" s="25">
        <f t="shared" si="18"/>
        <v>41.184102000000003</v>
      </c>
      <c r="F44" s="26">
        <f>+'Reg. MF - SS Mix &amp; Prices'!B67</f>
        <v>1996.6052649600001</v>
      </c>
      <c r="G44" s="25">
        <f t="shared" si="16"/>
        <v>0.33081062388981558</v>
      </c>
      <c r="H44" s="25">
        <f t="shared" si="20"/>
        <v>0.18999999999999997</v>
      </c>
      <c r="I44" s="27">
        <f t="shared" si="19"/>
        <v>1146.743704545454</v>
      </c>
      <c r="K44" s="28">
        <f t="shared" si="17"/>
        <v>16.064967199712918</v>
      </c>
      <c r="L44" s="29"/>
    </row>
    <row r="45" spans="1:14" ht="15" x14ac:dyDescent="0.35">
      <c r="A45" s="11" t="s">
        <v>44</v>
      </c>
      <c r="B45" s="44"/>
      <c r="C45" s="30">
        <f>SUM(C33:C44)</f>
        <v>71690.922727272686</v>
      </c>
      <c r="D45" s="31">
        <f>SUM(D33:D44)</f>
        <v>605.38</v>
      </c>
      <c r="E45" s="32">
        <f>AVERAGE(E33:E44)</f>
        <v>39.482367666666669</v>
      </c>
      <c r="F45" s="33">
        <f>SUM(F33:F44)</f>
        <v>24111.722634559996</v>
      </c>
      <c r="G45" s="34">
        <f t="shared" si="16"/>
        <v>0.33632880868734316</v>
      </c>
      <c r="H45" s="34">
        <f>+I45/C45</f>
        <v>0.25726606062654184</v>
      </c>
      <c r="I45" s="33">
        <f>SUM(I33:I44)</f>
        <v>18443.641272727262</v>
      </c>
      <c r="K45" s="36">
        <f t="shared" si="17"/>
        <v>16.888609519031931</v>
      </c>
      <c r="L45" s="37"/>
      <c r="N45" s="17"/>
    </row>
    <row r="46" spans="1:14" x14ac:dyDescent="0.2">
      <c r="A46" s="15"/>
      <c r="B46" s="15"/>
    </row>
    <row r="47" spans="1:14" ht="15" x14ac:dyDescent="0.35">
      <c r="A47" s="6" t="s">
        <v>129</v>
      </c>
      <c r="B47" s="15"/>
      <c r="F47" s="274">
        <f>SUM(F39:F44)</f>
        <v>10228.020875300001</v>
      </c>
    </row>
  </sheetData>
  <pageMargins left="0.45" right="0.45" top="0.5" bottom="0.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6"/>
  <sheetViews>
    <sheetView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2.75" x14ac:dyDescent="0.2"/>
  <cols>
    <col min="2" max="2" width="11.28515625" bestFit="1" customWidth="1"/>
    <col min="3" max="3" width="11.140625" customWidth="1"/>
    <col min="4" max="5" width="9.7109375" bestFit="1" customWidth="1"/>
    <col min="6" max="6" width="10.28515625" bestFit="1" customWidth="1"/>
    <col min="7" max="7" width="10.7109375" bestFit="1" customWidth="1"/>
    <col min="8" max="8" width="9.28515625" bestFit="1" customWidth="1"/>
    <col min="9" max="10" width="10.28515625" bestFit="1" customWidth="1"/>
    <col min="11" max="11" width="8.7109375" bestFit="1" customWidth="1"/>
    <col min="12" max="12" width="10.28515625" bestFit="1" customWidth="1"/>
  </cols>
  <sheetData>
    <row r="1" spans="1:26" ht="26.25" x14ac:dyDescent="0.4">
      <c r="A1" s="7" t="s">
        <v>18</v>
      </c>
    </row>
    <row r="2" spans="1:26" ht="18" x14ac:dyDescent="0.25">
      <c r="A2" s="5" t="s">
        <v>92</v>
      </c>
    </row>
    <row r="3" spans="1:26" x14ac:dyDescent="0.2">
      <c r="A3" s="6" t="s">
        <v>91</v>
      </c>
    </row>
    <row r="4" spans="1:26" x14ac:dyDescent="0.2"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26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26" x14ac:dyDescent="0.2">
      <c r="C6" s="2"/>
      <c r="D6" s="41" t="s">
        <v>46</v>
      </c>
      <c r="E6" s="41"/>
      <c r="F6" s="41" t="s">
        <v>1</v>
      </c>
      <c r="G6" s="41" t="s">
        <v>47</v>
      </c>
      <c r="H6" s="41"/>
      <c r="I6" s="41"/>
      <c r="J6" s="41" t="s">
        <v>2</v>
      </c>
      <c r="K6" s="41" t="s">
        <v>2</v>
      </c>
      <c r="L6" s="41" t="s">
        <v>48</v>
      </c>
    </row>
    <row r="7" spans="1:26" x14ac:dyDescent="0.2">
      <c r="B7" s="10" t="s">
        <v>22</v>
      </c>
      <c r="C7" s="10" t="s">
        <v>96</v>
      </c>
      <c r="D7" s="42" t="s">
        <v>49</v>
      </c>
      <c r="E7" s="42" t="s">
        <v>50</v>
      </c>
      <c r="F7" s="42" t="s">
        <v>51</v>
      </c>
      <c r="G7" s="42" t="s">
        <v>52</v>
      </c>
      <c r="H7" s="42" t="s">
        <v>4</v>
      </c>
      <c r="I7" s="42" t="s">
        <v>3</v>
      </c>
      <c r="J7" s="42" t="s">
        <v>53</v>
      </c>
      <c r="K7" s="42" t="s">
        <v>54</v>
      </c>
      <c r="L7" s="42" t="s">
        <v>55</v>
      </c>
      <c r="M7" s="61" t="s">
        <v>90</v>
      </c>
    </row>
    <row r="8" spans="1:26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26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26" s="4" customFormat="1" x14ac:dyDescent="0.2">
      <c r="A10" s="4" t="s">
        <v>58</v>
      </c>
      <c r="B10" s="65">
        <f t="shared" ref="B10:B21" si="0">SUM(C10:M10)</f>
        <v>1</v>
      </c>
      <c r="C10" s="72">
        <f>+'Total Company Tonnage'!J10</f>
        <v>0</v>
      </c>
      <c r="D10" s="72">
        <f>+'Total Company Tonnage'!K10</f>
        <v>0.48160000000000003</v>
      </c>
      <c r="E10" s="72">
        <f>+'Total Company Tonnage'!L10</f>
        <v>0.2437</v>
      </c>
      <c r="F10" s="72">
        <f>+'Total Company Tonnage'!M10</f>
        <v>8.6E-3</v>
      </c>
      <c r="G10" s="72">
        <f>+'Total Company Tonnage'!O10</f>
        <v>1.15E-2</v>
      </c>
      <c r="H10" s="72">
        <f>+'Total Company Tonnage'!N10</f>
        <v>0.11600000000000001</v>
      </c>
      <c r="I10" s="72">
        <f>+'Total Company Tonnage'!P10</f>
        <v>2.0199999999999999E-2</v>
      </c>
      <c r="J10" s="72">
        <f>+'Total Company Tonnage'!Q10</f>
        <v>4.7000000000000002E-3</v>
      </c>
      <c r="K10" s="72">
        <f>+'Total Company Tonnage'!R10</f>
        <v>4.1999999999999997E-3</v>
      </c>
      <c r="L10" s="72">
        <f>+'Total Company Tonnage'!S10</f>
        <v>1.6999999999999999E-3</v>
      </c>
      <c r="M10" s="72">
        <f t="shared" ref="M10:M21" si="1">1-SUM(C10:L10)</f>
        <v>0.1077999999999999</v>
      </c>
    </row>
    <row r="11" spans="1:26" s="4" customFormat="1" x14ac:dyDescent="0.2">
      <c r="A11" s="4" t="s">
        <v>35</v>
      </c>
      <c r="B11" s="65">
        <f t="shared" si="0"/>
        <v>1</v>
      </c>
      <c r="C11" s="72">
        <f>+'Total Company Tonnage'!J11</f>
        <v>0</v>
      </c>
      <c r="D11" s="72">
        <f>+'Total Company Tonnage'!K11</f>
        <v>0.4642</v>
      </c>
      <c r="E11" s="72">
        <f>+'Total Company Tonnage'!L11</f>
        <v>0.25669999999999998</v>
      </c>
      <c r="F11" s="72">
        <f>+'Total Company Tonnage'!M11</f>
        <v>9.1000000000000004E-3</v>
      </c>
      <c r="G11" s="72">
        <f>+'Total Company Tonnage'!O11</f>
        <v>1.2999999999999999E-2</v>
      </c>
      <c r="H11" s="72">
        <f>+'Total Company Tonnage'!N11</f>
        <v>0.1143</v>
      </c>
      <c r="I11" s="72">
        <f>+'Total Company Tonnage'!P11</f>
        <v>1.9400000000000001E-2</v>
      </c>
      <c r="J11" s="72">
        <f>+'Total Company Tonnage'!Q11</f>
        <v>4.3E-3</v>
      </c>
      <c r="K11" s="72">
        <f>+'Total Company Tonnage'!R11</f>
        <v>4.0000000000000001E-3</v>
      </c>
      <c r="L11" s="72">
        <f>+'Total Company Tonnage'!S11</f>
        <v>2.7000000000000001E-3</v>
      </c>
      <c r="M11" s="72">
        <f t="shared" si="1"/>
        <v>0.11230000000000007</v>
      </c>
      <c r="Q11" s="72"/>
      <c r="R11" s="63"/>
      <c r="S11" s="64"/>
      <c r="T11" s="64"/>
      <c r="U11" s="64"/>
      <c r="V11" s="64"/>
      <c r="W11" s="64"/>
      <c r="X11" s="64"/>
      <c r="Y11" s="64"/>
      <c r="Z11" s="64"/>
    </row>
    <row r="12" spans="1:26" s="4" customFormat="1" x14ac:dyDescent="0.2">
      <c r="A12" s="4" t="s">
        <v>36</v>
      </c>
      <c r="B12" s="65">
        <f t="shared" si="0"/>
        <v>1</v>
      </c>
      <c r="C12" s="72">
        <f>+'Total Company Tonnage'!J12</f>
        <v>0</v>
      </c>
      <c r="D12" s="72">
        <f>+'Total Company Tonnage'!K12</f>
        <v>0.47889999999999999</v>
      </c>
      <c r="E12" s="72">
        <f>+'Total Company Tonnage'!L12</f>
        <v>0.25069999999999998</v>
      </c>
      <c r="F12" s="72">
        <f>+'Total Company Tonnage'!M12</f>
        <v>8.3999999999999995E-3</v>
      </c>
      <c r="G12" s="72">
        <f>+'Total Company Tonnage'!O12</f>
        <v>1.23E-2</v>
      </c>
      <c r="H12" s="72">
        <f>+'Total Company Tonnage'!N12</f>
        <v>0.1162</v>
      </c>
      <c r="I12" s="72">
        <f>+'Total Company Tonnage'!P12</f>
        <v>1.66E-2</v>
      </c>
      <c r="J12" s="72">
        <f>+'Total Company Tonnage'!Q12</f>
        <v>3.8E-3</v>
      </c>
      <c r="K12" s="72">
        <f>+'Total Company Tonnage'!R12</f>
        <v>3.8999999999999998E-3</v>
      </c>
      <c r="L12" s="72">
        <f>+'Total Company Tonnage'!S12</f>
        <v>8.9999999999999998E-4</v>
      </c>
      <c r="M12" s="72">
        <f t="shared" si="1"/>
        <v>0.10830000000000006</v>
      </c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1:26" s="4" customFormat="1" x14ac:dyDescent="0.2">
      <c r="A13" s="4" t="s">
        <v>37</v>
      </c>
      <c r="B13" s="65">
        <f t="shared" si="0"/>
        <v>1</v>
      </c>
      <c r="C13" s="72">
        <f>+'Total Company Tonnage'!J13</f>
        <v>0</v>
      </c>
      <c r="D13" s="72">
        <f>+'Total Company Tonnage'!K13</f>
        <v>0.52290000000000003</v>
      </c>
      <c r="E13" s="72">
        <f>+'Total Company Tonnage'!L13</f>
        <v>0.22420000000000001</v>
      </c>
      <c r="F13" s="72">
        <f>+'Total Company Tonnage'!M13</f>
        <v>7.6E-3</v>
      </c>
      <c r="G13" s="72">
        <f>+'Total Company Tonnage'!O13</f>
        <v>1.21E-2</v>
      </c>
      <c r="H13" s="72">
        <f>+'Total Company Tonnage'!N13</f>
        <v>0.1095</v>
      </c>
      <c r="I13" s="72">
        <f>+'Total Company Tonnage'!P13</f>
        <v>1.5599999999999999E-2</v>
      </c>
      <c r="J13" s="72">
        <f>+'Total Company Tonnage'!Q13</f>
        <v>3.3E-3</v>
      </c>
      <c r="K13" s="72">
        <f>+'Total Company Tonnage'!R13</f>
        <v>2.5999999999999999E-3</v>
      </c>
      <c r="L13" s="72">
        <f>+'Total Company Tonnage'!S13</f>
        <v>1.4E-3</v>
      </c>
      <c r="M13" s="72">
        <f t="shared" si="1"/>
        <v>0.10079999999999989</v>
      </c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1:26" x14ac:dyDescent="0.2">
      <c r="A14" s="4" t="s">
        <v>45</v>
      </c>
      <c r="B14" s="65">
        <f t="shared" si="0"/>
        <v>1</v>
      </c>
      <c r="C14" s="72">
        <f>+'Total Company Tonnage'!J14</f>
        <v>0</v>
      </c>
      <c r="D14" s="72">
        <f>+'Total Company Tonnage'!K14</f>
        <v>0.52990000000000004</v>
      </c>
      <c r="E14" s="72">
        <f>+'Total Company Tonnage'!L14</f>
        <v>0.23039999999999999</v>
      </c>
      <c r="F14" s="72">
        <f>+'Total Company Tonnage'!M14</f>
        <v>6.7000000000000002E-3</v>
      </c>
      <c r="G14" s="72">
        <f>+'Total Company Tonnage'!O14</f>
        <v>9.7999999999999997E-3</v>
      </c>
      <c r="H14" s="72">
        <f>+'Total Company Tonnage'!N14</f>
        <v>0.1053</v>
      </c>
      <c r="I14" s="72">
        <f>+'Total Company Tonnage'!P14</f>
        <v>1.55E-2</v>
      </c>
      <c r="J14" s="72">
        <f>+'Total Company Tonnage'!Q14</f>
        <v>3.2000000000000002E-3</v>
      </c>
      <c r="K14" s="72">
        <f>+'Total Company Tonnage'!R14</f>
        <v>3.0999999999999999E-3</v>
      </c>
      <c r="L14" s="72">
        <f>+'Total Company Tonnage'!S14</f>
        <v>3.0000000000000001E-3</v>
      </c>
      <c r="M14" s="72">
        <f t="shared" si="1"/>
        <v>9.3099999999999961E-2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x14ac:dyDescent="0.2">
      <c r="A15" s="4" t="s">
        <v>38</v>
      </c>
      <c r="B15" s="65">
        <f t="shared" si="0"/>
        <v>1</v>
      </c>
      <c r="C15" s="72">
        <f>+'Total Company Tonnage'!J15</f>
        <v>0</v>
      </c>
      <c r="D15" s="72">
        <f>+'Total Company Tonnage'!K15</f>
        <v>0.50129999999999997</v>
      </c>
      <c r="E15" s="72">
        <f>+'Total Company Tonnage'!L15</f>
        <v>0.22239999999999999</v>
      </c>
      <c r="F15" s="72">
        <f>+'Total Company Tonnage'!M15</f>
        <v>8.2000000000000007E-3</v>
      </c>
      <c r="G15" s="72">
        <f>+'Total Company Tonnage'!O15</f>
        <v>1.26E-2</v>
      </c>
      <c r="H15" s="72">
        <f>+'Total Company Tonnage'!N15</f>
        <v>0.1318</v>
      </c>
      <c r="I15" s="72">
        <f>+'Total Company Tonnage'!P15</f>
        <v>1.7399999999999999E-2</v>
      </c>
      <c r="J15" s="72">
        <f>+'Total Company Tonnage'!Q15</f>
        <v>4.0000000000000001E-3</v>
      </c>
      <c r="K15" s="72">
        <f>+'Total Company Tonnage'!R15</f>
        <v>1.9E-3</v>
      </c>
      <c r="L15" s="72">
        <f>+'Total Company Tonnage'!S15</f>
        <v>1.6000000000000001E-3</v>
      </c>
      <c r="M15" s="72">
        <f t="shared" si="1"/>
        <v>9.8799999999999999E-2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x14ac:dyDescent="0.2">
      <c r="A16" s="4" t="s">
        <v>39</v>
      </c>
      <c r="B16" s="65">
        <f t="shared" si="0"/>
        <v>1</v>
      </c>
      <c r="C16" s="72">
        <f>+'Total Company Tonnage'!J16</f>
        <v>0</v>
      </c>
      <c r="D16" s="72">
        <f>+'Total Company Tonnage'!K16</f>
        <v>0.4486</v>
      </c>
      <c r="E16" s="72">
        <f>+'Total Company Tonnage'!L16</f>
        <v>0.2661</v>
      </c>
      <c r="F16" s="72">
        <f>+'Total Company Tonnage'!M16</f>
        <v>1.01E-2</v>
      </c>
      <c r="G16" s="72">
        <f>+'Total Company Tonnage'!O16</f>
        <v>1.43E-2</v>
      </c>
      <c r="H16" s="72">
        <f>+'Total Company Tonnage'!N16</f>
        <v>0.12130000000000001</v>
      </c>
      <c r="I16" s="72">
        <f>+'Total Company Tonnage'!P16</f>
        <v>2.0799999999999999E-2</v>
      </c>
      <c r="J16" s="72">
        <f>+'Total Company Tonnage'!Q16</f>
        <v>4.1000000000000003E-3</v>
      </c>
      <c r="K16" s="72">
        <f>+'Total Company Tonnage'!R16</f>
        <v>3.3999999999999998E-3</v>
      </c>
      <c r="L16" s="72">
        <f>+'Total Company Tonnage'!S16</f>
        <v>8.0000000000000002E-3</v>
      </c>
      <c r="M16" s="72">
        <f t="shared" si="1"/>
        <v>0.10330000000000006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x14ac:dyDescent="0.2">
      <c r="A17" s="4" t="s">
        <v>40</v>
      </c>
      <c r="B17" s="65">
        <f t="shared" si="0"/>
        <v>1</v>
      </c>
      <c r="C17" s="72">
        <f>+'Total Company Tonnage'!J17</f>
        <v>0</v>
      </c>
      <c r="D17" s="72">
        <f>+'Total Company Tonnage'!K17</f>
        <v>0.46579999999999999</v>
      </c>
      <c r="E17" s="72">
        <f>+'Total Company Tonnage'!L17</f>
        <v>0.2581</v>
      </c>
      <c r="F17" s="72">
        <f>+'Total Company Tonnage'!M17</f>
        <v>8.5000000000000006E-3</v>
      </c>
      <c r="G17" s="72">
        <f>+'Total Company Tonnage'!O17</f>
        <v>1.04E-2</v>
      </c>
      <c r="H17" s="72">
        <f>+'Total Company Tonnage'!N17</f>
        <v>0.1171</v>
      </c>
      <c r="I17" s="72">
        <f>+'Total Company Tonnage'!P17</f>
        <v>1.7299999999999999E-2</v>
      </c>
      <c r="J17" s="72">
        <f>+'Total Company Tonnage'!Q17</f>
        <v>2.8E-3</v>
      </c>
      <c r="K17" s="72">
        <f>+'Total Company Tonnage'!R17</f>
        <v>2.8999999999999998E-3</v>
      </c>
      <c r="L17" s="72">
        <f>+'Total Company Tonnage'!S17</f>
        <v>0</v>
      </c>
      <c r="M17" s="72">
        <f t="shared" si="1"/>
        <v>0.11710000000000009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x14ac:dyDescent="0.2">
      <c r="A18" s="4" t="s">
        <v>10</v>
      </c>
      <c r="B18" s="65">
        <f t="shared" si="0"/>
        <v>1</v>
      </c>
      <c r="C18" s="72">
        <f>+'Total Company Tonnage'!J18</f>
        <v>0</v>
      </c>
      <c r="D18" s="72">
        <f>+'Total Company Tonnage'!K18</f>
        <v>0.3851</v>
      </c>
      <c r="E18" s="72">
        <f>+'Total Company Tonnage'!L18</f>
        <v>0.32390000000000002</v>
      </c>
      <c r="F18" s="72">
        <f>+'Total Company Tonnage'!M18</f>
        <v>9.7999999999999997E-3</v>
      </c>
      <c r="G18" s="72">
        <f>+'Total Company Tonnage'!O18</f>
        <v>1.2500000000000001E-2</v>
      </c>
      <c r="H18" s="72">
        <f>+'Total Company Tonnage'!N18</f>
        <v>0.1191</v>
      </c>
      <c r="I18" s="72">
        <f>+'Total Company Tonnage'!P18</f>
        <v>2.3800000000000002E-2</v>
      </c>
      <c r="J18" s="72">
        <f>+'Total Company Tonnage'!Q18</f>
        <v>4.7999999999999996E-3</v>
      </c>
      <c r="K18" s="72">
        <f>+'Total Company Tonnage'!R18</f>
        <v>5.1000000000000004E-3</v>
      </c>
      <c r="L18" s="72">
        <f>+'Total Company Tonnage'!S18</f>
        <v>5.0000000000000001E-3</v>
      </c>
      <c r="M18" s="72">
        <f t="shared" si="1"/>
        <v>0.11089999999999989</v>
      </c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spans="1:26" x14ac:dyDescent="0.2">
      <c r="A19" s="4" t="s">
        <v>41</v>
      </c>
      <c r="B19" s="65">
        <f t="shared" si="0"/>
        <v>1</v>
      </c>
      <c r="C19" s="72">
        <f>+'Total Company Tonnage'!J19</f>
        <v>0</v>
      </c>
      <c r="D19" s="72">
        <f>+'Total Company Tonnage'!K19</f>
        <v>0.38450000000000001</v>
      </c>
      <c r="E19" s="72">
        <f>+'Total Company Tonnage'!L19</f>
        <v>0.34360000000000002</v>
      </c>
      <c r="F19" s="72">
        <f>+'Total Company Tonnage'!M19</f>
        <v>1.1299999999999999E-2</v>
      </c>
      <c r="G19" s="72">
        <f>+'Total Company Tonnage'!O19</f>
        <v>1.2699999999999999E-2</v>
      </c>
      <c r="H19" s="72">
        <f>+'Total Company Tonnage'!N19</f>
        <v>0.10929999999999999</v>
      </c>
      <c r="I19" s="72">
        <f>+'Total Company Tonnage'!P19</f>
        <v>2.3699999999999999E-2</v>
      </c>
      <c r="J19" s="72">
        <f>+'Total Company Tonnage'!Q19</f>
        <v>4.0000000000000001E-3</v>
      </c>
      <c r="K19" s="72">
        <f>+'Total Company Tonnage'!R19</f>
        <v>5.4999999999999997E-3</v>
      </c>
      <c r="L19" s="72">
        <f>+'Total Company Tonnage'!S19</f>
        <v>7.9000000000000008E-3</v>
      </c>
      <c r="M19" s="72">
        <f t="shared" si="1"/>
        <v>9.7500000000000031E-2</v>
      </c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spans="1:26" x14ac:dyDescent="0.2">
      <c r="A20" s="4" t="s">
        <v>42</v>
      </c>
      <c r="B20" s="65">
        <f t="shared" si="0"/>
        <v>1</v>
      </c>
      <c r="C20" s="72">
        <f>+'Total Company Tonnage'!J20</f>
        <v>0</v>
      </c>
      <c r="D20" s="72">
        <f>+'Total Company Tonnage'!K20</f>
        <v>0.39929999999999999</v>
      </c>
      <c r="E20" s="72">
        <f>+'Total Company Tonnage'!L20</f>
        <v>0.34389999999999998</v>
      </c>
      <c r="F20" s="72">
        <f>+'Total Company Tonnage'!M20</f>
        <v>1.2800000000000001E-2</v>
      </c>
      <c r="G20" s="72">
        <f>+'Total Company Tonnage'!O20</f>
        <v>1.09E-2</v>
      </c>
      <c r="H20" s="72">
        <f>+'Total Company Tonnage'!N20</f>
        <v>0.1026</v>
      </c>
      <c r="I20" s="72">
        <f>+'Total Company Tonnage'!P20</f>
        <v>2.7300000000000001E-2</v>
      </c>
      <c r="J20" s="72">
        <f>+'Total Company Tonnage'!Q20</f>
        <v>2.8E-3</v>
      </c>
      <c r="K20" s="72">
        <f>+'Total Company Tonnage'!R20</f>
        <v>4.3E-3</v>
      </c>
      <c r="L20" s="72">
        <f>+'Total Company Tonnage'!S20</f>
        <v>5.4000000000000003E-3</v>
      </c>
      <c r="M20" s="72">
        <f t="shared" si="1"/>
        <v>9.0700000000000003E-2</v>
      </c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spans="1:26" x14ac:dyDescent="0.2">
      <c r="A21" s="4" t="s">
        <v>43</v>
      </c>
      <c r="B21" s="65">
        <f t="shared" si="0"/>
        <v>1</v>
      </c>
      <c r="C21" s="72">
        <f>+'Total Company Tonnage'!J21</f>
        <v>0</v>
      </c>
      <c r="D21" s="72">
        <f>+'Total Company Tonnage'!K21</f>
        <v>0.38419999999999999</v>
      </c>
      <c r="E21" s="72">
        <f>+'Total Company Tonnage'!L21</f>
        <v>0.36799999999999999</v>
      </c>
      <c r="F21" s="72">
        <f>+'Total Company Tonnage'!M21</f>
        <v>1.3100000000000001E-2</v>
      </c>
      <c r="G21" s="72">
        <f>+'Total Company Tonnage'!O21</f>
        <v>1.15E-2</v>
      </c>
      <c r="H21" s="72">
        <f>+'Total Company Tonnage'!N21</f>
        <v>0.1016</v>
      </c>
      <c r="I21" s="72">
        <f>+'Total Company Tonnage'!P21</f>
        <v>2.3800000000000002E-2</v>
      </c>
      <c r="J21" s="72">
        <f>+'Total Company Tonnage'!Q21</f>
        <v>3.3999999999999998E-3</v>
      </c>
      <c r="K21" s="72">
        <f>+'Total Company Tonnage'!R21</f>
        <v>4.4999999999999997E-3</v>
      </c>
      <c r="L21" s="72">
        <f>+'Total Company Tonnage'!S21</f>
        <v>3.5999999999999999E-3</v>
      </c>
      <c r="M21" s="72">
        <f t="shared" si="1"/>
        <v>8.6300000000000043E-2</v>
      </c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spans="1:26" x14ac:dyDescent="0.2">
      <c r="C22" s="4"/>
    </row>
    <row r="24" spans="1:26" x14ac:dyDescent="0.2">
      <c r="A24" s="12" t="s">
        <v>59</v>
      </c>
    </row>
    <row r="25" spans="1:26" x14ac:dyDescent="0.2">
      <c r="A25" s="4" t="s">
        <v>58</v>
      </c>
      <c r="B25" s="17">
        <f>+'Calculation of Revenue'!D11</f>
        <v>751.99</v>
      </c>
      <c r="C25" s="21">
        <f t="shared" ref="C25:M25" si="2">+$B25*C10</f>
        <v>0</v>
      </c>
      <c r="D25" s="21">
        <f t="shared" si="2"/>
        <v>362.15838400000001</v>
      </c>
      <c r="E25" s="21">
        <f t="shared" si="2"/>
        <v>183.259963</v>
      </c>
      <c r="F25" s="21">
        <f t="shared" si="2"/>
        <v>6.4671140000000005</v>
      </c>
      <c r="G25" s="21">
        <f t="shared" si="2"/>
        <v>8.6478850000000005</v>
      </c>
      <c r="H25" s="21">
        <f t="shared" si="2"/>
        <v>87.230840000000001</v>
      </c>
      <c r="I25" s="21">
        <f t="shared" si="2"/>
        <v>15.190197999999999</v>
      </c>
      <c r="J25" s="21">
        <f t="shared" si="2"/>
        <v>3.5343530000000003</v>
      </c>
      <c r="K25" s="21">
        <f t="shared" si="2"/>
        <v>3.1583579999999998</v>
      </c>
      <c r="L25" s="21">
        <f t="shared" si="2"/>
        <v>1.278383</v>
      </c>
      <c r="M25" s="21">
        <f t="shared" si="2"/>
        <v>81.064521999999926</v>
      </c>
      <c r="O25" s="17"/>
      <c r="P25" s="17"/>
    </row>
    <row r="26" spans="1:26" x14ac:dyDescent="0.2">
      <c r="A26" s="4" t="s">
        <v>35</v>
      </c>
      <c r="B26" s="17">
        <f>+'Calculation of Revenue'!D12</f>
        <v>829.37</v>
      </c>
      <c r="C26" s="21">
        <f t="shared" ref="C26:M26" si="3">+$B26*C11</f>
        <v>0</v>
      </c>
      <c r="D26" s="21">
        <f t="shared" si="3"/>
        <v>384.99355400000002</v>
      </c>
      <c r="E26" s="21">
        <f t="shared" si="3"/>
        <v>212.89927899999998</v>
      </c>
      <c r="F26" s="21">
        <f t="shared" si="3"/>
        <v>7.5472670000000006</v>
      </c>
      <c r="G26" s="21">
        <f t="shared" si="3"/>
        <v>10.78181</v>
      </c>
      <c r="H26" s="21">
        <f t="shared" si="3"/>
        <v>94.796991000000006</v>
      </c>
      <c r="I26" s="21">
        <f t="shared" si="3"/>
        <v>16.089777999999999</v>
      </c>
      <c r="J26" s="21">
        <f t="shared" si="3"/>
        <v>3.5662910000000001</v>
      </c>
      <c r="K26" s="21">
        <f t="shared" si="3"/>
        <v>3.3174800000000002</v>
      </c>
      <c r="L26" s="21">
        <f t="shared" si="3"/>
        <v>2.2392989999999999</v>
      </c>
      <c r="M26" s="21">
        <f t="shared" si="3"/>
        <v>93.138251000000054</v>
      </c>
      <c r="O26" s="17"/>
      <c r="P26" s="17"/>
    </row>
    <row r="27" spans="1:26" x14ac:dyDescent="0.2">
      <c r="A27" s="4" t="s">
        <v>36</v>
      </c>
      <c r="B27" s="17">
        <f>+'Calculation of Revenue'!D13</f>
        <v>867.59</v>
      </c>
      <c r="C27" s="21">
        <f t="shared" ref="C27:M27" si="4">+$B27*C12</f>
        <v>0</v>
      </c>
      <c r="D27" s="21">
        <f t="shared" si="4"/>
        <v>415.48885100000001</v>
      </c>
      <c r="E27" s="21">
        <f t="shared" si="4"/>
        <v>217.50481299999998</v>
      </c>
      <c r="F27" s="21">
        <f t="shared" si="4"/>
        <v>7.2877559999999999</v>
      </c>
      <c r="G27" s="21">
        <f t="shared" si="4"/>
        <v>10.671357</v>
      </c>
      <c r="H27" s="21">
        <f t="shared" si="4"/>
        <v>100.813958</v>
      </c>
      <c r="I27" s="21">
        <f t="shared" si="4"/>
        <v>14.401994</v>
      </c>
      <c r="J27" s="21">
        <f t="shared" si="4"/>
        <v>3.2968420000000003</v>
      </c>
      <c r="K27" s="21">
        <f t="shared" si="4"/>
        <v>3.3836010000000001</v>
      </c>
      <c r="L27" s="21">
        <f t="shared" si="4"/>
        <v>0.78083100000000005</v>
      </c>
      <c r="M27" s="21">
        <f t="shared" si="4"/>
        <v>93.959997000000058</v>
      </c>
      <c r="O27" s="17"/>
      <c r="P27" s="17"/>
      <c r="R27" s="17"/>
      <c r="T27" s="71"/>
    </row>
    <row r="28" spans="1:26" x14ac:dyDescent="0.2">
      <c r="A28" s="4" t="s">
        <v>37</v>
      </c>
      <c r="B28" s="17">
        <f>+'Calculation of Revenue'!D14</f>
        <v>903.44</v>
      </c>
      <c r="C28" s="21">
        <f t="shared" ref="C28:M28" si="5">+$B28*C13</f>
        <v>0</v>
      </c>
      <c r="D28" s="21">
        <f t="shared" si="5"/>
        <v>472.40877600000005</v>
      </c>
      <c r="E28" s="21">
        <f t="shared" si="5"/>
        <v>202.55124800000002</v>
      </c>
      <c r="F28" s="21">
        <f t="shared" si="5"/>
        <v>6.8661440000000002</v>
      </c>
      <c r="G28" s="21">
        <f t="shared" si="5"/>
        <v>10.931624000000001</v>
      </c>
      <c r="H28" s="21">
        <f t="shared" si="5"/>
        <v>98.926680000000005</v>
      </c>
      <c r="I28" s="21">
        <f t="shared" si="5"/>
        <v>14.093664</v>
      </c>
      <c r="J28" s="21">
        <f t="shared" si="5"/>
        <v>2.9813520000000002</v>
      </c>
      <c r="K28" s="21">
        <f t="shared" si="5"/>
        <v>2.3489439999999999</v>
      </c>
      <c r="L28" s="21">
        <f t="shared" si="5"/>
        <v>1.2648160000000002</v>
      </c>
      <c r="M28" s="21">
        <f t="shared" si="5"/>
        <v>91.066751999999909</v>
      </c>
      <c r="O28" s="17"/>
      <c r="P28" s="17"/>
      <c r="R28" s="17"/>
      <c r="T28" s="71"/>
    </row>
    <row r="29" spans="1:26" x14ac:dyDescent="0.2">
      <c r="A29" s="4" t="s">
        <v>45</v>
      </c>
      <c r="B29" s="17">
        <f>+'Calculation of Revenue'!D15</f>
        <v>977.97</v>
      </c>
      <c r="C29" s="21">
        <f t="shared" ref="C29:M29" si="6">+$B29*C14</f>
        <v>0</v>
      </c>
      <c r="D29" s="21">
        <f t="shared" si="6"/>
        <v>518.22630300000003</v>
      </c>
      <c r="E29" s="21">
        <f t="shared" si="6"/>
        <v>225.324288</v>
      </c>
      <c r="F29" s="21">
        <f t="shared" si="6"/>
        <v>6.5523990000000003</v>
      </c>
      <c r="G29" s="21">
        <f t="shared" si="6"/>
        <v>9.5841060000000002</v>
      </c>
      <c r="H29" s="21">
        <f t="shared" si="6"/>
        <v>102.98024100000001</v>
      </c>
      <c r="I29" s="21">
        <f t="shared" si="6"/>
        <v>15.158535000000001</v>
      </c>
      <c r="J29" s="21">
        <f t="shared" si="6"/>
        <v>3.1295040000000003</v>
      </c>
      <c r="K29" s="21">
        <f t="shared" si="6"/>
        <v>3.0317069999999999</v>
      </c>
      <c r="L29" s="21">
        <f t="shared" si="6"/>
        <v>2.93391</v>
      </c>
      <c r="M29" s="21">
        <f t="shared" si="6"/>
        <v>91.04900699999996</v>
      </c>
      <c r="O29" s="17"/>
      <c r="P29" s="17"/>
      <c r="R29" s="17"/>
      <c r="T29" s="71"/>
    </row>
    <row r="30" spans="1:26" x14ac:dyDescent="0.2">
      <c r="A30" s="4" t="s">
        <v>38</v>
      </c>
      <c r="B30" s="17">
        <f>+'Calculation of Revenue'!D16</f>
        <v>673.88</v>
      </c>
      <c r="C30" s="21">
        <f t="shared" ref="C30:M30" si="7">+$B30*C15</f>
        <v>0</v>
      </c>
      <c r="D30" s="21">
        <f t="shared" si="7"/>
        <v>337.81604399999998</v>
      </c>
      <c r="E30" s="21">
        <f t="shared" si="7"/>
        <v>149.870912</v>
      </c>
      <c r="F30" s="21">
        <f t="shared" si="7"/>
        <v>5.5258160000000007</v>
      </c>
      <c r="G30" s="21">
        <f t="shared" si="7"/>
        <v>8.490888</v>
      </c>
      <c r="H30" s="21">
        <f t="shared" si="7"/>
        <v>88.817384000000004</v>
      </c>
      <c r="I30" s="21">
        <f t="shared" si="7"/>
        <v>11.725511999999998</v>
      </c>
      <c r="J30" s="21">
        <f t="shared" si="7"/>
        <v>2.6955200000000001</v>
      </c>
      <c r="K30" s="21">
        <f t="shared" si="7"/>
        <v>1.2803720000000001</v>
      </c>
      <c r="L30" s="21">
        <f t="shared" si="7"/>
        <v>1.0782080000000001</v>
      </c>
      <c r="M30" s="21">
        <f t="shared" si="7"/>
        <v>66.579343999999992</v>
      </c>
      <c r="O30" s="17"/>
      <c r="P30" s="17"/>
      <c r="R30" s="17"/>
      <c r="T30" s="71"/>
    </row>
    <row r="31" spans="1:26" x14ac:dyDescent="0.2">
      <c r="A31" s="4" t="s">
        <v>39</v>
      </c>
      <c r="B31" s="17">
        <f>+'Calculation of Revenue'!D17</f>
        <v>646.48</v>
      </c>
      <c r="C31" s="21">
        <f t="shared" ref="C31:M31" si="8">+$B31*C16</f>
        <v>0</v>
      </c>
      <c r="D31" s="21">
        <f t="shared" si="8"/>
        <v>290.01092800000004</v>
      </c>
      <c r="E31" s="21">
        <f t="shared" si="8"/>
        <v>172.02832800000002</v>
      </c>
      <c r="F31" s="21">
        <f t="shared" si="8"/>
        <v>6.5294480000000004</v>
      </c>
      <c r="G31" s="21">
        <f t="shared" si="8"/>
        <v>9.2446640000000002</v>
      </c>
      <c r="H31" s="21">
        <f t="shared" si="8"/>
        <v>78.418024000000003</v>
      </c>
      <c r="I31" s="21">
        <f t="shared" si="8"/>
        <v>13.446783999999999</v>
      </c>
      <c r="J31" s="21">
        <f t="shared" si="8"/>
        <v>2.6505680000000003</v>
      </c>
      <c r="K31" s="21">
        <f t="shared" si="8"/>
        <v>2.198032</v>
      </c>
      <c r="L31" s="21">
        <f t="shared" si="8"/>
        <v>5.1718400000000004</v>
      </c>
      <c r="M31" s="21">
        <f t="shared" si="8"/>
        <v>66.781384000000045</v>
      </c>
      <c r="O31" s="17"/>
      <c r="P31" s="17"/>
      <c r="R31" s="17"/>
      <c r="T31" s="71"/>
    </row>
    <row r="32" spans="1:26" x14ac:dyDescent="0.2">
      <c r="A32" s="4" t="s">
        <v>40</v>
      </c>
      <c r="B32" s="17">
        <f>+'Calculation of Revenue'!D18</f>
        <v>826.93</v>
      </c>
      <c r="C32" s="21">
        <f t="shared" ref="C32:M32" si="9">+$B32*C17</f>
        <v>0</v>
      </c>
      <c r="D32" s="21">
        <f t="shared" si="9"/>
        <v>385.18399399999998</v>
      </c>
      <c r="E32" s="21">
        <f t="shared" si="9"/>
        <v>213.43063299999997</v>
      </c>
      <c r="F32" s="21">
        <f t="shared" si="9"/>
        <v>7.028905</v>
      </c>
      <c r="G32" s="21">
        <f t="shared" si="9"/>
        <v>8.6000719999999991</v>
      </c>
      <c r="H32" s="21">
        <f t="shared" si="9"/>
        <v>96.833502999999993</v>
      </c>
      <c r="I32" s="21">
        <f t="shared" si="9"/>
        <v>14.305888999999999</v>
      </c>
      <c r="J32" s="21">
        <f t="shared" si="9"/>
        <v>2.315404</v>
      </c>
      <c r="K32" s="21">
        <f t="shared" si="9"/>
        <v>2.3980969999999995</v>
      </c>
      <c r="L32" s="21">
        <f t="shared" si="9"/>
        <v>0</v>
      </c>
      <c r="M32" s="21">
        <f t="shared" si="9"/>
        <v>96.833503000000064</v>
      </c>
      <c r="O32" s="17"/>
      <c r="P32" s="17"/>
      <c r="R32" s="17"/>
      <c r="T32" s="71"/>
    </row>
    <row r="33" spans="1:20" x14ac:dyDescent="0.2">
      <c r="A33" s="4" t="s">
        <v>10</v>
      </c>
      <c r="B33" s="17">
        <f>+'Calculation of Revenue'!D19</f>
        <v>855.02</v>
      </c>
      <c r="C33" s="21">
        <f t="shared" ref="C33:M33" si="10">+$B33*C18</f>
        <v>0</v>
      </c>
      <c r="D33" s="21">
        <f t="shared" si="10"/>
        <v>329.26820199999997</v>
      </c>
      <c r="E33" s="21">
        <f t="shared" si="10"/>
        <v>276.94097800000003</v>
      </c>
      <c r="F33" s="21">
        <f t="shared" si="10"/>
        <v>8.3791960000000003</v>
      </c>
      <c r="G33" s="21">
        <f t="shared" si="10"/>
        <v>10.687750000000001</v>
      </c>
      <c r="H33" s="21">
        <f t="shared" si="10"/>
        <v>101.832882</v>
      </c>
      <c r="I33" s="21">
        <f t="shared" si="10"/>
        <v>20.349476000000003</v>
      </c>
      <c r="J33" s="21">
        <f t="shared" si="10"/>
        <v>4.1040959999999993</v>
      </c>
      <c r="K33" s="21">
        <f t="shared" si="10"/>
        <v>4.3606020000000001</v>
      </c>
      <c r="L33" s="21">
        <f t="shared" si="10"/>
        <v>4.2751000000000001</v>
      </c>
      <c r="M33" s="21">
        <f t="shared" si="10"/>
        <v>94.821717999999905</v>
      </c>
      <c r="O33" s="17"/>
      <c r="P33" s="17"/>
      <c r="R33" s="17"/>
      <c r="T33" s="71"/>
    </row>
    <row r="34" spans="1:20" x14ac:dyDescent="0.2">
      <c r="A34" s="4" t="s">
        <v>41</v>
      </c>
      <c r="B34" s="17">
        <f>+'Calculation of Revenue'!D20</f>
        <v>770.76</v>
      </c>
      <c r="C34" s="21">
        <f t="shared" ref="C34:M34" si="11">+$B34*C19</f>
        <v>0</v>
      </c>
      <c r="D34" s="21">
        <f t="shared" si="11"/>
        <v>296.35721999999998</v>
      </c>
      <c r="E34" s="21">
        <f t="shared" si="11"/>
        <v>264.83313600000002</v>
      </c>
      <c r="F34" s="21">
        <f t="shared" si="11"/>
        <v>8.7095880000000001</v>
      </c>
      <c r="G34" s="21">
        <f t="shared" si="11"/>
        <v>9.788651999999999</v>
      </c>
      <c r="H34" s="21">
        <f t="shared" si="11"/>
        <v>84.244067999999999</v>
      </c>
      <c r="I34" s="21">
        <f t="shared" si="11"/>
        <v>18.267011999999998</v>
      </c>
      <c r="J34" s="21">
        <f t="shared" si="11"/>
        <v>3.08304</v>
      </c>
      <c r="K34" s="21">
        <f t="shared" si="11"/>
        <v>4.2391799999999993</v>
      </c>
      <c r="L34" s="21">
        <f t="shared" si="11"/>
        <v>6.0890040000000001</v>
      </c>
      <c r="M34" s="21">
        <f t="shared" si="11"/>
        <v>75.149100000000018</v>
      </c>
      <c r="O34" s="17"/>
      <c r="P34" s="17"/>
      <c r="R34" s="17"/>
      <c r="T34" s="71"/>
    </row>
    <row r="35" spans="1:20" x14ac:dyDescent="0.2">
      <c r="A35" s="4" t="s">
        <v>42</v>
      </c>
      <c r="B35" s="17">
        <f>+'Calculation of Revenue'!D21</f>
        <v>888.79</v>
      </c>
      <c r="C35" s="369">
        <f t="shared" ref="C35:M35" si="12">+$B35*C20</f>
        <v>0</v>
      </c>
      <c r="D35" s="369">
        <f t="shared" si="12"/>
        <v>354.89384699999999</v>
      </c>
      <c r="E35" s="369">
        <f t="shared" si="12"/>
        <v>305.65488099999999</v>
      </c>
      <c r="F35" s="369">
        <f t="shared" si="12"/>
        <v>11.376512</v>
      </c>
      <c r="G35" s="369">
        <f t="shared" si="12"/>
        <v>9.687811</v>
      </c>
      <c r="H35" s="369">
        <f t="shared" si="12"/>
        <v>91.189853999999997</v>
      </c>
      <c r="I35" s="369">
        <f t="shared" si="12"/>
        <v>24.263967000000001</v>
      </c>
      <c r="J35" s="369">
        <f t="shared" si="12"/>
        <v>2.4886119999999998</v>
      </c>
      <c r="K35" s="369">
        <f t="shared" si="12"/>
        <v>3.8217969999999997</v>
      </c>
      <c r="L35" s="369">
        <f t="shared" si="12"/>
        <v>4.7994659999999998</v>
      </c>
      <c r="M35" s="369">
        <f t="shared" si="12"/>
        <v>80.613253</v>
      </c>
      <c r="O35" s="17"/>
      <c r="P35" s="17"/>
      <c r="R35" s="17"/>
      <c r="T35" s="71"/>
    </row>
    <row r="36" spans="1:20" ht="15" x14ac:dyDescent="0.35">
      <c r="A36" s="4" t="s">
        <v>43</v>
      </c>
      <c r="B36" s="24">
        <f>+'Calculation of Revenue'!D22</f>
        <v>872.47</v>
      </c>
      <c r="C36" s="28">
        <f t="shared" ref="C36:M36" si="13">+$B36*C21</f>
        <v>0</v>
      </c>
      <c r="D36" s="28">
        <f t="shared" si="13"/>
        <v>335.20297399999998</v>
      </c>
      <c r="E36" s="28">
        <f t="shared" si="13"/>
        <v>321.06896</v>
      </c>
      <c r="F36" s="28">
        <f t="shared" si="13"/>
        <v>11.429357000000001</v>
      </c>
      <c r="G36" s="28">
        <f t="shared" si="13"/>
        <v>10.033405</v>
      </c>
      <c r="H36" s="28">
        <f t="shared" si="13"/>
        <v>88.642951999999994</v>
      </c>
      <c r="I36" s="28">
        <f t="shared" si="13"/>
        <v>20.764786000000001</v>
      </c>
      <c r="J36" s="28">
        <f t="shared" si="13"/>
        <v>2.9663979999999999</v>
      </c>
      <c r="K36" s="28">
        <f t="shared" si="13"/>
        <v>3.9261149999999998</v>
      </c>
      <c r="L36" s="28">
        <f t="shared" si="13"/>
        <v>3.140892</v>
      </c>
      <c r="M36" s="28">
        <f t="shared" si="13"/>
        <v>75.294161000000045</v>
      </c>
      <c r="O36" s="17"/>
      <c r="P36" s="17"/>
      <c r="R36" s="17"/>
      <c r="T36" s="71"/>
    </row>
    <row r="37" spans="1:20" ht="15" x14ac:dyDescent="0.35">
      <c r="B37" s="31">
        <f>SUM(B25:B36)</f>
        <v>9864.69</v>
      </c>
      <c r="C37" s="31">
        <f>SUM(C25:C36)</f>
        <v>0</v>
      </c>
      <c r="D37" s="31">
        <f t="shared" ref="D37:L37" si="14">SUM(D25:D36)</f>
        <v>4482.0090770000006</v>
      </c>
      <c r="E37" s="31">
        <f t="shared" si="14"/>
        <v>2745.3674190000002</v>
      </c>
      <c r="F37" s="31">
        <f t="shared" si="14"/>
        <v>93.69950200000001</v>
      </c>
      <c r="G37" s="31">
        <f t="shared" si="14"/>
        <v>117.15002399999999</v>
      </c>
      <c r="H37" s="31">
        <f t="shared" si="14"/>
        <v>1114.7273769999999</v>
      </c>
      <c r="I37" s="31">
        <f t="shared" si="14"/>
        <v>198.05759499999999</v>
      </c>
      <c r="J37" s="31">
        <f t="shared" si="14"/>
        <v>36.811979999999998</v>
      </c>
      <c r="K37" s="31">
        <f t="shared" si="14"/>
        <v>37.464284999999997</v>
      </c>
      <c r="L37" s="31">
        <f t="shared" si="14"/>
        <v>33.051749000000001</v>
      </c>
      <c r="M37" s="31">
        <f t="shared" ref="M37" si="15">SUM(M25:M36)</f>
        <v>1006.3509919999999</v>
      </c>
    </row>
    <row r="38" spans="1:20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40" spans="1:20" x14ac:dyDescent="0.2">
      <c r="A40" s="12" t="s">
        <v>57</v>
      </c>
    </row>
    <row r="41" spans="1:20" x14ac:dyDescent="0.2">
      <c r="A41" s="4" t="s">
        <v>58</v>
      </c>
      <c r="C41" s="38">
        <f>+'Commodity Prices'!B9</f>
        <v>0</v>
      </c>
      <c r="D41" s="38">
        <f>+'Commodity Prices'!C9</f>
        <v>11.23</v>
      </c>
      <c r="E41" s="38">
        <f>+'Commodity Prices'!D9</f>
        <v>114.26</v>
      </c>
      <c r="F41" s="38">
        <f>+'Commodity Prices'!E9</f>
        <v>1434.19</v>
      </c>
      <c r="G41" s="38">
        <f>+'Commodity Prices'!G9</f>
        <v>160.37</v>
      </c>
      <c r="H41" s="38">
        <f>+'Commodity Prices'!F9</f>
        <v>-53.34</v>
      </c>
      <c r="I41" s="38">
        <f>+'Commodity Prices'!H9</f>
        <v>179.46</v>
      </c>
      <c r="J41" s="38">
        <f>+'Commodity Prices'!I9</f>
        <v>700</v>
      </c>
      <c r="K41" s="38">
        <f>+'Commodity Prices'!J9</f>
        <v>280</v>
      </c>
      <c r="L41" s="38">
        <f>+'Commodity Prices'!K9</f>
        <v>-140</v>
      </c>
    </row>
    <row r="42" spans="1:20" x14ac:dyDescent="0.2">
      <c r="A42" s="4" t="s">
        <v>35</v>
      </c>
      <c r="C42" s="38">
        <f>+'Commodity Prices'!B10</f>
        <v>0</v>
      </c>
      <c r="D42" s="38">
        <f>+'Commodity Prices'!C10</f>
        <v>15.22</v>
      </c>
      <c r="E42" s="38">
        <f>+'Commodity Prices'!D10</f>
        <v>118.27</v>
      </c>
      <c r="F42" s="38">
        <f>+'Commodity Prices'!E10</f>
        <v>1250.8399999999999</v>
      </c>
      <c r="G42" s="38">
        <f>+'Commodity Prices'!G10</f>
        <v>172.35</v>
      </c>
      <c r="H42" s="38">
        <f>+'Commodity Prices'!F10</f>
        <v>-53.34</v>
      </c>
      <c r="I42" s="38">
        <f>+'Commodity Prices'!H10</f>
        <v>161.75</v>
      </c>
      <c r="J42" s="38">
        <f>+'Commodity Prices'!I10</f>
        <v>750</v>
      </c>
      <c r="K42" s="38">
        <f>+'Commodity Prices'!J10</f>
        <v>310</v>
      </c>
      <c r="L42" s="38">
        <f>+'Commodity Prices'!K10</f>
        <v>-140</v>
      </c>
    </row>
    <row r="43" spans="1:20" x14ac:dyDescent="0.2">
      <c r="A43" s="4" t="s">
        <v>36</v>
      </c>
      <c r="C43" s="38">
        <f>+'Commodity Prices'!B11</f>
        <v>0</v>
      </c>
      <c r="D43" s="38">
        <f>+'Commodity Prices'!C11</f>
        <v>15.08</v>
      </c>
      <c r="E43" s="38">
        <f>+'Commodity Prices'!D11</f>
        <v>122.4</v>
      </c>
      <c r="F43" s="38">
        <f>+'Commodity Prices'!E11</f>
        <v>971.05</v>
      </c>
      <c r="G43" s="38">
        <f>+'Commodity Prices'!G11</f>
        <v>173.01</v>
      </c>
      <c r="H43" s="38">
        <f>+'Commodity Prices'!F11</f>
        <v>-53.34</v>
      </c>
      <c r="I43" s="38">
        <f>+'Commodity Prices'!H11</f>
        <v>160</v>
      </c>
      <c r="J43" s="38">
        <f>+'Commodity Prices'!I11</f>
        <v>760</v>
      </c>
      <c r="K43" s="38">
        <f>+'Commodity Prices'!J11</f>
        <v>360</v>
      </c>
      <c r="L43" s="38">
        <f>+'Commodity Prices'!K11</f>
        <v>-140</v>
      </c>
      <c r="M43" s="69"/>
    </row>
    <row r="44" spans="1:20" x14ac:dyDescent="0.2">
      <c r="A44" s="4" t="s">
        <v>37</v>
      </c>
      <c r="C44" s="38">
        <f>+'Commodity Prices'!B12</f>
        <v>0</v>
      </c>
      <c r="D44" s="38">
        <f>+'Commodity Prices'!C12</f>
        <v>12.6</v>
      </c>
      <c r="E44" s="38">
        <f>+'Commodity Prices'!D12</f>
        <v>119.99</v>
      </c>
      <c r="F44" s="38">
        <f>+'Commodity Prices'!E12</f>
        <v>1120.57</v>
      </c>
      <c r="G44" s="38">
        <f>+'Commodity Prices'!G12</f>
        <v>169.96</v>
      </c>
      <c r="H44" s="38">
        <f>+'Commodity Prices'!F12</f>
        <v>-53.34</v>
      </c>
      <c r="I44" s="38">
        <f>+'Commodity Prices'!H12</f>
        <v>160</v>
      </c>
      <c r="J44" s="38">
        <f>+'Commodity Prices'!I12</f>
        <v>710</v>
      </c>
      <c r="K44" s="38">
        <f>+'Commodity Prices'!J12</f>
        <v>350</v>
      </c>
      <c r="L44" s="38">
        <f>+'Commodity Prices'!K12</f>
        <v>-140</v>
      </c>
      <c r="M44" s="22"/>
    </row>
    <row r="45" spans="1:20" x14ac:dyDescent="0.2">
      <c r="A45" s="4" t="s">
        <v>45</v>
      </c>
      <c r="C45" s="38">
        <f>+'Commodity Prices'!B13</f>
        <v>0</v>
      </c>
      <c r="D45" s="38">
        <f>+'Commodity Prices'!C13</f>
        <v>11.75</v>
      </c>
      <c r="E45" s="38">
        <f>+'Commodity Prices'!D13</f>
        <v>113.75</v>
      </c>
      <c r="F45" s="38">
        <f>+'Commodity Prices'!E13</f>
        <v>1153.3399999999999</v>
      </c>
      <c r="G45" s="38">
        <f>+'Commodity Prices'!G13</f>
        <v>148.93</v>
      </c>
      <c r="H45" s="38">
        <f>+'Commodity Prices'!F13</f>
        <v>-53.34</v>
      </c>
      <c r="I45" s="38">
        <f>+'Commodity Prices'!H13</f>
        <v>160</v>
      </c>
      <c r="J45" s="38">
        <f>+'Commodity Prices'!I13</f>
        <v>710</v>
      </c>
      <c r="K45" s="38">
        <f>+'Commodity Prices'!J13</f>
        <v>350</v>
      </c>
      <c r="L45" s="38">
        <f>+'Commodity Prices'!K13</f>
        <v>-140</v>
      </c>
      <c r="M45" s="22"/>
    </row>
    <row r="46" spans="1:20" x14ac:dyDescent="0.2">
      <c r="A46" s="4" t="s">
        <v>38</v>
      </c>
      <c r="C46" s="38">
        <f>+'Commodity Prices'!B14</f>
        <v>0</v>
      </c>
      <c r="D46" s="38">
        <f>+'Commodity Prices'!C14</f>
        <v>0.24</v>
      </c>
      <c r="E46" s="38">
        <f>+'Commodity Prices'!D14</f>
        <v>88.97</v>
      </c>
      <c r="F46" s="38">
        <f>+'Commodity Prices'!E14</f>
        <v>990.58</v>
      </c>
      <c r="G46" s="38">
        <f>+'Commodity Prices'!G14</f>
        <v>153.53</v>
      </c>
      <c r="H46" s="38">
        <f>+'Commodity Prices'!F14</f>
        <v>-53.34</v>
      </c>
      <c r="I46" s="38">
        <f>+'Commodity Prices'!H14</f>
        <v>172.28</v>
      </c>
      <c r="J46" s="38">
        <f>+'Commodity Prices'!I14</f>
        <v>640</v>
      </c>
      <c r="K46" s="38">
        <f>+'Commodity Prices'!J14</f>
        <v>310</v>
      </c>
      <c r="L46" s="38">
        <f>+'Commodity Prices'!K14</f>
        <v>-140</v>
      </c>
      <c r="M46" s="18"/>
    </row>
    <row r="47" spans="1:20" x14ac:dyDescent="0.2">
      <c r="A47" s="4" t="s">
        <v>39</v>
      </c>
      <c r="C47" s="38">
        <f>+'Commodity Prices'!B15</f>
        <v>0</v>
      </c>
      <c r="D47" s="38">
        <f>+'Commodity Prices'!C15</f>
        <v>-4.26</v>
      </c>
      <c r="E47" s="38">
        <f>+'Commodity Prices'!D15</f>
        <v>76.12</v>
      </c>
      <c r="F47" s="38">
        <f>+'Commodity Prices'!E15</f>
        <v>1098.3599999999999</v>
      </c>
      <c r="G47" s="38">
        <f>+'Commodity Prices'!G15</f>
        <v>161.97</v>
      </c>
      <c r="H47" s="38">
        <f>+'Commodity Prices'!F15</f>
        <v>-53.34</v>
      </c>
      <c r="I47" s="38">
        <f>+'Commodity Prices'!H15</f>
        <v>172.53</v>
      </c>
      <c r="J47" s="38">
        <f>+'Commodity Prices'!I15</f>
        <v>600</v>
      </c>
      <c r="K47" s="38">
        <f>+'Commodity Prices'!J15</f>
        <v>310</v>
      </c>
      <c r="L47" s="38">
        <f>+'Commodity Prices'!K15</f>
        <v>-140</v>
      </c>
      <c r="M47" s="18"/>
    </row>
    <row r="48" spans="1:20" x14ac:dyDescent="0.2">
      <c r="A48" s="4" t="s">
        <v>40</v>
      </c>
      <c r="C48" s="38">
        <f>+'Commodity Prices'!B16</f>
        <v>0</v>
      </c>
      <c r="D48" s="38">
        <f>+'Commodity Prices'!C16</f>
        <v>1.08</v>
      </c>
      <c r="E48" s="38">
        <f>+'Commodity Prices'!D16</f>
        <v>75.52</v>
      </c>
      <c r="F48" s="38">
        <f>+'Commodity Prices'!E16</f>
        <v>1081.4100000000001</v>
      </c>
      <c r="G48" s="38">
        <f>+'Commodity Prices'!G16</f>
        <v>157.52000000000001</v>
      </c>
      <c r="H48" s="38">
        <f>+'Commodity Prices'!F16</f>
        <v>-53.34</v>
      </c>
      <c r="I48" s="38">
        <f>+'Commodity Prices'!H16</f>
        <v>182.55</v>
      </c>
      <c r="J48" s="38">
        <f>+'Commodity Prices'!I16</f>
        <v>500</v>
      </c>
      <c r="K48" s="38">
        <f>+'Commodity Prices'!J16</f>
        <v>270</v>
      </c>
      <c r="L48" s="38">
        <f>+'Commodity Prices'!K16</f>
        <v>-140</v>
      </c>
      <c r="M48" s="18"/>
    </row>
    <row r="49" spans="1:13" x14ac:dyDescent="0.2">
      <c r="A49" s="4" t="s">
        <v>10</v>
      </c>
      <c r="C49" s="38">
        <f>+'Commodity Prices'!B17</f>
        <v>0</v>
      </c>
      <c r="D49" s="38">
        <f>+'Commodity Prices'!C17</f>
        <v>1.45</v>
      </c>
      <c r="E49" s="38">
        <f>+'Commodity Prices'!D17</f>
        <v>66.739999999999995</v>
      </c>
      <c r="F49" s="38">
        <f>+'Commodity Prices'!E17</f>
        <v>966.49</v>
      </c>
      <c r="G49" s="38">
        <f>+'Commodity Prices'!G17</f>
        <v>143.74</v>
      </c>
      <c r="H49" s="38">
        <f>+'Commodity Prices'!F17</f>
        <v>-53.34</v>
      </c>
      <c r="I49" s="38">
        <f>+'Commodity Prices'!H17</f>
        <v>170</v>
      </c>
      <c r="J49" s="38">
        <f>+'Commodity Prices'!I17</f>
        <v>420</v>
      </c>
      <c r="K49" s="38">
        <f>+'Commodity Prices'!J17</f>
        <v>230</v>
      </c>
      <c r="L49" s="38">
        <f>+'Commodity Prices'!K17</f>
        <v>-140</v>
      </c>
      <c r="M49" s="18"/>
    </row>
    <row r="50" spans="1:13" x14ac:dyDescent="0.2">
      <c r="A50" s="4" t="s">
        <v>41</v>
      </c>
      <c r="C50" s="38">
        <f>+'Commodity Prices'!B18</f>
        <v>0</v>
      </c>
      <c r="D50" s="38">
        <f>+'Commodity Prices'!C18</f>
        <v>6.87</v>
      </c>
      <c r="E50" s="38">
        <f>+'Commodity Prices'!D18</f>
        <v>61.74</v>
      </c>
      <c r="F50" s="38">
        <f>+'Commodity Prices'!E18</f>
        <v>932.7</v>
      </c>
      <c r="G50" s="38">
        <f>+'Commodity Prices'!G18</f>
        <v>136.03</v>
      </c>
      <c r="H50" s="38">
        <f>+'Commodity Prices'!F18</f>
        <v>-53.34</v>
      </c>
      <c r="I50" s="38">
        <f>+'Commodity Prices'!H18</f>
        <v>185</v>
      </c>
      <c r="J50" s="38">
        <f>+'Commodity Prices'!I18</f>
        <v>420</v>
      </c>
      <c r="K50" s="38">
        <f>+'Commodity Prices'!J18</f>
        <v>230</v>
      </c>
      <c r="L50" s="38">
        <f>+'Commodity Prices'!K18</f>
        <v>-140</v>
      </c>
      <c r="M50" s="18"/>
    </row>
    <row r="51" spans="1:13" x14ac:dyDescent="0.2">
      <c r="A51" s="4" t="s">
        <v>42</v>
      </c>
      <c r="C51" s="38">
        <f>+'Commodity Prices'!B19</f>
        <v>0</v>
      </c>
      <c r="D51" s="38">
        <f>+'Commodity Prices'!C19</f>
        <v>5.47</v>
      </c>
      <c r="E51" s="38">
        <f>+'Commodity Prices'!D19</f>
        <v>59.06</v>
      </c>
      <c r="F51" s="38">
        <f>+'Commodity Prices'!E19</f>
        <v>944.5</v>
      </c>
      <c r="G51" s="38">
        <f>+'Commodity Prices'!G19</f>
        <v>126.01</v>
      </c>
      <c r="H51" s="38">
        <f>+'Commodity Prices'!F19</f>
        <v>-53.34</v>
      </c>
      <c r="I51" s="38">
        <f>+'Commodity Prices'!H19</f>
        <v>195</v>
      </c>
      <c r="J51" s="38">
        <f>+'Commodity Prices'!I19</f>
        <v>420</v>
      </c>
      <c r="K51" s="38">
        <f>+'Commodity Prices'!J19</f>
        <v>210</v>
      </c>
      <c r="L51" s="38">
        <f>+'Commodity Prices'!K19</f>
        <v>-140</v>
      </c>
    </row>
    <row r="52" spans="1:13" x14ac:dyDescent="0.2">
      <c r="A52" s="4" t="s">
        <v>43</v>
      </c>
      <c r="C52" s="38">
        <f>+'Commodity Prices'!B20</f>
        <v>0</v>
      </c>
      <c r="D52" s="38">
        <f>+'Commodity Prices'!C20</f>
        <v>9.16</v>
      </c>
      <c r="E52" s="38">
        <f>+'Commodity Prices'!D20</f>
        <v>65.81</v>
      </c>
      <c r="F52" s="38">
        <f>+'Commodity Prices'!E20</f>
        <v>875.69</v>
      </c>
      <c r="G52" s="38">
        <f>+'Commodity Prices'!G20</f>
        <v>132.57</v>
      </c>
      <c r="H52" s="38">
        <f>+'Commodity Prices'!F20</f>
        <v>-53.34</v>
      </c>
      <c r="I52" s="38">
        <f>+'Commodity Prices'!H20</f>
        <v>170</v>
      </c>
      <c r="J52" s="38">
        <f>+'Commodity Prices'!I20</f>
        <v>420</v>
      </c>
      <c r="K52" s="38">
        <f>+'Commodity Prices'!J20</f>
        <v>200</v>
      </c>
      <c r="L52" s="38">
        <f>+'Commodity Prices'!K20</f>
        <v>-140</v>
      </c>
    </row>
    <row r="55" spans="1:13" x14ac:dyDescent="0.2">
      <c r="A55" s="12" t="s">
        <v>60</v>
      </c>
    </row>
    <row r="56" spans="1:13" x14ac:dyDescent="0.2">
      <c r="A56" s="4" t="s">
        <v>58</v>
      </c>
      <c r="B56" s="20">
        <f t="shared" ref="B56:B67" si="16">SUM(C56:L56)</f>
        <v>36920.807217289999</v>
      </c>
      <c r="C56" s="20">
        <f t="shared" ref="C56:L56" si="17">+C41*C25</f>
        <v>0</v>
      </c>
      <c r="D56" s="20">
        <f t="shared" si="17"/>
        <v>4067.0386523200004</v>
      </c>
      <c r="E56" s="20">
        <f t="shared" si="17"/>
        <v>20939.283372379999</v>
      </c>
      <c r="F56" s="20">
        <f t="shared" si="17"/>
        <v>9275.0702276600005</v>
      </c>
      <c r="G56" s="20">
        <f t="shared" si="17"/>
        <v>1386.8613174500001</v>
      </c>
      <c r="H56" s="20">
        <f t="shared" si="17"/>
        <v>-4652.8930055999999</v>
      </c>
      <c r="I56" s="20">
        <f t="shared" si="17"/>
        <v>2726.03293308</v>
      </c>
      <c r="J56" s="20">
        <f t="shared" si="17"/>
        <v>2474.0471000000002</v>
      </c>
      <c r="K56" s="20">
        <f t="shared" si="17"/>
        <v>884.34023999999999</v>
      </c>
      <c r="L56" s="20">
        <f t="shared" si="17"/>
        <v>-178.97362000000001</v>
      </c>
    </row>
    <row r="57" spans="1:13" x14ac:dyDescent="0.2">
      <c r="A57" s="4" t="s">
        <v>35</v>
      </c>
      <c r="B57" s="20">
        <f t="shared" si="16"/>
        <v>43273.553308549999</v>
      </c>
      <c r="C57" s="20">
        <f t="shared" ref="C57:L57" si="18">+C42*C26</f>
        <v>0</v>
      </c>
      <c r="D57" s="20">
        <f t="shared" si="18"/>
        <v>5859.6018918800009</v>
      </c>
      <c r="E57" s="20">
        <f t="shared" si="18"/>
        <v>25179.597727329998</v>
      </c>
      <c r="F57" s="20">
        <f t="shared" si="18"/>
        <v>9440.4234542800004</v>
      </c>
      <c r="G57" s="20">
        <f t="shared" si="18"/>
        <v>1858.2449535000001</v>
      </c>
      <c r="H57" s="20">
        <f t="shared" si="18"/>
        <v>-5056.4714999400003</v>
      </c>
      <c r="I57" s="20">
        <f t="shared" si="18"/>
        <v>2602.5215914999999</v>
      </c>
      <c r="J57" s="20">
        <f t="shared" si="18"/>
        <v>2674.7182499999999</v>
      </c>
      <c r="K57" s="20">
        <f t="shared" si="18"/>
        <v>1028.4188000000001</v>
      </c>
      <c r="L57" s="20">
        <f t="shared" si="18"/>
        <v>-313.50185999999997</v>
      </c>
    </row>
    <row r="58" spans="1:13" x14ac:dyDescent="0.2">
      <c r="A58" s="4" t="s">
        <v>36</v>
      </c>
      <c r="B58" s="20">
        <f t="shared" si="16"/>
        <v>42352.470382930005</v>
      </c>
      <c r="C58" s="20">
        <f t="shared" ref="C58:L58" si="19">+C43*C27</f>
        <v>0</v>
      </c>
      <c r="D58" s="20">
        <f t="shared" si="19"/>
        <v>6265.5718730799999</v>
      </c>
      <c r="E58" s="20">
        <f t="shared" si="19"/>
        <v>26622.589111199999</v>
      </c>
      <c r="F58" s="20">
        <f t="shared" si="19"/>
        <v>7076.7754637999997</v>
      </c>
      <c r="G58" s="20">
        <f t="shared" si="19"/>
        <v>1846.25147457</v>
      </c>
      <c r="H58" s="20">
        <f t="shared" si="19"/>
        <v>-5377.41651972</v>
      </c>
      <c r="I58" s="20">
        <f t="shared" si="19"/>
        <v>2304.3190399999999</v>
      </c>
      <c r="J58" s="20">
        <f t="shared" si="19"/>
        <v>2505.5999200000001</v>
      </c>
      <c r="K58" s="20">
        <f t="shared" si="19"/>
        <v>1218.09636</v>
      </c>
      <c r="L58" s="20">
        <f t="shared" si="19"/>
        <v>-109.31634000000001</v>
      </c>
    </row>
    <row r="59" spans="1:13" x14ac:dyDescent="0.2">
      <c r="A59" s="4" t="s">
        <v>37</v>
      </c>
      <c r="B59" s="20">
        <f t="shared" si="16"/>
        <v>39548.461831039996</v>
      </c>
      <c r="C59" s="20">
        <f t="shared" ref="C59:L59" si="20">+C44*C28</f>
        <v>0</v>
      </c>
      <c r="D59" s="20">
        <f t="shared" si="20"/>
        <v>5952.3505776000002</v>
      </c>
      <c r="E59" s="20">
        <f t="shared" si="20"/>
        <v>24304.124247520002</v>
      </c>
      <c r="F59" s="20">
        <f t="shared" si="20"/>
        <v>7693.9949820800002</v>
      </c>
      <c r="G59" s="20">
        <f t="shared" si="20"/>
        <v>1857.9388150400002</v>
      </c>
      <c r="H59" s="20">
        <f t="shared" si="20"/>
        <v>-5276.7491112000007</v>
      </c>
      <c r="I59" s="20">
        <f t="shared" si="20"/>
        <v>2254.9862400000002</v>
      </c>
      <c r="J59" s="20">
        <f t="shared" si="20"/>
        <v>2116.75992</v>
      </c>
      <c r="K59" s="20">
        <f t="shared" si="20"/>
        <v>822.13040000000001</v>
      </c>
      <c r="L59" s="20">
        <f t="shared" si="20"/>
        <v>-177.07424000000003</v>
      </c>
    </row>
    <row r="60" spans="1:13" x14ac:dyDescent="0.2">
      <c r="A60" s="4" t="s">
        <v>45</v>
      </c>
      <c r="B60" s="20">
        <f t="shared" si="16"/>
        <v>40508.999024549994</v>
      </c>
      <c r="C60" s="20">
        <f t="shared" ref="C60:L60" si="21">+C45*C29</f>
        <v>0</v>
      </c>
      <c r="D60" s="20">
        <f t="shared" si="21"/>
        <v>6089.15906025</v>
      </c>
      <c r="E60" s="20">
        <f t="shared" si="21"/>
        <v>25630.637759999998</v>
      </c>
      <c r="F60" s="20">
        <f t="shared" si="21"/>
        <v>7557.1438626600002</v>
      </c>
      <c r="G60" s="20">
        <f t="shared" si="21"/>
        <v>1427.3609065800001</v>
      </c>
      <c r="H60" s="20">
        <f t="shared" si="21"/>
        <v>-5492.9660549400005</v>
      </c>
      <c r="I60" s="20">
        <f t="shared" si="21"/>
        <v>2425.3656000000001</v>
      </c>
      <c r="J60" s="20">
        <f t="shared" si="21"/>
        <v>2221.9478400000003</v>
      </c>
      <c r="K60" s="20">
        <f t="shared" si="21"/>
        <v>1061.09745</v>
      </c>
      <c r="L60" s="20">
        <f t="shared" si="21"/>
        <v>-410.74740000000003</v>
      </c>
    </row>
    <row r="61" spans="1:13" x14ac:dyDescent="0.2">
      <c r="A61" s="4" t="s">
        <v>38</v>
      </c>
      <c r="B61" s="20">
        <f t="shared" si="16"/>
        <v>19446.110683920004</v>
      </c>
      <c r="C61" s="20">
        <f t="shared" ref="C61:L61" si="22">+C46*C30</f>
        <v>0</v>
      </c>
      <c r="D61" s="20">
        <f t="shared" si="22"/>
        <v>81.075850559999992</v>
      </c>
      <c r="E61" s="20">
        <f t="shared" si="22"/>
        <v>13334.015040640001</v>
      </c>
      <c r="F61" s="20">
        <f t="shared" si="22"/>
        <v>5473.762813280001</v>
      </c>
      <c r="G61" s="20">
        <f t="shared" si="22"/>
        <v>1303.60603464</v>
      </c>
      <c r="H61" s="20">
        <f t="shared" si="22"/>
        <v>-4737.5192625600002</v>
      </c>
      <c r="I61" s="20">
        <f t="shared" si="22"/>
        <v>2020.0712073599998</v>
      </c>
      <c r="J61" s="20">
        <f t="shared" si="22"/>
        <v>1725.1328000000001</v>
      </c>
      <c r="K61" s="20">
        <f t="shared" si="22"/>
        <v>396.91532000000001</v>
      </c>
      <c r="L61" s="20">
        <f t="shared" si="22"/>
        <v>-150.94911999999999</v>
      </c>
    </row>
    <row r="62" spans="1:13" x14ac:dyDescent="0.2">
      <c r="A62" s="4" t="s">
        <v>39</v>
      </c>
      <c r="B62" s="20">
        <f t="shared" si="16"/>
        <v>20213.221870800004</v>
      </c>
      <c r="C62" s="20">
        <f t="shared" ref="C62:L62" si="23">+C47*C31</f>
        <v>0</v>
      </c>
      <c r="D62" s="20">
        <f t="shared" si="23"/>
        <v>-1235.44655328</v>
      </c>
      <c r="E62" s="20">
        <f t="shared" si="23"/>
        <v>13094.796327360002</v>
      </c>
      <c r="F62" s="20">
        <f t="shared" si="23"/>
        <v>7171.6845052799999</v>
      </c>
      <c r="G62" s="20">
        <f t="shared" si="23"/>
        <v>1497.3582280800001</v>
      </c>
      <c r="H62" s="20">
        <f t="shared" si="23"/>
        <v>-4182.81740016</v>
      </c>
      <c r="I62" s="20">
        <f t="shared" si="23"/>
        <v>2319.9736435199998</v>
      </c>
      <c r="J62" s="20">
        <f t="shared" si="23"/>
        <v>1590.3408000000002</v>
      </c>
      <c r="K62" s="20">
        <f t="shared" si="23"/>
        <v>681.38991999999996</v>
      </c>
      <c r="L62" s="20">
        <f t="shared" si="23"/>
        <v>-724.05760000000009</v>
      </c>
    </row>
    <row r="63" spans="1:13" x14ac:dyDescent="0.2">
      <c r="A63" s="4" t="s">
        <v>40</v>
      </c>
      <c r="B63" s="20">
        <f t="shared" si="16"/>
        <v>24741.720792099997</v>
      </c>
      <c r="C63" s="20">
        <f t="shared" ref="C63:L63" si="24">+C48*C32</f>
        <v>0</v>
      </c>
      <c r="D63" s="20">
        <f t="shared" si="24"/>
        <v>415.99871352000002</v>
      </c>
      <c r="E63" s="20">
        <f t="shared" si="24"/>
        <v>16118.281404159998</v>
      </c>
      <c r="F63" s="20">
        <f t="shared" si="24"/>
        <v>7601.1281560500001</v>
      </c>
      <c r="G63" s="20">
        <f t="shared" si="24"/>
        <v>1354.68334144</v>
      </c>
      <c r="H63" s="20">
        <f t="shared" si="24"/>
        <v>-5165.0990500199996</v>
      </c>
      <c r="I63" s="20">
        <f t="shared" si="24"/>
        <v>2611.5400369499998</v>
      </c>
      <c r="J63" s="20">
        <f t="shared" si="24"/>
        <v>1157.702</v>
      </c>
      <c r="K63" s="20">
        <f t="shared" si="24"/>
        <v>647.48618999999985</v>
      </c>
      <c r="L63" s="20">
        <f t="shared" si="24"/>
        <v>0</v>
      </c>
    </row>
    <row r="64" spans="1:13" x14ac:dyDescent="0.2">
      <c r="A64" s="4" t="s">
        <v>10</v>
      </c>
      <c r="B64" s="20">
        <f t="shared" si="16"/>
        <v>28750.935865780004</v>
      </c>
      <c r="C64" s="20">
        <f t="shared" ref="C64:L64" si="25">+C49*C33</f>
        <v>0</v>
      </c>
      <c r="D64" s="20">
        <f t="shared" si="25"/>
        <v>477.43889289999993</v>
      </c>
      <c r="E64" s="20">
        <f t="shared" si="25"/>
        <v>18483.040871720001</v>
      </c>
      <c r="F64" s="20">
        <f t="shared" si="25"/>
        <v>8098.40914204</v>
      </c>
      <c r="G64" s="20">
        <f t="shared" si="25"/>
        <v>1536.2571850000002</v>
      </c>
      <c r="H64" s="20">
        <f t="shared" si="25"/>
        <v>-5431.7659258800004</v>
      </c>
      <c r="I64" s="20">
        <f t="shared" si="25"/>
        <v>3459.4109200000003</v>
      </c>
      <c r="J64" s="20">
        <f t="shared" si="25"/>
        <v>1723.7203199999997</v>
      </c>
      <c r="K64" s="20">
        <f t="shared" si="25"/>
        <v>1002.9384600000001</v>
      </c>
      <c r="L64" s="20">
        <f t="shared" si="25"/>
        <v>-598.51400000000001</v>
      </c>
    </row>
    <row r="65" spans="1:13" x14ac:dyDescent="0.2">
      <c r="A65" s="4" t="s">
        <v>41</v>
      </c>
      <c r="B65" s="20">
        <f t="shared" si="16"/>
        <v>28145.001250079997</v>
      </c>
      <c r="C65" s="20">
        <f t="shared" ref="C65:L65" si="26">+C50*C34</f>
        <v>0</v>
      </c>
      <c r="D65" s="20">
        <f t="shared" si="26"/>
        <v>2035.9741013999999</v>
      </c>
      <c r="E65" s="20">
        <f t="shared" si="26"/>
        <v>16350.797816640003</v>
      </c>
      <c r="F65" s="20">
        <f t="shared" si="26"/>
        <v>8123.4327276000004</v>
      </c>
      <c r="G65" s="20">
        <f t="shared" si="26"/>
        <v>1331.5503315599999</v>
      </c>
      <c r="H65" s="20">
        <f t="shared" si="26"/>
        <v>-4493.5785871200005</v>
      </c>
      <c r="I65" s="20">
        <f t="shared" si="26"/>
        <v>3379.3972199999994</v>
      </c>
      <c r="J65" s="20">
        <f t="shared" si="26"/>
        <v>1294.8768</v>
      </c>
      <c r="K65" s="20">
        <f t="shared" si="26"/>
        <v>975.01139999999987</v>
      </c>
      <c r="L65" s="20">
        <f t="shared" si="26"/>
        <v>-852.46055999999999</v>
      </c>
    </row>
    <row r="66" spans="1:13" x14ac:dyDescent="0.2">
      <c r="A66" s="4" t="s">
        <v>42</v>
      </c>
      <c r="B66" s="20">
        <f t="shared" si="16"/>
        <v>33002.3991857</v>
      </c>
      <c r="C66" s="20">
        <f t="shared" ref="C66:L66" si="27">+C51*C35</f>
        <v>0</v>
      </c>
      <c r="D66" s="20">
        <f t="shared" si="27"/>
        <v>1941.2693430899999</v>
      </c>
      <c r="E66" s="20">
        <f t="shared" si="27"/>
        <v>18051.97727186</v>
      </c>
      <c r="F66" s="20">
        <f t="shared" si="27"/>
        <v>10745.115583999999</v>
      </c>
      <c r="G66" s="20">
        <f t="shared" si="27"/>
        <v>1220.76106411</v>
      </c>
      <c r="H66" s="20">
        <f t="shared" si="27"/>
        <v>-4864.0668123599999</v>
      </c>
      <c r="I66" s="20">
        <f t="shared" si="27"/>
        <v>4731.4735650000002</v>
      </c>
      <c r="J66" s="20">
        <f t="shared" si="27"/>
        <v>1045.21704</v>
      </c>
      <c r="K66" s="20">
        <f t="shared" si="27"/>
        <v>802.57736999999997</v>
      </c>
      <c r="L66" s="20">
        <f t="shared" si="27"/>
        <v>-671.92523999999992</v>
      </c>
    </row>
    <row r="67" spans="1:13" ht="15" x14ac:dyDescent="0.35">
      <c r="A67" s="4" t="s">
        <v>43</v>
      </c>
      <c r="B67" s="27">
        <f t="shared" si="16"/>
        <v>35931.893471939991</v>
      </c>
      <c r="C67" s="27">
        <f t="shared" ref="C67:L67" si="28">+C52*C36</f>
        <v>0</v>
      </c>
      <c r="D67" s="27">
        <f t="shared" si="28"/>
        <v>3070.4592418399998</v>
      </c>
      <c r="E67" s="27">
        <f t="shared" si="28"/>
        <v>21129.548257599999</v>
      </c>
      <c r="F67" s="27">
        <f t="shared" si="28"/>
        <v>10008.573631330002</v>
      </c>
      <c r="G67" s="27">
        <f t="shared" si="28"/>
        <v>1330.1285008499999</v>
      </c>
      <c r="H67" s="27">
        <f t="shared" si="28"/>
        <v>-4728.2150596800002</v>
      </c>
      <c r="I67" s="27">
        <f t="shared" si="28"/>
        <v>3530.0136200000002</v>
      </c>
      <c r="J67" s="27">
        <f t="shared" si="28"/>
        <v>1245.88716</v>
      </c>
      <c r="K67" s="27">
        <f t="shared" si="28"/>
        <v>785.22299999999996</v>
      </c>
      <c r="L67" s="27">
        <f t="shared" si="28"/>
        <v>-439.72487999999998</v>
      </c>
    </row>
    <row r="68" spans="1:13" ht="15" x14ac:dyDescent="0.35">
      <c r="B68" s="39">
        <f t="shared" ref="B68" si="29">SUM(B56:B67)</f>
        <v>392835.57488468004</v>
      </c>
      <c r="C68" s="39">
        <f t="shared" ref="C68" si="30">SUM(C56:C67)</f>
        <v>0</v>
      </c>
      <c r="D68" s="39">
        <f>SUM(D56:D67)</f>
        <v>35020.49164516</v>
      </c>
      <c r="E68" s="39">
        <f t="shared" ref="E68:L68" si="31">SUM(E56:E67)</f>
        <v>239238.68920840998</v>
      </c>
      <c r="F68" s="39">
        <f t="shared" si="31"/>
        <v>98265.51455005999</v>
      </c>
      <c r="G68" s="39">
        <f t="shared" si="31"/>
        <v>17951.002152820001</v>
      </c>
      <c r="H68" s="39">
        <f t="shared" si="31"/>
        <v>-59459.558289179993</v>
      </c>
      <c r="I68" s="39">
        <f t="shared" si="31"/>
        <v>34365.105617409994</v>
      </c>
      <c r="J68" s="39">
        <f t="shared" si="31"/>
        <v>21775.949949999998</v>
      </c>
      <c r="K68" s="39">
        <f t="shared" si="31"/>
        <v>10305.62491</v>
      </c>
      <c r="L68" s="39">
        <f t="shared" si="31"/>
        <v>-4627.2448599999998</v>
      </c>
    </row>
    <row r="70" spans="1:13" s="6" customFormat="1" ht="15" x14ac:dyDescent="0.35">
      <c r="A70" s="6" t="s">
        <v>114</v>
      </c>
      <c r="C70" s="34" t="e">
        <f t="shared" ref="C70:L70" si="32">+C68/C37</f>
        <v>#DIV/0!</v>
      </c>
      <c r="D70" s="34">
        <f t="shared" si="32"/>
        <v>7.8135699958467519</v>
      </c>
      <c r="E70" s="34">
        <f t="shared" si="32"/>
        <v>87.142685366154979</v>
      </c>
      <c r="F70" s="34">
        <f t="shared" si="32"/>
        <v>1048.7303822603026</v>
      </c>
      <c r="G70" s="34">
        <f t="shared" si="32"/>
        <v>153.23088753972431</v>
      </c>
      <c r="H70" s="34">
        <f t="shared" si="32"/>
        <v>-53.339999999999996</v>
      </c>
      <c r="I70" s="34">
        <f t="shared" si="32"/>
        <v>173.51066803275074</v>
      </c>
      <c r="J70" s="34">
        <f t="shared" si="32"/>
        <v>591.54519669955266</v>
      </c>
      <c r="K70" s="34">
        <f t="shared" si="32"/>
        <v>275.07864917213823</v>
      </c>
      <c r="L70" s="34">
        <f t="shared" si="32"/>
        <v>-140</v>
      </c>
      <c r="M70" s="263"/>
    </row>
    <row r="72" spans="1:13" x14ac:dyDescent="0.2">
      <c r="I72" s="224"/>
    </row>
    <row r="73" spans="1:13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3" x14ac:dyDescent="0.2">
      <c r="I74" s="17"/>
    </row>
    <row r="76" spans="1:13" x14ac:dyDescent="0.2">
      <c r="B76" s="2"/>
    </row>
    <row r="77" spans="1:13" x14ac:dyDescent="0.2">
      <c r="B77" s="2"/>
    </row>
    <row r="78" spans="1:13" x14ac:dyDescent="0.2">
      <c r="B78" s="41"/>
    </row>
    <row r="79" spans="1:13" x14ac:dyDescent="0.2">
      <c r="B79" s="41"/>
    </row>
    <row r="80" spans="1:13" x14ac:dyDescent="0.2">
      <c r="B80" s="41"/>
    </row>
    <row r="81" spans="2:2" x14ac:dyDescent="0.2">
      <c r="B81" s="41"/>
    </row>
    <row r="82" spans="2:2" x14ac:dyDescent="0.2">
      <c r="B82" s="41"/>
    </row>
    <row r="83" spans="2:2" x14ac:dyDescent="0.2">
      <c r="B83" s="41"/>
    </row>
    <row r="84" spans="2:2" x14ac:dyDescent="0.2">
      <c r="B84" s="41"/>
    </row>
    <row r="85" spans="2:2" x14ac:dyDescent="0.2">
      <c r="B85" s="41"/>
    </row>
    <row r="86" spans="2:2" x14ac:dyDescent="0.2">
      <c r="B86" s="41"/>
    </row>
  </sheetData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8"/>
  <sheetViews>
    <sheetView topLeftCell="A61" workbookViewId="0">
      <selection activeCell="D11" sqref="D11"/>
    </sheetView>
  </sheetViews>
  <sheetFormatPr defaultRowHeight="12.75" x14ac:dyDescent="0.2"/>
  <cols>
    <col min="2" max="2" width="9.7109375" bestFit="1" customWidth="1"/>
    <col min="3" max="3" width="9.7109375" customWidth="1"/>
    <col min="4" max="4" width="11.28515625" bestFit="1" customWidth="1"/>
    <col min="5" max="5" width="8.7109375" bestFit="1" customWidth="1"/>
    <col min="6" max="6" width="10.28515625" bestFit="1" customWidth="1"/>
    <col min="7" max="7" width="9.28515625" bestFit="1" customWidth="1"/>
    <col min="8" max="8" width="10.7109375" bestFit="1" customWidth="1"/>
    <col min="9" max="11" width="8.7109375" bestFit="1" customWidth="1"/>
    <col min="12" max="12" width="9.28515625" bestFit="1" customWidth="1"/>
  </cols>
  <sheetData>
    <row r="1" spans="1:13" ht="26.25" x14ac:dyDescent="0.4">
      <c r="A1" s="7" t="s">
        <v>18</v>
      </c>
    </row>
    <row r="2" spans="1:13" ht="18" x14ac:dyDescent="0.25">
      <c r="A2" s="5" t="s">
        <v>93</v>
      </c>
    </row>
    <row r="3" spans="1:13" x14ac:dyDescent="0.2">
      <c r="A3" s="6" t="s">
        <v>91</v>
      </c>
    </row>
    <row r="5" spans="1:13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13" x14ac:dyDescent="0.2">
      <c r="C6" s="2"/>
      <c r="D6" s="41" t="s">
        <v>46</v>
      </c>
      <c r="E6" s="41"/>
      <c r="F6" s="41" t="s">
        <v>1</v>
      </c>
      <c r="G6" s="41"/>
      <c r="H6" s="41" t="s">
        <v>47</v>
      </c>
      <c r="I6" s="41"/>
      <c r="J6" s="41" t="s">
        <v>2</v>
      </c>
      <c r="K6" s="41" t="s">
        <v>2</v>
      </c>
      <c r="L6" s="41" t="s">
        <v>48</v>
      </c>
    </row>
    <row r="7" spans="1:13" x14ac:dyDescent="0.2">
      <c r="B7" s="10" t="s">
        <v>22</v>
      </c>
      <c r="C7" s="10" t="s">
        <v>96</v>
      </c>
      <c r="D7" s="42" t="s">
        <v>49</v>
      </c>
      <c r="E7" s="42" t="s">
        <v>50</v>
      </c>
      <c r="F7" s="42" t="s">
        <v>51</v>
      </c>
      <c r="G7" s="42" t="s">
        <v>4</v>
      </c>
      <c r="H7" s="42" t="s">
        <v>52</v>
      </c>
      <c r="I7" s="42" t="s">
        <v>3</v>
      </c>
      <c r="J7" s="42" t="s">
        <v>53</v>
      </c>
      <c r="K7" s="42" t="s">
        <v>54</v>
      </c>
      <c r="L7" s="42" t="s">
        <v>55</v>
      </c>
      <c r="M7" s="61" t="s">
        <v>90</v>
      </c>
    </row>
    <row r="8" spans="1:13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13" x14ac:dyDescent="0.2">
      <c r="A10" s="4" t="s">
        <v>58</v>
      </c>
      <c r="B10" s="65">
        <f t="shared" ref="B10:B21" si="0">SUM(C10:M10)</f>
        <v>1</v>
      </c>
      <c r="C10" s="60">
        <f>+'Reg. Res''l - SS Mix &amp; Prices'!C10</f>
        <v>0</v>
      </c>
      <c r="D10" s="60">
        <f>+'Reg. Res''l - SS Mix &amp; Prices'!D10</f>
        <v>0.48160000000000003</v>
      </c>
      <c r="E10" s="60">
        <f>+'Reg. Res''l - SS Mix &amp; Prices'!E10</f>
        <v>0.2437</v>
      </c>
      <c r="F10" s="60">
        <f>+'Reg. Res''l - SS Mix &amp; Prices'!F10</f>
        <v>8.6E-3</v>
      </c>
      <c r="G10" s="60">
        <f>+'Reg. Res''l - SS Mix &amp; Prices'!H10</f>
        <v>0.11600000000000001</v>
      </c>
      <c r="H10" s="60">
        <f>+'Reg. Res''l - SS Mix &amp; Prices'!G10</f>
        <v>1.15E-2</v>
      </c>
      <c r="I10" s="60">
        <f>+'Reg. Res''l - SS Mix &amp; Prices'!I10</f>
        <v>2.0199999999999999E-2</v>
      </c>
      <c r="J10" s="60">
        <f>+'Reg. Res''l - SS Mix &amp; Prices'!J10</f>
        <v>4.7000000000000002E-3</v>
      </c>
      <c r="K10" s="60">
        <f>+'Reg. Res''l - SS Mix &amp; Prices'!K10</f>
        <v>4.1999999999999997E-3</v>
      </c>
      <c r="L10" s="60">
        <f>+'Reg. Res''l - SS Mix &amp; Prices'!L10</f>
        <v>1.6999999999999999E-3</v>
      </c>
      <c r="M10" s="60">
        <f>+'Reg. Res''l - SS Mix &amp; Prices'!M10</f>
        <v>0.1077999999999999</v>
      </c>
    </row>
    <row r="11" spans="1:13" x14ac:dyDescent="0.2">
      <c r="A11" s="4" t="s">
        <v>35</v>
      </c>
      <c r="B11" s="65">
        <f t="shared" si="0"/>
        <v>1</v>
      </c>
      <c r="C11" s="60">
        <f>+'Reg. Res''l - SS Mix &amp; Prices'!C11</f>
        <v>0</v>
      </c>
      <c r="D11" s="60">
        <f>+'Reg. Res''l - SS Mix &amp; Prices'!D11</f>
        <v>0.4642</v>
      </c>
      <c r="E11" s="60">
        <f>+'Reg. Res''l - SS Mix &amp; Prices'!E11</f>
        <v>0.25669999999999998</v>
      </c>
      <c r="F11" s="60">
        <f>+'Reg. Res''l - SS Mix &amp; Prices'!F11</f>
        <v>9.1000000000000004E-3</v>
      </c>
      <c r="G11" s="60">
        <f>+'Reg. Res''l - SS Mix &amp; Prices'!H11</f>
        <v>0.1143</v>
      </c>
      <c r="H11" s="60">
        <f>+'Reg. Res''l - SS Mix &amp; Prices'!G11</f>
        <v>1.2999999999999999E-2</v>
      </c>
      <c r="I11" s="60">
        <f>+'Reg. Res''l - SS Mix &amp; Prices'!I11</f>
        <v>1.9400000000000001E-2</v>
      </c>
      <c r="J11" s="60">
        <f>+'Reg. Res''l - SS Mix &amp; Prices'!J11</f>
        <v>4.3E-3</v>
      </c>
      <c r="K11" s="60">
        <f>+'Reg. Res''l - SS Mix &amp; Prices'!K11</f>
        <v>4.0000000000000001E-3</v>
      </c>
      <c r="L11" s="60">
        <f>+'Reg. Res''l - SS Mix &amp; Prices'!L11</f>
        <v>2.7000000000000001E-3</v>
      </c>
      <c r="M11" s="60">
        <f>+'Reg. Res''l - SS Mix &amp; Prices'!M11</f>
        <v>0.11230000000000007</v>
      </c>
    </row>
    <row r="12" spans="1:13" x14ac:dyDescent="0.2">
      <c r="A12" s="4" t="s">
        <v>36</v>
      </c>
      <c r="B12" s="65">
        <f t="shared" si="0"/>
        <v>1</v>
      </c>
      <c r="C12" s="60">
        <f>+'Reg. Res''l - SS Mix &amp; Prices'!C12</f>
        <v>0</v>
      </c>
      <c r="D12" s="60">
        <f>+'Reg. Res''l - SS Mix &amp; Prices'!D12</f>
        <v>0.47889999999999999</v>
      </c>
      <c r="E12" s="60">
        <f>+'Reg. Res''l - SS Mix &amp; Prices'!E12</f>
        <v>0.25069999999999998</v>
      </c>
      <c r="F12" s="60">
        <f>+'Reg. Res''l - SS Mix &amp; Prices'!F12</f>
        <v>8.3999999999999995E-3</v>
      </c>
      <c r="G12" s="60">
        <f>+'Reg. Res''l - SS Mix &amp; Prices'!H12</f>
        <v>0.1162</v>
      </c>
      <c r="H12" s="60">
        <f>+'Reg. Res''l - SS Mix &amp; Prices'!G12</f>
        <v>1.23E-2</v>
      </c>
      <c r="I12" s="60">
        <f>+'Reg. Res''l - SS Mix &amp; Prices'!I12</f>
        <v>1.66E-2</v>
      </c>
      <c r="J12" s="60">
        <f>+'Reg. Res''l - SS Mix &amp; Prices'!J12</f>
        <v>3.8E-3</v>
      </c>
      <c r="K12" s="60">
        <f>+'Reg. Res''l - SS Mix &amp; Prices'!K12</f>
        <v>3.8999999999999998E-3</v>
      </c>
      <c r="L12" s="60">
        <f>+'Reg. Res''l - SS Mix &amp; Prices'!L12</f>
        <v>8.9999999999999998E-4</v>
      </c>
      <c r="M12" s="60">
        <f>+'Reg. Res''l - SS Mix &amp; Prices'!M12</f>
        <v>0.10830000000000006</v>
      </c>
    </row>
    <row r="13" spans="1:13" x14ac:dyDescent="0.2">
      <c r="A13" s="4" t="s">
        <v>37</v>
      </c>
      <c r="B13" s="65">
        <f t="shared" si="0"/>
        <v>1</v>
      </c>
      <c r="C13" s="60">
        <f>+'Reg. Res''l - SS Mix &amp; Prices'!C13</f>
        <v>0</v>
      </c>
      <c r="D13" s="60">
        <f>+'Reg. Res''l - SS Mix &amp; Prices'!D13</f>
        <v>0.52290000000000003</v>
      </c>
      <c r="E13" s="60">
        <f>+'Reg. Res''l - SS Mix &amp; Prices'!E13</f>
        <v>0.22420000000000001</v>
      </c>
      <c r="F13" s="60">
        <f>+'Reg. Res''l - SS Mix &amp; Prices'!F13</f>
        <v>7.6E-3</v>
      </c>
      <c r="G13" s="60">
        <f>+'Reg. Res''l - SS Mix &amp; Prices'!H13</f>
        <v>0.1095</v>
      </c>
      <c r="H13" s="60">
        <f>+'Reg. Res''l - SS Mix &amp; Prices'!G13</f>
        <v>1.21E-2</v>
      </c>
      <c r="I13" s="60">
        <f>+'Reg. Res''l - SS Mix &amp; Prices'!I13</f>
        <v>1.5599999999999999E-2</v>
      </c>
      <c r="J13" s="60">
        <f>+'Reg. Res''l - SS Mix &amp; Prices'!J13</f>
        <v>3.3E-3</v>
      </c>
      <c r="K13" s="60">
        <f>+'Reg. Res''l - SS Mix &amp; Prices'!K13</f>
        <v>2.5999999999999999E-3</v>
      </c>
      <c r="L13" s="60">
        <f>+'Reg. Res''l - SS Mix &amp; Prices'!L13</f>
        <v>1.4E-3</v>
      </c>
      <c r="M13" s="60">
        <f>+'Reg. Res''l - SS Mix &amp; Prices'!M13</f>
        <v>0.10079999999999989</v>
      </c>
    </row>
    <row r="14" spans="1:13" x14ac:dyDescent="0.2">
      <c r="A14" s="4" t="s">
        <v>45</v>
      </c>
      <c r="B14" s="65">
        <f t="shared" si="0"/>
        <v>1</v>
      </c>
      <c r="C14" s="60">
        <f>+'Reg. Res''l - SS Mix &amp; Prices'!C14</f>
        <v>0</v>
      </c>
      <c r="D14" s="60">
        <f>+'Reg. Res''l - SS Mix &amp; Prices'!D14</f>
        <v>0.52990000000000004</v>
      </c>
      <c r="E14" s="60">
        <f>+'Reg. Res''l - SS Mix &amp; Prices'!E14</f>
        <v>0.23039999999999999</v>
      </c>
      <c r="F14" s="60">
        <f>+'Reg. Res''l - SS Mix &amp; Prices'!F14</f>
        <v>6.7000000000000002E-3</v>
      </c>
      <c r="G14" s="60">
        <f>+'Reg. Res''l - SS Mix &amp; Prices'!H14</f>
        <v>0.1053</v>
      </c>
      <c r="H14" s="60">
        <f>+'Reg. Res''l - SS Mix &amp; Prices'!G14</f>
        <v>9.7999999999999997E-3</v>
      </c>
      <c r="I14" s="60">
        <f>+'Reg. Res''l - SS Mix &amp; Prices'!I14</f>
        <v>1.55E-2</v>
      </c>
      <c r="J14" s="60">
        <f>+'Reg. Res''l - SS Mix &amp; Prices'!J14</f>
        <v>3.2000000000000002E-3</v>
      </c>
      <c r="K14" s="60">
        <f>+'Reg. Res''l - SS Mix &amp; Prices'!K14</f>
        <v>3.0999999999999999E-3</v>
      </c>
      <c r="L14" s="60">
        <f>+'Reg. Res''l - SS Mix &amp; Prices'!L14</f>
        <v>3.0000000000000001E-3</v>
      </c>
      <c r="M14" s="60">
        <f>+'Reg. Res''l - SS Mix &amp; Prices'!M14</f>
        <v>9.3099999999999961E-2</v>
      </c>
    </row>
    <row r="15" spans="1:13" x14ac:dyDescent="0.2">
      <c r="A15" s="4" t="s">
        <v>38</v>
      </c>
      <c r="B15" s="65">
        <f t="shared" si="0"/>
        <v>1</v>
      </c>
      <c r="C15" s="60">
        <f>+'Reg. Res''l - SS Mix &amp; Prices'!C15</f>
        <v>0</v>
      </c>
      <c r="D15" s="60">
        <f>+'Reg. Res''l - SS Mix &amp; Prices'!D15</f>
        <v>0.50129999999999997</v>
      </c>
      <c r="E15" s="60">
        <f>+'Reg. Res''l - SS Mix &amp; Prices'!E15</f>
        <v>0.22239999999999999</v>
      </c>
      <c r="F15" s="60">
        <f>+'Reg. Res''l - SS Mix &amp; Prices'!F15</f>
        <v>8.2000000000000007E-3</v>
      </c>
      <c r="G15" s="60">
        <f>+'Reg. Res''l - SS Mix &amp; Prices'!H15</f>
        <v>0.1318</v>
      </c>
      <c r="H15" s="60">
        <f>+'Reg. Res''l - SS Mix &amp; Prices'!G15</f>
        <v>1.26E-2</v>
      </c>
      <c r="I15" s="60">
        <f>+'Reg. Res''l - SS Mix &amp; Prices'!I15</f>
        <v>1.7399999999999999E-2</v>
      </c>
      <c r="J15" s="60">
        <f>+'Reg. Res''l - SS Mix &amp; Prices'!J15</f>
        <v>4.0000000000000001E-3</v>
      </c>
      <c r="K15" s="60">
        <f>+'Reg. Res''l - SS Mix &amp; Prices'!K15</f>
        <v>1.9E-3</v>
      </c>
      <c r="L15" s="60">
        <f>+'Reg. Res''l - SS Mix &amp; Prices'!L15</f>
        <v>1.6000000000000001E-3</v>
      </c>
      <c r="M15" s="60">
        <f>+'Reg. Res''l - SS Mix &amp; Prices'!M15</f>
        <v>9.8799999999999999E-2</v>
      </c>
    </row>
    <row r="16" spans="1:13" x14ac:dyDescent="0.2">
      <c r="A16" s="4" t="s">
        <v>39</v>
      </c>
      <c r="B16" s="65">
        <f t="shared" si="0"/>
        <v>1</v>
      </c>
      <c r="C16" s="60">
        <f>+'Reg. Res''l - SS Mix &amp; Prices'!C16</f>
        <v>0</v>
      </c>
      <c r="D16" s="60">
        <f>+'Reg. Res''l - SS Mix &amp; Prices'!D16</f>
        <v>0.4486</v>
      </c>
      <c r="E16" s="60">
        <f>+'Reg. Res''l - SS Mix &amp; Prices'!E16</f>
        <v>0.2661</v>
      </c>
      <c r="F16" s="60">
        <f>+'Reg. Res''l - SS Mix &amp; Prices'!F16</f>
        <v>1.01E-2</v>
      </c>
      <c r="G16" s="60">
        <f>+'Reg. Res''l - SS Mix &amp; Prices'!H16</f>
        <v>0.12130000000000001</v>
      </c>
      <c r="H16" s="60">
        <f>+'Reg. Res''l - SS Mix &amp; Prices'!G16</f>
        <v>1.43E-2</v>
      </c>
      <c r="I16" s="60">
        <f>+'Reg. Res''l - SS Mix &amp; Prices'!I16</f>
        <v>2.0799999999999999E-2</v>
      </c>
      <c r="J16" s="60">
        <f>+'Reg. Res''l - SS Mix &amp; Prices'!J16</f>
        <v>4.1000000000000003E-3</v>
      </c>
      <c r="K16" s="60">
        <f>+'Reg. Res''l - SS Mix &amp; Prices'!K16</f>
        <v>3.3999999999999998E-3</v>
      </c>
      <c r="L16" s="60">
        <f>+'Reg. Res''l - SS Mix &amp; Prices'!L16</f>
        <v>8.0000000000000002E-3</v>
      </c>
      <c r="M16" s="60">
        <f>+'Reg. Res''l - SS Mix &amp; Prices'!M16</f>
        <v>0.10330000000000006</v>
      </c>
    </row>
    <row r="17" spans="1:17" x14ac:dyDescent="0.2">
      <c r="A17" s="4" t="s">
        <v>40</v>
      </c>
      <c r="B17" s="65">
        <f t="shared" si="0"/>
        <v>1</v>
      </c>
      <c r="C17" s="60">
        <f>+'Reg. Res''l - SS Mix &amp; Prices'!C17</f>
        <v>0</v>
      </c>
      <c r="D17" s="60">
        <f>+'Reg. Res''l - SS Mix &amp; Prices'!D17</f>
        <v>0.46579999999999999</v>
      </c>
      <c r="E17" s="60">
        <f>+'Reg. Res''l - SS Mix &amp; Prices'!E17</f>
        <v>0.2581</v>
      </c>
      <c r="F17" s="60">
        <f>+'Reg. Res''l - SS Mix &amp; Prices'!F17</f>
        <v>8.5000000000000006E-3</v>
      </c>
      <c r="G17" s="60">
        <f>+'Reg. Res''l - SS Mix &amp; Prices'!H17</f>
        <v>0.1171</v>
      </c>
      <c r="H17" s="60">
        <f>+'Reg. Res''l - SS Mix &amp; Prices'!G17</f>
        <v>1.04E-2</v>
      </c>
      <c r="I17" s="60">
        <f>+'Reg. Res''l - SS Mix &amp; Prices'!I17</f>
        <v>1.7299999999999999E-2</v>
      </c>
      <c r="J17" s="60">
        <f>+'Reg. Res''l - SS Mix &amp; Prices'!J17</f>
        <v>2.8E-3</v>
      </c>
      <c r="K17" s="60">
        <f>+'Reg. Res''l - SS Mix &amp; Prices'!K17</f>
        <v>2.8999999999999998E-3</v>
      </c>
      <c r="L17" s="60">
        <f>+'Reg. Res''l - SS Mix &amp; Prices'!L17</f>
        <v>0</v>
      </c>
      <c r="M17" s="60">
        <f>+'Reg. Res''l - SS Mix &amp; Prices'!M17</f>
        <v>0.11710000000000009</v>
      </c>
    </row>
    <row r="18" spans="1:17" x14ac:dyDescent="0.2">
      <c r="A18" s="4" t="s">
        <v>10</v>
      </c>
      <c r="B18" s="65">
        <f t="shared" si="0"/>
        <v>1</v>
      </c>
      <c r="C18" s="60">
        <f>+'Reg. Res''l - SS Mix &amp; Prices'!C18</f>
        <v>0</v>
      </c>
      <c r="D18" s="60">
        <f>+'Reg. Res''l - SS Mix &amp; Prices'!D18</f>
        <v>0.3851</v>
      </c>
      <c r="E18" s="60">
        <f>+'Reg. Res''l - SS Mix &amp; Prices'!E18</f>
        <v>0.32390000000000002</v>
      </c>
      <c r="F18" s="60">
        <f>+'Reg. Res''l - SS Mix &amp; Prices'!F18</f>
        <v>9.7999999999999997E-3</v>
      </c>
      <c r="G18" s="60">
        <f>+'Reg. Res''l - SS Mix &amp; Prices'!H18</f>
        <v>0.1191</v>
      </c>
      <c r="H18" s="60">
        <f>+'Reg. Res''l - SS Mix &amp; Prices'!G18</f>
        <v>1.2500000000000001E-2</v>
      </c>
      <c r="I18" s="60">
        <f>+'Reg. Res''l - SS Mix &amp; Prices'!I18</f>
        <v>2.3800000000000002E-2</v>
      </c>
      <c r="J18" s="60">
        <f>+'Reg. Res''l - SS Mix &amp; Prices'!J18</f>
        <v>4.7999999999999996E-3</v>
      </c>
      <c r="K18" s="60">
        <f>+'Reg. Res''l - SS Mix &amp; Prices'!K18</f>
        <v>5.1000000000000004E-3</v>
      </c>
      <c r="L18" s="60">
        <f>+'Reg. Res''l - SS Mix &amp; Prices'!L18</f>
        <v>5.0000000000000001E-3</v>
      </c>
      <c r="M18" s="60">
        <f>+'Reg. Res''l - SS Mix &amp; Prices'!M18</f>
        <v>0.11089999999999989</v>
      </c>
    </row>
    <row r="19" spans="1:17" x14ac:dyDescent="0.2">
      <c r="A19" s="4" t="s">
        <v>41</v>
      </c>
      <c r="B19" s="65">
        <f t="shared" si="0"/>
        <v>1</v>
      </c>
      <c r="C19" s="60">
        <f>+'Reg. Res''l - SS Mix &amp; Prices'!C19</f>
        <v>0</v>
      </c>
      <c r="D19" s="60">
        <f>+'Reg. Res''l - SS Mix &amp; Prices'!D19</f>
        <v>0.38450000000000001</v>
      </c>
      <c r="E19" s="60">
        <f>+'Reg. Res''l - SS Mix &amp; Prices'!E19</f>
        <v>0.34360000000000002</v>
      </c>
      <c r="F19" s="60">
        <f>+'Reg. Res''l - SS Mix &amp; Prices'!F19</f>
        <v>1.1299999999999999E-2</v>
      </c>
      <c r="G19" s="60">
        <f>+'Reg. Res''l - SS Mix &amp; Prices'!H19</f>
        <v>0.10929999999999999</v>
      </c>
      <c r="H19" s="60">
        <f>+'Reg. Res''l - SS Mix &amp; Prices'!G19</f>
        <v>1.2699999999999999E-2</v>
      </c>
      <c r="I19" s="60">
        <f>+'Reg. Res''l - SS Mix &amp; Prices'!I19</f>
        <v>2.3699999999999999E-2</v>
      </c>
      <c r="J19" s="60">
        <f>+'Reg. Res''l - SS Mix &amp; Prices'!J19</f>
        <v>4.0000000000000001E-3</v>
      </c>
      <c r="K19" s="60">
        <f>+'Reg. Res''l - SS Mix &amp; Prices'!K19</f>
        <v>5.4999999999999997E-3</v>
      </c>
      <c r="L19" s="60">
        <f>+'Reg. Res''l - SS Mix &amp; Prices'!L19</f>
        <v>7.9000000000000008E-3</v>
      </c>
      <c r="M19" s="60">
        <f>+'Reg. Res''l - SS Mix &amp; Prices'!M19</f>
        <v>9.7500000000000031E-2</v>
      </c>
    </row>
    <row r="20" spans="1:17" x14ac:dyDescent="0.2">
      <c r="A20" s="4" t="s">
        <v>42</v>
      </c>
      <c r="B20" s="65">
        <f t="shared" si="0"/>
        <v>1</v>
      </c>
      <c r="C20" s="60">
        <f>+'Reg. Res''l - SS Mix &amp; Prices'!C20</f>
        <v>0</v>
      </c>
      <c r="D20" s="60">
        <f>+'Reg. Res''l - SS Mix &amp; Prices'!D20</f>
        <v>0.39929999999999999</v>
      </c>
      <c r="E20" s="60">
        <f>+'Reg. Res''l - SS Mix &amp; Prices'!E20</f>
        <v>0.34389999999999998</v>
      </c>
      <c r="F20" s="60">
        <f>+'Reg. Res''l - SS Mix &amp; Prices'!F20</f>
        <v>1.2800000000000001E-2</v>
      </c>
      <c r="G20" s="60">
        <f>+'Reg. Res''l - SS Mix &amp; Prices'!H20</f>
        <v>0.1026</v>
      </c>
      <c r="H20" s="60">
        <f>+'Reg. Res''l - SS Mix &amp; Prices'!G20</f>
        <v>1.09E-2</v>
      </c>
      <c r="I20" s="60">
        <f>+'Reg. Res''l - SS Mix &amp; Prices'!I20</f>
        <v>2.7300000000000001E-2</v>
      </c>
      <c r="J20" s="60">
        <f>+'Reg. Res''l - SS Mix &amp; Prices'!J20</f>
        <v>2.8E-3</v>
      </c>
      <c r="K20" s="60">
        <f>+'Reg. Res''l - SS Mix &amp; Prices'!K20</f>
        <v>4.3E-3</v>
      </c>
      <c r="L20" s="60">
        <f>+'Reg. Res''l - SS Mix &amp; Prices'!L20</f>
        <v>5.4000000000000003E-3</v>
      </c>
      <c r="M20" s="60">
        <f>+'Reg. Res''l - SS Mix &amp; Prices'!M20</f>
        <v>9.0700000000000003E-2</v>
      </c>
    </row>
    <row r="21" spans="1:17" x14ac:dyDescent="0.2">
      <c r="A21" s="4" t="s">
        <v>43</v>
      </c>
      <c r="B21" s="65">
        <f t="shared" si="0"/>
        <v>1</v>
      </c>
      <c r="C21" s="60">
        <f>+'Reg. Res''l - SS Mix &amp; Prices'!C21</f>
        <v>0</v>
      </c>
      <c r="D21" s="60">
        <f>+'Reg. Res''l - SS Mix &amp; Prices'!D21</f>
        <v>0.38419999999999999</v>
      </c>
      <c r="E21" s="60">
        <f>+'Reg. Res''l - SS Mix &amp; Prices'!E21</f>
        <v>0.36799999999999999</v>
      </c>
      <c r="F21" s="60">
        <f>+'Reg. Res''l - SS Mix &amp; Prices'!F21</f>
        <v>1.3100000000000001E-2</v>
      </c>
      <c r="G21" s="60">
        <f>+'Reg. Res''l - SS Mix &amp; Prices'!H21</f>
        <v>0.1016</v>
      </c>
      <c r="H21" s="60">
        <f>+'Reg. Res''l - SS Mix &amp; Prices'!G21</f>
        <v>1.15E-2</v>
      </c>
      <c r="I21" s="60">
        <f>+'Reg. Res''l - SS Mix &amp; Prices'!I21</f>
        <v>2.3800000000000002E-2</v>
      </c>
      <c r="J21" s="60">
        <f>+'Reg. Res''l - SS Mix &amp; Prices'!J21</f>
        <v>3.3999999999999998E-3</v>
      </c>
      <c r="K21" s="60">
        <f>+'Reg. Res''l - SS Mix &amp; Prices'!K21</f>
        <v>4.4999999999999997E-3</v>
      </c>
      <c r="L21" s="60">
        <f>+'Reg. Res''l - SS Mix &amp; Prices'!L21</f>
        <v>3.5999999999999999E-3</v>
      </c>
      <c r="M21" s="60">
        <f>+'Reg. Res''l - SS Mix &amp; Prices'!M21</f>
        <v>8.6300000000000043E-2</v>
      </c>
    </row>
    <row r="24" spans="1:17" x14ac:dyDescent="0.2">
      <c r="A24" s="12" t="s">
        <v>59</v>
      </c>
    </row>
    <row r="25" spans="1:17" x14ac:dyDescent="0.2">
      <c r="A25" s="4" t="s">
        <v>58</v>
      </c>
      <c r="B25" s="70">
        <f>+'Calculation of Revenue'!D33</f>
        <v>46.59</v>
      </c>
      <c r="C25" s="21">
        <f t="shared" ref="C25:M25" si="1">+$B25*C10</f>
        <v>0</v>
      </c>
      <c r="D25" s="21">
        <f t="shared" si="1"/>
        <v>22.437744000000002</v>
      </c>
      <c r="E25" s="21">
        <f t="shared" si="1"/>
        <v>11.353983000000001</v>
      </c>
      <c r="F25" s="21">
        <f t="shared" si="1"/>
        <v>0.40067400000000003</v>
      </c>
      <c r="G25" s="21">
        <f t="shared" si="1"/>
        <v>5.404440000000001</v>
      </c>
      <c r="H25" s="21">
        <f t="shared" si="1"/>
        <v>0.53578500000000007</v>
      </c>
      <c r="I25" s="21">
        <f t="shared" si="1"/>
        <v>0.94111800000000001</v>
      </c>
      <c r="J25" s="21">
        <f t="shared" si="1"/>
        <v>0.21897300000000003</v>
      </c>
      <c r="K25" s="21">
        <f t="shared" si="1"/>
        <v>0.19567799999999999</v>
      </c>
      <c r="L25" s="21">
        <f t="shared" si="1"/>
        <v>7.9202999999999996E-2</v>
      </c>
      <c r="M25" s="21">
        <f t="shared" si="1"/>
        <v>5.0224019999999951</v>
      </c>
      <c r="O25" s="70"/>
      <c r="Q25" s="71"/>
    </row>
    <row r="26" spans="1:17" x14ac:dyDescent="0.2">
      <c r="A26" s="4" t="s">
        <v>35</v>
      </c>
      <c r="B26" s="70">
        <f>+'Calculation of Revenue'!D34</f>
        <v>55.76</v>
      </c>
      <c r="C26" s="21">
        <f t="shared" ref="C26:M26" si="2">+$B26*C11</f>
        <v>0</v>
      </c>
      <c r="D26" s="21">
        <f t="shared" si="2"/>
        <v>25.883792</v>
      </c>
      <c r="E26" s="21">
        <f t="shared" si="2"/>
        <v>14.313591999999998</v>
      </c>
      <c r="F26" s="21">
        <f t="shared" si="2"/>
        <v>0.50741599999999998</v>
      </c>
      <c r="G26" s="21">
        <f t="shared" si="2"/>
        <v>6.3733680000000001</v>
      </c>
      <c r="H26" s="21">
        <f t="shared" si="2"/>
        <v>0.72487999999999997</v>
      </c>
      <c r="I26" s="21">
        <f t="shared" si="2"/>
        <v>1.081744</v>
      </c>
      <c r="J26" s="21">
        <f t="shared" si="2"/>
        <v>0.23976799999999998</v>
      </c>
      <c r="K26" s="21">
        <f t="shared" si="2"/>
        <v>0.22303999999999999</v>
      </c>
      <c r="L26" s="21">
        <f t="shared" si="2"/>
        <v>0.15055199999999999</v>
      </c>
      <c r="M26" s="21">
        <f t="shared" si="2"/>
        <v>6.2618480000000032</v>
      </c>
      <c r="O26" s="70"/>
      <c r="Q26" s="71"/>
    </row>
    <row r="27" spans="1:17" x14ac:dyDescent="0.2">
      <c r="A27" s="4" t="s">
        <v>36</v>
      </c>
      <c r="B27" s="70">
        <f>+'Calculation of Revenue'!D35</f>
        <v>51.05</v>
      </c>
      <c r="C27" s="21">
        <f t="shared" ref="C27:M27" si="3">+$B27*C12</f>
        <v>0</v>
      </c>
      <c r="D27" s="21">
        <f t="shared" si="3"/>
        <v>24.447844999999997</v>
      </c>
      <c r="E27" s="21">
        <f t="shared" si="3"/>
        <v>12.798234999999998</v>
      </c>
      <c r="F27" s="21">
        <f t="shared" si="3"/>
        <v>0.42881999999999992</v>
      </c>
      <c r="G27" s="21">
        <f t="shared" si="3"/>
        <v>5.9320099999999991</v>
      </c>
      <c r="H27" s="21">
        <f t="shared" si="3"/>
        <v>0.627915</v>
      </c>
      <c r="I27" s="21">
        <f t="shared" si="3"/>
        <v>0.84743000000000002</v>
      </c>
      <c r="J27" s="21">
        <f t="shared" si="3"/>
        <v>0.19399</v>
      </c>
      <c r="K27" s="21">
        <f t="shared" si="3"/>
        <v>0.19909499999999997</v>
      </c>
      <c r="L27" s="21">
        <f t="shared" si="3"/>
        <v>4.5944999999999993E-2</v>
      </c>
      <c r="M27" s="21">
        <f t="shared" si="3"/>
        <v>5.5287150000000027</v>
      </c>
      <c r="O27" s="70"/>
      <c r="Q27" s="71"/>
    </row>
    <row r="28" spans="1:17" x14ac:dyDescent="0.2">
      <c r="A28" s="4" t="s">
        <v>37</v>
      </c>
      <c r="B28" s="70">
        <f>+'Calculation of Revenue'!D36</f>
        <v>55.96</v>
      </c>
      <c r="C28" s="21">
        <f t="shared" ref="C28:M28" si="4">+$B28*C13</f>
        <v>0</v>
      </c>
      <c r="D28" s="21">
        <f t="shared" si="4"/>
        <v>29.261484000000003</v>
      </c>
      <c r="E28" s="21">
        <f t="shared" si="4"/>
        <v>12.546232000000002</v>
      </c>
      <c r="F28" s="21">
        <f t="shared" si="4"/>
        <v>0.42529600000000001</v>
      </c>
      <c r="G28" s="21">
        <f t="shared" si="4"/>
        <v>6.1276200000000003</v>
      </c>
      <c r="H28" s="21">
        <f t="shared" si="4"/>
        <v>0.67711599999999994</v>
      </c>
      <c r="I28" s="21">
        <f t="shared" si="4"/>
        <v>0.87297599999999997</v>
      </c>
      <c r="J28" s="21">
        <f t="shared" si="4"/>
        <v>0.184668</v>
      </c>
      <c r="K28" s="21">
        <f t="shared" si="4"/>
        <v>0.14549599999999999</v>
      </c>
      <c r="L28" s="21">
        <f t="shared" si="4"/>
        <v>7.8343999999999997E-2</v>
      </c>
      <c r="M28" s="21">
        <f t="shared" si="4"/>
        <v>5.6407679999999942</v>
      </c>
      <c r="O28" s="70"/>
      <c r="Q28" s="71"/>
    </row>
    <row r="29" spans="1:17" x14ac:dyDescent="0.2">
      <c r="A29" s="4" t="s">
        <v>45</v>
      </c>
      <c r="B29" s="70">
        <f>+'Calculation of Revenue'!D37</f>
        <v>61.72</v>
      </c>
      <c r="C29" s="21">
        <f t="shared" ref="C29:M29" si="5">+$B29*C14</f>
        <v>0</v>
      </c>
      <c r="D29" s="21">
        <f t="shared" si="5"/>
        <v>32.705428000000005</v>
      </c>
      <c r="E29" s="21">
        <f t="shared" si="5"/>
        <v>14.220288</v>
      </c>
      <c r="F29" s="21">
        <f t="shared" si="5"/>
        <v>0.413524</v>
      </c>
      <c r="G29" s="21">
        <f t="shared" si="5"/>
        <v>6.4991159999999999</v>
      </c>
      <c r="H29" s="21">
        <f t="shared" si="5"/>
        <v>0.60485599999999995</v>
      </c>
      <c r="I29" s="21">
        <f t="shared" si="5"/>
        <v>0.95665999999999995</v>
      </c>
      <c r="J29" s="21">
        <f t="shared" si="5"/>
        <v>0.19750400000000001</v>
      </c>
      <c r="K29" s="21">
        <f t="shared" si="5"/>
        <v>0.191332</v>
      </c>
      <c r="L29" s="21">
        <f t="shared" si="5"/>
        <v>0.18515999999999999</v>
      </c>
      <c r="M29" s="21">
        <f t="shared" si="5"/>
        <v>5.7461319999999976</v>
      </c>
      <c r="O29" s="70"/>
      <c r="Q29" s="71"/>
    </row>
    <row r="30" spans="1:17" x14ac:dyDescent="0.2">
      <c r="A30" s="4" t="s">
        <v>38</v>
      </c>
      <c r="B30" s="70">
        <f>+'Calculation of Revenue'!D38</f>
        <v>41.19</v>
      </c>
      <c r="C30" s="21">
        <f t="shared" ref="C30:M30" si="6">+$B30*C15</f>
        <v>0</v>
      </c>
      <c r="D30" s="21">
        <f t="shared" si="6"/>
        <v>20.648546999999997</v>
      </c>
      <c r="E30" s="21">
        <f t="shared" si="6"/>
        <v>9.1606559999999995</v>
      </c>
      <c r="F30" s="21">
        <f t="shared" si="6"/>
        <v>0.337758</v>
      </c>
      <c r="G30" s="21">
        <f t="shared" si="6"/>
        <v>5.4288419999999995</v>
      </c>
      <c r="H30" s="21">
        <f t="shared" si="6"/>
        <v>0.51899399999999996</v>
      </c>
      <c r="I30" s="21">
        <f t="shared" si="6"/>
        <v>0.71670599999999995</v>
      </c>
      <c r="J30" s="21">
        <f t="shared" si="6"/>
        <v>0.16475999999999999</v>
      </c>
      <c r="K30" s="21">
        <f t="shared" si="6"/>
        <v>7.8260999999999997E-2</v>
      </c>
      <c r="L30" s="21">
        <f t="shared" si="6"/>
        <v>6.5904000000000004E-2</v>
      </c>
      <c r="M30" s="21">
        <f t="shared" si="6"/>
        <v>4.069572</v>
      </c>
      <c r="O30" s="70"/>
      <c r="Q30" s="71"/>
    </row>
    <row r="31" spans="1:17" x14ac:dyDescent="0.2">
      <c r="A31" s="4" t="s">
        <v>39</v>
      </c>
      <c r="B31" s="70">
        <f>+'Calculation of Revenue'!D39</f>
        <v>42.81</v>
      </c>
      <c r="C31" s="21">
        <f t="shared" ref="C31:M31" si="7">+$B31*C16</f>
        <v>0</v>
      </c>
      <c r="D31" s="21">
        <f t="shared" si="7"/>
        <v>19.204566</v>
      </c>
      <c r="E31" s="21">
        <f t="shared" si="7"/>
        <v>11.391741000000001</v>
      </c>
      <c r="F31" s="21">
        <f t="shared" si="7"/>
        <v>0.43238100000000002</v>
      </c>
      <c r="G31" s="21">
        <f t="shared" si="7"/>
        <v>5.1928530000000004</v>
      </c>
      <c r="H31" s="21">
        <f t="shared" si="7"/>
        <v>0.61218300000000003</v>
      </c>
      <c r="I31" s="21">
        <f t="shared" si="7"/>
        <v>0.89044800000000002</v>
      </c>
      <c r="J31" s="21">
        <f t="shared" si="7"/>
        <v>0.17552100000000001</v>
      </c>
      <c r="K31" s="21">
        <f t="shared" si="7"/>
        <v>0.14555399999999999</v>
      </c>
      <c r="L31" s="21">
        <f t="shared" si="7"/>
        <v>0.34248000000000001</v>
      </c>
      <c r="M31" s="21">
        <f t="shared" si="7"/>
        <v>4.4222730000000023</v>
      </c>
      <c r="O31" s="70"/>
      <c r="Q31" s="71"/>
    </row>
    <row r="32" spans="1:17" x14ac:dyDescent="0.2">
      <c r="A32" s="4" t="s">
        <v>40</v>
      </c>
      <c r="B32" s="70">
        <f>+'Calculation of Revenue'!D40</f>
        <v>55.29</v>
      </c>
      <c r="C32" s="21">
        <f t="shared" ref="C32:M32" si="8">+$B32*C17</f>
        <v>0</v>
      </c>
      <c r="D32" s="21">
        <f t="shared" si="8"/>
        <v>25.754082</v>
      </c>
      <c r="E32" s="21">
        <f t="shared" si="8"/>
        <v>14.270349</v>
      </c>
      <c r="F32" s="21">
        <f t="shared" si="8"/>
        <v>0.46996500000000002</v>
      </c>
      <c r="G32" s="21">
        <f t="shared" si="8"/>
        <v>6.4744589999999995</v>
      </c>
      <c r="H32" s="21">
        <f t="shared" si="8"/>
        <v>0.57501599999999997</v>
      </c>
      <c r="I32" s="21">
        <f t="shared" si="8"/>
        <v>0.95651699999999995</v>
      </c>
      <c r="J32" s="21">
        <f t="shared" si="8"/>
        <v>0.15481200000000001</v>
      </c>
      <c r="K32" s="21">
        <f t="shared" si="8"/>
        <v>0.16034099999999998</v>
      </c>
      <c r="L32" s="21">
        <f t="shared" si="8"/>
        <v>0</v>
      </c>
      <c r="M32" s="21">
        <f t="shared" si="8"/>
        <v>6.4744590000000048</v>
      </c>
      <c r="O32" s="70"/>
      <c r="Q32" s="71"/>
    </row>
    <row r="33" spans="1:17" x14ac:dyDescent="0.2">
      <c r="A33" s="4" t="s">
        <v>10</v>
      </c>
      <c r="B33" s="70">
        <f>+'Calculation of Revenue'!D41</f>
        <v>50.07</v>
      </c>
      <c r="C33" s="21">
        <f t="shared" ref="C33:M33" si="9">+$B33*C18</f>
        <v>0</v>
      </c>
      <c r="D33" s="21">
        <f t="shared" si="9"/>
        <v>19.281956999999998</v>
      </c>
      <c r="E33" s="21">
        <f t="shared" si="9"/>
        <v>16.217673000000001</v>
      </c>
      <c r="F33" s="21">
        <f t="shared" si="9"/>
        <v>0.49068600000000001</v>
      </c>
      <c r="G33" s="21">
        <f t="shared" si="9"/>
        <v>5.9633370000000001</v>
      </c>
      <c r="H33" s="21">
        <f t="shared" si="9"/>
        <v>0.62587500000000007</v>
      </c>
      <c r="I33" s="21">
        <f t="shared" si="9"/>
        <v>1.1916660000000001</v>
      </c>
      <c r="J33" s="21">
        <f t="shared" si="9"/>
        <v>0.24033599999999999</v>
      </c>
      <c r="K33" s="21">
        <f t="shared" si="9"/>
        <v>0.255357</v>
      </c>
      <c r="L33" s="21">
        <f t="shared" si="9"/>
        <v>0.25035000000000002</v>
      </c>
      <c r="M33" s="21">
        <f t="shared" si="9"/>
        <v>5.5527629999999943</v>
      </c>
      <c r="O33" s="70"/>
      <c r="Q33" s="71"/>
    </row>
    <row r="34" spans="1:17" x14ac:dyDescent="0.2">
      <c r="A34" s="4" t="s">
        <v>41</v>
      </c>
      <c r="B34" s="70">
        <f>+'Calculation of Revenue'!D42</f>
        <v>43.47</v>
      </c>
      <c r="C34" s="21">
        <f t="shared" ref="C34:M34" si="10">+$B34*C19</f>
        <v>0</v>
      </c>
      <c r="D34" s="21">
        <f t="shared" si="10"/>
        <v>16.714214999999999</v>
      </c>
      <c r="E34" s="21">
        <f t="shared" si="10"/>
        <v>14.936292</v>
      </c>
      <c r="F34" s="21">
        <f t="shared" si="10"/>
        <v>0.49121099999999995</v>
      </c>
      <c r="G34" s="21">
        <f t="shared" si="10"/>
        <v>4.751271</v>
      </c>
      <c r="H34" s="21">
        <f t="shared" si="10"/>
        <v>0.55206899999999992</v>
      </c>
      <c r="I34" s="21">
        <f t="shared" si="10"/>
        <v>1.0302389999999999</v>
      </c>
      <c r="J34" s="21">
        <f t="shared" si="10"/>
        <v>0.17388000000000001</v>
      </c>
      <c r="K34" s="21">
        <f t="shared" si="10"/>
        <v>0.23908499999999999</v>
      </c>
      <c r="L34" s="21">
        <f t="shared" si="10"/>
        <v>0.34341300000000002</v>
      </c>
      <c r="M34" s="21">
        <f t="shared" si="10"/>
        <v>4.2383250000000015</v>
      </c>
      <c r="O34" s="70"/>
      <c r="Q34" s="71"/>
    </row>
    <row r="35" spans="1:17" x14ac:dyDescent="0.2">
      <c r="A35" s="4" t="s">
        <v>42</v>
      </c>
      <c r="B35" s="70">
        <f>+'Calculation of Revenue'!D43</f>
        <v>52.99</v>
      </c>
      <c r="C35" s="21">
        <f t="shared" ref="C35:M35" si="11">+$B35*C20</f>
        <v>0</v>
      </c>
      <c r="D35" s="21">
        <f t="shared" si="11"/>
        <v>21.158906999999999</v>
      </c>
      <c r="E35" s="21">
        <f t="shared" si="11"/>
        <v>18.223261000000001</v>
      </c>
      <c r="F35" s="21">
        <f t="shared" si="11"/>
        <v>0.6782720000000001</v>
      </c>
      <c r="G35" s="21">
        <f t="shared" si="11"/>
        <v>5.4367739999999998</v>
      </c>
      <c r="H35" s="21">
        <f t="shared" si="11"/>
        <v>0.57759099999999997</v>
      </c>
      <c r="I35" s="21">
        <f t="shared" si="11"/>
        <v>1.4466270000000001</v>
      </c>
      <c r="J35" s="21">
        <f t="shared" si="11"/>
        <v>0.148372</v>
      </c>
      <c r="K35" s="21">
        <f t="shared" si="11"/>
        <v>0.227857</v>
      </c>
      <c r="L35" s="21">
        <f t="shared" si="11"/>
        <v>0.28614600000000001</v>
      </c>
      <c r="M35" s="21">
        <f t="shared" si="11"/>
        <v>4.8061930000000004</v>
      </c>
      <c r="O35" s="70"/>
      <c r="Q35" s="71"/>
    </row>
    <row r="36" spans="1:17" ht="15" x14ac:dyDescent="0.35">
      <c r="A36" s="4" t="s">
        <v>43</v>
      </c>
      <c r="B36" s="73">
        <f>+'Calculation of Revenue'!D44</f>
        <v>48.48</v>
      </c>
      <c r="C36" s="28">
        <f t="shared" ref="C36:M36" si="12">+$B36*C21</f>
        <v>0</v>
      </c>
      <c r="D36" s="28">
        <f t="shared" si="12"/>
        <v>18.626015999999996</v>
      </c>
      <c r="E36" s="28">
        <f t="shared" si="12"/>
        <v>17.840639999999997</v>
      </c>
      <c r="F36" s="28">
        <f t="shared" si="12"/>
        <v>0.63508799999999999</v>
      </c>
      <c r="G36" s="28">
        <f t="shared" si="12"/>
        <v>4.9255679999999993</v>
      </c>
      <c r="H36" s="28">
        <f t="shared" si="12"/>
        <v>0.5575199999999999</v>
      </c>
      <c r="I36" s="28">
        <f t="shared" si="12"/>
        <v>1.153824</v>
      </c>
      <c r="J36" s="28">
        <f t="shared" si="12"/>
        <v>0.16483199999999998</v>
      </c>
      <c r="K36" s="28">
        <f t="shared" si="12"/>
        <v>0.21815999999999997</v>
      </c>
      <c r="L36" s="28">
        <f t="shared" si="12"/>
        <v>0.17452799999999999</v>
      </c>
      <c r="M36" s="28">
        <f t="shared" si="12"/>
        <v>4.1838240000000022</v>
      </c>
      <c r="O36" s="73"/>
      <c r="Q36" s="71"/>
    </row>
    <row r="37" spans="1:17" ht="15" x14ac:dyDescent="0.35">
      <c r="B37" s="31">
        <f>SUM(B25:B36)</f>
        <v>605.38</v>
      </c>
      <c r="C37" s="31">
        <f>SUM(C25:C36)</f>
        <v>0</v>
      </c>
      <c r="D37" s="31">
        <f t="shared" ref="D37:L37" si="13">SUM(D25:D36)</f>
        <v>276.12458300000003</v>
      </c>
      <c r="E37" s="31">
        <f t="shared" si="13"/>
        <v>167.27294200000003</v>
      </c>
      <c r="F37" s="31">
        <f t="shared" si="13"/>
        <v>5.7110909999999997</v>
      </c>
      <c r="G37" s="31">
        <f>SUM(G25:G36)</f>
        <v>68.509658000000002</v>
      </c>
      <c r="H37" s="31">
        <f t="shared" si="13"/>
        <v>7.1898</v>
      </c>
      <c r="I37" s="31">
        <f t="shared" si="13"/>
        <v>12.085955</v>
      </c>
      <c r="J37" s="31">
        <f t="shared" si="13"/>
        <v>2.2574160000000001</v>
      </c>
      <c r="K37" s="31">
        <f t="shared" si="13"/>
        <v>2.2792560000000002</v>
      </c>
      <c r="L37" s="31">
        <f t="shared" si="13"/>
        <v>2.0020249999999997</v>
      </c>
      <c r="M37" s="31">
        <f t="shared" ref="M37" si="14">SUM(M25:M36)</f>
        <v>61.947274</v>
      </c>
      <c r="O37" s="31"/>
      <c r="Q37" s="71"/>
    </row>
    <row r="40" spans="1:17" x14ac:dyDescent="0.2">
      <c r="A40" s="12" t="s">
        <v>57</v>
      </c>
    </row>
    <row r="41" spans="1:17" x14ac:dyDescent="0.2">
      <c r="A41" s="4" t="s">
        <v>58</v>
      </c>
      <c r="C41" s="18">
        <f>+'Reg. Res''l - SS Mix &amp; Prices'!C41</f>
        <v>0</v>
      </c>
      <c r="D41" s="18">
        <f>+'Reg. Res''l - SS Mix &amp; Prices'!D41</f>
        <v>11.23</v>
      </c>
      <c r="E41" s="18">
        <f>+'Reg. Res''l - SS Mix &amp; Prices'!E41</f>
        <v>114.26</v>
      </c>
      <c r="F41" s="18">
        <f>+'Reg. Res''l - SS Mix &amp; Prices'!F41</f>
        <v>1434.19</v>
      </c>
      <c r="G41" s="18">
        <f>+'Reg. Res''l - SS Mix &amp; Prices'!H41</f>
        <v>-53.34</v>
      </c>
      <c r="H41" s="18">
        <f>+'Reg. Res''l - SS Mix &amp; Prices'!G41</f>
        <v>160.37</v>
      </c>
      <c r="I41" s="18">
        <f>+'Reg. Res''l - SS Mix &amp; Prices'!I41</f>
        <v>179.46</v>
      </c>
      <c r="J41" s="18">
        <f>+'Reg. Res''l - SS Mix &amp; Prices'!J41</f>
        <v>700</v>
      </c>
      <c r="K41" s="18">
        <f>+'Reg. Res''l - SS Mix &amp; Prices'!K41</f>
        <v>280</v>
      </c>
      <c r="L41" s="18">
        <f>+'Reg. Res''l - SS Mix &amp; Prices'!L41</f>
        <v>-140</v>
      </c>
    </row>
    <row r="42" spans="1:17" x14ac:dyDescent="0.2">
      <c r="A42" s="4" t="s">
        <v>35</v>
      </c>
      <c r="C42" s="18">
        <f>+'Reg. Res''l - SS Mix &amp; Prices'!C42</f>
        <v>0</v>
      </c>
      <c r="D42" s="18">
        <f>+'Reg. Res''l - SS Mix &amp; Prices'!D42</f>
        <v>15.22</v>
      </c>
      <c r="E42" s="18">
        <f>+'Reg. Res''l - SS Mix &amp; Prices'!E42</f>
        <v>118.27</v>
      </c>
      <c r="F42" s="18">
        <f>+'Reg. Res''l - SS Mix &amp; Prices'!F42</f>
        <v>1250.8399999999999</v>
      </c>
      <c r="G42" s="18">
        <f>+'Reg. Res''l - SS Mix &amp; Prices'!H42</f>
        <v>-53.34</v>
      </c>
      <c r="H42" s="18">
        <f>+'Reg. Res''l - SS Mix &amp; Prices'!G42</f>
        <v>172.35</v>
      </c>
      <c r="I42" s="18">
        <f>+'Reg. Res''l - SS Mix &amp; Prices'!I42</f>
        <v>161.75</v>
      </c>
      <c r="J42" s="18">
        <f>+'Reg. Res''l - SS Mix &amp; Prices'!J42</f>
        <v>750</v>
      </c>
      <c r="K42" s="18">
        <f>+'Reg. Res''l - SS Mix &amp; Prices'!K42</f>
        <v>310</v>
      </c>
      <c r="L42" s="18">
        <f>+'Reg. Res''l - SS Mix &amp; Prices'!L42</f>
        <v>-140</v>
      </c>
    </row>
    <row r="43" spans="1:17" x14ac:dyDescent="0.2">
      <c r="A43" s="4" t="s">
        <v>36</v>
      </c>
      <c r="C43" s="18">
        <f>+'Reg. Res''l - SS Mix &amp; Prices'!C43</f>
        <v>0</v>
      </c>
      <c r="D43" s="18">
        <f>+'Reg. Res''l - SS Mix &amp; Prices'!D43</f>
        <v>15.08</v>
      </c>
      <c r="E43" s="18">
        <f>+'Reg. Res''l - SS Mix &amp; Prices'!E43</f>
        <v>122.4</v>
      </c>
      <c r="F43" s="18">
        <f>+'Reg. Res''l - SS Mix &amp; Prices'!F43</f>
        <v>971.05</v>
      </c>
      <c r="G43" s="18">
        <f>+'Reg. Res''l - SS Mix &amp; Prices'!H43</f>
        <v>-53.34</v>
      </c>
      <c r="H43" s="18">
        <f>+'Reg. Res''l - SS Mix &amp; Prices'!G43</f>
        <v>173.01</v>
      </c>
      <c r="I43" s="18">
        <f>+'Reg. Res''l - SS Mix &amp; Prices'!I43</f>
        <v>160</v>
      </c>
      <c r="J43" s="18">
        <f>+'Reg. Res''l - SS Mix &amp; Prices'!J43</f>
        <v>760</v>
      </c>
      <c r="K43" s="18">
        <f>+'Reg. Res''l - SS Mix &amp; Prices'!K43</f>
        <v>360</v>
      </c>
      <c r="L43" s="18">
        <f>+'Reg. Res''l - SS Mix &amp; Prices'!L43</f>
        <v>-140</v>
      </c>
    </row>
    <row r="44" spans="1:17" x14ac:dyDescent="0.2">
      <c r="A44" s="4" t="s">
        <v>37</v>
      </c>
      <c r="C44" s="18">
        <f>+'Reg. Res''l - SS Mix &amp; Prices'!C44</f>
        <v>0</v>
      </c>
      <c r="D44" s="18">
        <f>+'Reg. Res''l - SS Mix &amp; Prices'!D44</f>
        <v>12.6</v>
      </c>
      <c r="E44" s="18">
        <f>+'Reg. Res''l - SS Mix &amp; Prices'!E44</f>
        <v>119.99</v>
      </c>
      <c r="F44" s="18">
        <f>+'Reg. Res''l - SS Mix &amp; Prices'!F44</f>
        <v>1120.57</v>
      </c>
      <c r="G44" s="18">
        <f>+'Reg. Res''l - SS Mix &amp; Prices'!H44</f>
        <v>-53.34</v>
      </c>
      <c r="H44" s="18">
        <f>+'Reg. Res''l - SS Mix &amp; Prices'!G44</f>
        <v>169.96</v>
      </c>
      <c r="I44" s="18">
        <f>+'Reg. Res''l - SS Mix &amp; Prices'!I44</f>
        <v>160</v>
      </c>
      <c r="J44" s="18">
        <f>+'Reg. Res''l - SS Mix &amp; Prices'!J44</f>
        <v>710</v>
      </c>
      <c r="K44" s="18">
        <f>+'Reg. Res''l - SS Mix &amp; Prices'!K44</f>
        <v>350</v>
      </c>
      <c r="L44" s="18">
        <f>+'Reg. Res''l - SS Mix &amp; Prices'!L44</f>
        <v>-140</v>
      </c>
    </row>
    <row r="45" spans="1:17" x14ac:dyDescent="0.2">
      <c r="A45" s="4" t="s">
        <v>45</v>
      </c>
      <c r="C45" s="18">
        <f>+'Reg. Res''l - SS Mix &amp; Prices'!C45</f>
        <v>0</v>
      </c>
      <c r="D45" s="18">
        <f>+'Reg. Res''l - SS Mix &amp; Prices'!D45</f>
        <v>11.75</v>
      </c>
      <c r="E45" s="18">
        <f>+'Reg. Res''l - SS Mix &amp; Prices'!E45</f>
        <v>113.75</v>
      </c>
      <c r="F45" s="18">
        <f>+'Reg. Res''l - SS Mix &amp; Prices'!F45</f>
        <v>1153.3399999999999</v>
      </c>
      <c r="G45" s="18">
        <f>+'Reg. Res''l - SS Mix &amp; Prices'!H45</f>
        <v>-53.34</v>
      </c>
      <c r="H45" s="18">
        <f>+'Reg. Res''l - SS Mix &amp; Prices'!G45</f>
        <v>148.93</v>
      </c>
      <c r="I45" s="18">
        <f>+'Reg. Res''l - SS Mix &amp; Prices'!I45</f>
        <v>160</v>
      </c>
      <c r="J45" s="18">
        <f>+'Reg. Res''l - SS Mix &amp; Prices'!J45</f>
        <v>710</v>
      </c>
      <c r="K45" s="18">
        <f>+'Reg. Res''l - SS Mix &amp; Prices'!K45</f>
        <v>350</v>
      </c>
      <c r="L45" s="18">
        <f>+'Reg. Res''l - SS Mix &amp; Prices'!L45</f>
        <v>-140</v>
      </c>
    </row>
    <row r="46" spans="1:17" x14ac:dyDescent="0.2">
      <c r="A46" s="4" t="s">
        <v>38</v>
      </c>
      <c r="C46" s="18">
        <f>+'Reg. Res''l - SS Mix &amp; Prices'!C46</f>
        <v>0</v>
      </c>
      <c r="D46" s="18">
        <f>+'Reg. Res''l - SS Mix &amp; Prices'!D46</f>
        <v>0.24</v>
      </c>
      <c r="E46" s="18">
        <f>+'Reg. Res''l - SS Mix &amp; Prices'!E46</f>
        <v>88.97</v>
      </c>
      <c r="F46" s="18">
        <f>+'Reg. Res''l - SS Mix &amp; Prices'!F46</f>
        <v>990.58</v>
      </c>
      <c r="G46" s="18">
        <f>+'Reg. Res''l - SS Mix &amp; Prices'!H46</f>
        <v>-53.34</v>
      </c>
      <c r="H46" s="18">
        <f>+'Reg. Res''l - SS Mix &amp; Prices'!G46</f>
        <v>153.53</v>
      </c>
      <c r="I46" s="18">
        <f>+'Reg. Res''l - SS Mix &amp; Prices'!I46</f>
        <v>172.28</v>
      </c>
      <c r="J46" s="18">
        <f>+'Reg. Res''l - SS Mix &amp; Prices'!J46</f>
        <v>640</v>
      </c>
      <c r="K46" s="18">
        <f>+'Reg. Res''l - SS Mix &amp; Prices'!K46</f>
        <v>310</v>
      </c>
      <c r="L46" s="18">
        <f>+'Reg. Res''l - SS Mix &amp; Prices'!L46</f>
        <v>-140</v>
      </c>
    </row>
    <row r="47" spans="1:17" x14ac:dyDescent="0.2">
      <c r="A47" s="4" t="s">
        <v>39</v>
      </c>
      <c r="C47" s="18">
        <f>+'Reg. Res''l - SS Mix &amp; Prices'!C47</f>
        <v>0</v>
      </c>
      <c r="D47" s="18">
        <f>+'Reg. Res''l - SS Mix &amp; Prices'!D47</f>
        <v>-4.26</v>
      </c>
      <c r="E47" s="18">
        <f>+'Reg. Res''l - SS Mix &amp; Prices'!E47</f>
        <v>76.12</v>
      </c>
      <c r="F47" s="18">
        <f>+'Reg. Res''l - SS Mix &amp; Prices'!F47</f>
        <v>1098.3599999999999</v>
      </c>
      <c r="G47" s="18">
        <f>+'Reg. Res''l - SS Mix &amp; Prices'!H47</f>
        <v>-53.34</v>
      </c>
      <c r="H47" s="18">
        <f>+'Reg. Res''l - SS Mix &amp; Prices'!G47</f>
        <v>161.97</v>
      </c>
      <c r="I47" s="18">
        <f>+'Reg. Res''l - SS Mix &amp; Prices'!I47</f>
        <v>172.53</v>
      </c>
      <c r="J47" s="18">
        <f>+'Reg. Res''l - SS Mix &amp; Prices'!J47</f>
        <v>600</v>
      </c>
      <c r="K47" s="18">
        <f>+'Reg. Res''l - SS Mix &amp; Prices'!K47</f>
        <v>310</v>
      </c>
      <c r="L47" s="18">
        <f>+'Reg. Res''l - SS Mix &amp; Prices'!L47</f>
        <v>-140</v>
      </c>
      <c r="M47" s="38"/>
    </row>
    <row r="48" spans="1:17" x14ac:dyDescent="0.2">
      <c r="A48" s="4" t="s">
        <v>40</v>
      </c>
      <c r="C48" s="18">
        <f>+'Reg. Res''l - SS Mix &amp; Prices'!C48</f>
        <v>0</v>
      </c>
      <c r="D48" s="18">
        <f>+'Reg. Res''l - SS Mix &amp; Prices'!D48</f>
        <v>1.08</v>
      </c>
      <c r="E48" s="18">
        <f>+'Reg. Res''l - SS Mix &amp; Prices'!E48</f>
        <v>75.52</v>
      </c>
      <c r="F48" s="18">
        <f>+'Reg. Res''l - SS Mix &amp; Prices'!F48</f>
        <v>1081.4100000000001</v>
      </c>
      <c r="G48" s="18">
        <f>+'Reg. Res''l - SS Mix &amp; Prices'!H48</f>
        <v>-53.34</v>
      </c>
      <c r="H48" s="18">
        <f>+'Reg. Res''l - SS Mix &amp; Prices'!G48</f>
        <v>157.52000000000001</v>
      </c>
      <c r="I48" s="18">
        <f>+'Reg. Res''l - SS Mix &amp; Prices'!I48</f>
        <v>182.55</v>
      </c>
      <c r="J48" s="18">
        <f>+'Reg. Res''l - SS Mix &amp; Prices'!J48</f>
        <v>500</v>
      </c>
      <c r="K48" s="18">
        <f>+'Reg. Res''l - SS Mix &amp; Prices'!K48</f>
        <v>270</v>
      </c>
      <c r="L48" s="18">
        <f>+'Reg. Res''l - SS Mix &amp; Prices'!L48</f>
        <v>-140</v>
      </c>
    </row>
    <row r="49" spans="1:12" x14ac:dyDescent="0.2">
      <c r="A49" s="4" t="s">
        <v>10</v>
      </c>
      <c r="C49" s="18">
        <f>+'Reg. Res''l - SS Mix &amp; Prices'!C49</f>
        <v>0</v>
      </c>
      <c r="D49" s="18">
        <f>+'Reg. Res''l - SS Mix &amp; Prices'!D49</f>
        <v>1.45</v>
      </c>
      <c r="E49" s="18">
        <f>+'Reg. Res''l - SS Mix &amp; Prices'!E49</f>
        <v>66.739999999999995</v>
      </c>
      <c r="F49" s="18">
        <f>+'Reg. Res''l - SS Mix &amp; Prices'!F49</f>
        <v>966.49</v>
      </c>
      <c r="G49" s="18">
        <f>+'Reg. Res''l - SS Mix &amp; Prices'!H49</f>
        <v>-53.34</v>
      </c>
      <c r="H49" s="18">
        <f>+'Reg. Res''l - SS Mix &amp; Prices'!G49</f>
        <v>143.74</v>
      </c>
      <c r="I49" s="18">
        <f>+'Reg. Res''l - SS Mix &amp; Prices'!I49</f>
        <v>170</v>
      </c>
      <c r="J49" s="18">
        <f>+'Reg. Res''l - SS Mix &amp; Prices'!J49</f>
        <v>420</v>
      </c>
      <c r="K49" s="18">
        <f>+'Reg. Res''l - SS Mix &amp; Prices'!K49</f>
        <v>230</v>
      </c>
      <c r="L49" s="18">
        <f>+'Reg. Res''l - SS Mix &amp; Prices'!L49</f>
        <v>-140</v>
      </c>
    </row>
    <row r="50" spans="1:12" x14ac:dyDescent="0.2">
      <c r="A50" s="4" t="s">
        <v>41</v>
      </c>
      <c r="C50" s="18">
        <f>+'Reg. Res''l - SS Mix &amp; Prices'!C50</f>
        <v>0</v>
      </c>
      <c r="D50" s="18">
        <f>+'Reg. Res''l - SS Mix &amp; Prices'!D50</f>
        <v>6.87</v>
      </c>
      <c r="E50" s="18">
        <f>+'Reg. Res''l - SS Mix &amp; Prices'!E50</f>
        <v>61.74</v>
      </c>
      <c r="F50" s="18">
        <f>+'Reg. Res''l - SS Mix &amp; Prices'!F50</f>
        <v>932.7</v>
      </c>
      <c r="G50" s="18">
        <f>+'Reg. Res''l - SS Mix &amp; Prices'!H50</f>
        <v>-53.34</v>
      </c>
      <c r="H50" s="18">
        <f>+'Reg. Res''l - SS Mix &amp; Prices'!G50</f>
        <v>136.03</v>
      </c>
      <c r="I50" s="18">
        <f>+'Reg. Res''l - SS Mix &amp; Prices'!I50</f>
        <v>185</v>
      </c>
      <c r="J50" s="18">
        <f>+'Reg. Res''l - SS Mix &amp; Prices'!J50</f>
        <v>420</v>
      </c>
      <c r="K50" s="18">
        <f>+'Reg. Res''l - SS Mix &amp; Prices'!K50</f>
        <v>230</v>
      </c>
      <c r="L50" s="18">
        <f>+'Reg. Res''l - SS Mix &amp; Prices'!L50</f>
        <v>-140</v>
      </c>
    </row>
    <row r="51" spans="1:12" x14ac:dyDescent="0.2">
      <c r="A51" s="4" t="s">
        <v>42</v>
      </c>
      <c r="C51" s="18">
        <f>+'Reg. Res''l - SS Mix &amp; Prices'!C51</f>
        <v>0</v>
      </c>
      <c r="D51" s="18">
        <f>+'Reg. Res''l - SS Mix &amp; Prices'!D51</f>
        <v>5.47</v>
      </c>
      <c r="E51" s="18">
        <f>+'Reg. Res''l - SS Mix &amp; Prices'!E51</f>
        <v>59.06</v>
      </c>
      <c r="F51" s="18">
        <f>+'Reg. Res''l - SS Mix &amp; Prices'!F51</f>
        <v>944.5</v>
      </c>
      <c r="G51" s="18">
        <f>+'Reg. Res''l - SS Mix &amp; Prices'!H51</f>
        <v>-53.34</v>
      </c>
      <c r="H51" s="18">
        <f>+'Reg. Res''l - SS Mix &amp; Prices'!G51</f>
        <v>126.01</v>
      </c>
      <c r="I51" s="18">
        <f>+'Reg. Res''l - SS Mix &amp; Prices'!I51</f>
        <v>195</v>
      </c>
      <c r="J51" s="18">
        <f>+'Reg. Res''l - SS Mix &amp; Prices'!J51</f>
        <v>420</v>
      </c>
      <c r="K51" s="18">
        <f>+'Reg. Res''l - SS Mix &amp; Prices'!K51</f>
        <v>210</v>
      </c>
      <c r="L51" s="18">
        <f>+'Reg. Res''l - SS Mix &amp; Prices'!L51</f>
        <v>-140</v>
      </c>
    </row>
    <row r="52" spans="1:12" x14ac:dyDescent="0.2">
      <c r="A52" s="4" t="s">
        <v>43</v>
      </c>
      <c r="C52" s="18">
        <f>+'Reg. Res''l - SS Mix &amp; Prices'!C52</f>
        <v>0</v>
      </c>
      <c r="D52" s="18">
        <f>+'Reg. Res''l - SS Mix &amp; Prices'!D52</f>
        <v>9.16</v>
      </c>
      <c r="E52" s="18">
        <f>+'Reg. Res''l - SS Mix &amp; Prices'!E52</f>
        <v>65.81</v>
      </c>
      <c r="F52" s="18">
        <f>+'Reg. Res''l - SS Mix &amp; Prices'!F52</f>
        <v>875.69</v>
      </c>
      <c r="G52" s="18">
        <f>+'Reg. Res''l - SS Mix &amp; Prices'!H52</f>
        <v>-53.34</v>
      </c>
      <c r="H52" s="18">
        <f>+'Reg. Res''l - SS Mix &amp; Prices'!G52</f>
        <v>132.57</v>
      </c>
      <c r="I52" s="18">
        <f>+'Reg. Res''l - SS Mix &amp; Prices'!I52</f>
        <v>170</v>
      </c>
      <c r="J52" s="18">
        <f>+'Reg. Res''l - SS Mix &amp; Prices'!J52</f>
        <v>420</v>
      </c>
      <c r="K52" s="18">
        <f>+'Reg. Res''l - SS Mix &amp; Prices'!K52</f>
        <v>200</v>
      </c>
      <c r="L52" s="18">
        <f>+'Reg. Res''l - SS Mix &amp; Prices'!L52</f>
        <v>-140</v>
      </c>
    </row>
    <row r="55" spans="1:12" x14ac:dyDescent="0.2">
      <c r="A55" s="12" t="s">
        <v>60</v>
      </c>
    </row>
    <row r="56" spans="1:12" x14ac:dyDescent="0.2">
      <c r="A56" s="4" t="s">
        <v>58</v>
      </c>
      <c r="B56" s="20">
        <f t="shared" ref="B56:B67" si="15">SUM(C56:L56)</f>
        <v>2287.4511738900001</v>
      </c>
      <c r="C56" s="20">
        <f t="shared" ref="C56:L56" si="16">+C41*C25</f>
        <v>0</v>
      </c>
      <c r="D56" s="20">
        <f t="shared" si="16"/>
        <v>251.97586512000004</v>
      </c>
      <c r="E56" s="20">
        <f t="shared" si="16"/>
        <v>1297.3060975800001</v>
      </c>
      <c r="F56" s="20">
        <f t="shared" si="16"/>
        <v>574.64264406000007</v>
      </c>
      <c r="G56" s="20">
        <f t="shared" si="16"/>
        <v>-288.27282960000008</v>
      </c>
      <c r="H56" s="20">
        <f t="shared" si="16"/>
        <v>85.923840450000014</v>
      </c>
      <c r="I56" s="20">
        <f t="shared" si="16"/>
        <v>168.89303628000002</v>
      </c>
      <c r="J56" s="20">
        <f t="shared" si="16"/>
        <v>153.28110000000001</v>
      </c>
      <c r="K56" s="20">
        <f t="shared" si="16"/>
        <v>54.789839999999998</v>
      </c>
      <c r="L56" s="20">
        <f t="shared" si="16"/>
        <v>-11.088419999999999</v>
      </c>
    </row>
    <row r="57" spans="1:12" x14ac:dyDescent="0.2">
      <c r="A57" s="4" t="s">
        <v>35</v>
      </c>
      <c r="B57" s="20">
        <f t="shared" si="15"/>
        <v>2909.3569003999996</v>
      </c>
      <c r="C57" s="20">
        <f t="shared" ref="C57:L57" si="17">+C42*C26</f>
        <v>0</v>
      </c>
      <c r="D57" s="20">
        <f t="shared" si="17"/>
        <v>393.95131423999999</v>
      </c>
      <c r="E57" s="20">
        <f t="shared" si="17"/>
        <v>1692.8685258399996</v>
      </c>
      <c r="F57" s="20">
        <f t="shared" si="17"/>
        <v>634.69622943999991</v>
      </c>
      <c r="G57" s="20">
        <f t="shared" si="17"/>
        <v>-339.95544912000003</v>
      </c>
      <c r="H57" s="20">
        <f t="shared" si="17"/>
        <v>124.93306799999999</v>
      </c>
      <c r="I57" s="20">
        <f t="shared" si="17"/>
        <v>174.972092</v>
      </c>
      <c r="J57" s="20">
        <f t="shared" si="17"/>
        <v>179.82599999999999</v>
      </c>
      <c r="K57" s="20">
        <f t="shared" si="17"/>
        <v>69.142399999999995</v>
      </c>
      <c r="L57" s="20">
        <f t="shared" si="17"/>
        <v>-21.077279999999998</v>
      </c>
    </row>
    <row r="58" spans="1:12" x14ac:dyDescent="0.2">
      <c r="A58" s="4" t="s">
        <v>36</v>
      </c>
      <c r="B58" s="20">
        <f t="shared" si="15"/>
        <v>2492.0683883499996</v>
      </c>
      <c r="C58" s="20">
        <f t="shared" ref="C58:L58" si="18">+C43*C27</f>
        <v>0</v>
      </c>
      <c r="D58" s="20">
        <f t="shared" si="18"/>
        <v>368.67350259999995</v>
      </c>
      <c r="E58" s="20">
        <f t="shared" si="18"/>
        <v>1566.5039639999998</v>
      </c>
      <c r="F58" s="20">
        <f t="shared" si="18"/>
        <v>416.4056609999999</v>
      </c>
      <c r="G58" s="20">
        <f t="shared" si="18"/>
        <v>-316.41341339999997</v>
      </c>
      <c r="H58" s="20">
        <f t="shared" si="18"/>
        <v>108.63557415</v>
      </c>
      <c r="I58" s="20">
        <f t="shared" si="18"/>
        <v>135.58879999999999</v>
      </c>
      <c r="J58" s="20">
        <f t="shared" si="18"/>
        <v>147.4324</v>
      </c>
      <c r="K58" s="20">
        <f t="shared" si="18"/>
        <v>71.674199999999985</v>
      </c>
      <c r="L58" s="20">
        <f t="shared" si="18"/>
        <v>-6.4322999999999988</v>
      </c>
    </row>
    <row r="59" spans="1:12" x14ac:dyDescent="0.2">
      <c r="A59" s="4" t="s">
        <v>37</v>
      </c>
      <c r="B59" s="20">
        <f t="shared" si="15"/>
        <v>2449.6722793600006</v>
      </c>
      <c r="C59" s="20">
        <f t="shared" ref="C59:L59" si="19">+C44*C28</f>
        <v>0</v>
      </c>
      <c r="D59" s="20">
        <f t="shared" si="19"/>
        <v>368.69469840000005</v>
      </c>
      <c r="E59" s="20">
        <f t="shared" si="19"/>
        <v>1505.4223776800002</v>
      </c>
      <c r="F59" s="20">
        <f t="shared" si="19"/>
        <v>476.57393872</v>
      </c>
      <c r="G59" s="20">
        <f t="shared" si="19"/>
        <v>-326.84725080000004</v>
      </c>
      <c r="H59" s="20">
        <f t="shared" si="19"/>
        <v>115.08263536</v>
      </c>
      <c r="I59" s="20">
        <f t="shared" si="19"/>
        <v>139.67615999999998</v>
      </c>
      <c r="J59" s="20">
        <f t="shared" si="19"/>
        <v>131.11428000000001</v>
      </c>
      <c r="K59" s="20">
        <f t="shared" si="19"/>
        <v>50.923599999999993</v>
      </c>
      <c r="L59" s="20">
        <f t="shared" si="19"/>
        <v>-10.968159999999999</v>
      </c>
    </row>
    <row r="60" spans="1:12" x14ac:dyDescent="0.2">
      <c r="A60" s="4" t="s">
        <v>45</v>
      </c>
      <c r="B60" s="20">
        <f t="shared" si="15"/>
        <v>2556.5359057999999</v>
      </c>
      <c r="C60" s="20">
        <f t="shared" ref="C60:L60" si="20">+C45*C29</f>
        <v>0</v>
      </c>
      <c r="D60" s="20">
        <f t="shared" si="20"/>
        <v>384.28877900000003</v>
      </c>
      <c r="E60" s="20">
        <f t="shared" si="20"/>
        <v>1617.5577599999999</v>
      </c>
      <c r="F60" s="20">
        <f t="shared" si="20"/>
        <v>476.93377015999999</v>
      </c>
      <c r="G60" s="20">
        <f t="shared" si="20"/>
        <v>-346.66284744000001</v>
      </c>
      <c r="H60" s="20">
        <f t="shared" si="20"/>
        <v>90.081204079999992</v>
      </c>
      <c r="I60" s="20">
        <f t="shared" si="20"/>
        <v>153.06559999999999</v>
      </c>
      <c r="J60" s="20">
        <f t="shared" si="20"/>
        <v>140.22784000000001</v>
      </c>
      <c r="K60" s="20">
        <f t="shared" si="20"/>
        <v>66.966200000000001</v>
      </c>
      <c r="L60" s="20">
        <f t="shared" si="20"/>
        <v>-25.9224</v>
      </c>
    </row>
    <row r="61" spans="1:12" x14ac:dyDescent="0.2">
      <c r="A61" s="4" t="s">
        <v>38</v>
      </c>
      <c r="B61" s="20">
        <f t="shared" si="15"/>
        <v>1188.6171114599999</v>
      </c>
      <c r="C61" s="20">
        <f t="shared" ref="C61:L61" si="21">+C46*C30</f>
        <v>0</v>
      </c>
      <c r="D61" s="20">
        <f t="shared" si="21"/>
        <v>4.9556512799999988</v>
      </c>
      <c r="E61" s="20">
        <f t="shared" si="21"/>
        <v>815.02356431999999</v>
      </c>
      <c r="F61" s="20">
        <f t="shared" si="21"/>
        <v>334.57631964000001</v>
      </c>
      <c r="G61" s="20">
        <f t="shared" si="21"/>
        <v>-289.57443228</v>
      </c>
      <c r="H61" s="20">
        <f t="shared" si="21"/>
        <v>79.68114881999999</v>
      </c>
      <c r="I61" s="20">
        <f t="shared" si="21"/>
        <v>123.47410968</v>
      </c>
      <c r="J61" s="20">
        <f t="shared" si="21"/>
        <v>105.4464</v>
      </c>
      <c r="K61" s="20">
        <f t="shared" si="21"/>
        <v>24.260909999999999</v>
      </c>
      <c r="L61" s="20">
        <f t="shared" si="21"/>
        <v>-9.226560000000001</v>
      </c>
    </row>
    <row r="62" spans="1:12" x14ac:dyDescent="0.2">
      <c r="A62" s="4" t="s">
        <v>39</v>
      </c>
      <c r="B62" s="20">
        <f t="shared" si="15"/>
        <v>1338.5225038499998</v>
      </c>
      <c r="C62" s="20">
        <f t="shared" ref="C62:L62" si="22">+C47*C31</f>
        <v>0</v>
      </c>
      <c r="D62" s="20">
        <f t="shared" si="22"/>
        <v>-81.81145115999999</v>
      </c>
      <c r="E62" s="20">
        <f t="shared" si="22"/>
        <v>867.13932492000015</v>
      </c>
      <c r="F62" s="20">
        <f t="shared" si="22"/>
        <v>474.90999515999999</v>
      </c>
      <c r="G62" s="20">
        <f t="shared" si="22"/>
        <v>-276.98677902000003</v>
      </c>
      <c r="H62" s="20">
        <f t="shared" si="22"/>
        <v>99.155280510000011</v>
      </c>
      <c r="I62" s="20">
        <f t="shared" si="22"/>
        <v>153.62899344000002</v>
      </c>
      <c r="J62" s="20">
        <f t="shared" si="22"/>
        <v>105.3126</v>
      </c>
      <c r="K62" s="20">
        <f t="shared" si="22"/>
        <v>45.121739999999996</v>
      </c>
      <c r="L62" s="20">
        <f t="shared" si="22"/>
        <v>-47.947200000000002</v>
      </c>
    </row>
    <row r="63" spans="1:12" x14ac:dyDescent="0.2">
      <c r="A63" s="4" t="s">
        <v>40</v>
      </c>
      <c r="B63" s="20">
        <f t="shared" si="15"/>
        <v>1654.2751413000001</v>
      </c>
      <c r="C63" s="20">
        <f t="shared" ref="C63:L63" si="23">+C48*C32</f>
        <v>0</v>
      </c>
      <c r="D63" s="20">
        <f t="shared" si="23"/>
        <v>27.814408560000004</v>
      </c>
      <c r="E63" s="20">
        <f t="shared" si="23"/>
        <v>1077.69675648</v>
      </c>
      <c r="F63" s="20">
        <f t="shared" si="23"/>
        <v>508.22485065000006</v>
      </c>
      <c r="G63" s="20">
        <f t="shared" si="23"/>
        <v>-345.34764306</v>
      </c>
      <c r="H63" s="20">
        <f t="shared" si="23"/>
        <v>90.57652032</v>
      </c>
      <c r="I63" s="20">
        <f t="shared" si="23"/>
        <v>174.61217834999999</v>
      </c>
      <c r="J63" s="20">
        <f t="shared" si="23"/>
        <v>77.406000000000006</v>
      </c>
      <c r="K63" s="20">
        <f t="shared" si="23"/>
        <v>43.292069999999995</v>
      </c>
      <c r="L63" s="20">
        <f t="shared" si="23"/>
        <v>0</v>
      </c>
    </row>
    <row r="64" spans="1:12" x14ac:dyDescent="0.2">
      <c r="A64" s="4" t="s">
        <v>10</v>
      </c>
      <c r="B64" s="20">
        <f t="shared" si="15"/>
        <v>1683.6557727300001</v>
      </c>
      <c r="C64" s="20">
        <f t="shared" ref="C64:L64" si="24">+C49*C33</f>
        <v>0</v>
      </c>
      <c r="D64" s="20">
        <f t="shared" si="24"/>
        <v>27.958837649999996</v>
      </c>
      <c r="E64" s="20">
        <f t="shared" si="24"/>
        <v>1082.3674960200001</v>
      </c>
      <c r="F64" s="20">
        <f t="shared" si="24"/>
        <v>474.24311213999999</v>
      </c>
      <c r="G64" s="20">
        <f t="shared" si="24"/>
        <v>-318.08439558000003</v>
      </c>
      <c r="H64" s="20">
        <f t="shared" si="24"/>
        <v>89.963272500000016</v>
      </c>
      <c r="I64" s="20">
        <f t="shared" si="24"/>
        <v>202.58322000000001</v>
      </c>
      <c r="J64" s="20">
        <f t="shared" si="24"/>
        <v>100.94112</v>
      </c>
      <c r="K64" s="20">
        <f t="shared" si="24"/>
        <v>58.732109999999999</v>
      </c>
      <c r="L64" s="20">
        <f t="shared" si="24"/>
        <v>-35.048999999999999</v>
      </c>
    </row>
    <row r="65" spans="1:12" x14ac:dyDescent="0.2">
      <c r="A65" s="4" t="s">
        <v>41</v>
      </c>
      <c r="B65" s="20">
        <f t="shared" si="15"/>
        <v>1587.34652076</v>
      </c>
      <c r="C65" s="20">
        <f t="shared" ref="C65:L65" si="25">+C50*C34</f>
        <v>0</v>
      </c>
      <c r="D65" s="20">
        <f t="shared" si="25"/>
        <v>114.82665704999999</v>
      </c>
      <c r="E65" s="20">
        <f t="shared" si="25"/>
        <v>922.16666808000002</v>
      </c>
      <c r="F65" s="20">
        <f t="shared" si="25"/>
        <v>458.15249969999996</v>
      </c>
      <c r="G65" s="20">
        <f t="shared" si="25"/>
        <v>-253.43279514000002</v>
      </c>
      <c r="H65" s="20">
        <f t="shared" si="25"/>
        <v>75.097946069999992</v>
      </c>
      <c r="I65" s="20">
        <f t="shared" si="25"/>
        <v>190.59421499999999</v>
      </c>
      <c r="J65" s="20">
        <f t="shared" si="25"/>
        <v>73.029600000000002</v>
      </c>
      <c r="K65" s="20">
        <f t="shared" si="25"/>
        <v>54.989550000000001</v>
      </c>
      <c r="L65" s="20">
        <f t="shared" si="25"/>
        <v>-48.077820000000003</v>
      </c>
    </row>
    <row r="66" spans="1:12" x14ac:dyDescent="0.2">
      <c r="A66" s="4" t="s">
        <v>42</v>
      </c>
      <c r="B66" s="20">
        <f t="shared" si="15"/>
        <v>1967.6156717000003</v>
      </c>
      <c r="C66" s="20">
        <f t="shared" ref="C66:L66" si="26">+C51*C35</f>
        <v>0</v>
      </c>
      <c r="D66" s="20">
        <f t="shared" si="26"/>
        <v>115.73922128999999</v>
      </c>
      <c r="E66" s="20">
        <f t="shared" si="26"/>
        <v>1076.26579466</v>
      </c>
      <c r="F66" s="20">
        <f t="shared" si="26"/>
        <v>640.62790400000006</v>
      </c>
      <c r="G66" s="20">
        <f t="shared" si="26"/>
        <v>-289.99752516000001</v>
      </c>
      <c r="H66" s="20">
        <f t="shared" si="26"/>
        <v>72.782241909999996</v>
      </c>
      <c r="I66" s="20">
        <f t="shared" si="26"/>
        <v>282.092265</v>
      </c>
      <c r="J66" s="20">
        <f t="shared" si="26"/>
        <v>62.316240000000001</v>
      </c>
      <c r="K66" s="20">
        <f t="shared" si="26"/>
        <v>47.849969999999999</v>
      </c>
      <c r="L66" s="20">
        <f t="shared" si="26"/>
        <v>-40.06044</v>
      </c>
    </row>
    <row r="67" spans="1:12" ht="15" x14ac:dyDescent="0.35">
      <c r="A67" s="4" t="s">
        <v>43</v>
      </c>
      <c r="B67" s="27">
        <f t="shared" si="15"/>
        <v>1996.6052649600001</v>
      </c>
      <c r="C67" s="27">
        <f t="shared" ref="C67:L67" si="27">+C52*C36</f>
        <v>0</v>
      </c>
      <c r="D67" s="27">
        <f t="shared" si="27"/>
        <v>170.61430655999996</v>
      </c>
      <c r="E67" s="27">
        <f t="shared" si="27"/>
        <v>1174.0925183999998</v>
      </c>
      <c r="F67" s="27">
        <f t="shared" si="27"/>
        <v>556.14021072000003</v>
      </c>
      <c r="G67" s="27">
        <f t="shared" si="27"/>
        <v>-262.72979712</v>
      </c>
      <c r="H67" s="27">
        <f t="shared" si="27"/>
        <v>73.910426399999977</v>
      </c>
      <c r="I67" s="27">
        <f t="shared" si="27"/>
        <v>196.15008</v>
      </c>
      <c r="J67" s="27">
        <f t="shared" si="27"/>
        <v>69.229439999999997</v>
      </c>
      <c r="K67" s="27">
        <f t="shared" si="27"/>
        <v>43.631999999999991</v>
      </c>
      <c r="L67" s="27">
        <f t="shared" si="27"/>
        <v>-24.433919999999997</v>
      </c>
    </row>
    <row r="68" spans="1:12" ht="15" x14ac:dyDescent="0.35">
      <c r="B68" s="39">
        <f t="shared" ref="B68" si="28">SUM(B56:B67)</f>
        <v>24111.722634559996</v>
      </c>
      <c r="C68" s="39">
        <f t="shared" ref="C68" si="29">SUM(C56:C67)</f>
        <v>0</v>
      </c>
      <c r="D68" s="39">
        <f>SUM(D56:D67)</f>
        <v>2147.6817905900002</v>
      </c>
      <c r="E68" s="39">
        <f t="shared" ref="E68:L68" si="30">SUM(E56:E67)</f>
        <v>14694.410847980002</v>
      </c>
      <c r="F68" s="39">
        <f t="shared" si="30"/>
        <v>6026.1271353899992</v>
      </c>
      <c r="G68" s="39">
        <f>SUM(G56:G67)</f>
        <v>-3654.3051577200004</v>
      </c>
      <c r="H68" s="39">
        <f t="shared" si="30"/>
        <v>1105.82315857</v>
      </c>
      <c r="I68" s="39">
        <f t="shared" si="30"/>
        <v>2095.33074975</v>
      </c>
      <c r="J68" s="39">
        <f t="shared" si="30"/>
        <v>1345.5630200000003</v>
      </c>
      <c r="K68" s="39">
        <f t="shared" si="30"/>
        <v>631.37458999999978</v>
      </c>
      <c r="L68" s="39">
        <f t="shared" si="30"/>
        <v>-280.2835</v>
      </c>
    </row>
  </sheetData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61"/>
  <sheetViews>
    <sheetView topLeftCell="A15" workbookViewId="0">
      <selection activeCell="D22" sqref="D22"/>
    </sheetView>
  </sheetViews>
  <sheetFormatPr defaultRowHeight="12.75" x14ac:dyDescent="0.2"/>
  <cols>
    <col min="1" max="1" width="9.140625" style="150"/>
    <col min="2" max="2" width="10.42578125" style="150" bestFit="1" customWidth="1"/>
    <col min="3" max="3" width="9.28515625" style="150" bestFit="1" customWidth="1"/>
    <col min="4" max="4" width="10.42578125" style="150" bestFit="1" customWidth="1"/>
    <col min="5" max="5" width="4.85546875" style="150" customWidth="1"/>
    <col min="6" max="9" width="10.42578125" style="150" customWidth="1"/>
    <col min="10" max="10" width="11.140625" style="150" bestFit="1" customWidth="1"/>
    <col min="11" max="12" width="9.28515625" style="150" bestFit="1" customWidth="1"/>
    <col min="13" max="13" width="10.28515625" style="150" bestFit="1" customWidth="1"/>
    <col min="14" max="14" width="9.28515625" style="150" bestFit="1" customWidth="1"/>
    <col min="15" max="15" width="10.7109375" style="150" bestFit="1" customWidth="1"/>
    <col min="16" max="17" width="7.7109375" style="150" bestFit="1" customWidth="1"/>
    <col min="18" max="18" width="8.140625" style="150" bestFit="1" customWidth="1"/>
    <col min="19" max="19" width="7.85546875" style="150" bestFit="1" customWidth="1"/>
    <col min="20" max="20" width="9.28515625" style="150" bestFit="1" customWidth="1"/>
    <col min="21" max="21" width="3.5703125" style="150" customWidth="1"/>
    <col min="22" max="22" width="11.140625" style="150" bestFit="1" customWidth="1"/>
    <col min="23" max="23" width="11.140625" style="150" customWidth="1"/>
    <col min="24" max="24" width="12.42578125" style="150" bestFit="1" customWidth="1"/>
    <col min="25" max="16384" width="9.140625" style="150"/>
  </cols>
  <sheetData>
    <row r="1" spans="1:36" ht="26.25" x14ac:dyDescent="0.4">
      <c r="A1" s="149" t="s">
        <v>18</v>
      </c>
    </row>
    <row r="2" spans="1:36" ht="15" x14ac:dyDescent="0.25">
      <c r="A2" s="151" t="s">
        <v>109</v>
      </c>
    </row>
    <row r="5" spans="1:36" x14ac:dyDescent="0.2">
      <c r="B5" s="408" t="s">
        <v>138</v>
      </c>
      <c r="C5" s="408"/>
      <c r="D5" s="408"/>
      <c r="E5" s="10"/>
      <c r="F5" s="408" t="s">
        <v>94</v>
      </c>
      <c r="G5" s="408"/>
      <c r="H5" s="408"/>
      <c r="I5" s="408"/>
    </row>
    <row r="6" spans="1:36" x14ac:dyDescent="0.2">
      <c r="B6" s="2" t="s">
        <v>22</v>
      </c>
      <c r="D6" s="2" t="s">
        <v>105</v>
      </c>
      <c r="E6" s="368"/>
      <c r="F6" s="368" t="s">
        <v>105</v>
      </c>
      <c r="G6" s="368"/>
      <c r="H6" s="368"/>
      <c r="I6" s="368"/>
      <c r="X6" s="367" t="s">
        <v>94</v>
      </c>
    </row>
    <row r="7" spans="1:36" x14ac:dyDescent="0.2">
      <c r="B7" s="2" t="s">
        <v>103</v>
      </c>
      <c r="C7" s="2" t="s">
        <v>24</v>
      </c>
      <c r="D7" s="2" t="s">
        <v>106</v>
      </c>
      <c r="E7" s="368"/>
      <c r="F7" s="368" t="s">
        <v>106</v>
      </c>
      <c r="G7" s="368"/>
      <c r="H7" s="368" t="s">
        <v>24</v>
      </c>
      <c r="I7" s="368"/>
      <c r="J7" s="272" t="s">
        <v>102</v>
      </c>
      <c r="K7" s="41" t="s">
        <v>46</v>
      </c>
      <c r="L7" s="41"/>
      <c r="M7" s="41" t="s">
        <v>1</v>
      </c>
      <c r="N7" s="41"/>
      <c r="O7" s="41"/>
      <c r="P7" s="41"/>
      <c r="Q7" s="41" t="s">
        <v>2</v>
      </c>
      <c r="R7" s="41" t="s">
        <v>2</v>
      </c>
      <c r="S7" s="41" t="s">
        <v>48</v>
      </c>
      <c r="X7" s="367" t="s">
        <v>24</v>
      </c>
      <c r="Y7" s="2"/>
    </row>
    <row r="8" spans="1:36" x14ac:dyDescent="0.2">
      <c r="B8" s="10" t="s">
        <v>0</v>
      </c>
      <c r="C8" s="10" t="s">
        <v>0</v>
      </c>
      <c r="D8" s="10" t="s">
        <v>0</v>
      </c>
      <c r="E8" s="10"/>
      <c r="F8" s="10" t="s">
        <v>0</v>
      </c>
      <c r="G8" s="10" t="s">
        <v>97</v>
      </c>
      <c r="H8" s="10" t="s">
        <v>0</v>
      </c>
      <c r="I8" s="10" t="s">
        <v>97</v>
      </c>
      <c r="J8" s="42" t="s">
        <v>96</v>
      </c>
      <c r="K8" s="42" t="s">
        <v>49</v>
      </c>
      <c r="L8" s="42" t="s">
        <v>50</v>
      </c>
      <c r="M8" s="42" t="s">
        <v>51</v>
      </c>
      <c r="N8" s="42" t="s">
        <v>4</v>
      </c>
      <c r="O8" s="42" t="s">
        <v>52</v>
      </c>
      <c r="P8" s="42" t="s">
        <v>3</v>
      </c>
      <c r="Q8" s="42" t="s">
        <v>53</v>
      </c>
      <c r="R8" s="42" t="s">
        <v>54</v>
      </c>
      <c r="S8" s="42" t="s">
        <v>55</v>
      </c>
      <c r="T8" s="61" t="s">
        <v>90</v>
      </c>
      <c r="X8" s="10" t="s">
        <v>0</v>
      </c>
      <c r="Y8" s="10" t="s">
        <v>97</v>
      </c>
    </row>
    <row r="9" spans="1:36" x14ac:dyDescent="0.2">
      <c r="B9" s="10"/>
      <c r="C9" s="10"/>
      <c r="D9" s="10"/>
      <c r="E9" s="10"/>
      <c r="F9" s="10"/>
      <c r="G9" s="10"/>
      <c r="H9" s="10"/>
      <c r="I9" s="10"/>
      <c r="J9" s="42"/>
      <c r="K9" s="42"/>
      <c r="L9" s="42"/>
      <c r="M9" s="42"/>
      <c r="N9" s="42"/>
      <c r="O9" s="42"/>
      <c r="P9" s="42"/>
      <c r="Q9" s="42"/>
      <c r="R9" s="42"/>
      <c r="S9" s="42"/>
      <c r="T9" s="61"/>
      <c r="X9" s="10"/>
      <c r="Y9" s="10"/>
    </row>
    <row r="10" spans="1:36" x14ac:dyDescent="0.2">
      <c r="A10" s="152" t="s">
        <v>134</v>
      </c>
      <c r="B10" s="153">
        <v>1043.6300000000001</v>
      </c>
      <c r="C10" s="191">
        <v>84.04</v>
      </c>
      <c r="D10" s="153">
        <f>+B10-C10</f>
        <v>959.59000000000015</v>
      </c>
      <c r="E10" s="153"/>
      <c r="F10" s="161">
        <v>751.99</v>
      </c>
      <c r="G10" s="223">
        <f>+F10/D10</f>
        <v>0.78365760376827598</v>
      </c>
      <c r="H10" s="191">
        <v>46.59</v>
      </c>
      <c r="I10" s="370">
        <f>+H10/C10</f>
        <v>0.55437886720609231</v>
      </c>
      <c r="J10" s="142">
        <v>0</v>
      </c>
      <c r="K10" s="142">
        <f>0.2836+0.198</f>
        <v>0.48160000000000003</v>
      </c>
      <c r="L10" s="142">
        <v>0.2437</v>
      </c>
      <c r="M10" s="142">
        <v>8.6E-3</v>
      </c>
      <c r="N10" s="142">
        <v>0.11600000000000001</v>
      </c>
      <c r="O10" s="142">
        <v>1.15E-2</v>
      </c>
      <c r="P10" s="142">
        <v>2.0199999999999999E-2</v>
      </c>
      <c r="Q10" s="142">
        <v>4.7000000000000002E-3</v>
      </c>
      <c r="R10" s="142">
        <v>4.1999999999999997E-3</v>
      </c>
      <c r="S10" s="142">
        <v>1.6999999999999999E-3</v>
      </c>
      <c r="T10" s="142">
        <f>1-SUM(J10:S10)</f>
        <v>0.1077999999999999</v>
      </c>
      <c r="V10" s="160"/>
      <c r="W10" s="161">
        <v>751.99</v>
      </c>
      <c r="X10" s="191">
        <v>46.59</v>
      </c>
      <c r="Y10" s="370">
        <f t="shared" ref="Y10:Y19" si="0">+X10/C10</f>
        <v>0.55437886720609231</v>
      </c>
      <c r="AA10" s="153"/>
      <c r="AB10" s="142"/>
      <c r="AC10" s="142"/>
      <c r="AD10" s="142"/>
      <c r="AE10" s="142"/>
      <c r="AF10" s="142"/>
      <c r="AG10" s="142"/>
      <c r="AH10" s="142"/>
      <c r="AI10" s="142"/>
      <c r="AJ10" s="142"/>
    </row>
    <row r="11" spans="1:36" x14ac:dyDescent="0.2">
      <c r="A11" s="152" t="s">
        <v>35</v>
      </c>
      <c r="B11" s="153">
        <v>1179.4000000000001</v>
      </c>
      <c r="C11" s="191">
        <v>100.92</v>
      </c>
      <c r="D11" s="153">
        <f t="shared" ref="D11:D21" si="1">+B11-C11</f>
        <v>1078.48</v>
      </c>
      <c r="E11" s="153"/>
      <c r="F11" s="153">
        <v>829.37</v>
      </c>
      <c r="G11" s="223">
        <f t="shared" ref="G11:G22" si="2">+F11/D11</f>
        <v>0.76901750611972408</v>
      </c>
      <c r="H11" s="191">
        <v>55.76</v>
      </c>
      <c r="I11" s="370">
        <f t="shared" ref="I11:I22" si="3">+H11/C11</f>
        <v>0.55251684502576293</v>
      </c>
      <c r="J11" s="142">
        <v>0</v>
      </c>
      <c r="K11" s="142">
        <v>0.4642</v>
      </c>
      <c r="L11" s="142">
        <v>0.25669999999999998</v>
      </c>
      <c r="M11" s="142">
        <v>9.1000000000000004E-3</v>
      </c>
      <c r="N11" s="142">
        <v>0.1143</v>
      </c>
      <c r="O11" s="142">
        <v>1.2999999999999999E-2</v>
      </c>
      <c r="P11" s="142">
        <v>1.9400000000000001E-2</v>
      </c>
      <c r="Q11" s="142">
        <v>4.3E-3</v>
      </c>
      <c r="R11" s="142">
        <v>4.0000000000000001E-3</v>
      </c>
      <c r="S11" s="142">
        <v>2.7000000000000001E-3</v>
      </c>
      <c r="T11" s="142">
        <f t="shared" ref="T11:T21" si="4">1-SUM(J11:S11)</f>
        <v>0.11230000000000007</v>
      </c>
      <c r="V11" s="160"/>
      <c r="W11" s="160"/>
      <c r="X11" s="191">
        <v>55.76</v>
      </c>
      <c r="Y11" s="370">
        <f t="shared" si="0"/>
        <v>0.55251684502576293</v>
      </c>
      <c r="AA11" s="153"/>
      <c r="AB11" s="142"/>
      <c r="AC11" s="142"/>
      <c r="AD11" s="142"/>
      <c r="AE11" s="142"/>
      <c r="AF11" s="142"/>
      <c r="AG11" s="142"/>
      <c r="AH11" s="142"/>
      <c r="AI11" s="142"/>
      <c r="AJ11" s="142"/>
    </row>
    <row r="12" spans="1:36" x14ac:dyDescent="0.2">
      <c r="A12" s="152" t="s">
        <v>36</v>
      </c>
      <c r="B12" s="153">
        <v>1220.92</v>
      </c>
      <c r="C12" s="191">
        <v>99.22</v>
      </c>
      <c r="D12" s="153">
        <f t="shared" si="1"/>
        <v>1121.7</v>
      </c>
      <c r="E12" s="153"/>
      <c r="F12" s="153">
        <v>867.59</v>
      </c>
      <c r="G12" s="223">
        <f t="shared" si="2"/>
        <v>0.77345992689667464</v>
      </c>
      <c r="H12" s="191">
        <v>51.05</v>
      </c>
      <c r="I12" s="370">
        <f t="shared" si="3"/>
        <v>0.51451320298326952</v>
      </c>
      <c r="J12" s="142">
        <v>0</v>
      </c>
      <c r="K12" s="142">
        <v>0.47889999999999999</v>
      </c>
      <c r="L12" s="142">
        <v>0.25069999999999998</v>
      </c>
      <c r="M12" s="142">
        <v>8.3999999999999995E-3</v>
      </c>
      <c r="N12" s="142">
        <v>0.1162</v>
      </c>
      <c r="O12" s="142">
        <v>1.23E-2</v>
      </c>
      <c r="P12" s="142">
        <v>1.66E-2</v>
      </c>
      <c r="Q12" s="142">
        <v>3.8E-3</v>
      </c>
      <c r="R12" s="142">
        <v>3.8999999999999998E-3</v>
      </c>
      <c r="S12" s="142">
        <v>8.9999999999999998E-4</v>
      </c>
      <c r="T12" s="142">
        <f t="shared" si="4"/>
        <v>0.10830000000000006</v>
      </c>
      <c r="V12" s="160"/>
      <c r="W12" s="160"/>
      <c r="X12" s="191">
        <v>51.05</v>
      </c>
      <c r="Y12" s="370">
        <f t="shared" si="0"/>
        <v>0.51451320298326952</v>
      </c>
      <c r="AA12" s="153"/>
      <c r="AB12" s="142"/>
      <c r="AC12" s="142"/>
      <c r="AD12" s="142"/>
      <c r="AE12" s="142"/>
      <c r="AF12" s="142"/>
      <c r="AG12" s="142"/>
      <c r="AH12" s="142"/>
      <c r="AI12" s="142"/>
      <c r="AJ12" s="142"/>
    </row>
    <row r="13" spans="1:36" x14ac:dyDescent="0.2">
      <c r="A13" s="152" t="s">
        <v>37</v>
      </c>
      <c r="B13" s="153">
        <v>1269.1300000000001</v>
      </c>
      <c r="C13" s="191">
        <v>105.52</v>
      </c>
      <c r="D13" s="153">
        <f t="shared" si="1"/>
        <v>1163.6100000000001</v>
      </c>
      <c r="E13" s="153"/>
      <c r="F13" s="153">
        <v>903.44</v>
      </c>
      <c r="G13" s="223">
        <f t="shared" si="2"/>
        <v>0.77641134056943473</v>
      </c>
      <c r="H13" s="191">
        <v>55.96</v>
      </c>
      <c r="I13" s="370">
        <f t="shared" si="3"/>
        <v>0.53032600454890066</v>
      </c>
      <c r="J13" s="142">
        <v>0</v>
      </c>
      <c r="K13" s="142">
        <v>0.52290000000000003</v>
      </c>
      <c r="L13" s="142">
        <v>0.22420000000000001</v>
      </c>
      <c r="M13" s="142">
        <v>7.6E-3</v>
      </c>
      <c r="N13" s="142">
        <v>0.1095</v>
      </c>
      <c r="O13" s="142">
        <v>1.21E-2</v>
      </c>
      <c r="P13" s="142">
        <v>1.5599999999999999E-2</v>
      </c>
      <c r="Q13" s="142">
        <v>3.3E-3</v>
      </c>
      <c r="R13" s="142">
        <v>2.5999999999999999E-3</v>
      </c>
      <c r="S13" s="142">
        <v>1.4E-3</v>
      </c>
      <c r="T13" s="142">
        <f t="shared" si="4"/>
        <v>0.10079999999999989</v>
      </c>
      <c r="V13" s="160"/>
      <c r="W13" s="160"/>
      <c r="X13" s="191">
        <v>55.96</v>
      </c>
      <c r="Y13" s="370">
        <f t="shared" si="0"/>
        <v>0.53032600454890066</v>
      </c>
      <c r="AA13" s="153"/>
      <c r="AB13" s="142"/>
      <c r="AC13" s="142"/>
      <c r="AD13" s="142"/>
      <c r="AE13" s="142"/>
      <c r="AF13" s="142"/>
      <c r="AG13" s="142"/>
      <c r="AH13" s="142"/>
      <c r="AI13" s="142"/>
      <c r="AJ13" s="142"/>
    </row>
    <row r="14" spans="1:36" x14ac:dyDescent="0.2">
      <c r="A14" s="152" t="s">
        <v>135</v>
      </c>
      <c r="B14" s="153">
        <v>1386.07</v>
      </c>
      <c r="C14" s="191">
        <v>117.51</v>
      </c>
      <c r="D14" s="153">
        <f t="shared" si="1"/>
        <v>1268.56</v>
      </c>
      <c r="E14" s="153"/>
      <c r="F14" s="153">
        <v>977.97</v>
      </c>
      <c r="G14" s="223">
        <f t="shared" si="2"/>
        <v>0.77092924260578932</v>
      </c>
      <c r="H14" s="191">
        <v>61.72</v>
      </c>
      <c r="I14" s="370">
        <f t="shared" si="3"/>
        <v>0.52523189515785884</v>
      </c>
      <c r="J14" s="142">
        <v>0</v>
      </c>
      <c r="K14" s="142">
        <v>0.52990000000000004</v>
      </c>
      <c r="L14" s="142">
        <v>0.23039999999999999</v>
      </c>
      <c r="M14" s="142">
        <v>6.7000000000000002E-3</v>
      </c>
      <c r="N14" s="142">
        <v>0.1053</v>
      </c>
      <c r="O14" s="142">
        <v>9.7999999999999997E-3</v>
      </c>
      <c r="P14" s="142">
        <v>1.55E-2</v>
      </c>
      <c r="Q14" s="142">
        <v>3.2000000000000002E-3</v>
      </c>
      <c r="R14" s="142">
        <v>3.0999999999999999E-3</v>
      </c>
      <c r="S14" s="142">
        <v>3.0000000000000001E-3</v>
      </c>
      <c r="T14" s="142">
        <f t="shared" si="4"/>
        <v>9.3099999999999961E-2</v>
      </c>
      <c r="V14" s="160"/>
      <c r="W14" s="160"/>
      <c r="X14" s="191">
        <v>61.72</v>
      </c>
      <c r="Y14" s="370">
        <f t="shared" si="0"/>
        <v>0.52523189515785884</v>
      </c>
      <c r="AA14" s="153"/>
      <c r="AB14" s="142"/>
      <c r="AC14" s="142"/>
      <c r="AD14" s="142"/>
      <c r="AE14" s="142"/>
      <c r="AF14" s="142"/>
      <c r="AG14" s="142"/>
      <c r="AH14" s="142"/>
      <c r="AI14" s="142"/>
      <c r="AJ14" s="142"/>
    </row>
    <row r="15" spans="1:36" x14ac:dyDescent="0.2">
      <c r="A15" s="152" t="s">
        <v>38</v>
      </c>
      <c r="B15" s="153">
        <v>956.05</v>
      </c>
      <c r="C15" s="191">
        <v>79.61</v>
      </c>
      <c r="D15" s="153">
        <f t="shared" si="1"/>
        <v>876.43999999999994</v>
      </c>
      <c r="E15" s="153"/>
      <c r="F15" s="153">
        <v>673.88</v>
      </c>
      <c r="G15" s="223">
        <f t="shared" si="2"/>
        <v>0.76888320934690346</v>
      </c>
      <c r="H15" s="154">
        <v>41.19</v>
      </c>
      <c r="I15" s="370">
        <f t="shared" si="3"/>
        <v>0.51739731189549054</v>
      </c>
      <c r="J15" s="142">
        <v>0</v>
      </c>
      <c r="K15" s="142">
        <v>0.50129999999999997</v>
      </c>
      <c r="L15" s="142">
        <v>0.22239999999999999</v>
      </c>
      <c r="M15" s="142">
        <v>8.2000000000000007E-3</v>
      </c>
      <c r="N15" s="142">
        <v>0.1318</v>
      </c>
      <c r="O15" s="142">
        <v>1.26E-2</v>
      </c>
      <c r="P15" s="142">
        <v>1.7399999999999999E-2</v>
      </c>
      <c r="Q15" s="142">
        <v>4.0000000000000001E-3</v>
      </c>
      <c r="R15" s="142">
        <v>1.9E-3</v>
      </c>
      <c r="S15" s="142">
        <v>1.6000000000000001E-3</v>
      </c>
      <c r="T15" s="142">
        <f t="shared" si="4"/>
        <v>9.8799999999999888E-2</v>
      </c>
      <c r="V15" s="160"/>
      <c r="W15" s="160"/>
      <c r="X15" s="154">
        <v>41.19</v>
      </c>
      <c r="Y15" s="370">
        <f t="shared" si="0"/>
        <v>0.51739731189549054</v>
      </c>
      <c r="AA15" s="153"/>
      <c r="AB15" s="142"/>
      <c r="AC15" s="142"/>
      <c r="AD15" s="142"/>
      <c r="AE15" s="142"/>
      <c r="AF15" s="142"/>
      <c r="AG15" s="142"/>
      <c r="AH15" s="142"/>
      <c r="AI15" s="142"/>
      <c r="AJ15" s="142"/>
    </row>
    <row r="16" spans="1:36" x14ac:dyDescent="0.2">
      <c r="A16" s="152" t="s">
        <v>39</v>
      </c>
      <c r="B16" s="153">
        <v>905.2</v>
      </c>
      <c r="C16" s="191">
        <v>75.69</v>
      </c>
      <c r="D16" s="153">
        <f t="shared" si="1"/>
        <v>829.51</v>
      </c>
      <c r="E16" s="153"/>
      <c r="F16" s="153">
        <v>646.48</v>
      </c>
      <c r="G16" s="223">
        <f t="shared" si="2"/>
        <v>0.77935166544104351</v>
      </c>
      <c r="H16" s="154">
        <v>42.81</v>
      </c>
      <c r="I16" s="370">
        <f t="shared" si="3"/>
        <v>0.56559651208878325</v>
      </c>
      <c r="J16" s="142">
        <v>0</v>
      </c>
      <c r="K16" s="142">
        <v>0.4486</v>
      </c>
      <c r="L16" s="142">
        <v>0.2661</v>
      </c>
      <c r="M16" s="142">
        <v>1.01E-2</v>
      </c>
      <c r="N16" s="142">
        <v>0.12130000000000001</v>
      </c>
      <c r="O16" s="142">
        <v>1.43E-2</v>
      </c>
      <c r="P16" s="142">
        <v>2.0799999999999999E-2</v>
      </c>
      <c r="Q16" s="142">
        <v>4.1000000000000003E-3</v>
      </c>
      <c r="R16" s="142">
        <v>3.3999999999999998E-3</v>
      </c>
      <c r="S16" s="142">
        <v>8.0000000000000002E-3</v>
      </c>
      <c r="T16" s="142">
        <f t="shared" si="4"/>
        <v>0.10330000000000006</v>
      </c>
      <c r="V16" s="160"/>
      <c r="W16" s="160"/>
      <c r="X16" s="154">
        <v>42.81</v>
      </c>
      <c r="Y16" s="370">
        <f t="shared" si="0"/>
        <v>0.56559651208878325</v>
      </c>
      <c r="AA16" s="153"/>
      <c r="AB16" s="142"/>
      <c r="AC16" s="142"/>
      <c r="AD16" s="142"/>
      <c r="AE16" s="142"/>
      <c r="AF16" s="142"/>
      <c r="AG16" s="142"/>
      <c r="AH16" s="142"/>
      <c r="AI16" s="142"/>
      <c r="AJ16" s="142"/>
    </row>
    <row r="17" spans="1:36" x14ac:dyDescent="0.2">
      <c r="A17" s="152" t="s">
        <v>40</v>
      </c>
      <c r="B17" s="153">
        <v>1170.45</v>
      </c>
      <c r="C17" s="191">
        <v>97.29</v>
      </c>
      <c r="D17" s="153">
        <f t="shared" si="1"/>
        <v>1073.1600000000001</v>
      </c>
      <c r="E17" s="153"/>
      <c r="F17" s="153">
        <v>826.93</v>
      </c>
      <c r="G17" s="223">
        <f t="shared" si="2"/>
        <v>0.77055611465205553</v>
      </c>
      <c r="H17" s="154">
        <v>55.29</v>
      </c>
      <c r="I17" s="370">
        <f t="shared" si="3"/>
        <v>0.56830095590502616</v>
      </c>
      <c r="J17" s="142">
        <v>0</v>
      </c>
      <c r="K17" s="142">
        <v>0.46579999999999999</v>
      </c>
      <c r="L17" s="142">
        <v>0.2581</v>
      </c>
      <c r="M17" s="142">
        <v>8.5000000000000006E-3</v>
      </c>
      <c r="N17" s="142">
        <v>0.1171</v>
      </c>
      <c r="O17" s="142">
        <v>1.04E-2</v>
      </c>
      <c r="P17" s="142">
        <v>1.7299999999999999E-2</v>
      </c>
      <c r="Q17" s="142">
        <v>2.8E-3</v>
      </c>
      <c r="R17" s="142">
        <v>2.8999999999999998E-3</v>
      </c>
      <c r="S17" s="142">
        <v>0</v>
      </c>
      <c r="T17" s="142">
        <f t="shared" si="4"/>
        <v>0.11710000000000009</v>
      </c>
      <c r="V17" s="160"/>
      <c r="W17" s="160"/>
      <c r="X17" s="154">
        <v>55.29</v>
      </c>
      <c r="Y17" s="370">
        <f t="shared" si="0"/>
        <v>0.56830095590502616</v>
      </c>
      <c r="AA17" s="153"/>
      <c r="AB17" s="142"/>
      <c r="AC17" s="142"/>
      <c r="AD17" s="142"/>
      <c r="AE17" s="142"/>
      <c r="AF17" s="142"/>
      <c r="AG17" s="142"/>
      <c r="AH17" s="142"/>
      <c r="AI17" s="142"/>
      <c r="AJ17" s="142"/>
    </row>
    <row r="18" spans="1:36" x14ac:dyDescent="0.2">
      <c r="A18" s="152" t="s">
        <v>10</v>
      </c>
      <c r="B18" s="227">
        <v>1203.79</v>
      </c>
      <c r="C18" s="227">
        <v>94.99</v>
      </c>
      <c r="D18" s="153">
        <f t="shared" si="1"/>
        <v>1108.8</v>
      </c>
      <c r="E18" s="153"/>
      <c r="F18" s="153">
        <v>855.02</v>
      </c>
      <c r="G18" s="223">
        <f t="shared" si="2"/>
        <v>0.7711219336219336</v>
      </c>
      <c r="H18" s="154">
        <v>50.07</v>
      </c>
      <c r="I18" s="370">
        <f t="shared" si="3"/>
        <v>0.52710811664385726</v>
      </c>
      <c r="J18" s="142">
        <v>0</v>
      </c>
      <c r="K18" s="142">
        <v>0.3851</v>
      </c>
      <c r="L18" s="142">
        <v>0.32390000000000002</v>
      </c>
      <c r="M18" s="142">
        <v>9.7999999999999997E-3</v>
      </c>
      <c r="N18" s="142">
        <v>0.1191</v>
      </c>
      <c r="O18" s="142">
        <v>1.2500000000000001E-2</v>
      </c>
      <c r="P18" s="142">
        <v>2.3800000000000002E-2</v>
      </c>
      <c r="Q18" s="142">
        <v>4.7999999999999996E-3</v>
      </c>
      <c r="R18" s="142">
        <v>5.1000000000000004E-3</v>
      </c>
      <c r="S18" s="142">
        <v>5.0000000000000001E-3</v>
      </c>
      <c r="T18" s="142">
        <f t="shared" si="4"/>
        <v>0.11089999999999989</v>
      </c>
      <c r="V18" s="160"/>
      <c r="W18" s="160"/>
      <c r="X18" s="154">
        <v>50.07</v>
      </c>
      <c r="Y18" s="370">
        <f t="shared" si="0"/>
        <v>0.52710811664385726</v>
      </c>
      <c r="AA18" s="153"/>
      <c r="AB18" s="142"/>
      <c r="AC18" s="142"/>
      <c r="AD18" s="142"/>
      <c r="AE18" s="142"/>
      <c r="AF18" s="142"/>
      <c r="AG18" s="142"/>
      <c r="AH18" s="142"/>
      <c r="AI18" s="142"/>
      <c r="AJ18" s="142"/>
    </row>
    <row r="19" spans="1:36" x14ac:dyDescent="0.2">
      <c r="A19" s="152" t="s">
        <v>41</v>
      </c>
      <c r="B19" s="270">
        <v>1078.06</v>
      </c>
      <c r="C19" s="227">
        <v>79.349999999999994</v>
      </c>
      <c r="D19" s="153">
        <f t="shared" si="1"/>
        <v>998.70999999999992</v>
      </c>
      <c r="E19" s="153"/>
      <c r="F19" s="153">
        <v>770.76</v>
      </c>
      <c r="G19" s="223">
        <f t="shared" si="2"/>
        <v>0.7717555646784352</v>
      </c>
      <c r="H19" s="154">
        <v>43.47</v>
      </c>
      <c r="I19" s="370">
        <f t="shared" si="3"/>
        <v>0.5478260869565218</v>
      </c>
      <c r="J19" s="271">
        <v>0</v>
      </c>
      <c r="K19" s="271">
        <v>0.38450000000000001</v>
      </c>
      <c r="L19" s="271">
        <v>0.34360000000000002</v>
      </c>
      <c r="M19" s="271">
        <v>1.1299999999999999E-2</v>
      </c>
      <c r="N19" s="271">
        <v>0.10929999999999999</v>
      </c>
      <c r="O19" s="271">
        <v>1.2699999999999999E-2</v>
      </c>
      <c r="P19" s="271">
        <v>2.3699999999999999E-2</v>
      </c>
      <c r="Q19" s="271">
        <v>4.0000000000000001E-3</v>
      </c>
      <c r="R19" s="271">
        <v>5.4999999999999997E-3</v>
      </c>
      <c r="S19" s="271">
        <v>7.9000000000000008E-3</v>
      </c>
      <c r="T19" s="142">
        <f t="shared" si="4"/>
        <v>9.7500000000000031E-2</v>
      </c>
      <c r="V19" s="160"/>
      <c r="W19" s="160"/>
      <c r="X19" s="154">
        <v>43.47</v>
      </c>
      <c r="Y19" s="370">
        <f t="shared" si="0"/>
        <v>0.5478260869565218</v>
      </c>
      <c r="AA19" s="153"/>
      <c r="AB19" s="142"/>
      <c r="AC19" s="142"/>
      <c r="AD19" s="142"/>
      <c r="AE19" s="142"/>
      <c r="AF19" s="142"/>
      <c r="AG19" s="142"/>
      <c r="AH19" s="142"/>
      <c r="AI19" s="142"/>
      <c r="AJ19" s="142"/>
    </row>
    <row r="20" spans="1:36" x14ac:dyDescent="0.2">
      <c r="A20" s="152" t="s">
        <v>42</v>
      </c>
      <c r="B20" s="270">
        <v>1244.27</v>
      </c>
      <c r="C20" s="227">
        <v>96.09</v>
      </c>
      <c r="D20" s="153">
        <f t="shared" si="1"/>
        <v>1148.18</v>
      </c>
      <c r="E20" s="153"/>
      <c r="F20" s="153">
        <v>888.79</v>
      </c>
      <c r="G20" s="223">
        <f t="shared" si="2"/>
        <v>0.77408594471250147</v>
      </c>
      <c r="H20" s="154">
        <v>52.99</v>
      </c>
      <c r="I20" s="370">
        <f t="shared" si="3"/>
        <v>0.55146217088146532</v>
      </c>
      <c r="J20" s="271">
        <f>+J19</f>
        <v>0</v>
      </c>
      <c r="K20" s="271">
        <v>0.39929999999999999</v>
      </c>
      <c r="L20" s="271">
        <v>0.34389999999999998</v>
      </c>
      <c r="M20" s="271">
        <v>1.2800000000000001E-2</v>
      </c>
      <c r="N20" s="271">
        <v>0.1026</v>
      </c>
      <c r="O20" s="271">
        <v>1.09E-2</v>
      </c>
      <c r="P20" s="271">
        <v>2.7300000000000001E-2</v>
      </c>
      <c r="Q20" s="271">
        <v>2.8E-3</v>
      </c>
      <c r="R20" s="271">
        <v>4.3E-3</v>
      </c>
      <c r="S20" s="271">
        <v>5.4000000000000003E-3</v>
      </c>
      <c r="T20" s="142">
        <f t="shared" si="4"/>
        <v>9.0700000000000003E-2</v>
      </c>
      <c r="V20" s="160"/>
      <c r="W20" s="160"/>
      <c r="X20" s="154">
        <v>52.99</v>
      </c>
      <c r="Y20" s="370">
        <f>+X20/C20</f>
        <v>0.55146217088146532</v>
      </c>
      <c r="AA20" s="227"/>
      <c r="AB20" s="142"/>
      <c r="AC20" s="142"/>
      <c r="AD20" s="142"/>
      <c r="AE20" s="142"/>
      <c r="AF20" s="142"/>
      <c r="AG20" s="142"/>
      <c r="AH20" s="142"/>
      <c r="AI20" s="142"/>
      <c r="AJ20" s="142"/>
    </row>
    <row r="21" spans="1:36" ht="15" x14ac:dyDescent="0.35">
      <c r="A21" s="152" t="s">
        <v>43</v>
      </c>
      <c r="B21" s="234">
        <v>1224.8499999999999</v>
      </c>
      <c r="C21" s="192">
        <v>94.59</v>
      </c>
      <c r="D21" s="192">
        <f t="shared" si="1"/>
        <v>1130.26</v>
      </c>
      <c r="E21" s="192"/>
      <c r="F21" s="192">
        <v>872.47</v>
      </c>
      <c r="G21" s="371">
        <f t="shared" si="2"/>
        <v>0.77191973528214752</v>
      </c>
      <c r="H21" s="193">
        <v>48.48</v>
      </c>
      <c r="I21" s="371">
        <f t="shared" si="3"/>
        <v>0.51252775134792261</v>
      </c>
      <c r="J21" s="194">
        <f>+J20</f>
        <v>0</v>
      </c>
      <c r="K21" s="194">
        <v>0.38419999999999999</v>
      </c>
      <c r="L21" s="194">
        <v>0.36799999999999999</v>
      </c>
      <c r="M21" s="194">
        <v>1.3100000000000001E-2</v>
      </c>
      <c r="N21" s="194">
        <v>0.1016</v>
      </c>
      <c r="O21" s="194">
        <v>1.15E-2</v>
      </c>
      <c r="P21" s="194">
        <v>2.3800000000000002E-2</v>
      </c>
      <c r="Q21" s="194">
        <v>3.3999999999999998E-3</v>
      </c>
      <c r="R21" s="194">
        <v>4.4999999999999997E-3</v>
      </c>
      <c r="S21" s="194">
        <v>3.5999999999999999E-3</v>
      </c>
      <c r="T21" s="194">
        <f t="shared" si="4"/>
        <v>8.6300000000000043E-2</v>
      </c>
      <c r="V21" s="160"/>
      <c r="W21" s="160"/>
      <c r="X21" s="193">
        <f>+X20</f>
        <v>52.99</v>
      </c>
      <c r="Y21" s="371">
        <f>+X21/C21</f>
        <v>0.56020721006448881</v>
      </c>
      <c r="AA21" s="234"/>
      <c r="AB21" s="194"/>
      <c r="AC21" s="194"/>
      <c r="AD21" s="194"/>
      <c r="AE21" s="194"/>
      <c r="AF21" s="194"/>
      <c r="AG21" s="194"/>
      <c r="AH21" s="194"/>
      <c r="AI21" s="194"/>
      <c r="AJ21" s="194"/>
    </row>
    <row r="22" spans="1:36" ht="15" x14ac:dyDescent="0.35">
      <c r="A22" s="152"/>
      <c r="B22" s="156">
        <f>SUM(B10:B21)</f>
        <v>13881.82</v>
      </c>
      <c r="C22" s="409">
        <f>SUM(C10:C21)</f>
        <v>1124.82</v>
      </c>
      <c r="D22" s="156">
        <f>SUM(D10:D21)</f>
        <v>12757</v>
      </c>
      <c r="E22" s="156"/>
      <c r="F22" s="156">
        <f>SUM(F10:F21)</f>
        <v>9864.69</v>
      </c>
      <c r="G22" s="158">
        <f t="shared" si="2"/>
        <v>0.77327663243709344</v>
      </c>
      <c r="H22" s="157">
        <f>SUM(H10:H21)</f>
        <v>605.38</v>
      </c>
      <c r="I22" s="158">
        <f t="shared" si="3"/>
        <v>0.53820166782240719</v>
      </c>
      <c r="J22" s="158">
        <f>+J42/$D$42</f>
        <v>0</v>
      </c>
      <c r="K22" s="158">
        <f t="shared" ref="K22:T22" si="5">+K42/$D$42</f>
        <v>0.45431412009093047</v>
      </c>
      <c r="L22" s="158">
        <f t="shared" si="5"/>
        <v>0.27834075378223716</v>
      </c>
      <c r="M22" s="158">
        <f t="shared" si="5"/>
        <v>9.4985656502312443E-3</v>
      </c>
      <c r="N22" s="158">
        <f t="shared" si="5"/>
        <v>0.11300267029865954</v>
      </c>
      <c r="O22" s="158">
        <f t="shared" si="5"/>
        <v>1.1874796111938542E-2</v>
      </c>
      <c r="P22" s="158">
        <f t="shared" si="5"/>
        <v>2.0076455828172766E-2</v>
      </c>
      <c r="Q22" s="158">
        <f t="shared" si="5"/>
        <v>3.7309531237751819E-3</v>
      </c>
      <c r="R22" s="158">
        <f t="shared" si="5"/>
        <v>3.7975709806380808E-3</v>
      </c>
      <c r="S22" s="158">
        <f t="shared" si="5"/>
        <v>3.3494367014188292E-3</v>
      </c>
      <c r="T22" s="158">
        <f t="shared" si="5"/>
        <v>0.10201467743199812</v>
      </c>
      <c r="V22" s="160"/>
      <c r="W22" s="160"/>
      <c r="X22" s="157">
        <f>SUM(X10:X21)</f>
        <v>609.89</v>
      </c>
      <c r="Y22" s="158">
        <f>+X22/C22</f>
        <v>0.54221119823616226</v>
      </c>
    </row>
    <row r="23" spans="1:36" x14ac:dyDescent="0.2">
      <c r="B23" s="154"/>
      <c r="C23" s="154"/>
      <c r="X23" s="159"/>
    </row>
    <row r="24" spans="1:36" x14ac:dyDescent="0.2">
      <c r="B24" s="161"/>
      <c r="C24" s="161"/>
      <c r="D24" s="161"/>
      <c r="E24" s="161"/>
      <c r="F24" s="161"/>
      <c r="G24" s="161"/>
      <c r="H24" s="161"/>
      <c r="I24" s="161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X24" s="159"/>
    </row>
    <row r="26" spans="1:36" ht="15" x14ac:dyDescent="0.2">
      <c r="D26" s="2" t="s">
        <v>105</v>
      </c>
      <c r="E26" s="368"/>
      <c r="F26" s="368"/>
      <c r="G26" s="368"/>
      <c r="H26" s="368"/>
      <c r="I26" s="368"/>
      <c r="J26" s="407" t="s">
        <v>107</v>
      </c>
      <c r="K26" s="407"/>
      <c r="L26" s="407"/>
      <c r="M26" s="407"/>
      <c r="N26" s="407"/>
      <c r="O26" s="407"/>
      <c r="P26" s="407"/>
      <c r="Q26" s="407"/>
      <c r="R26" s="407"/>
      <c r="S26" s="407"/>
      <c r="T26" s="407"/>
    </row>
    <row r="27" spans="1:36" x14ac:dyDescent="0.2">
      <c r="D27" s="2" t="s">
        <v>106</v>
      </c>
      <c r="E27" s="368"/>
      <c r="F27" s="368"/>
      <c r="G27" s="368"/>
      <c r="H27" s="368"/>
      <c r="I27" s="368"/>
      <c r="J27" s="41" t="s">
        <v>102</v>
      </c>
      <c r="K27" s="41" t="s">
        <v>46</v>
      </c>
      <c r="L27" s="41"/>
      <c r="M27" s="41" t="s">
        <v>1</v>
      </c>
      <c r="N27" s="41"/>
      <c r="O27" s="41" t="s">
        <v>47</v>
      </c>
      <c r="P27" s="41"/>
      <c r="Q27" s="41" t="s">
        <v>2</v>
      </c>
      <c r="R27" s="41" t="s">
        <v>2</v>
      </c>
      <c r="S27" s="41" t="s">
        <v>48</v>
      </c>
    </row>
    <row r="28" spans="1:36" x14ac:dyDescent="0.2">
      <c r="C28" s="154"/>
      <c r="D28" s="10" t="s">
        <v>0</v>
      </c>
      <c r="E28" s="10"/>
      <c r="F28" s="10"/>
      <c r="G28" s="10"/>
      <c r="H28" s="10"/>
      <c r="I28" s="10"/>
      <c r="J28" s="42" t="s">
        <v>96</v>
      </c>
      <c r="K28" s="42" t="s">
        <v>49</v>
      </c>
      <c r="L28" s="42" t="s">
        <v>50</v>
      </c>
      <c r="M28" s="42" t="s">
        <v>51</v>
      </c>
      <c r="N28" s="42" t="s">
        <v>4</v>
      </c>
      <c r="O28" s="42" t="s">
        <v>52</v>
      </c>
      <c r="P28" s="42" t="s">
        <v>3</v>
      </c>
      <c r="Q28" s="42" t="s">
        <v>53</v>
      </c>
      <c r="R28" s="42" t="s">
        <v>54</v>
      </c>
      <c r="S28" s="42" t="s">
        <v>55</v>
      </c>
      <c r="T28" s="61" t="s">
        <v>90</v>
      </c>
    </row>
    <row r="29" spans="1:36" x14ac:dyDescent="0.2">
      <c r="C29" s="154"/>
      <c r="D29" s="154"/>
      <c r="E29" s="154"/>
      <c r="F29" s="154"/>
      <c r="G29" s="154"/>
      <c r="H29" s="154"/>
      <c r="I29" s="154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61"/>
    </row>
    <row r="30" spans="1:36" x14ac:dyDescent="0.2">
      <c r="A30" s="152" t="s">
        <v>134</v>
      </c>
      <c r="C30" s="154"/>
      <c r="D30" s="161">
        <f t="shared" ref="D30:D41" si="6">SUM(J30:T30)</f>
        <v>959.59000000000015</v>
      </c>
      <c r="E30" s="161"/>
      <c r="F30" s="161"/>
      <c r="G30" s="161"/>
      <c r="H30" s="161"/>
      <c r="I30" s="161"/>
      <c r="J30" s="161">
        <f t="shared" ref="J30:T30" si="7">+$D10*J10</f>
        <v>0</v>
      </c>
      <c r="K30" s="161">
        <f t="shared" si="7"/>
        <v>462.13854400000008</v>
      </c>
      <c r="L30" s="161">
        <f t="shared" si="7"/>
        <v>233.85208300000002</v>
      </c>
      <c r="M30" s="161">
        <f t="shared" si="7"/>
        <v>8.2524740000000012</v>
      </c>
      <c r="N30" s="161">
        <f t="shared" si="7"/>
        <v>111.31244000000002</v>
      </c>
      <c r="O30" s="161">
        <f t="shared" si="7"/>
        <v>11.035285000000002</v>
      </c>
      <c r="P30" s="161">
        <f t="shared" si="7"/>
        <v>19.383718000000002</v>
      </c>
      <c r="Q30" s="161">
        <f t="shared" si="7"/>
        <v>4.5100730000000011</v>
      </c>
      <c r="R30" s="161">
        <f t="shared" si="7"/>
        <v>4.030278</v>
      </c>
      <c r="S30" s="161">
        <f t="shared" si="7"/>
        <v>1.6313030000000002</v>
      </c>
      <c r="T30" s="161">
        <f t="shared" si="7"/>
        <v>103.44380199999992</v>
      </c>
    </row>
    <row r="31" spans="1:36" x14ac:dyDescent="0.2">
      <c r="A31" s="152" t="s">
        <v>35</v>
      </c>
      <c r="C31" s="154"/>
      <c r="D31" s="161">
        <f t="shared" si="6"/>
        <v>1078.48</v>
      </c>
      <c r="E31" s="161"/>
      <c r="F31" s="161"/>
      <c r="G31" s="161"/>
      <c r="H31" s="161"/>
      <c r="I31" s="161"/>
      <c r="J31" s="161">
        <f t="shared" ref="J31:T31" si="8">+$D11*J11</f>
        <v>0</v>
      </c>
      <c r="K31" s="161">
        <f t="shared" si="8"/>
        <v>500.63041600000003</v>
      </c>
      <c r="L31" s="161">
        <f t="shared" si="8"/>
        <v>276.84581600000001</v>
      </c>
      <c r="M31" s="161">
        <f t="shared" si="8"/>
        <v>9.8141680000000004</v>
      </c>
      <c r="N31" s="161">
        <f t="shared" si="8"/>
        <v>123.270264</v>
      </c>
      <c r="O31" s="161">
        <f t="shared" si="8"/>
        <v>14.020239999999999</v>
      </c>
      <c r="P31" s="161">
        <f t="shared" si="8"/>
        <v>20.922512000000001</v>
      </c>
      <c r="Q31" s="161">
        <f t="shared" si="8"/>
        <v>4.6374640000000005</v>
      </c>
      <c r="R31" s="161">
        <f t="shared" si="8"/>
        <v>4.3139200000000004</v>
      </c>
      <c r="S31" s="161">
        <f t="shared" si="8"/>
        <v>2.911896</v>
      </c>
      <c r="T31" s="161">
        <f t="shared" si="8"/>
        <v>121.11330400000007</v>
      </c>
    </row>
    <row r="32" spans="1:36" x14ac:dyDescent="0.2">
      <c r="A32" s="152" t="s">
        <v>36</v>
      </c>
      <c r="C32" s="154"/>
      <c r="D32" s="161">
        <f t="shared" si="6"/>
        <v>1121.7000000000003</v>
      </c>
      <c r="E32" s="161"/>
      <c r="F32" s="161"/>
      <c r="G32" s="161"/>
      <c r="H32" s="161"/>
      <c r="I32" s="161"/>
      <c r="J32" s="161">
        <f t="shared" ref="J32:T32" si="9">+$D12*J12</f>
        <v>0</v>
      </c>
      <c r="K32" s="161">
        <f t="shared" si="9"/>
        <v>537.18213000000003</v>
      </c>
      <c r="L32" s="161">
        <f t="shared" si="9"/>
        <v>281.21019000000001</v>
      </c>
      <c r="M32" s="161">
        <f t="shared" si="9"/>
        <v>9.4222800000000007</v>
      </c>
      <c r="N32" s="161">
        <f t="shared" si="9"/>
        <v>130.34154000000001</v>
      </c>
      <c r="O32" s="161">
        <f t="shared" si="9"/>
        <v>13.79691</v>
      </c>
      <c r="P32" s="161">
        <f t="shared" si="9"/>
        <v>18.62022</v>
      </c>
      <c r="Q32" s="161">
        <f t="shared" si="9"/>
        <v>4.2624599999999999</v>
      </c>
      <c r="R32" s="161">
        <f t="shared" si="9"/>
        <v>4.3746299999999998</v>
      </c>
      <c r="S32" s="161">
        <f t="shared" si="9"/>
        <v>1.00953</v>
      </c>
      <c r="T32" s="161">
        <f t="shared" si="9"/>
        <v>121.48011000000008</v>
      </c>
    </row>
    <row r="33" spans="1:20" x14ac:dyDescent="0.2">
      <c r="A33" s="152" t="s">
        <v>37</v>
      </c>
      <c r="C33" s="154"/>
      <c r="D33" s="161">
        <f t="shared" si="6"/>
        <v>1163.6100000000001</v>
      </c>
      <c r="E33" s="161"/>
      <c r="F33" s="161"/>
      <c r="G33" s="161"/>
      <c r="H33" s="161"/>
      <c r="I33" s="161"/>
      <c r="J33" s="161">
        <f t="shared" ref="J33:T33" si="10">+$D13*J13</f>
        <v>0</v>
      </c>
      <c r="K33" s="161">
        <f t="shared" si="10"/>
        <v>608.45166900000015</v>
      </c>
      <c r="L33" s="161">
        <f t="shared" si="10"/>
        <v>260.88136200000002</v>
      </c>
      <c r="M33" s="161">
        <f t="shared" si="10"/>
        <v>8.8434360000000005</v>
      </c>
      <c r="N33" s="161">
        <f t="shared" si="10"/>
        <v>127.41529500000001</v>
      </c>
      <c r="O33" s="161">
        <f t="shared" si="10"/>
        <v>14.079681000000001</v>
      </c>
      <c r="P33" s="161">
        <f t="shared" si="10"/>
        <v>18.152316000000003</v>
      </c>
      <c r="Q33" s="161">
        <f t="shared" si="10"/>
        <v>3.8399130000000006</v>
      </c>
      <c r="R33" s="161">
        <f t="shared" si="10"/>
        <v>3.0253860000000001</v>
      </c>
      <c r="S33" s="161">
        <f t="shared" si="10"/>
        <v>1.6290540000000002</v>
      </c>
      <c r="T33" s="161">
        <f t="shared" si="10"/>
        <v>117.29188799999989</v>
      </c>
    </row>
    <row r="34" spans="1:20" x14ac:dyDescent="0.2">
      <c r="A34" s="152" t="s">
        <v>135</v>
      </c>
      <c r="C34" s="154"/>
      <c r="D34" s="161">
        <f t="shared" si="6"/>
        <v>1268.56</v>
      </c>
      <c r="E34" s="161"/>
      <c r="F34" s="161"/>
      <c r="G34" s="161"/>
      <c r="H34" s="161"/>
      <c r="I34" s="161"/>
      <c r="J34" s="161">
        <f t="shared" ref="J34:T34" si="11">+$D14*J14</f>
        <v>0</v>
      </c>
      <c r="K34" s="161">
        <f t="shared" si="11"/>
        <v>672.20994400000006</v>
      </c>
      <c r="L34" s="161">
        <f t="shared" si="11"/>
        <v>292.27622399999996</v>
      </c>
      <c r="M34" s="161">
        <f t="shared" si="11"/>
        <v>8.499352</v>
      </c>
      <c r="N34" s="161">
        <f t="shared" si="11"/>
        <v>133.57936799999999</v>
      </c>
      <c r="O34" s="161">
        <f t="shared" si="11"/>
        <v>12.431887999999999</v>
      </c>
      <c r="P34" s="161">
        <f t="shared" si="11"/>
        <v>19.662679999999998</v>
      </c>
      <c r="Q34" s="161">
        <f t="shared" si="11"/>
        <v>4.0593919999999999</v>
      </c>
      <c r="R34" s="161">
        <f t="shared" si="11"/>
        <v>3.9325359999999998</v>
      </c>
      <c r="S34" s="161">
        <f t="shared" si="11"/>
        <v>3.8056799999999997</v>
      </c>
      <c r="T34" s="161">
        <f t="shared" si="11"/>
        <v>118.10293599999994</v>
      </c>
    </row>
    <row r="35" spans="1:20" x14ac:dyDescent="0.2">
      <c r="A35" s="152" t="s">
        <v>38</v>
      </c>
      <c r="C35" s="154"/>
      <c r="D35" s="161">
        <f t="shared" si="6"/>
        <v>876.43999999999971</v>
      </c>
      <c r="E35" s="161"/>
      <c r="F35" s="161"/>
      <c r="G35" s="161"/>
      <c r="H35" s="161"/>
      <c r="I35" s="161"/>
      <c r="J35" s="161">
        <f t="shared" ref="J35:T35" si="12">+$D15*J15</f>
        <v>0</v>
      </c>
      <c r="K35" s="161">
        <f t="shared" si="12"/>
        <v>439.35937199999995</v>
      </c>
      <c r="L35" s="161">
        <f t="shared" si="12"/>
        <v>194.92025599999997</v>
      </c>
      <c r="M35" s="161">
        <f t="shared" si="12"/>
        <v>7.1868080000000001</v>
      </c>
      <c r="N35" s="161">
        <f t="shared" si="12"/>
        <v>115.51479199999999</v>
      </c>
      <c r="O35" s="161">
        <f t="shared" si="12"/>
        <v>11.043144</v>
      </c>
      <c r="P35" s="161">
        <f t="shared" si="12"/>
        <v>15.250055999999997</v>
      </c>
      <c r="Q35" s="161">
        <f t="shared" si="12"/>
        <v>3.50576</v>
      </c>
      <c r="R35" s="161">
        <f t="shared" si="12"/>
        <v>1.6652359999999999</v>
      </c>
      <c r="S35" s="161">
        <f t="shared" si="12"/>
        <v>1.402304</v>
      </c>
      <c r="T35" s="161">
        <f t="shared" si="12"/>
        <v>86.592271999999895</v>
      </c>
    </row>
    <row r="36" spans="1:20" x14ac:dyDescent="0.2">
      <c r="A36" s="152" t="s">
        <v>39</v>
      </c>
      <c r="C36" s="154"/>
      <c r="D36" s="161">
        <f t="shared" si="6"/>
        <v>829.51</v>
      </c>
      <c r="E36" s="161"/>
      <c r="F36" s="161"/>
      <c r="G36" s="161"/>
      <c r="H36" s="161"/>
      <c r="I36" s="161"/>
      <c r="J36" s="161">
        <f t="shared" ref="J36:T36" si="13">+$D16*J16</f>
        <v>0</v>
      </c>
      <c r="K36" s="161">
        <f t="shared" si="13"/>
        <v>372.11818599999998</v>
      </c>
      <c r="L36" s="161">
        <f t="shared" si="13"/>
        <v>220.73261099999999</v>
      </c>
      <c r="M36" s="161">
        <f t="shared" si="13"/>
        <v>8.3780509999999992</v>
      </c>
      <c r="N36" s="161">
        <f t="shared" si="13"/>
        <v>100.619563</v>
      </c>
      <c r="O36" s="161">
        <f t="shared" si="13"/>
        <v>11.861993</v>
      </c>
      <c r="P36" s="161">
        <f t="shared" si="13"/>
        <v>17.253807999999999</v>
      </c>
      <c r="Q36" s="161">
        <f t="shared" si="13"/>
        <v>3.4009910000000003</v>
      </c>
      <c r="R36" s="161">
        <f t="shared" si="13"/>
        <v>2.8203339999999999</v>
      </c>
      <c r="S36" s="161">
        <f t="shared" si="13"/>
        <v>6.6360799999999998</v>
      </c>
      <c r="T36" s="161">
        <f t="shared" si="13"/>
        <v>85.688383000000044</v>
      </c>
    </row>
    <row r="37" spans="1:20" x14ac:dyDescent="0.2">
      <c r="A37" s="152" t="s">
        <v>40</v>
      </c>
      <c r="C37" s="154"/>
      <c r="D37" s="161">
        <f t="shared" si="6"/>
        <v>1073.1600000000001</v>
      </c>
      <c r="E37" s="161"/>
      <c r="F37" s="161"/>
      <c r="G37" s="161"/>
      <c r="H37" s="161"/>
      <c r="I37" s="161"/>
      <c r="J37" s="161">
        <f t="shared" ref="J37:T37" si="14">+$D17*J17</f>
        <v>0</v>
      </c>
      <c r="K37" s="161">
        <f t="shared" si="14"/>
        <v>499.87792800000005</v>
      </c>
      <c r="L37" s="161">
        <f t="shared" si="14"/>
        <v>276.982596</v>
      </c>
      <c r="M37" s="161">
        <f t="shared" si="14"/>
        <v>9.1218600000000016</v>
      </c>
      <c r="N37" s="161">
        <f t="shared" si="14"/>
        <v>125.66703600000001</v>
      </c>
      <c r="O37" s="161">
        <f t="shared" si="14"/>
        <v>11.160864</v>
      </c>
      <c r="P37" s="161">
        <f t="shared" si="14"/>
        <v>18.565668000000002</v>
      </c>
      <c r="Q37" s="161">
        <f t="shared" si="14"/>
        <v>3.0048480000000004</v>
      </c>
      <c r="R37" s="161">
        <f t="shared" si="14"/>
        <v>3.1121639999999999</v>
      </c>
      <c r="S37" s="161">
        <f t="shared" si="14"/>
        <v>0</v>
      </c>
      <c r="T37" s="161">
        <f t="shared" si="14"/>
        <v>125.66703600000011</v>
      </c>
    </row>
    <row r="38" spans="1:20" x14ac:dyDescent="0.2">
      <c r="A38" s="152" t="s">
        <v>10</v>
      </c>
      <c r="C38" s="154"/>
      <c r="D38" s="161">
        <f t="shared" si="6"/>
        <v>1108.8</v>
      </c>
      <c r="E38" s="161"/>
      <c r="F38" s="161"/>
      <c r="G38" s="161"/>
      <c r="H38" s="161"/>
      <c r="I38" s="161"/>
      <c r="J38" s="161">
        <f t="shared" ref="J38:T38" si="15">+$D18*J18</f>
        <v>0</v>
      </c>
      <c r="K38" s="161">
        <f t="shared" si="15"/>
        <v>426.99887999999999</v>
      </c>
      <c r="L38" s="161">
        <f t="shared" si="15"/>
        <v>359.14032000000003</v>
      </c>
      <c r="M38" s="161">
        <f t="shared" si="15"/>
        <v>10.866239999999999</v>
      </c>
      <c r="N38" s="161">
        <f t="shared" si="15"/>
        <v>132.05807999999999</v>
      </c>
      <c r="O38" s="161">
        <f t="shared" si="15"/>
        <v>13.86</v>
      </c>
      <c r="P38" s="161">
        <f t="shared" si="15"/>
        <v>26.38944</v>
      </c>
      <c r="Q38" s="161">
        <f t="shared" si="15"/>
        <v>5.322239999999999</v>
      </c>
      <c r="R38" s="161">
        <f t="shared" si="15"/>
        <v>5.6548800000000004</v>
      </c>
      <c r="S38" s="161">
        <f t="shared" si="15"/>
        <v>5.5439999999999996</v>
      </c>
      <c r="T38" s="161">
        <f t="shared" si="15"/>
        <v>122.96591999999987</v>
      </c>
    </row>
    <row r="39" spans="1:20" x14ac:dyDescent="0.2">
      <c r="A39" s="152" t="s">
        <v>41</v>
      </c>
      <c r="C39" s="155"/>
      <c r="D39" s="161">
        <f t="shared" si="6"/>
        <v>998.70999999999992</v>
      </c>
      <c r="E39" s="161"/>
      <c r="F39" s="161"/>
      <c r="G39" s="161"/>
      <c r="H39" s="161"/>
      <c r="I39" s="161"/>
      <c r="J39" s="161">
        <f t="shared" ref="J39:T39" si="16">+$D19*J19</f>
        <v>0</v>
      </c>
      <c r="K39" s="161">
        <f t="shared" si="16"/>
        <v>384.00399499999997</v>
      </c>
      <c r="L39" s="161">
        <f t="shared" si="16"/>
        <v>343.15675599999997</v>
      </c>
      <c r="M39" s="161">
        <f t="shared" si="16"/>
        <v>11.285422999999998</v>
      </c>
      <c r="N39" s="161">
        <f t="shared" si="16"/>
        <v>109.15900299999998</v>
      </c>
      <c r="O39" s="161">
        <f t="shared" si="16"/>
        <v>12.683616999999998</v>
      </c>
      <c r="P39" s="161">
        <f t="shared" si="16"/>
        <v>23.669426999999995</v>
      </c>
      <c r="Q39" s="161">
        <f t="shared" si="16"/>
        <v>3.9948399999999999</v>
      </c>
      <c r="R39" s="161">
        <f t="shared" si="16"/>
        <v>5.4929049999999995</v>
      </c>
      <c r="S39" s="161">
        <f t="shared" si="16"/>
        <v>7.8898090000000005</v>
      </c>
      <c r="T39" s="161">
        <f t="shared" si="16"/>
        <v>97.374225000000024</v>
      </c>
    </row>
    <row r="40" spans="1:20" x14ac:dyDescent="0.2">
      <c r="A40" s="152" t="s">
        <v>42</v>
      </c>
      <c r="C40" s="157"/>
      <c r="D40" s="161">
        <f t="shared" si="6"/>
        <v>1148.1799999999998</v>
      </c>
      <c r="E40" s="161"/>
      <c r="F40" s="161"/>
      <c r="G40" s="161"/>
      <c r="H40" s="161"/>
      <c r="I40" s="161"/>
      <c r="J40" s="161">
        <f t="shared" ref="J40:T40" si="17">+$D20*J20</f>
        <v>0</v>
      </c>
      <c r="K40" s="161">
        <f t="shared" si="17"/>
        <v>458.46827400000001</v>
      </c>
      <c r="L40" s="161">
        <f t="shared" si="17"/>
        <v>394.85910200000001</v>
      </c>
      <c r="M40" s="161">
        <f t="shared" si="17"/>
        <v>14.696704000000002</v>
      </c>
      <c r="N40" s="161">
        <f t="shared" si="17"/>
        <v>117.803268</v>
      </c>
      <c r="O40" s="161">
        <f t="shared" si="17"/>
        <v>12.515162</v>
      </c>
      <c r="P40" s="161">
        <f t="shared" si="17"/>
        <v>31.345314000000002</v>
      </c>
      <c r="Q40" s="161">
        <f t="shared" si="17"/>
        <v>3.2149040000000002</v>
      </c>
      <c r="R40" s="161">
        <f t="shared" si="17"/>
        <v>4.9371740000000006</v>
      </c>
      <c r="S40" s="161">
        <f t="shared" si="17"/>
        <v>6.2001720000000002</v>
      </c>
      <c r="T40" s="161">
        <f t="shared" si="17"/>
        <v>104.139926</v>
      </c>
    </row>
    <row r="41" spans="1:20" ht="15" x14ac:dyDescent="0.35">
      <c r="A41" s="152" t="s">
        <v>43</v>
      </c>
      <c r="D41" s="162">
        <f t="shared" si="6"/>
        <v>1130.2599999999998</v>
      </c>
      <c r="E41" s="162"/>
      <c r="F41" s="162"/>
      <c r="G41" s="162"/>
      <c r="H41" s="162"/>
      <c r="I41" s="162"/>
      <c r="J41" s="162">
        <f t="shared" ref="J41:T41" si="18">+$D21*J21</f>
        <v>0</v>
      </c>
      <c r="K41" s="162">
        <f t="shared" si="18"/>
        <v>434.24589199999997</v>
      </c>
      <c r="L41" s="162">
        <f t="shared" si="18"/>
        <v>415.93567999999999</v>
      </c>
      <c r="M41" s="162">
        <f t="shared" si="18"/>
        <v>14.806406000000001</v>
      </c>
      <c r="N41" s="162">
        <f t="shared" si="18"/>
        <v>114.83441599999999</v>
      </c>
      <c r="O41" s="162">
        <f t="shared" si="18"/>
        <v>12.99799</v>
      </c>
      <c r="P41" s="162">
        <f t="shared" si="18"/>
        <v>26.900188</v>
      </c>
      <c r="Q41" s="162">
        <f t="shared" si="18"/>
        <v>3.8428839999999997</v>
      </c>
      <c r="R41" s="162">
        <f t="shared" si="18"/>
        <v>5.0861699999999992</v>
      </c>
      <c r="S41" s="162">
        <f t="shared" si="18"/>
        <v>4.0689359999999999</v>
      </c>
      <c r="T41" s="162">
        <f t="shared" si="18"/>
        <v>97.541438000000042</v>
      </c>
    </row>
    <row r="42" spans="1:20" ht="15" x14ac:dyDescent="0.35">
      <c r="D42" s="156">
        <f>SUM(D30:D41)</f>
        <v>12757</v>
      </c>
      <c r="E42" s="156"/>
      <c r="F42" s="156"/>
      <c r="G42" s="156"/>
      <c r="H42" s="156"/>
      <c r="I42" s="156"/>
      <c r="J42" s="156">
        <f>SUM(J30:J41)</f>
        <v>0</v>
      </c>
      <c r="K42" s="156">
        <f t="shared" ref="K42:T42" si="19">SUM(K30:K41)</f>
        <v>5795.68523</v>
      </c>
      <c r="L42" s="156">
        <f t="shared" si="19"/>
        <v>3550.7929959999997</v>
      </c>
      <c r="M42" s="156">
        <f t="shared" si="19"/>
        <v>121.17320199999999</v>
      </c>
      <c r="N42" s="156">
        <f>SUM(N30:N41)</f>
        <v>1441.5750649999998</v>
      </c>
      <c r="O42" s="156">
        <f t="shared" si="19"/>
        <v>151.48677399999997</v>
      </c>
      <c r="P42" s="156">
        <f t="shared" si="19"/>
        <v>256.11534699999999</v>
      </c>
      <c r="Q42" s="156">
        <f t="shared" si="19"/>
        <v>47.595768999999997</v>
      </c>
      <c r="R42" s="156">
        <f t="shared" si="19"/>
        <v>48.445612999999994</v>
      </c>
      <c r="S42" s="156">
        <f t="shared" si="19"/>
        <v>42.728764000000005</v>
      </c>
      <c r="T42" s="156">
        <f t="shared" si="19"/>
        <v>1301.4012399999999</v>
      </c>
    </row>
    <row r="45" spans="1:20" ht="15" x14ac:dyDescent="0.2">
      <c r="J45" s="407" t="s">
        <v>108</v>
      </c>
      <c r="K45" s="407"/>
      <c r="L45" s="407"/>
      <c r="M45" s="407"/>
      <c r="N45" s="407"/>
      <c r="O45" s="407"/>
      <c r="P45" s="407"/>
      <c r="Q45" s="407"/>
      <c r="R45" s="407"/>
      <c r="S45" s="407"/>
      <c r="T45" s="407"/>
    </row>
    <row r="46" spans="1:20" x14ac:dyDescent="0.2">
      <c r="D46" s="2" t="s">
        <v>24</v>
      </c>
      <c r="E46" s="368"/>
      <c r="F46" s="368"/>
      <c r="G46" s="368"/>
      <c r="H46" s="368"/>
      <c r="I46" s="368"/>
      <c r="J46" s="41" t="s">
        <v>102</v>
      </c>
      <c r="K46" s="41" t="s">
        <v>46</v>
      </c>
      <c r="L46" s="41"/>
      <c r="M46" s="41" t="s">
        <v>1</v>
      </c>
      <c r="N46" s="41"/>
      <c r="O46" s="41" t="s">
        <v>47</v>
      </c>
      <c r="P46" s="41"/>
      <c r="Q46" s="41" t="s">
        <v>2</v>
      </c>
      <c r="R46" s="41" t="s">
        <v>2</v>
      </c>
      <c r="S46" s="41" t="s">
        <v>48</v>
      </c>
    </row>
    <row r="47" spans="1:20" x14ac:dyDescent="0.2">
      <c r="D47" s="10" t="s">
        <v>0</v>
      </c>
      <c r="E47" s="10"/>
      <c r="F47" s="10"/>
      <c r="G47" s="10"/>
      <c r="H47" s="10"/>
      <c r="I47" s="10"/>
      <c r="J47" s="42" t="s">
        <v>96</v>
      </c>
      <c r="K47" s="42" t="s">
        <v>49</v>
      </c>
      <c r="L47" s="42" t="s">
        <v>50</v>
      </c>
      <c r="M47" s="42" t="s">
        <v>51</v>
      </c>
      <c r="N47" s="42" t="s">
        <v>4</v>
      </c>
      <c r="O47" s="42" t="s">
        <v>52</v>
      </c>
      <c r="P47" s="42" t="s">
        <v>3</v>
      </c>
      <c r="Q47" s="42" t="s">
        <v>53</v>
      </c>
      <c r="R47" s="42" t="s">
        <v>54</v>
      </c>
      <c r="S47" s="42" t="s">
        <v>55</v>
      </c>
      <c r="T47" s="61" t="s">
        <v>90</v>
      </c>
    </row>
    <row r="48" spans="1:20" x14ac:dyDescent="0.2"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61"/>
    </row>
    <row r="49" spans="1:20" x14ac:dyDescent="0.2">
      <c r="A49" s="152" t="s">
        <v>134</v>
      </c>
      <c r="C49" s="364">
        <f>+D49/D30</f>
        <v>8.7579070227909825E-2</v>
      </c>
      <c r="D49" s="161">
        <f t="shared" ref="D49:D60" si="20">SUM(J49:T49)</f>
        <v>84.04</v>
      </c>
      <c r="E49" s="161"/>
      <c r="F49" s="161"/>
      <c r="G49" s="161"/>
      <c r="H49" s="161"/>
      <c r="I49" s="161"/>
      <c r="J49" s="161">
        <f t="shared" ref="J49:T49" si="21">+$C10*J10</f>
        <v>0</v>
      </c>
      <c r="K49" s="161">
        <f t="shared" si="21"/>
        <v>40.473664000000007</v>
      </c>
      <c r="L49" s="161">
        <f t="shared" si="21"/>
        <v>20.480548000000002</v>
      </c>
      <c r="M49" s="161">
        <f t="shared" si="21"/>
        <v>0.72274400000000005</v>
      </c>
      <c r="N49" s="161">
        <f t="shared" si="21"/>
        <v>9.7486400000000017</v>
      </c>
      <c r="O49" s="161">
        <f t="shared" si="21"/>
        <v>0.9664600000000001</v>
      </c>
      <c r="P49" s="161">
        <f t="shared" si="21"/>
        <v>1.697608</v>
      </c>
      <c r="Q49" s="161">
        <f t="shared" si="21"/>
        <v>0.39498800000000006</v>
      </c>
      <c r="R49" s="161">
        <f t="shared" si="21"/>
        <v>0.352968</v>
      </c>
      <c r="S49" s="161">
        <f t="shared" si="21"/>
        <v>0.14286799999999999</v>
      </c>
      <c r="T49" s="161">
        <f t="shared" si="21"/>
        <v>9.0595119999999927</v>
      </c>
    </row>
    <row r="50" spans="1:20" x14ac:dyDescent="0.2">
      <c r="A50" s="152" t="s">
        <v>35</v>
      </c>
      <c r="C50" s="364">
        <f t="shared" ref="C50:C60" si="22">+D50/D31</f>
        <v>9.3576144202952322E-2</v>
      </c>
      <c r="D50" s="161">
        <f t="shared" si="20"/>
        <v>100.92000000000002</v>
      </c>
      <c r="E50" s="161"/>
      <c r="F50" s="161"/>
      <c r="G50" s="161"/>
      <c r="H50" s="161"/>
      <c r="I50" s="161"/>
      <c r="J50" s="161">
        <f t="shared" ref="J50:T50" si="23">+$C11*J11</f>
        <v>0</v>
      </c>
      <c r="K50" s="161">
        <f t="shared" si="23"/>
        <v>46.847064000000003</v>
      </c>
      <c r="L50" s="161">
        <f t="shared" si="23"/>
        <v>25.906164</v>
      </c>
      <c r="M50" s="161">
        <f t="shared" si="23"/>
        <v>0.91837200000000008</v>
      </c>
      <c r="N50" s="161">
        <f t="shared" si="23"/>
        <v>11.535156000000001</v>
      </c>
      <c r="O50" s="161">
        <f t="shared" si="23"/>
        <v>1.31196</v>
      </c>
      <c r="P50" s="161">
        <f t="shared" si="23"/>
        <v>1.957848</v>
      </c>
      <c r="Q50" s="161">
        <f t="shared" si="23"/>
        <v>0.43395600000000001</v>
      </c>
      <c r="R50" s="161">
        <f t="shared" si="23"/>
        <v>0.40368000000000004</v>
      </c>
      <c r="S50" s="161">
        <f t="shared" si="23"/>
        <v>0.272484</v>
      </c>
      <c r="T50" s="161">
        <f t="shared" si="23"/>
        <v>11.333316000000007</v>
      </c>
    </row>
    <row r="51" spans="1:20" x14ac:dyDescent="0.2">
      <c r="A51" s="152" t="s">
        <v>36</v>
      </c>
      <c r="C51" s="364">
        <f t="shared" si="22"/>
        <v>8.8455023624855134E-2</v>
      </c>
      <c r="D51" s="161">
        <f t="shared" si="20"/>
        <v>99.220000000000027</v>
      </c>
      <c r="E51" s="161"/>
      <c r="F51" s="161"/>
      <c r="G51" s="161"/>
      <c r="H51" s="161"/>
      <c r="I51" s="161"/>
      <c r="J51" s="161">
        <f t="shared" ref="J51:T51" si="24">+$C12*J12</f>
        <v>0</v>
      </c>
      <c r="K51" s="161">
        <f t="shared" si="24"/>
        <v>47.516458</v>
      </c>
      <c r="L51" s="161">
        <f t="shared" si="24"/>
        <v>24.874453999999997</v>
      </c>
      <c r="M51" s="161">
        <f t="shared" si="24"/>
        <v>0.83344799999999997</v>
      </c>
      <c r="N51" s="161">
        <f t="shared" si="24"/>
        <v>11.529363999999999</v>
      </c>
      <c r="O51" s="161">
        <f t="shared" si="24"/>
        <v>1.2204060000000001</v>
      </c>
      <c r="P51" s="161">
        <f t="shared" si="24"/>
        <v>1.647052</v>
      </c>
      <c r="Q51" s="161">
        <f t="shared" si="24"/>
        <v>0.37703599999999998</v>
      </c>
      <c r="R51" s="161">
        <f t="shared" si="24"/>
        <v>0.38695799999999997</v>
      </c>
      <c r="S51" s="161">
        <f t="shared" si="24"/>
        <v>8.9298000000000002E-2</v>
      </c>
      <c r="T51" s="161">
        <f t="shared" si="24"/>
        <v>10.745526000000005</v>
      </c>
    </row>
    <row r="52" spans="1:20" x14ac:dyDescent="0.2">
      <c r="A52" s="152" t="s">
        <v>37</v>
      </c>
      <c r="C52" s="364">
        <f t="shared" si="22"/>
        <v>9.0683304543618531E-2</v>
      </c>
      <c r="D52" s="161">
        <f t="shared" si="20"/>
        <v>105.51999999999997</v>
      </c>
      <c r="E52" s="161"/>
      <c r="F52" s="161"/>
      <c r="G52" s="161"/>
      <c r="H52" s="161"/>
      <c r="I52" s="161"/>
      <c r="J52" s="161">
        <f t="shared" ref="J52:T52" si="25">+$C13*J13</f>
        <v>0</v>
      </c>
      <c r="K52" s="161">
        <f t="shared" si="25"/>
        <v>55.176408000000002</v>
      </c>
      <c r="L52" s="161">
        <f t="shared" si="25"/>
        <v>23.657584</v>
      </c>
      <c r="M52" s="161">
        <f t="shared" si="25"/>
        <v>0.801952</v>
      </c>
      <c r="N52" s="161">
        <f t="shared" si="25"/>
        <v>11.55444</v>
      </c>
      <c r="O52" s="161">
        <f t="shared" si="25"/>
        <v>1.2767919999999999</v>
      </c>
      <c r="P52" s="161">
        <f t="shared" si="25"/>
        <v>1.6461119999999998</v>
      </c>
      <c r="Q52" s="161">
        <f t="shared" si="25"/>
        <v>0.34821599999999997</v>
      </c>
      <c r="R52" s="161">
        <f t="shared" si="25"/>
        <v>0.27435199999999998</v>
      </c>
      <c r="S52" s="161">
        <f t="shared" si="25"/>
        <v>0.147728</v>
      </c>
      <c r="T52" s="161">
        <f t="shared" si="25"/>
        <v>10.636415999999988</v>
      </c>
    </row>
    <row r="53" spans="1:20" x14ac:dyDescent="0.2">
      <c r="A53" s="152" t="s">
        <v>135</v>
      </c>
      <c r="C53" s="364">
        <f t="shared" si="22"/>
        <v>9.2632591284606172E-2</v>
      </c>
      <c r="D53" s="161">
        <f t="shared" si="20"/>
        <v>117.51</v>
      </c>
      <c r="E53" s="161"/>
      <c r="F53" s="161"/>
      <c r="G53" s="161"/>
      <c r="H53" s="161"/>
      <c r="I53" s="161"/>
      <c r="J53" s="161">
        <f t="shared" ref="J53:T53" si="26">+$C14*J14</f>
        <v>0</v>
      </c>
      <c r="K53" s="161">
        <f t="shared" si="26"/>
        <v>62.268549000000007</v>
      </c>
      <c r="L53" s="161">
        <f t="shared" si="26"/>
        <v>27.074304000000001</v>
      </c>
      <c r="M53" s="161">
        <f t="shared" si="26"/>
        <v>0.78731700000000004</v>
      </c>
      <c r="N53" s="161">
        <f t="shared" si="26"/>
        <v>12.373803000000001</v>
      </c>
      <c r="O53" s="161">
        <f t="shared" si="26"/>
        <v>1.1515980000000001</v>
      </c>
      <c r="P53" s="161">
        <f t="shared" si="26"/>
        <v>1.8214050000000002</v>
      </c>
      <c r="Q53" s="161">
        <f t="shared" si="26"/>
        <v>0.37603200000000003</v>
      </c>
      <c r="R53" s="161">
        <f t="shared" si="26"/>
        <v>0.36428100000000002</v>
      </c>
      <c r="S53" s="161">
        <f t="shared" si="26"/>
        <v>0.35253000000000001</v>
      </c>
      <c r="T53" s="161">
        <f t="shared" si="26"/>
        <v>10.940180999999995</v>
      </c>
    </row>
    <row r="54" spans="1:20" x14ac:dyDescent="0.2">
      <c r="A54" s="152" t="s">
        <v>38</v>
      </c>
      <c r="C54" s="364">
        <f t="shared" si="22"/>
        <v>9.0833371365980575E-2</v>
      </c>
      <c r="D54" s="161">
        <f t="shared" si="20"/>
        <v>79.609999999999985</v>
      </c>
      <c r="E54" s="161"/>
      <c r="F54" s="161"/>
      <c r="G54" s="161"/>
      <c r="H54" s="161"/>
      <c r="I54" s="161"/>
      <c r="J54" s="161">
        <f t="shared" ref="J54:T54" si="27">+$C15*J15</f>
        <v>0</v>
      </c>
      <c r="K54" s="161">
        <f t="shared" si="27"/>
        <v>39.908493</v>
      </c>
      <c r="L54" s="161">
        <f t="shared" si="27"/>
        <v>17.705264</v>
      </c>
      <c r="M54" s="161">
        <f t="shared" si="27"/>
        <v>0.6528020000000001</v>
      </c>
      <c r="N54" s="161">
        <f t="shared" si="27"/>
        <v>10.492597999999999</v>
      </c>
      <c r="O54" s="161">
        <f t="shared" si="27"/>
        <v>1.0030859999999999</v>
      </c>
      <c r="P54" s="161">
        <f t="shared" si="27"/>
        <v>1.3852139999999999</v>
      </c>
      <c r="Q54" s="161">
        <f t="shared" si="27"/>
        <v>0.31844</v>
      </c>
      <c r="R54" s="161">
        <f t="shared" si="27"/>
        <v>0.151259</v>
      </c>
      <c r="S54" s="161">
        <f t="shared" si="27"/>
        <v>0.12737600000000002</v>
      </c>
      <c r="T54" s="161">
        <f t="shared" si="27"/>
        <v>7.865467999999991</v>
      </c>
    </row>
    <row r="55" spans="1:20" x14ac:dyDescent="0.2">
      <c r="A55" s="152" t="s">
        <v>39</v>
      </c>
      <c r="C55" s="364">
        <f>+D55/D36</f>
        <v>9.1246639582404074E-2</v>
      </c>
      <c r="D55" s="161">
        <f t="shared" si="20"/>
        <v>75.69</v>
      </c>
      <c r="E55" s="161"/>
      <c r="F55" s="161"/>
      <c r="G55" s="161"/>
      <c r="H55" s="161"/>
      <c r="I55" s="161"/>
      <c r="J55" s="161">
        <f t="shared" ref="J55:T55" si="28">+$C16*J16</f>
        <v>0</v>
      </c>
      <c r="K55" s="161">
        <f t="shared" si="28"/>
        <v>33.954534000000002</v>
      </c>
      <c r="L55" s="161">
        <f t="shared" si="28"/>
        <v>20.141109</v>
      </c>
      <c r="M55" s="161">
        <f t="shared" si="28"/>
        <v>0.76446899999999995</v>
      </c>
      <c r="N55" s="161">
        <f t="shared" si="28"/>
        <v>9.1811970000000009</v>
      </c>
      <c r="O55" s="161">
        <f t="shared" si="28"/>
        <v>1.0823670000000001</v>
      </c>
      <c r="P55" s="161">
        <f t="shared" si="28"/>
        <v>1.574352</v>
      </c>
      <c r="Q55" s="161">
        <f t="shared" si="28"/>
        <v>0.31032900000000002</v>
      </c>
      <c r="R55" s="161">
        <f t="shared" si="28"/>
        <v>0.25734599999999996</v>
      </c>
      <c r="S55" s="161">
        <f t="shared" si="28"/>
        <v>0.60551999999999995</v>
      </c>
      <c r="T55" s="161">
        <f t="shared" si="28"/>
        <v>7.8187770000000043</v>
      </c>
    </row>
    <row r="56" spans="1:20" x14ac:dyDescent="0.2">
      <c r="A56" s="152" t="s">
        <v>40</v>
      </c>
      <c r="C56" s="364">
        <f t="shared" si="22"/>
        <v>9.0657497484065749E-2</v>
      </c>
      <c r="D56" s="161">
        <f t="shared" si="20"/>
        <v>97.29</v>
      </c>
      <c r="E56" s="161"/>
      <c r="F56" s="161"/>
      <c r="G56" s="161"/>
      <c r="H56" s="161"/>
      <c r="I56" s="161"/>
      <c r="J56" s="161">
        <f t="shared" ref="J56:T56" si="29">+$C17*J17</f>
        <v>0</v>
      </c>
      <c r="K56" s="161">
        <f t="shared" si="29"/>
        <v>45.317682000000005</v>
      </c>
      <c r="L56" s="161">
        <f t="shared" si="29"/>
        <v>25.110549000000002</v>
      </c>
      <c r="M56" s="161">
        <f t="shared" si="29"/>
        <v>0.82696500000000006</v>
      </c>
      <c r="N56" s="161">
        <f t="shared" si="29"/>
        <v>11.392659</v>
      </c>
      <c r="O56" s="161">
        <f t="shared" si="29"/>
        <v>1.011816</v>
      </c>
      <c r="P56" s="161">
        <f t="shared" si="29"/>
        <v>1.683117</v>
      </c>
      <c r="Q56" s="161">
        <f t="shared" si="29"/>
        <v>0.27241199999999999</v>
      </c>
      <c r="R56" s="161">
        <f t="shared" si="29"/>
        <v>0.28214099999999998</v>
      </c>
      <c r="S56" s="161">
        <f t="shared" si="29"/>
        <v>0</v>
      </c>
      <c r="T56" s="161">
        <f t="shared" si="29"/>
        <v>11.392659000000009</v>
      </c>
    </row>
    <row r="57" spans="1:20" x14ac:dyDescent="0.2">
      <c r="A57" s="152" t="s">
        <v>10</v>
      </c>
      <c r="C57" s="364">
        <f t="shared" si="22"/>
        <v>8.5669191919191923E-2</v>
      </c>
      <c r="D57" s="161">
        <f t="shared" si="20"/>
        <v>94.99</v>
      </c>
      <c r="E57" s="161"/>
      <c r="F57" s="161"/>
      <c r="G57" s="161"/>
      <c r="H57" s="161"/>
      <c r="I57" s="161"/>
      <c r="J57" s="161">
        <f t="shared" ref="J57:T57" si="30">+$C18*J18</f>
        <v>0</v>
      </c>
      <c r="K57" s="161">
        <f t="shared" si="30"/>
        <v>36.580649000000001</v>
      </c>
      <c r="L57" s="161">
        <f t="shared" si="30"/>
        <v>30.767261000000001</v>
      </c>
      <c r="M57" s="161">
        <f t="shared" si="30"/>
        <v>0.9309019999999999</v>
      </c>
      <c r="N57" s="161">
        <f t="shared" si="30"/>
        <v>11.313308999999999</v>
      </c>
      <c r="O57" s="161">
        <f t="shared" si="30"/>
        <v>1.1873750000000001</v>
      </c>
      <c r="P57" s="161">
        <f t="shared" si="30"/>
        <v>2.2607620000000002</v>
      </c>
      <c r="Q57" s="161">
        <f t="shared" si="30"/>
        <v>0.45595199999999991</v>
      </c>
      <c r="R57" s="161">
        <f t="shared" si="30"/>
        <v>0.48444900000000002</v>
      </c>
      <c r="S57" s="161">
        <f t="shared" si="30"/>
        <v>0.47494999999999998</v>
      </c>
      <c r="T57" s="161">
        <f t="shared" si="30"/>
        <v>10.534390999999989</v>
      </c>
    </row>
    <row r="58" spans="1:20" x14ac:dyDescent="0.2">
      <c r="A58" s="152" t="s">
        <v>41</v>
      </c>
      <c r="C58" s="364">
        <f t="shared" si="22"/>
        <v>7.9452493716894793E-2</v>
      </c>
      <c r="D58" s="161">
        <f t="shared" si="20"/>
        <v>79.349999999999994</v>
      </c>
      <c r="E58" s="161"/>
      <c r="F58" s="161"/>
      <c r="G58" s="161"/>
      <c r="H58" s="161"/>
      <c r="I58" s="161"/>
      <c r="J58" s="161">
        <f t="shared" ref="J58:T58" si="31">+$C19*J19</f>
        <v>0</v>
      </c>
      <c r="K58" s="161">
        <f t="shared" si="31"/>
        <v>30.510074999999997</v>
      </c>
      <c r="L58" s="161">
        <f t="shared" si="31"/>
        <v>27.264659999999999</v>
      </c>
      <c r="M58" s="161">
        <f t="shared" si="31"/>
        <v>0.89665499999999987</v>
      </c>
      <c r="N58" s="161">
        <f t="shared" si="31"/>
        <v>8.6729549999999982</v>
      </c>
      <c r="O58" s="161">
        <f t="shared" si="31"/>
        <v>1.0077449999999999</v>
      </c>
      <c r="P58" s="161">
        <f t="shared" si="31"/>
        <v>1.8805949999999998</v>
      </c>
      <c r="Q58" s="161">
        <f t="shared" si="31"/>
        <v>0.31739999999999996</v>
      </c>
      <c r="R58" s="161">
        <f t="shared" si="31"/>
        <v>0.43642499999999995</v>
      </c>
      <c r="S58" s="161">
        <f t="shared" si="31"/>
        <v>0.62686500000000001</v>
      </c>
      <c r="T58" s="161">
        <f t="shared" si="31"/>
        <v>7.7366250000000019</v>
      </c>
    </row>
    <row r="59" spans="1:20" x14ac:dyDescent="0.2">
      <c r="A59" s="152" t="s">
        <v>42</v>
      </c>
      <c r="C59" s="364">
        <f t="shared" si="22"/>
        <v>8.3688968628612234E-2</v>
      </c>
      <c r="D59" s="161">
        <f t="shared" si="20"/>
        <v>96.089999999999975</v>
      </c>
      <c r="E59" s="161"/>
      <c r="F59" s="161"/>
      <c r="G59" s="161"/>
      <c r="H59" s="161"/>
      <c r="I59" s="161"/>
      <c r="J59" s="161">
        <f t="shared" ref="J59:T59" si="32">+$C20*J20</f>
        <v>0</v>
      </c>
      <c r="K59" s="161">
        <f t="shared" si="32"/>
        <v>38.368737000000003</v>
      </c>
      <c r="L59" s="161">
        <f t="shared" si="32"/>
        <v>33.045350999999997</v>
      </c>
      <c r="M59" s="161">
        <f t="shared" si="32"/>
        <v>1.2299520000000002</v>
      </c>
      <c r="N59" s="161">
        <f t="shared" si="32"/>
        <v>9.8588339999999999</v>
      </c>
      <c r="O59" s="161">
        <f t="shared" si="32"/>
        <v>1.0473810000000001</v>
      </c>
      <c r="P59" s="161">
        <f t="shared" si="32"/>
        <v>2.6232570000000002</v>
      </c>
      <c r="Q59" s="161">
        <f t="shared" si="32"/>
        <v>0.26905200000000001</v>
      </c>
      <c r="R59" s="161">
        <f t="shared" si="32"/>
        <v>0.41318700000000003</v>
      </c>
      <c r="S59" s="161">
        <f t="shared" si="32"/>
        <v>0.51888600000000007</v>
      </c>
      <c r="T59" s="161">
        <f t="shared" si="32"/>
        <v>8.715363</v>
      </c>
    </row>
    <row r="60" spans="1:20" ht="15" x14ac:dyDescent="0.35">
      <c r="A60" s="152" t="s">
        <v>43</v>
      </c>
      <c r="C60" s="364">
        <f t="shared" si="22"/>
        <v>8.368870879266721E-2</v>
      </c>
      <c r="D60" s="162">
        <f t="shared" si="20"/>
        <v>94.590000000000018</v>
      </c>
      <c r="E60" s="162"/>
      <c r="F60" s="162"/>
      <c r="G60" s="162"/>
      <c r="H60" s="162"/>
      <c r="I60" s="162"/>
      <c r="J60" s="162">
        <f t="shared" ref="J60:T60" si="33">+$C21*J21</f>
        <v>0</v>
      </c>
      <c r="K60" s="162">
        <f t="shared" si="33"/>
        <v>36.341478000000002</v>
      </c>
      <c r="L60" s="162">
        <f t="shared" si="33"/>
        <v>34.80912</v>
      </c>
      <c r="M60" s="162">
        <f t="shared" si="33"/>
        <v>1.2391290000000001</v>
      </c>
      <c r="N60" s="162">
        <f t="shared" si="33"/>
        <v>9.6103439999999996</v>
      </c>
      <c r="O60" s="162">
        <f t="shared" si="33"/>
        <v>1.087785</v>
      </c>
      <c r="P60" s="162">
        <f t="shared" si="33"/>
        <v>2.2512420000000004</v>
      </c>
      <c r="Q60" s="162">
        <f t="shared" si="33"/>
        <v>0.321606</v>
      </c>
      <c r="R60" s="162">
        <f t="shared" si="33"/>
        <v>0.42565500000000001</v>
      </c>
      <c r="S60" s="162">
        <f t="shared" si="33"/>
        <v>0.34052399999999999</v>
      </c>
      <c r="T60" s="162">
        <f t="shared" si="33"/>
        <v>8.1631170000000051</v>
      </c>
    </row>
    <row r="61" spans="1:20" ht="15" x14ac:dyDescent="0.35">
      <c r="D61" s="156">
        <f>SUM(D49:D60)</f>
        <v>1124.82</v>
      </c>
      <c r="E61" s="156"/>
      <c r="F61" s="156"/>
      <c r="G61" s="156"/>
      <c r="H61" s="156"/>
      <c r="I61" s="156"/>
      <c r="J61" s="156">
        <f>SUM(J49:J60)</f>
        <v>0</v>
      </c>
      <c r="K61" s="156">
        <f t="shared" ref="K61:T61" si="34">SUM(K49:K60)</f>
        <v>513.26379100000008</v>
      </c>
      <c r="L61" s="156">
        <f t="shared" si="34"/>
        <v>310.83636799999999</v>
      </c>
      <c r="M61" s="156">
        <f t="shared" si="34"/>
        <v>10.604707000000001</v>
      </c>
      <c r="N61" s="156">
        <f>SUM(N49:N60)</f>
        <v>127.263299</v>
      </c>
      <c r="O61" s="156">
        <f t="shared" si="34"/>
        <v>13.354770999999998</v>
      </c>
      <c r="P61" s="156">
        <f t="shared" si="34"/>
        <v>22.428563999999998</v>
      </c>
      <c r="Q61" s="156">
        <f t="shared" si="34"/>
        <v>4.1954189999999993</v>
      </c>
      <c r="R61" s="156">
        <f t="shared" si="34"/>
        <v>4.2327009999999996</v>
      </c>
      <c r="S61" s="156">
        <f t="shared" si="34"/>
        <v>3.6990289999999995</v>
      </c>
      <c r="T61" s="156">
        <f t="shared" si="34"/>
        <v>114.94135099999998</v>
      </c>
    </row>
  </sheetData>
  <mergeCells count="4">
    <mergeCell ref="J26:T26"/>
    <mergeCell ref="J45:T45"/>
    <mergeCell ref="B5:D5"/>
    <mergeCell ref="F5:I5"/>
  </mergeCells>
  <pageMargins left="0.45" right="0.5" top="0.5" bottom="0.5" header="0.3" footer="0.3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5"/>
  <sheetViews>
    <sheetView tabSelected="1" workbookViewId="0">
      <selection activeCell="M14" sqref="M14"/>
    </sheetView>
  </sheetViews>
  <sheetFormatPr defaultRowHeight="12.75" x14ac:dyDescent="0.2"/>
  <cols>
    <col min="1" max="1" width="18.140625" bestFit="1" customWidth="1"/>
    <col min="2" max="2" width="14.42578125" customWidth="1"/>
    <col min="3" max="3" width="12.7109375" bestFit="1" customWidth="1"/>
    <col min="4" max="4" width="9" customWidth="1"/>
    <col min="5" max="5" width="10.42578125" bestFit="1" customWidth="1"/>
    <col min="6" max="6" width="8.7109375" bestFit="1" customWidth="1"/>
    <col min="7" max="7" width="8.85546875" bestFit="1" customWidth="1"/>
    <col min="8" max="9" width="10.28515625" bestFit="1" customWidth="1"/>
    <col min="10" max="10" width="8.85546875" bestFit="1" customWidth="1"/>
    <col min="11" max="11" width="11" bestFit="1" customWidth="1"/>
    <col min="12" max="12" width="4" customWidth="1"/>
    <col min="13" max="13" width="5" customWidth="1"/>
  </cols>
  <sheetData>
    <row r="1" spans="1:18" ht="26.25" x14ac:dyDescent="0.4">
      <c r="A1" s="149" t="s">
        <v>18</v>
      </c>
    </row>
    <row r="2" spans="1:18" ht="15" x14ac:dyDescent="0.25">
      <c r="A2" s="151" t="s">
        <v>127</v>
      </c>
    </row>
    <row r="3" spans="1:18" ht="15" x14ac:dyDescent="0.25">
      <c r="A3" s="151"/>
    </row>
    <row r="4" spans="1:18" ht="15" x14ac:dyDescent="0.25">
      <c r="A4" s="151"/>
    </row>
    <row r="6" spans="1:18" x14ac:dyDescent="0.2">
      <c r="A6" s="236" t="s">
        <v>84</v>
      </c>
      <c r="B6" s="53" t="s">
        <v>85</v>
      </c>
      <c r="C6" s="54"/>
      <c r="D6" s="54"/>
      <c r="E6" s="55"/>
      <c r="F6" s="54"/>
      <c r="G6" s="54"/>
      <c r="H6" s="54"/>
      <c r="I6" s="55" t="s">
        <v>53</v>
      </c>
      <c r="J6" s="55" t="s">
        <v>54</v>
      </c>
      <c r="K6" s="55" t="s">
        <v>48</v>
      </c>
    </row>
    <row r="7" spans="1:18" x14ac:dyDescent="0.2">
      <c r="A7" s="56"/>
      <c r="B7" s="57" t="s">
        <v>86</v>
      </c>
      <c r="C7" s="57" t="s">
        <v>87</v>
      </c>
      <c r="D7" s="57" t="s">
        <v>50</v>
      </c>
      <c r="E7" s="57" t="s">
        <v>88</v>
      </c>
      <c r="F7" s="57" t="s">
        <v>4</v>
      </c>
      <c r="G7" s="57" t="s">
        <v>52</v>
      </c>
      <c r="H7" s="57" t="s">
        <v>3</v>
      </c>
      <c r="I7" s="57" t="s">
        <v>2</v>
      </c>
      <c r="J7" s="57" t="s">
        <v>2</v>
      </c>
      <c r="K7" s="55" t="s">
        <v>89</v>
      </c>
    </row>
    <row r="8" spans="1:18" x14ac:dyDescent="0.2">
      <c r="A8" s="58"/>
      <c r="B8" s="59"/>
      <c r="C8" s="58"/>
      <c r="D8" s="58"/>
      <c r="E8" s="58"/>
      <c r="F8" s="58"/>
      <c r="G8" s="58"/>
      <c r="H8" s="58"/>
      <c r="I8" s="58"/>
      <c r="J8" s="58"/>
      <c r="K8" s="58"/>
    </row>
    <row r="9" spans="1:18" x14ac:dyDescent="0.2">
      <c r="A9" s="235">
        <v>43344</v>
      </c>
      <c r="B9" s="147">
        <v>0</v>
      </c>
      <c r="C9" s="147">
        <v>11.23</v>
      </c>
      <c r="D9" s="147">
        <v>114.26</v>
      </c>
      <c r="E9" s="147">
        <v>1434.19</v>
      </c>
      <c r="F9" s="147">
        <v>-53.34</v>
      </c>
      <c r="G9" s="147">
        <v>160.37</v>
      </c>
      <c r="H9" s="147">
        <v>179.46</v>
      </c>
      <c r="I9" s="147">
        <v>700</v>
      </c>
      <c r="J9" s="147">
        <v>280</v>
      </c>
      <c r="K9" s="147">
        <v>-140</v>
      </c>
      <c r="O9" s="38"/>
    </row>
    <row r="10" spans="1:18" x14ac:dyDescent="0.2">
      <c r="A10" s="235">
        <v>43374</v>
      </c>
      <c r="B10" s="147">
        <v>0</v>
      </c>
      <c r="C10" s="147">
        <v>15.22</v>
      </c>
      <c r="D10" s="147">
        <v>118.27</v>
      </c>
      <c r="E10" s="147">
        <v>1250.8399999999999</v>
      </c>
      <c r="F10" s="147">
        <v>-53.34</v>
      </c>
      <c r="G10" s="147">
        <v>172.35</v>
      </c>
      <c r="H10" s="147">
        <v>161.75</v>
      </c>
      <c r="I10" s="147">
        <v>750</v>
      </c>
      <c r="J10" s="147">
        <v>310</v>
      </c>
      <c r="K10" s="147">
        <v>-140</v>
      </c>
      <c r="O10" s="38"/>
    </row>
    <row r="11" spans="1:18" x14ac:dyDescent="0.2">
      <c r="A11" s="235">
        <v>43405</v>
      </c>
      <c r="B11" s="147">
        <v>0</v>
      </c>
      <c r="C11" s="147">
        <v>15.08</v>
      </c>
      <c r="D11" s="147">
        <v>122.4</v>
      </c>
      <c r="E11" s="147">
        <v>971.05</v>
      </c>
      <c r="F11" s="147">
        <v>-53.34</v>
      </c>
      <c r="G11" s="147">
        <v>173.01</v>
      </c>
      <c r="H11" s="147">
        <v>160</v>
      </c>
      <c r="I11" s="147">
        <v>760</v>
      </c>
      <c r="J11" s="147">
        <v>360</v>
      </c>
      <c r="K11" s="147">
        <v>-140</v>
      </c>
    </row>
    <row r="12" spans="1:18" x14ac:dyDescent="0.2">
      <c r="A12" s="235">
        <v>43435</v>
      </c>
      <c r="B12" s="147">
        <v>0</v>
      </c>
      <c r="C12" s="147">
        <v>12.6</v>
      </c>
      <c r="D12" s="147">
        <v>119.99</v>
      </c>
      <c r="E12" s="147">
        <v>1120.57</v>
      </c>
      <c r="F12" s="147">
        <v>-53.34</v>
      </c>
      <c r="G12" s="147">
        <v>169.96</v>
      </c>
      <c r="H12" s="147">
        <v>160</v>
      </c>
      <c r="I12" s="147">
        <v>710</v>
      </c>
      <c r="J12" s="147">
        <v>350</v>
      </c>
      <c r="K12" s="147">
        <v>-140</v>
      </c>
    </row>
    <row r="13" spans="1:18" x14ac:dyDescent="0.2">
      <c r="A13" s="235">
        <v>43466</v>
      </c>
      <c r="B13" s="147">
        <v>0</v>
      </c>
      <c r="C13" s="147">
        <v>11.75</v>
      </c>
      <c r="D13" s="147">
        <v>113.75</v>
      </c>
      <c r="E13" s="147">
        <v>1153.3399999999999</v>
      </c>
      <c r="F13" s="147">
        <v>-53.34</v>
      </c>
      <c r="G13" s="147">
        <v>148.93</v>
      </c>
      <c r="H13" s="147">
        <v>160</v>
      </c>
      <c r="I13" s="147">
        <v>710</v>
      </c>
      <c r="J13" s="147">
        <v>350</v>
      </c>
      <c r="K13" s="147">
        <v>-140</v>
      </c>
    </row>
    <row r="14" spans="1:18" x14ac:dyDescent="0.2">
      <c r="A14" s="235">
        <v>43497</v>
      </c>
      <c r="B14" s="147">
        <v>0</v>
      </c>
      <c r="C14" s="147">
        <v>0.24</v>
      </c>
      <c r="D14" s="147">
        <v>88.97</v>
      </c>
      <c r="E14" s="147">
        <v>990.58</v>
      </c>
      <c r="F14" s="147">
        <v>-53.34</v>
      </c>
      <c r="G14" s="147">
        <v>153.53</v>
      </c>
      <c r="H14" s="147">
        <v>172.28</v>
      </c>
      <c r="I14" s="147">
        <v>640</v>
      </c>
      <c r="J14" s="147">
        <v>310</v>
      </c>
      <c r="K14" s="147">
        <v>-140</v>
      </c>
    </row>
    <row r="15" spans="1:18" x14ac:dyDescent="0.2">
      <c r="A15" s="235">
        <v>43525</v>
      </c>
      <c r="B15" s="147">
        <v>0</v>
      </c>
      <c r="C15" s="147">
        <v>-4.26</v>
      </c>
      <c r="D15" s="147">
        <v>76.12</v>
      </c>
      <c r="E15" s="147">
        <v>1098.3599999999999</v>
      </c>
      <c r="F15" s="147">
        <v>-53.34</v>
      </c>
      <c r="G15" s="147">
        <v>161.97</v>
      </c>
      <c r="H15" s="147">
        <v>172.53</v>
      </c>
      <c r="I15" s="147">
        <v>600</v>
      </c>
      <c r="J15" s="147">
        <v>310</v>
      </c>
      <c r="K15" s="147">
        <v>-140</v>
      </c>
      <c r="O15" s="18"/>
      <c r="P15" s="18"/>
      <c r="R15" s="18"/>
    </row>
    <row r="16" spans="1:18" x14ac:dyDescent="0.2">
      <c r="A16" s="235">
        <v>43556</v>
      </c>
      <c r="B16" s="147">
        <v>0</v>
      </c>
      <c r="C16" s="147">
        <v>1.08</v>
      </c>
      <c r="D16" s="147">
        <v>75.52</v>
      </c>
      <c r="E16" s="147">
        <v>1081.4100000000001</v>
      </c>
      <c r="F16" s="147">
        <v>-53.34</v>
      </c>
      <c r="G16" s="147">
        <v>157.52000000000001</v>
      </c>
      <c r="H16" s="147">
        <v>182.55</v>
      </c>
      <c r="I16" s="147">
        <v>500</v>
      </c>
      <c r="J16" s="147">
        <v>270</v>
      </c>
      <c r="K16" s="147">
        <v>-140</v>
      </c>
      <c r="O16" s="18"/>
      <c r="P16" s="18"/>
    </row>
    <row r="17" spans="1:16" x14ac:dyDescent="0.2">
      <c r="A17" s="235">
        <v>43586</v>
      </c>
      <c r="B17" s="147">
        <v>0</v>
      </c>
      <c r="C17" s="147">
        <v>1.45</v>
      </c>
      <c r="D17" s="147">
        <v>66.739999999999995</v>
      </c>
      <c r="E17" s="147">
        <v>966.49</v>
      </c>
      <c r="F17" s="147">
        <v>-53.34</v>
      </c>
      <c r="G17" s="147">
        <v>143.74</v>
      </c>
      <c r="H17" s="147">
        <v>170</v>
      </c>
      <c r="I17" s="147">
        <v>420</v>
      </c>
      <c r="J17" s="147">
        <v>230</v>
      </c>
      <c r="K17" s="147">
        <v>-140</v>
      </c>
      <c r="O17" s="18"/>
      <c r="P17" s="18"/>
    </row>
    <row r="18" spans="1:16" x14ac:dyDescent="0.2">
      <c r="A18" s="235">
        <v>43617</v>
      </c>
      <c r="B18" s="147">
        <v>0</v>
      </c>
      <c r="C18" s="147">
        <v>6.87</v>
      </c>
      <c r="D18" s="147">
        <v>61.74</v>
      </c>
      <c r="E18" s="147">
        <v>932.7</v>
      </c>
      <c r="F18" s="147">
        <v>-53.34</v>
      </c>
      <c r="G18" s="147">
        <v>136.03</v>
      </c>
      <c r="H18" s="147">
        <v>185</v>
      </c>
      <c r="I18" s="147">
        <v>420</v>
      </c>
      <c r="J18" s="147">
        <v>230</v>
      </c>
      <c r="K18" s="147">
        <v>-140</v>
      </c>
      <c r="O18" s="18"/>
      <c r="P18" s="18"/>
    </row>
    <row r="19" spans="1:16" x14ac:dyDescent="0.2">
      <c r="A19" s="235">
        <v>43647</v>
      </c>
      <c r="B19" s="366">
        <v>0</v>
      </c>
      <c r="C19" s="366">
        <v>5.47</v>
      </c>
      <c r="D19" s="366">
        <v>59.06</v>
      </c>
      <c r="E19" s="366">
        <v>944.5</v>
      </c>
      <c r="F19" s="366">
        <v>-53.34</v>
      </c>
      <c r="G19" s="366">
        <v>126.01</v>
      </c>
      <c r="H19" s="366">
        <v>195</v>
      </c>
      <c r="I19" s="366">
        <f>+I18</f>
        <v>420</v>
      </c>
      <c r="J19" s="366">
        <v>210</v>
      </c>
      <c r="K19" s="366">
        <f t="shared" ref="K19" si="0">+K18</f>
        <v>-140</v>
      </c>
      <c r="O19" s="18"/>
      <c r="P19" s="18"/>
    </row>
    <row r="20" spans="1:16" x14ac:dyDescent="0.2">
      <c r="A20" s="235">
        <v>43678</v>
      </c>
      <c r="B20" s="147">
        <v>0</v>
      </c>
      <c r="C20" s="147">
        <v>9.16</v>
      </c>
      <c r="D20" s="147">
        <v>65.81</v>
      </c>
      <c r="E20" s="147">
        <v>875.69</v>
      </c>
      <c r="F20" s="147">
        <v>-53.34</v>
      </c>
      <c r="G20" s="147">
        <v>132.57</v>
      </c>
      <c r="H20" s="147">
        <v>170</v>
      </c>
      <c r="I20" s="147">
        <f>+I19</f>
        <v>420</v>
      </c>
      <c r="J20" s="147">
        <v>200</v>
      </c>
      <c r="K20" s="147">
        <f t="shared" ref="K20" si="1">+K19</f>
        <v>-140</v>
      </c>
      <c r="O20" s="18"/>
      <c r="P20" s="18"/>
    </row>
    <row r="21" spans="1:16" x14ac:dyDescent="0.2">
      <c r="A21" s="6" t="s">
        <v>114</v>
      </c>
      <c r="B21" s="66" t="e">
        <f>+'Reg. Res''l - SS Mix &amp; Prices'!C70</f>
        <v>#DIV/0!</v>
      </c>
      <c r="C21" s="66">
        <f>+'Reg. Res''l - SS Mix &amp; Prices'!D70</f>
        <v>7.8135699958467519</v>
      </c>
      <c r="D21" s="66">
        <f>+'Reg. Res''l - SS Mix &amp; Prices'!E70</f>
        <v>87.142685366154979</v>
      </c>
      <c r="E21" s="66">
        <f>+'Reg. Res''l - SS Mix &amp; Prices'!F70</f>
        <v>1048.7303822603026</v>
      </c>
      <c r="F21" s="66">
        <f>+'Reg. Res''l - SS Mix &amp; Prices'!H70</f>
        <v>-53.339999999999996</v>
      </c>
      <c r="G21" s="66">
        <f>+'Reg. Res''l - SS Mix &amp; Prices'!G70</f>
        <v>153.23088753972431</v>
      </c>
      <c r="H21" s="66">
        <f>+'Reg. Res''l - SS Mix &amp; Prices'!I70</f>
        <v>173.51066803275074</v>
      </c>
      <c r="I21" s="66">
        <f>+'Reg. Res''l - SS Mix &amp; Prices'!J70</f>
        <v>591.54519669955266</v>
      </c>
      <c r="J21" s="66">
        <f>+'Reg. Res''l - SS Mix &amp; Prices'!K70</f>
        <v>275.07864917213823</v>
      </c>
      <c r="K21" s="66">
        <f>+'Reg. Res''l - SS Mix &amp; Prices'!L70</f>
        <v>-140</v>
      </c>
    </row>
    <row r="23" spans="1:16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5" spans="1:16" x14ac:dyDescent="0.2"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6"/>
    </row>
  </sheetData>
  <pageMargins left="0.7" right="0.7" top="0.75" bottom="0.75" header="0.3" footer="0.3"/>
  <pageSetup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3"/>
  <sheetViews>
    <sheetView topLeftCell="A12" workbookViewId="0">
      <selection activeCell="G23" sqref="G23"/>
    </sheetView>
  </sheetViews>
  <sheetFormatPr defaultRowHeight="12.75" x14ac:dyDescent="0.2"/>
  <cols>
    <col min="1" max="1" width="20.28515625" customWidth="1"/>
    <col min="2" max="2" width="13.5703125" bestFit="1" customWidth="1"/>
    <col min="3" max="4" width="11" bestFit="1" customWidth="1"/>
    <col min="6" max="6" width="3.7109375" customWidth="1"/>
    <col min="7" max="7" width="9.7109375" bestFit="1" customWidth="1"/>
    <col min="9" max="9" width="12.28515625" bestFit="1" customWidth="1"/>
    <col min="11" max="11" width="12.28515625" bestFit="1" customWidth="1"/>
  </cols>
  <sheetData>
    <row r="1" spans="1:7" ht="15.75" x14ac:dyDescent="0.25">
      <c r="A1" s="406" t="s">
        <v>77</v>
      </c>
      <c r="B1" s="406"/>
      <c r="C1" s="406"/>
      <c r="D1" s="406"/>
      <c r="E1" s="406"/>
      <c r="F1" s="406"/>
      <c r="G1" s="406"/>
    </row>
    <row r="2" spans="1:7" ht="15.75" x14ac:dyDescent="0.25">
      <c r="A2" s="406" t="s">
        <v>78</v>
      </c>
      <c r="B2" s="406"/>
      <c r="C2" s="406"/>
      <c r="D2" s="406"/>
      <c r="E2" s="406"/>
      <c r="F2" s="406"/>
      <c r="G2" s="406"/>
    </row>
    <row r="3" spans="1:7" ht="15.75" x14ac:dyDescent="0.25">
      <c r="A3" s="406" t="s">
        <v>133</v>
      </c>
      <c r="B3" s="406"/>
      <c r="C3" s="406"/>
      <c r="D3" s="406"/>
      <c r="E3" s="406"/>
      <c r="F3" s="406"/>
      <c r="G3" s="406"/>
    </row>
    <row r="4" spans="1:7" ht="15.75" x14ac:dyDescent="0.25">
      <c r="A4" s="108"/>
      <c r="B4" s="108"/>
      <c r="C4" s="108"/>
      <c r="D4" s="108"/>
    </row>
    <row r="5" spans="1:7" ht="15.75" x14ac:dyDescent="0.25">
      <c r="A5" s="1"/>
      <c r="B5" s="108" t="s">
        <v>94</v>
      </c>
    </row>
    <row r="6" spans="1:7" ht="15.75" x14ac:dyDescent="0.25">
      <c r="A6" s="1"/>
      <c r="B6" s="108" t="s">
        <v>19</v>
      </c>
      <c r="C6" s="108"/>
      <c r="D6" s="108"/>
      <c r="E6" s="108" t="s">
        <v>97</v>
      </c>
      <c r="G6" s="108" t="s">
        <v>79</v>
      </c>
    </row>
    <row r="7" spans="1:7" ht="15.75" x14ac:dyDescent="0.25">
      <c r="A7" s="1"/>
      <c r="B7" s="52" t="s">
        <v>80</v>
      </c>
      <c r="C7" s="52" t="s">
        <v>95</v>
      </c>
      <c r="D7" s="52" t="s">
        <v>22</v>
      </c>
      <c r="E7" s="52" t="s">
        <v>98</v>
      </c>
      <c r="G7" s="52" t="s">
        <v>81</v>
      </c>
    </row>
    <row r="8" spans="1:7" ht="15" x14ac:dyDescent="0.2">
      <c r="A8" s="46"/>
      <c r="B8" s="47"/>
      <c r="C8" s="47"/>
      <c r="D8" s="47"/>
      <c r="E8" s="47"/>
      <c r="G8" s="47"/>
    </row>
    <row r="9" spans="1:7" ht="15" x14ac:dyDescent="0.2">
      <c r="A9" s="46" t="s">
        <v>14</v>
      </c>
      <c r="B9" s="363">
        <v>46352</v>
      </c>
      <c r="C9" s="107">
        <v>13636</v>
      </c>
      <c r="D9" s="48">
        <f>+C9+B9</f>
        <v>59988</v>
      </c>
      <c r="E9" s="143">
        <f>+B9/D9</f>
        <v>0.77268787090751478</v>
      </c>
      <c r="G9" s="107">
        <f>+'MF Units'!C9</f>
        <v>5876.4568181818149</v>
      </c>
    </row>
    <row r="10" spans="1:7" ht="15" x14ac:dyDescent="0.2">
      <c r="A10" s="46" t="s">
        <v>15</v>
      </c>
      <c r="B10" s="363">
        <v>46291</v>
      </c>
      <c r="C10" s="107">
        <v>13633</v>
      </c>
      <c r="D10" s="48">
        <f t="shared" ref="D10:D12" si="0">+C10+B10</f>
        <v>59924</v>
      </c>
      <c r="E10" s="143">
        <f t="shared" ref="E10:E21" si="1">+B10/D10</f>
        <v>0.77249516053667977</v>
      </c>
      <c r="G10" s="107">
        <f>+'MF Units'!C10</f>
        <v>5885.4113636363609</v>
      </c>
    </row>
    <row r="11" spans="1:7" ht="15" x14ac:dyDescent="0.2">
      <c r="A11" s="46" t="s">
        <v>16</v>
      </c>
      <c r="B11" s="363">
        <v>46306</v>
      </c>
      <c r="C11" s="107">
        <v>13639</v>
      </c>
      <c r="D11" s="48">
        <f t="shared" si="0"/>
        <v>59945</v>
      </c>
      <c r="E11" s="143">
        <f t="shared" si="1"/>
        <v>0.77247476853782637</v>
      </c>
      <c r="G11" s="107">
        <f>+'MF Units'!C11</f>
        <v>5922.1431818181791</v>
      </c>
    </row>
    <row r="12" spans="1:7" ht="15" x14ac:dyDescent="0.2">
      <c r="A12" s="46" t="s">
        <v>17</v>
      </c>
      <c r="B12" s="363">
        <v>46314</v>
      </c>
      <c r="C12" s="107">
        <v>13625</v>
      </c>
      <c r="D12" s="48">
        <f t="shared" si="0"/>
        <v>59939</v>
      </c>
      <c r="E12" s="143">
        <f t="shared" si="1"/>
        <v>0.77268556365638397</v>
      </c>
      <c r="G12" s="107">
        <f>+'MF Units'!C12</f>
        <v>6002.1363636363603</v>
      </c>
    </row>
    <row r="13" spans="1:7" ht="15" x14ac:dyDescent="0.2">
      <c r="A13" s="46" t="s">
        <v>5</v>
      </c>
      <c r="B13" s="363">
        <v>46383</v>
      </c>
      <c r="C13" s="107">
        <v>13655</v>
      </c>
      <c r="D13" s="48">
        <f t="shared" ref="D13:D20" si="2">+C13+B13</f>
        <v>60038</v>
      </c>
      <c r="E13" s="143">
        <f t="shared" ref="E13:E20" si="3">+B13/D13</f>
        <v>0.77256071154935213</v>
      </c>
      <c r="G13" s="107">
        <f>+'MF Units'!C13</f>
        <v>5966.6363636363603</v>
      </c>
    </row>
    <row r="14" spans="1:7" ht="15" x14ac:dyDescent="0.2">
      <c r="A14" s="46" t="s">
        <v>6</v>
      </c>
      <c r="B14" s="363">
        <v>46321</v>
      </c>
      <c r="C14" s="107">
        <v>13656</v>
      </c>
      <c r="D14" s="48">
        <f t="shared" si="2"/>
        <v>59977</v>
      </c>
      <c r="E14" s="143">
        <f t="shared" si="3"/>
        <v>0.7723127198759524</v>
      </c>
      <c r="G14" s="107">
        <f>+'MF Units'!C14</f>
        <v>5967.7590909090877</v>
      </c>
    </row>
    <row r="15" spans="1:7" ht="15" x14ac:dyDescent="0.2">
      <c r="A15" s="46" t="s">
        <v>8</v>
      </c>
      <c r="B15" s="363">
        <v>46417</v>
      </c>
      <c r="C15" s="107">
        <v>13719</v>
      </c>
      <c r="D15" s="48">
        <f t="shared" si="2"/>
        <v>60136</v>
      </c>
      <c r="E15" s="143">
        <f t="shared" si="3"/>
        <v>0.77186710123719571</v>
      </c>
      <c r="G15" s="107">
        <f>+'MF Units'!C15</f>
        <v>5986.5022727272699</v>
      </c>
    </row>
    <row r="16" spans="1:7" ht="15" x14ac:dyDescent="0.2">
      <c r="A16" s="46" t="s">
        <v>9</v>
      </c>
      <c r="B16" s="107">
        <v>46669</v>
      </c>
      <c r="C16" s="107">
        <v>13765</v>
      </c>
      <c r="D16" s="48">
        <f t="shared" si="2"/>
        <v>60434</v>
      </c>
      <c r="E16" s="143">
        <f t="shared" si="3"/>
        <v>0.77223086342125291</v>
      </c>
      <c r="G16" s="107">
        <f>+'MF Units'!C16</f>
        <v>6017.5931818181789</v>
      </c>
    </row>
    <row r="17" spans="1:11" ht="15" x14ac:dyDescent="0.2">
      <c r="A17" s="46" t="s">
        <v>10</v>
      </c>
      <c r="B17" s="107">
        <v>46852</v>
      </c>
      <c r="C17" s="107">
        <v>13861</v>
      </c>
      <c r="D17" s="48">
        <f t="shared" si="2"/>
        <v>60713</v>
      </c>
      <c r="E17" s="143">
        <f t="shared" si="3"/>
        <v>0.77169634180488533</v>
      </c>
      <c r="G17" s="107">
        <f>+'MF Units'!C17</f>
        <v>5990.3204545454519</v>
      </c>
    </row>
    <row r="18" spans="1:11" ht="15" x14ac:dyDescent="0.2">
      <c r="A18" s="46" t="s">
        <v>11</v>
      </c>
      <c r="B18" s="107">
        <v>46917</v>
      </c>
      <c r="C18" s="107">
        <v>13845</v>
      </c>
      <c r="D18" s="48">
        <f t="shared" si="2"/>
        <v>60762</v>
      </c>
      <c r="E18" s="143">
        <f t="shared" si="3"/>
        <v>0.77214377406931967</v>
      </c>
      <c r="G18" s="107">
        <f>+'MF Units'!C18</f>
        <v>6004.9772727272702</v>
      </c>
    </row>
    <row r="19" spans="1:11" ht="15" x14ac:dyDescent="0.2">
      <c r="A19" s="46" t="s">
        <v>12</v>
      </c>
      <c r="B19" s="365">
        <v>47034</v>
      </c>
      <c r="C19" s="365">
        <v>13893</v>
      </c>
      <c r="D19" s="48">
        <f t="shared" si="2"/>
        <v>60927</v>
      </c>
      <c r="E19" s="143">
        <f t="shared" si="3"/>
        <v>0.77197301688906395</v>
      </c>
      <c r="G19" s="107">
        <f>+'MF Units'!C19</f>
        <v>6035.4931818181794</v>
      </c>
    </row>
    <row r="20" spans="1:11" ht="17.25" x14ac:dyDescent="0.35">
      <c r="A20" s="46" t="s">
        <v>13</v>
      </c>
      <c r="B20" s="273">
        <v>47161</v>
      </c>
      <c r="C20" s="273">
        <v>13935</v>
      </c>
      <c r="D20" s="49">
        <f t="shared" si="2"/>
        <v>61096</v>
      </c>
      <c r="E20" s="148">
        <f t="shared" si="3"/>
        <v>0.77191632840120461</v>
      </c>
      <c r="G20" s="273">
        <f>+'MF Units'!C20</f>
        <v>6035.4931818181794</v>
      </c>
      <c r="I20" s="18"/>
      <c r="K20" s="38"/>
    </row>
    <row r="21" spans="1:11" ht="18" x14ac:dyDescent="0.4">
      <c r="A21" s="46"/>
      <c r="B21" s="50">
        <f>SUM(B9:B20)</f>
        <v>559017</v>
      </c>
      <c r="C21" s="50">
        <f>SUM(C9:C20)</f>
        <v>164862</v>
      </c>
      <c r="D21" s="50">
        <f t="shared" ref="D21" si="4">SUM(D9:D20)</f>
        <v>723879</v>
      </c>
      <c r="E21" s="144">
        <f t="shared" si="1"/>
        <v>0.77225199239099351</v>
      </c>
      <c r="G21" s="50">
        <f>SUM(G9:G20)</f>
        <v>71690.922727272686</v>
      </c>
    </row>
    <row r="22" spans="1:11" ht="15" x14ac:dyDescent="0.2">
      <c r="A22" s="46"/>
      <c r="B22" s="46"/>
      <c r="D22" s="46"/>
      <c r="E22" s="46"/>
      <c r="G22" s="46"/>
    </row>
    <row r="23" spans="1:11" ht="18" x14ac:dyDescent="0.4">
      <c r="A23" s="1" t="s">
        <v>82</v>
      </c>
      <c r="B23" s="50">
        <f>+B21/12</f>
        <v>46584.75</v>
      </c>
      <c r="C23" s="50"/>
      <c r="D23" s="50"/>
      <c r="E23" s="51"/>
      <c r="G23" s="50">
        <f>+G21/12</f>
        <v>5974.2435606060571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"/>
  <sheetViews>
    <sheetView topLeftCell="A2" workbookViewId="0">
      <selection activeCell="K10" sqref="K10"/>
    </sheetView>
  </sheetViews>
  <sheetFormatPr defaultRowHeight="12.75" x14ac:dyDescent="0.2"/>
  <cols>
    <col min="1" max="1" width="11.5703125" bestFit="1" customWidth="1"/>
    <col min="2" max="2" width="4.28515625" customWidth="1"/>
    <col min="3" max="3" width="8.5703125" bestFit="1" customWidth="1"/>
    <col min="4" max="4" width="8.85546875" bestFit="1" customWidth="1"/>
    <col min="5" max="5" width="6.7109375" style="18" bestFit="1" customWidth="1"/>
    <col min="6" max="8" width="11.28515625" bestFit="1" customWidth="1"/>
    <col min="9" max="9" width="14" bestFit="1" customWidth="1"/>
    <col min="10" max="10" width="11.42578125" bestFit="1" customWidth="1"/>
    <col min="11" max="11" width="11.7109375" bestFit="1" customWidth="1"/>
    <col min="12" max="15" width="11.28515625" bestFit="1" customWidth="1"/>
  </cols>
  <sheetData>
    <row r="1" spans="1:9" ht="26.25" x14ac:dyDescent="0.4">
      <c r="A1" s="149" t="s">
        <v>18</v>
      </c>
    </row>
    <row r="2" spans="1:9" ht="15" x14ac:dyDescent="0.25">
      <c r="A2" s="151" t="s">
        <v>128</v>
      </c>
    </row>
    <row r="6" spans="1:9" x14ac:dyDescent="0.2">
      <c r="B6" s="21"/>
      <c r="C6" s="21"/>
      <c r="D6" s="21"/>
      <c r="G6" s="408" t="s">
        <v>126</v>
      </c>
      <c r="H6" s="408"/>
      <c r="I6" s="408"/>
    </row>
    <row r="7" spans="1:9" x14ac:dyDescent="0.2">
      <c r="B7" s="2"/>
      <c r="C7" s="2" t="s">
        <v>118</v>
      </c>
      <c r="D7" s="2" t="s">
        <v>120</v>
      </c>
      <c r="G7" s="2" t="s">
        <v>122</v>
      </c>
      <c r="H7" s="2" t="s">
        <v>123</v>
      </c>
      <c r="I7" s="2" t="s">
        <v>124</v>
      </c>
    </row>
    <row r="8" spans="1:9" x14ac:dyDescent="0.2">
      <c r="A8" s="12" t="s">
        <v>116</v>
      </c>
      <c r="B8" s="10"/>
      <c r="C8" s="10" t="s">
        <v>119</v>
      </c>
      <c r="D8" s="10" t="s">
        <v>33</v>
      </c>
      <c r="E8" s="268" t="s">
        <v>117</v>
      </c>
      <c r="G8" s="10" t="s">
        <v>121</v>
      </c>
      <c r="H8" s="10" t="s">
        <v>121</v>
      </c>
      <c r="I8" s="10" t="s">
        <v>121</v>
      </c>
    </row>
    <row r="9" spans="1:9" x14ac:dyDescent="0.2">
      <c r="A9" s="15" t="s">
        <v>130</v>
      </c>
      <c r="B9" s="3"/>
      <c r="C9" s="267">
        <f>+D9/E9</f>
        <v>5876.4568181818149</v>
      </c>
      <c r="D9" s="20">
        <f>SUM(G9:I9)</f>
        <v>25856.41</v>
      </c>
      <c r="E9" s="18">
        <v>4.4000000000000021</v>
      </c>
      <c r="G9" s="18">
        <v>759.71</v>
      </c>
      <c r="H9" s="18">
        <v>1721.1</v>
      </c>
      <c r="I9" s="22">
        <v>23375.599999999999</v>
      </c>
    </row>
    <row r="10" spans="1:9" x14ac:dyDescent="0.2">
      <c r="A10" s="15" t="s">
        <v>35</v>
      </c>
      <c r="B10" s="3"/>
      <c r="C10" s="267">
        <f t="shared" ref="C10:C20" si="0">+D10/E10</f>
        <v>5885.4113636363609</v>
      </c>
      <c r="D10" s="20">
        <f t="shared" ref="D10:D20" si="1">SUM(G10:I10)</f>
        <v>25895.81</v>
      </c>
      <c r="E10" s="18">
        <v>4.4000000000000021</v>
      </c>
      <c r="G10" s="18">
        <v>759.71</v>
      </c>
      <c r="H10" s="18">
        <v>1721.1</v>
      </c>
      <c r="I10" s="22">
        <v>23415</v>
      </c>
    </row>
    <row r="11" spans="1:9" x14ac:dyDescent="0.2">
      <c r="A11" s="15" t="s">
        <v>36</v>
      </c>
      <c r="B11" s="3"/>
      <c r="C11" s="267">
        <f t="shared" si="0"/>
        <v>5922.1431818181791</v>
      </c>
      <c r="D11" s="20">
        <f t="shared" si="1"/>
        <v>26057.43</v>
      </c>
      <c r="E11" s="18">
        <v>4.4000000000000021</v>
      </c>
      <c r="G11" s="18">
        <v>759.71</v>
      </c>
      <c r="H11" s="18">
        <v>1721.1</v>
      </c>
      <c r="I11" s="22">
        <v>23576.62</v>
      </c>
    </row>
    <row r="12" spans="1:9" x14ac:dyDescent="0.2">
      <c r="A12" s="15" t="s">
        <v>37</v>
      </c>
      <c r="B12" s="3"/>
      <c r="C12" s="267">
        <f t="shared" si="0"/>
        <v>6002.1363636363603</v>
      </c>
      <c r="D12" s="20">
        <f t="shared" si="1"/>
        <v>26409.399999999998</v>
      </c>
      <c r="E12" s="18">
        <v>4.4000000000000021</v>
      </c>
      <c r="G12" s="18">
        <v>761.76</v>
      </c>
      <c r="H12" s="18">
        <v>1722.04</v>
      </c>
      <c r="I12" s="22">
        <v>23925.599999999999</v>
      </c>
    </row>
    <row r="13" spans="1:9" x14ac:dyDescent="0.2">
      <c r="A13" s="15" t="s">
        <v>131</v>
      </c>
      <c r="B13" s="3"/>
      <c r="C13" s="267">
        <f t="shared" si="0"/>
        <v>5966.6363636363603</v>
      </c>
      <c r="D13" s="20">
        <f t="shared" si="1"/>
        <v>26253.199999999997</v>
      </c>
      <c r="E13" s="18">
        <v>4.4000000000000021</v>
      </c>
      <c r="G13" s="18">
        <v>790.9</v>
      </c>
      <c r="H13" s="18">
        <v>1722.04</v>
      </c>
      <c r="I13" s="22">
        <v>23740.26</v>
      </c>
    </row>
    <row r="14" spans="1:9" x14ac:dyDescent="0.2">
      <c r="A14" s="15" t="s">
        <v>38</v>
      </c>
      <c r="B14" s="3"/>
      <c r="C14" s="267">
        <f t="shared" si="0"/>
        <v>5967.7590909090877</v>
      </c>
      <c r="D14" s="20">
        <f t="shared" si="1"/>
        <v>26258.14</v>
      </c>
      <c r="E14" s="18">
        <v>4.4000000000000021</v>
      </c>
      <c r="G14" s="18">
        <v>790.9</v>
      </c>
      <c r="H14" s="18">
        <v>1722.04</v>
      </c>
      <c r="I14" s="22">
        <v>23745.200000000001</v>
      </c>
    </row>
    <row r="15" spans="1:9" x14ac:dyDescent="0.2">
      <c r="A15" s="15" t="s">
        <v>39</v>
      </c>
      <c r="B15" s="3"/>
      <c r="C15" s="267">
        <f t="shared" si="0"/>
        <v>5986.5022727272699</v>
      </c>
      <c r="D15" s="20">
        <f t="shared" si="1"/>
        <v>26340.61</v>
      </c>
      <c r="E15" s="18">
        <v>4.4000000000000021</v>
      </c>
      <c r="G15" s="18">
        <v>800.8</v>
      </c>
      <c r="H15" s="18">
        <v>1722.04</v>
      </c>
      <c r="I15" s="22">
        <v>23817.77</v>
      </c>
    </row>
    <row r="16" spans="1:9" x14ac:dyDescent="0.2">
      <c r="A16" s="15" t="s">
        <v>40</v>
      </c>
      <c r="B16" s="3"/>
      <c r="C16" s="267">
        <f t="shared" si="0"/>
        <v>6017.5931818181789</v>
      </c>
      <c r="D16" s="20">
        <f t="shared" si="1"/>
        <v>26477.41</v>
      </c>
      <c r="E16" s="18">
        <v>4.4000000000000021</v>
      </c>
      <c r="G16" s="18">
        <v>800.8</v>
      </c>
      <c r="H16" s="18">
        <v>1738.84</v>
      </c>
      <c r="I16" s="22">
        <v>23937.77</v>
      </c>
    </row>
    <row r="17" spans="1:9" x14ac:dyDescent="0.2">
      <c r="A17" s="15" t="s">
        <v>10</v>
      </c>
      <c r="B17" s="3"/>
      <c r="C17" s="267">
        <f t="shared" si="0"/>
        <v>5990.3204545454519</v>
      </c>
      <c r="D17" s="20">
        <f t="shared" si="1"/>
        <v>26357.41</v>
      </c>
      <c r="E17" s="18">
        <v>4.4000000000000021</v>
      </c>
      <c r="G17" s="18">
        <v>800.8</v>
      </c>
      <c r="H17" s="18">
        <v>1738.84</v>
      </c>
      <c r="I17" s="22">
        <v>23817.77</v>
      </c>
    </row>
    <row r="18" spans="1:9" x14ac:dyDescent="0.2">
      <c r="A18" s="15" t="s">
        <v>41</v>
      </c>
      <c r="B18" s="3"/>
      <c r="C18" s="267">
        <f t="shared" si="0"/>
        <v>6004.9772727272702</v>
      </c>
      <c r="D18" s="20">
        <f t="shared" si="1"/>
        <v>26421.9</v>
      </c>
      <c r="E18" s="18">
        <v>4.4000000000000021</v>
      </c>
      <c r="G18" s="18">
        <v>865.29</v>
      </c>
      <c r="H18" s="18">
        <v>1738.84</v>
      </c>
      <c r="I18" s="22">
        <v>23817.77</v>
      </c>
    </row>
    <row r="19" spans="1:9" x14ac:dyDescent="0.2">
      <c r="A19" s="15" t="s">
        <v>42</v>
      </c>
      <c r="B19" s="3"/>
      <c r="C19" s="267">
        <f t="shared" si="0"/>
        <v>6035.4931818181794</v>
      </c>
      <c r="D19" s="20">
        <f t="shared" si="1"/>
        <v>26556.170000000002</v>
      </c>
      <c r="E19" s="18">
        <v>4.4000000000000021</v>
      </c>
      <c r="G19" s="22">
        <v>918.1</v>
      </c>
      <c r="H19" s="22">
        <v>1770.3</v>
      </c>
      <c r="I19" s="22">
        <v>23867.77</v>
      </c>
    </row>
    <row r="20" spans="1:9" x14ac:dyDescent="0.2">
      <c r="A20" s="15" t="s">
        <v>43</v>
      </c>
      <c r="B20" s="3"/>
      <c r="C20" s="267">
        <f t="shared" si="0"/>
        <v>6035.4931818181794</v>
      </c>
      <c r="D20" s="20">
        <f t="shared" si="1"/>
        <v>26556.170000000002</v>
      </c>
      <c r="E20" s="18">
        <v>4.4000000000000021</v>
      </c>
      <c r="G20" s="69">
        <v>918.1</v>
      </c>
      <c r="H20" s="69">
        <v>1770.3</v>
      </c>
      <c r="I20" s="69">
        <f t="shared" ref="I20" si="2">+I19</f>
        <v>23867.77</v>
      </c>
    </row>
  </sheetData>
  <mergeCells count="1">
    <mergeCell ref="G6:I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104F9F9965214CB2FCE99D343F9722" ma:contentTypeVersion="56" ma:contentTypeDescription="" ma:contentTypeScope="" ma:versionID="07b1416b5d6f7f3d8aade7a153c55b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2019-09-10T07:00:00+00:00</OpenedDate>
    <SignificantOrder xmlns="dc463f71-b30c-4ab2-9473-d307f9d35888">false</SignificantOrder>
    <Date1 xmlns="dc463f71-b30c-4ab2-9473-d307f9d35888">2019-09-10T07:00:00+00:00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190776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95A30E6-EF32-46B0-A1BF-F514CB98D8F7}"/>
</file>

<file path=customXml/itemProps2.xml><?xml version="1.0" encoding="utf-8"?>
<ds:datastoreItem xmlns:ds="http://schemas.openxmlformats.org/officeDocument/2006/customXml" ds:itemID="{D1641EEB-74DF-49D4-B676-32982DAC1175}"/>
</file>

<file path=customXml/itemProps3.xml><?xml version="1.0" encoding="utf-8"?>
<ds:datastoreItem xmlns:ds="http://schemas.openxmlformats.org/officeDocument/2006/customXml" ds:itemID="{B95E607F-C045-4FC8-8A34-6F20AFA13E43}"/>
</file>

<file path=customXml/itemProps4.xml><?xml version="1.0" encoding="utf-8"?>
<ds:datastoreItem xmlns:ds="http://schemas.openxmlformats.org/officeDocument/2006/customXml" ds:itemID="{97841ED6-7920-4295-B6FB-434EE37A82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Rebate Analysis</vt:lpstr>
      <vt:lpstr>Calculation of Revenue</vt:lpstr>
      <vt:lpstr>Reg. Res'l - SS Mix &amp; Prices</vt:lpstr>
      <vt:lpstr>Reg. MF - SS Mix &amp; Prices</vt:lpstr>
      <vt:lpstr>Total Company Tonnage</vt:lpstr>
      <vt:lpstr>Commodity Prices</vt:lpstr>
      <vt:lpstr>Customer Counts</vt:lpstr>
      <vt:lpstr>MF Units</vt:lpstr>
      <vt:lpstr>'Calculation of Revenue'!Print_Area</vt:lpstr>
      <vt:lpstr>'Commodity Prices'!Print_Area</vt:lpstr>
      <vt:lpstr>'Customer Counts'!Print_Area</vt:lpstr>
      <vt:lpstr>'Rebate Analysis'!Print_Area</vt:lpstr>
      <vt:lpstr>'Reg. MF - SS Mix &amp; Prices'!Print_Area</vt:lpstr>
      <vt:lpstr>'Reg. Res''l - SS Mix &amp; Prices'!Print_Area</vt:lpstr>
      <vt:lpstr>'Total Company Tonnage'!Print_Area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Burnite</dc:creator>
  <cp:lastModifiedBy>Weinstein, Mike</cp:lastModifiedBy>
  <cp:lastPrinted>2018-09-07T15:11:39Z</cp:lastPrinted>
  <dcterms:created xsi:type="dcterms:W3CDTF">2003-01-04T00:18:15Z</dcterms:created>
  <dcterms:modified xsi:type="dcterms:W3CDTF">2019-09-10T15:30:06Z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0x0101006E56B4D1795A2E4DB2F0B01679ED314A00B8104F9F9965214CB2FCE99D343F9722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