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61CAF2E-9999-42ED-A84C-FB252D6B68B5}" xr6:coauthVersionLast="36" xr6:coauthVersionMax="36" xr10:uidLastSave="{00000000-0000-0000-0000-000000000000}"/>
  <bookViews>
    <workbookView xWindow="0" yWindow="0" windowWidth="28800" windowHeight="12210" activeTab="1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DM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Earnings Test and 3% Test" sheetId="516" r:id="rId12"/>
    <sheet name="Workpapers---&gt;" sheetId="497" r:id="rId13"/>
    <sheet name="Balances at 12-31-2018" sheetId="511" r:id="rId14"/>
    <sheet name="Int calc thru 10-31-2019" sheetId="450" r:id="rId15"/>
    <sheet name="Amort Calc thru 10-31-2019" sheetId="519" r:id="rId16"/>
    <sheet name="EstimatedBalances" sheetId="512" r:id="rId17"/>
    <sheet name="Int during Amort" sheetId="513" r:id="rId18"/>
    <sheet name="Test Period Volumes" sheetId="494" r:id="rId19"/>
    <sheet name="Deferral RA 20477" sheetId="520" r:id="rId20"/>
    <sheet name="Amort 1862.20480" sheetId="521" r:id="rId21"/>
    <sheet name="Bills-Therms-Revs" sheetId="47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BalancesJuly" localSheetId="13">'Balances at 12-31-2018'!$A$9:$I$399</definedName>
    <definedName name="BalancesJuly">#REF!</definedName>
    <definedName name="EstimatedBalances" localSheetId="13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 localSheetId="15">'[2]New FERC Int. Rates'!$A$44:$C$55</definedName>
    <definedName name="FERCINT05">'[3]New FERC Int. Rates'!$A$44:$C$55</definedName>
    <definedName name="FERCINT06" localSheetId="15">'[2]New FERC Int. Rates'!$A$56:$C$67</definedName>
    <definedName name="FERCINT06">'[3]New FERC Int. Rates'!$A$56:$C$67</definedName>
    <definedName name="FERCINT07" localSheetId="15">'[4]New FERC Int. Rates'!$A$68:$C$79</definedName>
    <definedName name="FERCINT07">'[5]New FERC Int. Rates'!$A$68:$C$79</definedName>
    <definedName name="FERCINT08" localSheetId="15">'[4]New FERC Int. Rates'!$A$80:$C$94</definedName>
    <definedName name="FERCINT08">'[5]New FERC Int. Rates'!$A$80:$C$94</definedName>
    <definedName name="FERCINT09" localSheetId="15">'[4]New FERC Int. Rates'!$A$95:$C$106</definedName>
    <definedName name="FERCINT09">'[5]New FERC Int. Rates'!$A$95:$C$106</definedName>
    <definedName name="FERCINT10" localSheetId="15">'[2]New FERC Int. Rates'!$A$107:$C$118</definedName>
    <definedName name="FERCINT10">'[3]New FERC Int. Rates'!$A$107:$C$118</definedName>
    <definedName name="FERCINT13" localSheetId="20">'[6]FERC Interest Rates'!$A$10:$C$21</definedName>
    <definedName name="FERCINT13">'[7]FERC Interest Rates'!$A$10:$C$21</definedName>
    <definedName name="FERCINT14" localSheetId="20">'[6]FERC Interest Rates'!$A$22:$C$33</definedName>
    <definedName name="FERCINT14">'[7]FERC Interest Rates'!$A$22:$C$33</definedName>
    <definedName name="FERCINT15" localSheetId="20">'[6]FERC Interest Rates'!$A$34:$C$45</definedName>
    <definedName name="FERCINT15">'[7]FERC Interest Rates'!$A$34:$C$45</definedName>
    <definedName name="FERCINT16" localSheetId="20">'[6]FERC Interest Rates'!$A$46:$C$57</definedName>
    <definedName name="FERCINT16">'[7]FERC Interest Rates'!$A$46:$C$57</definedName>
    <definedName name="FERCINT17" localSheetId="20">'[6]FERC Interest Rates'!$A$58:$C$69</definedName>
    <definedName name="FERCINT17">'[7]FERC Interest Rates'!$A$58:$C$69</definedName>
    <definedName name="FERCINT18" localSheetId="20">'[6]FERC Interest Rates'!$A$70:$C$81</definedName>
    <definedName name="FERCINT18">'[7]FERC Interest Rates'!$A$70:$C$81</definedName>
    <definedName name="FERCINT19">'[8]FERC Interest Rates'!$A$82:$C$93</definedName>
    <definedName name="FERCINTRATE" localSheetId="15">'[4]New FERC Int. Rates'!$A$5:$C$10</definedName>
    <definedName name="FERCINTRATE">'[5]New FERC Int. Rates'!$A$5:$C$10</definedName>
    <definedName name="FERCINTRATE02" localSheetId="15">'[4]New FERC Int. Rates'!$A$11:$C$22</definedName>
    <definedName name="FERCINTRATE02">'[5]New FERC Int. Rates'!$A$11:$C$22</definedName>
    <definedName name="FERCINTRATE03" localSheetId="15">'[2]New FERC Int. Rates'!$A$23:$C$34</definedName>
    <definedName name="FERCINTRATE03">'[3]New FERC Int. Rates'!$A$23:$C$34</definedName>
    <definedName name="FERCOR">#REF!</definedName>
    <definedName name="FERCWA">#REF!</definedName>
    <definedName name="FILE" localSheetId="15">[9]input!$C$4</definedName>
    <definedName name="FILE" localSheetId="3">[10]input!$C$4</definedName>
    <definedName name="FILE">[10]input!$C$4</definedName>
    <definedName name="FORM2259">#REF!</definedName>
    <definedName name="Gas_Price_DataTable">#REF!</definedName>
    <definedName name="gas_yr2009_10_DataTable">#REF!</definedName>
    <definedName name="GC">[11]Notes!#REF!</definedName>
    <definedName name="intdate">'[12]Interest Rates'!$A$5:$C$159</definedName>
    <definedName name="InterestDuringAmort" localSheetId="13">'[1]Int during Amort'!$A$19:$S$33</definedName>
    <definedName name="InterestDuringAmort">#REF!</definedName>
    <definedName name="INTERSTATE" localSheetId="13">#REF!</definedName>
    <definedName name="INTERSTATE">#REF!</definedName>
    <definedName name="INTFY05" localSheetId="15">'[2]Int Rates DO NOT USE'!$A$176:$C$187</definedName>
    <definedName name="INTFY05">'[3]Int Rates DO NOT USE'!$A$176:$C$187</definedName>
    <definedName name="INTFY06" localSheetId="15">'[2]Int Rates DO NOT USE'!$A$188:$C$199</definedName>
    <definedName name="INTFY06">'[3]Int Rates DO NOT USE'!$A$188:$C$199</definedName>
    <definedName name="INTFY07" localSheetId="15">'[13]Interest Rates'!$A$218:$C$230</definedName>
    <definedName name="INTFY07">'[14]Interest Rates'!$A$218:$C$230</definedName>
    <definedName name="july_int_rate" localSheetId="15">'[15]July Int Rate for Amort'!$B$17</definedName>
    <definedName name="july_int_rate">'[16]July Int Rate for Amort'!$B$17</definedName>
    <definedName name="njnjn" localSheetId="13">#REF!</definedName>
    <definedName name="njnjn" localSheetId="3">#REF!</definedName>
    <definedName name="njnjn">#REF!</definedName>
    <definedName name="NN" localSheetId="13">[17]SETUP!#REF!</definedName>
    <definedName name="NN">[17]SETUP!#REF!</definedName>
    <definedName name="nnnnn" localSheetId="15">[18]Bills!#REF!</definedName>
    <definedName name="nnnnn" localSheetId="3">[19]Bills!#REF!</definedName>
    <definedName name="nnnnn">[19]Bills!#REF!</definedName>
    <definedName name="Oct_07">"INTCY08"</definedName>
    <definedName name="PGAPeriodVolumes" localSheetId="13">'[1]Test Period Volumes'!$A$23:$G$24</definedName>
    <definedName name="PGAPeriodVolumes">#REF!</definedName>
    <definedName name="_xlnm.Print_Area" localSheetId="20">'Amort 1862.20480'!$A$1:$H$37</definedName>
    <definedName name="_xlnm.Print_Area" localSheetId="21">'Bills-Therms-Revs'!$A$1:$O$51</definedName>
    <definedName name="_xlnm.Print_Area" localSheetId="19">'Deferral RA 20477'!$A$1:$H$48</definedName>
    <definedName name="_xlnm.Print_Area" localSheetId="2">'DMA Proposed Rate 594'!$B$1:$G$21</definedName>
    <definedName name="_xlnm.Print_Area" localSheetId="11">'Earnings Test and 3% Test'!$A$1:$J$26</definedName>
    <definedName name="_xlnm.Print_Titles" localSheetId="11">'Earnings Test and 3% Test'!$1:$4</definedName>
    <definedName name="_xlnm.Print_Titles" localSheetId="17">'Int during Amort'!$A:$C,'Int during Amort'!$7:$7</definedName>
    <definedName name="revsens" localSheetId="15">'[20]General Inputs'!$D$10</definedName>
    <definedName name="revsens">'[21]General Inputs'!$D$10</definedName>
    <definedName name="S">[17]SETUP!#REF!</definedName>
    <definedName name="SAVE">#REF!</definedName>
    <definedName name="scenario_2790_DataTable">#REF!</definedName>
    <definedName name="Sheet1_DataTable">#REF!</definedName>
    <definedName name="TestPeriodVolumes" localSheetId="15">'[22]Test Period Volumes'!$A$9:$E$23</definedName>
    <definedName name="TestPeriodVolumes" localSheetId="13">'[1]Test Period Volumes'!$A$7:$G$21</definedName>
    <definedName name="TestPeriodVolumes">#REF!</definedName>
    <definedName name="WCALL">#N/A</definedName>
    <definedName name="xyz5" localSheetId="15">'Amort Calc thru 10-31-2019'!xyz5</definedName>
    <definedName name="xyz5" localSheetId="13">[23]!xyz5</definedName>
    <definedName name="xyz5" localSheetId="3">'DMA Amount of Change'!xyz5</definedName>
    <definedName name="xyz5">[0]!xyz5</definedName>
    <definedName name="Z_5C6B1FA1_B621_4699_B8F7_5011E8FF1BCD_.wvu.PrintArea" localSheetId="11" hidden="1">'Earnings Test and 3% Test'!$B$1:$I$23</definedName>
    <definedName name="Z_5C6B1FA1_B621_4699_B8F7_5011E8FF1BCD_.wvu.PrintTitles" localSheetId="11" hidden="1">'Earnings Test and 3% Test'!$1:$4</definedName>
    <definedName name="Z_6A207E9B_31ED_4215_AD4F_ABB2957B65E4_.wvu.PrintArea" localSheetId="11" hidden="1">'Earnings Test and 3% Test'!#REF!</definedName>
    <definedName name="Z_6A207E9B_31ED_4215_AD4F_ABB2957B65E4_.wvu.PrintTitles" localSheetId="11" hidden="1">'Earnings Test and 3% Test'!$1:$4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511" l="1"/>
  <c r="D21" i="511"/>
  <c r="D20" i="511"/>
  <c r="D19" i="511"/>
  <c r="D18" i="511"/>
  <c r="D17" i="511"/>
  <c r="D16" i="511"/>
  <c r="D15" i="511"/>
  <c r="D14" i="511"/>
  <c r="D13" i="511"/>
  <c r="G13" i="516" l="1"/>
  <c r="H29" i="521" l="1"/>
  <c r="H30" i="521"/>
  <c r="H31" i="521" s="1"/>
  <c r="H32" i="521" s="1"/>
  <c r="H33" i="521" s="1"/>
  <c r="H34" i="521" s="1"/>
  <c r="H35" i="521" s="1"/>
  <c r="H26" i="521"/>
  <c r="J26" i="521"/>
  <c r="H40" i="520"/>
  <c r="H39" i="520"/>
  <c r="D41" i="520"/>
  <c r="H27" i="521" l="1"/>
  <c r="H9" i="450" l="1"/>
  <c r="G9" i="450"/>
  <c r="F9" i="450"/>
  <c r="D9" i="450"/>
  <c r="E9" i="450"/>
  <c r="I9" i="450"/>
  <c r="J9" i="450"/>
  <c r="M9" i="450"/>
  <c r="C9" i="450"/>
  <c r="D15" i="519" l="1"/>
  <c r="E15" i="519"/>
  <c r="F15" i="519"/>
  <c r="G15" i="519"/>
  <c r="H15" i="519"/>
  <c r="I15" i="519"/>
  <c r="I19" i="519"/>
  <c r="H19" i="519"/>
  <c r="G19" i="519"/>
  <c r="E19" i="519"/>
  <c r="D19" i="519"/>
  <c r="F19" i="519"/>
  <c r="F18" i="519"/>
  <c r="E18" i="519"/>
  <c r="D18" i="519"/>
  <c r="G18" i="519"/>
  <c r="H18" i="519"/>
  <c r="I18" i="519"/>
  <c r="D17" i="519"/>
  <c r="E17" i="519"/>
  <c r="F17" i="519"/>
  <c r="G17" i="519"/>
  <c r="H17" i="519"/>
  <c r="I17" i="519"/>
  <c r="I16" i="519"/>
  <c r="H16" i="519"/>
  <c r="G16" i="519"/>
  <c r="F16" i="519"/>
  <c r="E16" i="519"/>
  <c r="D16" i="519"/>
  <c r="J18" i="519"/>
  <c r="J19" i="519"/>
  <c r="J17" i="519"/>
  <c r="J16" i="519"/>
  <c r="J15" i="519"/>
  <c r="C20" i="450"/>
  <c r="C19" i="450"/>
  <c r="C18" i="450"/>
  <c r="C17" i="450"/>
  <c r="C16" i="450"/>
  <c r="C15" i="450"/>
  <c r="C14" i="450"/>
  <c r="C13" i="450"/>
  <c r="C12" i="450"/>
  <c r="C11" i="450"/>
  <c r="G20" i="519" l="1"/>
  <c r="G22" i="519" s="1"/>
  <c r="J20" i="519"/>
  <c r="J22" i="519" s="1"/>
  <c r="F20" i="519"/>
  <c r="F22" i="519" s="1"/>
  <c r="I20" i="519"/>
  <c r="I22" i="519" s="1"/>
  <c r="E20" i="519"/>
  <c r="E22" i="519" s="1"/>
  <c r="H20" i="519"/>
  <c r="H22" i="519" s="1"/>
  <c r="D20" i="519"/>
  <c r="D22" i="519" s="1"/>
  <c r="C22" i="450"/>
  <c r="C24" i="450" s="1"/>
  <c r="C7" i="450" l="1"/>
  <c r="D7" i="450"/>
  <c r="E7" i="450"/>
  <c r="F7" i="450"/>
  <c r="G7" i="450"/>
  <c r="H7" i="450"/>
  <c r="I7" i="450"/>
  <c r="H13" i="521" l="1"/>
  <c r="H14" i="521" s="1"/>
  <c r="H15" i="521" l="1"/>
  <c r="J14" i="521"/>
  <c r="H16" i="521" l="1"/>
  <c r="J15" i="521"/>
  <c r="H17" i="521" l="1"/>
  <c r="J16" i="521"/>
  <c r="H18" i="521" l="1"/>
  <c r="J17" i="521"/>
  <c r="H19" i="521" l="1"/>
  <c r="J18" i="521"/>
  <c r="H20" i="521" l="1"/>
  <c r="J19" i="521"/>
  <c r="H21" i="521" l="1"/>
  <c r="J20" i="521"/>
  <c r="H22" i="521" l="1"/>
  <c r="J21" i="521"/>
  <c r="H23" i="521" l="1"/>
  <c r="J22" i="521"/>
  <c r="H24" i="521" l="1"/>
  <c r="J23" i="521"/>
  <c r="H25" i="521" l="1"/>
  <c r="J24" i="521"/>
  <c r="J25" i="521" l="1"/>
  <c r="H28" i="521" l="1"/>
  <c r="J27" i="521"/>
  <c r="J28" i="521" l="1"/>
  <c r="H21" i="490"/>
  <c r="H20" i="490"/>
  <c r="F21" i="490"/>
  <c r="F20" i="490"/>
  <c r="G1" i="483"/>
  <c r="L1" i="490" s="1"/>
  <c r="H1" i="473" s="1"/>
  <c r="A17" i="450"/>
  <c r="A18" i="450"/>
  <c r="A19" i="450"/>
  <c r="A20" i="450"/>
  <c r="C17" i="512"/>
  <c r="D17" i="512" s="1"/>
  <c r="D17" i="450" s="1"/>
  <c r="E17" i="512" s="1"/>
  <c r="E17" i="450" s="1"/>
  <c r="F17" i="512" s="1"/>
  <c r="F17" i="450" s="1"/>
  <c r="G17" i="512" s="1"/>
  <c r="G17" i="450" s="1"/>
  <c r="H17" i="512" s="1"/>
  <c r="H17" i="450" s="1"/>
  <c r="I17" i="512" s="1"/>
  <c r="C18" i="512"/>
  <c r="D18" i="512" s="1"/>
  <c r="D18" i="450" s="1"/>
  <c r="E18" i="512" s="1"/>
  <c r="E18" i="450" s="1"/>
  <c r="F18" i="512" s="1"/>
  <c r="F18" i="450" s="1"/>
  <c r="G18" i="512" s="1"/>
  <c r="G18" i="450" s="1"/>
  <c r="H18" i="512" s="1"/>
  <c r="H18" i="450" s="1"/>
  <c r="I18" i="512" s="1"/>
  <c r="I18" i="450" s="1"/>
  <c r="J18" i="512" s="1"/>
  <c r="J18" i="450" s="1"/>
  <c r="C19" i="512"/>
  <c r="D19" i="512" s="1"/>
  <c r="D19" i="450" s="1"/>
  <c r="E19" i="512" s="1"/>
  <c r="C20" i="512"/>
  <c r="D20" i="512" s="1"/>
  <c r="D20" i="450" s="1"/>
  <c r="E20" i="512" s="1"/>
  <c r="E20" i="450" s="1"/>
  <c r="F20" i="512" s="1"/>
  <c r="F20" i="450" s="1"/>
  <c r="G20" i="512" s="1"/>
  <c r="G20" i="450" s="1"/>
  <c r="H20" i="512" s="1"/>
  <c r="H20" i="450" s="1"/>
  <c r="I20" i="512" s="1"/>
  <c r="I20" i="450" s="1"/>
  <c r="J20" i="512" s="1"/>
  <c r="J20" i="450" s="1"/>
  <c r="C16" i="512"/>
  <c r="C17" i="449"/>
  <c r="C16" i="449"/>
  <c r="C15" i="449"/>
  <c r="C14" i="449"/>
  <c r="C13" i="449"/>
  <c r="D16" i="512" l="1"/>
  <c r="E19" i="450"/>
  <c r="F19" i="512" s="1"/>
  <c r="F19" i="450" s="1"/>
  <c r="G19" i="512" s="1"/>
  <c r="G19" i="450" s="1"/>
  <c r="H19" i="512" s="1"/>
  <c r="H19" i="450" s="1"/>
  <c r="I19" i="512" s="1"/>
  <c r="I19" i="450" s="1"/>
  <c r="J19" i="512" s="1"/>
  <c r="J19" i="450" s="1"/>
  <c r="I17" i="450"/>
  <c r="J17" i="512" s="1"/>
  <c r="J17" i="450" s="1"/>
  <c r="J1" i="474"/>
  <c r="H1" i="516"/>
  <c r="A12" i="513"/>
  <c r="A13" i="513"/>
  <c r="A14" i="513"/>
  <c r="A15" i="513"/>
  <c r="A11" i="513"/>
  <c r="B14" i="511"/>
  <c r="B19" i="511" s="1"/>
  <c r="B17" i="450" s="1"/>
  <c r="B15" i="511"/>
  <c r="B20" i="511" s="1"/>
  <c r="B18" i="450" s="1"/>
  <c r="B16" i="511"/>
  <c r="B21" i="511" s="1"/>
  <c r="B19" i="450" s="1"/>
  <c r="B17" i="511"/>
  <c r="B22" i="511" s="1"/>
  <c r="B20" i="450" s="1"/>
  <c r="B13" i="511"/>
  <c r="B18" i="511" s="1"/>
  <c r="B12" i="512"/>
  <c r="B17" i="512" s="1"/>
  <c r="B13" i="512"/>
  <c r="B18" i="512" s="1"/>
  <c r="B14" i="512"/>
  <c r="B19" i="512" s="1"/>
  <c r="B15" i="512"/>
  <c r="B20" i="512" s="1"/>
  <c r="B11" i="512"/>
  <c r="A12" i="450"/>
  <c r="A12" i="512" s="1"/>
  <c r="A13" i="450"/>
  <c r="A13" i="512" s="1"/>
  <c r="A14" i="450"/>
  <c r="A14" i="512" s="1"/>
  <c r="A15" i="450"/>
  <c r="A15" i="512" s="1"/>
  <c r="A16" i="450"/>
  <c r="A16" i="512" s="1"/>
  <c r="A11" i="450"/>
  <c r="A11" i="512" s="1"/>
  <c r="D16" i="450" l="1"/>
  <c r="E16" i="512" s="1"/>
  <c r="E16" i="450" s="1"/>
  <c r="F16" i="512" s="1"/>
  <c r="F16" i="450" s="1"/>
  <c r="G16" i="512" s="1"/>
  <c r="G16" i="450" s="1"/>
  <c r="H16" i="512" s="1"/>
  <c r="H16" i="450" s="1"/>
  <c r="I16" i="512" s="1"/>
  <c r="I16" i="450" s="1"/>
  <c r="J16" i="512" s="1"/>
  <c r="J16" i="450" s="1"/>
  <c r="I35" i="494"/>
  <c r="H31" i="494"/>
  <c r="H30" i="494"/>
  <c r="H29" i="494"/>
  <c r="H28" i="494"/>
  <c r="H27" i="494"/>
  <c r="H26" i="494"/>
  <c r="H25" i="494"/>
  <c r="H24" i="494"/>
  <c r="H23" i="494"/>
  <c r="H22" i="494"/>
  <c r="H34" i="494" s="1"/>
  <c r="H21" i="494"/>
  <c r="H33" i="494" s="1"/>
  <c r="H20" i="494"/>
  <c r="H32" i="494" s="1"/>
  <c r="I18" i="494"/>
  <c r="D31" i="494" s="1"/>
  <c r="O12" i="513" s="1"/>
  <c r="I17" i="494"/>
  <c r="F30" i="494" s="1"/>
  <c r="N14" i="513" s="1"/>
  <c r="I16" i="494"/>
  <c r="D29" i="494" s="1"/>
  <c r="M12" i="513" s="1"/>
  <c r="I15" i="494"/>
  <c r="F28" i="494" s="1"/>
  <c r="L14" i="513" s="1"/>
  <c r="I14" i="494"/>
  <c r="D27" i="494" s="1"/>
  <c r="K12" i="513" s="1"/>
  <c r="I13" i="494"/>
  <c r="F26" i="494" s="1"/>
  <c r="J14" i="513" s="1"/>
  <c r="I12" i="494"/>
  <c r="D25" i="494" s="1"/>
  <c r="I12" i="513" s="1"/>
  <c r="I11" i="494"/>
  <c r="F24" i="494" s="1"/>
  <c r="H14" i="513" s="1"/>
  <c r="I10" i="494"/>
  <c r="D23" i="494" s="1"/>
  <c r="G12" i="513" s="1"/>
  <c r="I9" i="494"/>
  <c r="F22" i="494" s="1"/>
  <c r="I8" i="494"/>
  <c r="D21" i="494" s="1"/>
  <c r="I7" i="494"/>
  <c r="F20" i="494" s="1"/>
  <c r="K18" i="519" s="1"/>
  <c r="K19" i="512" s="1"/>
  <c r="F34" i="494" l="1"/>
  <c r="R14" i="513" s="1"/>
  <c r="M18" i="519"/>
  <c r="G30" i="494"/>
  <c r="N15" i="513" s="1"/>
  <c r="F32" i="494"/>
  <c r="P14" i="513" s="1"/>
  <c r="D33" i="494"/>
  <c r="Q12" i="513" s="1"/>
  <c r="L16" i="519"/>
  <c r="G22" i="494"/>
  <c r="G26" i="494"/>
  <c r="J15" i="513" s="1"/>
  <c r="E23" i="494"/>
  <c r="G13" i="513" s="1"/>
  <c r="E27" i="494"/>
  <c r="K13" i="513" s="1"/>
  <c r="E31" i="494"/>
  <c r="O13" i="513" s="1"/>
  <c r="E21" i="494"/>
  <c r="E25" i="494"/>
  <c r="I13" i="513" s="1"/>
  <c r="E29" i="494"/>
  <c r="M13" i="513" s="1"/>
  <c r="C22" i="494"/>
  <c r="C26" i="494"/>
  <c r="J11" i="513" s="1"/>
  <c r="C30" i="494"/>
  <c r="N11" i="513" s="1"/>
  <c r="H35" i="494"/>
  <c r="F21" i="494"/>
  <c r="D22" i="494"/>
  <c r="F23" i="494"/>
  <c r="G14" i="513" s="1"/>
  <c r="D24" i="494"/>
  <c r="H12" i="513" s="1"/>
  <c r="F25" i="494"/>
  <c r="I14" i="513" s="1"/>
  <c r="D26" i="494"/>
  <c r="J12" i="513" s="1"/>
  <c r="F27" i="494"/>
  <c r="K14" i="513" s="1"/>
  <c r="D28" i="494"/>
  <c r="L12" i="513" s="1"/>
  <c r="F29" i="494"/>
  <c r="M14" i="513" s="1"/>
  <c r="D30" i="494"/>
  <c r="N12" i="513" s="1"/>
  <c r="F31" i="494"/>
  <c r="O14" i="513" s="1"/>
  <c r="G20" i="494"/>
  <c r="K19" i="519" s="1"/>
  <c r="K20" i="512" s="1"/>
  <c r="E20" i="494"/>
  <c r="K17" i="519" s="1"/>
  <c r="K18" i="512" s="1"/>
  <c r="C21" i="494"/>
  <c r="G21" i="494"/>
  <c r="E22" i="494"/>
  <c r="C23" i="494"/>
  <c r="G11" i="513" s="1"/>
  <c r="G23" i="494"/>
  <c r="G15" i="513" s="1"/>
  <c r="E24" i="494"/>
  <c r="H13" i="513" s="1"/>
  <c r="C25" i="494"/>
  <c r="I11" i="513" s="1"/>
  <c r="G25" i="494"/>
  <c r="I15" i="513" s="1"/>
  <c r="E26" i="494"/>
  <c r="J13" i="513" s="1"/>
  <c r="C27" i="494"/>
  <c r="K11" i="513" s="1"/>
  <c r="G27" i="494"/>
  <c r="K15" i="513" s="1"/>
  <c r="E28" i="494"/>
  <c r="L13" i="513" s="1"/>
  <c r="C29" i="494"/>
  <c r="M11" i="513" s="1"/>
  <c r="G29" i="494"/>
  <c r="M15" i="513" s="1"/>
  <c r="E30" i="494"/>
  <c r="N13" i="513" s="1"/>
  <c r="C31" i="494"/>
  <c r="O11" i="513" s="1"/>
  <c r="G31" i="494"/>
  <c r="O15" i="513" s="1"/>
  <c r="C20" i="494"/>
  <c r="K15" i="519" s="1"/>
  <c r="K16" i="512" s="1"/>
  <c r="C24" i="494"/>
  <c r="H11" i="513" s="1"/>
  <c r="G24" i="494"/>
  <c r="H15" i="513" s="1"/>
  <c r="C28" i="494"/>
  <c r="L11" i="513" s="1"/>
  <c r="G28" i="494"/>
  <c r="L15" i="513" s="1"/>
  <c r="D20" i="494"/>
  <c r="K16" i="519" s="1"/>
  <c r="K17" i="512" s="1"/>
  <c r="A13" i="520"/>
  <c r="A12" i="520"/>
  <c r="H12" i="520" s="1"/>
  <c r="F13" i="520" s="1"/>
  <c r="E32" i="494" l="1"/>
  <c r="P13" i="513" s="1"/>
  <c r="F33" i="494"/>
  <c r="Q14" i="513" s="1"/>
  <c r="L18" i="519"/>
  <c r="N18" i="519" s="1"/>
  <c r="C34" i="494"/>
  <c r="R11" i="513" s="1"/>
  <c r="M15" i="519"/>
  <c r="G34" i="494"/>
  <c r="R15" i="513" s="1"/>
  <c r="M19" i="519"/>
  <c r="D32" i="494"/>
  <c r="P12" i="513" s="1"/>
  <c r="E34" i="494"/>
  <c r="R13" i="513" s="1"/>
  <c r="M17" i="519"/>
  <c r="G32" i="494"/>
  <c r="P15" i="513" s="1"/>
  <c r="C32" i="494"/>
  <c r="P11" i="513" s="1"/>
  <c r="G33" i="494"/>
  <c r="Q15" i="513" s="1"/>
  <c r="L19" i="519"/>
  <c r="C33" i="494"/>
  <c r="Q11" i="513" s="1"/>
  <c r="L15" i="519"/>
  <c r="D34" i="494"/>
  <c r="R12" i="513" s="1"/>
  <c r="M16" i="519"/>
  <c r="N16" i="519" s="1"/>
  <c r="E33" i="494"/>
  <c r="Q13" i="513" s="1"/>
  <c r="L17" i="519"/>
  <c r="H13" i="520"/>
  <c r="F14" i="520" s="1"/>
  <c r="F35" i="494" l="1"/>
  <c r="J10" i="449" s="1"/>
  <c r="N15" i="519"/>
  <c r="N17" i="519"/>
  <c r="E35" i="494"/>
  <c r="I10" i="449" s="1"/>
  <c r="N19" i="519"/>
  <c r="C35" i="494"/>
  <c r="G10" i="449" s="1"/>
  <c r="G35" i="494"/>
  <c r="K10" i="449" s="1"/>
  <c r="D35" i="494"/>
  <c r="H10" i="449" s="1"/>
  <c r="H14" i="520"/>
  <c r="F15" i="520" s="1"/>
  <c r="H15" i="520" l="1"/>
  <c r="F16" i="520" s="1"/>
  <c r="H16" i="520" l="1"/>
  <c r="F17" i="520" s="1"/>
  <c r="H17" i="520" l="1"/>
  <c r="F18" i="520" s="1"/>
  <c r="H18" i="520" l="1"/>
  <c r="F19" i="520" s="1"/>
  <c r="H19" i="520" l="1"/>
  <c r="F20" i="520" s="1"/>
  <c r="H20" i="520" l="1"/>
  <c r="F21" i="520" s="1"/>
  <c r="H21" i="520" l="1"/>
  <c r="F22" i="520" s="1"/>
  <c r="H22" i="520" l="1"/>
  <c r="F23" i="520" s="1"/>
  <c r="H23" i="520" l="1"/>
  <c r="F24" i="520" s="1"/>
  <c r="H24" i="520" l="1"/>
  <c r="F25" i="520" s="1"/>
  <c r="H25" i="520" l="1"/>
  <c r="H26" i="520" l="1"/>
  <c r="H27" i="520" l="1"/>
  <c r="H28" i="520" l="1"/>
  <c r="H29" i="520" l="1"/>
  <c r="H30" i="520" l="1"/>
  <c r="H31" i="520" l="1"/>
  <c r="H32" i="520" l="1"/>
  <c r="H33" i="520" l="1"/>
  <c r="H34" i="520" l="1"/>
  <c r="H35" i="520" l="1"/>
  <c r="F36" i="520" l="1"/>
  <c r="H36" i="520" s="1"/>
  <c r="M20" i="519"/>
  <c r="M22" i="519" s="1"/>
  <c r="C11" i="512"/>
  <c r="D11" i="512" s="1"/>
  <c r="D11" i="450" s="1"/>
  <c r="E11" i="512" s="1"/>
  <c r="C12" i="512"/>
  <c r="D12" i="512" s="1"/>
  <c r="C13" i="512"/>
  <c r="D13" i="512" s="1"/>
  <c r="D13" i="450" s="1"/>
  <c r="E13" i="512" s="1"/>
  <c r="C14" i="512"/>
  <c r="D14" i="512" s="1"/>
  <c r="D14" i="450" s="1"/>
  <c r="E14" i="512" s="1"/>
  <c r="C15" i="512"/>
  <c r="D15" i="512" s="1"/>
  <c r="F37" i="520" l="1"/>
  <c r="H37" i="520" s="1"/>
  <c r="E14" i="450"/>
  <c r="F14" i="512" s="1"/>
  <c r="E13" i="450"/>
  <c r="F13" i="512" s="1"/>
  <c r="F13" i="450" s="1"/>
  <c r="G13" i="512" s="1"/>
  <c r="G13" i="450" s="1"/>
  <c r="H13" i="512" s="1"/>
  <c r="H13" i="450" s="1"/>
  <c r="I13" i="512" s="1"/>
  <c r="I13" i="450" s="1"/>
  <c r="J13" i="512" s="1"/>
  <c r="D12" i="450"/>
  <c r="E12" i="512" s="1"/>
  <c r="D15" i="450"/>
  <c r="E15" i="512" s="1"/>
  <c r="D22" i="512"/>
  <c r="D24" i="512" s="1"/>
  <c r="L20" i="519"/>
  <c r="L22" i="519" s="1"/>
  <c r="K20" i="519"/>
  <c r="K22" i="519" s="1"/>
  <c r="E15" i="450" l="1"/>
  <c r="F15" i="512" s="1"/>
  <c r="F15" i="450" s="1"/>
  <c r="G15" i="512" s="1"/>
  <c r="G15" i="450" s="1"/>
  <c r="H15" i="512" s="1"/>
  <c r="H15" i="450" s="1"/>
  <c r="I15" i="512" s="1"/>
  <c r="I15" i="450" s="1"/>
  <c r="J15" i="512" s="1"/>
  <c r="D22" i="450"/>
  <c r="D24" i="450" s="1"/>
  <c r="J13" i="450"/>
  <c r="K13" i="512" s="1"/>
  <c r="F38" i="520"/>
  <c r="H38" i="520"/>
  <c r="F14" i="450"/>
  <c r="G14" i="512" s="1"/>
  <c r="G14" i="450" s="1"/>
  <c r="H14" i="512" s="1"/>
  <c r="H14" i="450" s="1"/>
  <c r="I14" i="512" s="1"/>
  <c r="I14" i="450" s="1"/>
  <c r="J14" i="512" s="1"/>
  <c r="E12" i="450"/>
  <c r="F12" i="512" s="1"/>
  <c r="F12" i="450" s="1"/>
  <c r="G12" i="512" s="1"/>
  <c r="E11" i="450"/>
  <c r="N20" i="519"/>
  <c r="N22" i="519" s="1"/>
  <c r="G15" i="516"/>
  <c r="D13" i="516"/>
  <c r="D15" i="516" s="1"/>
  <c r="D17" i="516" s="1"/>
  <c r="D19" i="516" s="1"/>
  <c r="D21" i="516" s="1"/>
  <c r="J15" i="450" l="1"/>
  <c r="K15" i="512" s="1"/>
  <c r="J14" i="450"/>
  <c r="K14" i="512" s="1"/>
  <c r="H41" i="520"/>
  <c r="G12" i="450"/>
  <c r="H12" i="512" s="1"/>
  <c r="H12" i="450" s="1"/>
  <c r="I12" i="512" s="1"/>
  <c r="I12" i="450" s="1"/>
  <c r="J12" i="512" s="1"/>
  <c r="E22" i="450"/>
  <c r="E24" i="450" s="1"/>
  <c r="E22" i="512"/>
  <c r="E24" i="512" s="1"/>
  <c r="G17" i="516"/>
  <c r="G19" i="516" s="1"/>
  <c r="J12" i="450" l="1"/>
  <c r="K12" i="512" s="1"/>
  <c r="H42" i="520"/>
  <c r="F11" i="512"/>
  <c r="C21" i="449"/>
  <c r="A23" i="513"/>
  <c r="A24" i="513"/>
  <c r="A25" i="513"/>
  <c r="A26" i="513"/>
  <c r="B23" i="513"/>
  <c r="B24" i="513"/>
  <c r="B25" i="513"/>
  <c r="B26" i="513"/>
  <c r="H43" i="520" l="1"/>
  <c r="F22" i="512"/>
  <c r="F24" i="512" s="1"/>
  <c r="F11" i="450"/>
  <c r="F22" i="450" s="1"/>
  <c r="F24" i="450" s="1"/>
  <c r="S14" i="513"/>
  <c r="F15" i="490"/>
  <c r="F13" i="490"/>
  <c r="F16" i="490"/>
  <c r="S13" i="513"/>
  <c r="F14" i="490"/>
  <c r="S11" i="513"/>
  <c r="F12" i="490"/>
  <c r="H44" i="520" l="1"/>
  <c r="G11" i="512"/>
  <c r="G11" i="450"/>
  <c r="G22" i="450" s="1"/>
  <c r="G24" i="450" s="1"/>
  <c r="G22" i="512"/>
  <c r="G24" i="512" s="1"/>
  <c r="F17" i="490"/>
  <c r="S12" i="513"/>
  <c r="S15" i="513"/>
  <c r="E22" i="490"/>
  <c r="L20" i="490"/>
  <c r="H22" i="490"/>
  <c r="H45" i="520" l="1"/>
  <c r="H11" i="512"/>
  <c r="H11" i="450" s="1"/>
  <c r="H22" i="450" s="1"/>
  <c r="H24" i="450" s="1"/>
  <c r="H22" i="512"/>
  <c r="H24" i="512" s="1"/>
  <c r="S17" i="513"/>
  <c r="L19" i="490"/>
  <c r="L22" i="490" s="1"/>
  <c r="N20" i="490"/>
  <c r="F22" i="490"/>
  <c r="H46" i="520" l="1"/>
  <c r="I11" i="512"/>
  <c r="I11" i="450" s="1"/>
  <c r="I22" i="450" s="1"/>
  <c r="I24" i="450" s="1"/>
  <c r="I22" i="512"/>
  <c r="I24" i="512" s="1"/>
  <c r="H47" i="520" l="1"/>
  <c r="J11" i="512"/>
  <c r="J22" i="512" s="1"/>
  <c r="J24" i="512" s="1"/>
  <c r="L9" i="450"/>
  <c r="K9" i="450"/>
  <c r="I40" i="472"/>
  <c r="H16" i="490" s="1"/>
  <c r="I32" i="472"/>
  <c r="I26" i="472"/>
  <c r="I17" i="472"/>
  <c r="G32" i="472"/>
  <c r="G26" i="472"/>
  <c r="G17" i="472"/>
  <c r="F47" i="472"/>
  <c r="F40" i="472"/>
  <c r="F32" i="472"/>
  <c r="F17" i="472"/>
  <c r="F26" i="472"/>
  <c r="K19" i="450" l="1"/>
  <c r="K18" i="450"/>
  <c r="K20" i="450"/>
  <c r="K17" i="450"/>
  <c r="K16" i="450"/>
  <c r="K13" i="450"/>
  <c r="K14" i="450"/>
  <c r="K15" i="450"/>
  <c r="K12" i="450"/>
  <c r="H48" i="520"/>
  <c r="J11" i="450"/>
  <c r="I41" i="472"/>
  <c r="C20" i="513"/>
  <c r="R20" i="513" l="1"/>
  <c r="Q20" i="513"/>
  <c r="P20" i="513"/>
  <c r="O20" i="513"/>
  <c r="N20" i="513"/>
  <c r="M20" i="513"/>
  <c r="L20" i="513"/>
  <c r="K20" i="513"/>
  <c r="J20" i="513"/>
  <c r="I20" i="513"/>
  <c r="H20" i="513"/>
  <c r="G20" i="513"/>
  <c r="L7" i="450"/>
  <c r="H13" i="490" l="1"/>
  <c r="A29" i="513" l="1"/>
  <c r="E17" i="513" l="1"/>
  <c r="A22" i="513"/>
  <c r="B24" i="450" l="1"/>
  <c r="A24" i="450"/>
  <c r="A22" i="519" s="1"/>
  <c r="M22" i="450"/>
  <c r="M24" i="450" s="1"/>
  <c r="K7" i="450"/>
  <c r="J7" i="450"/>
  <c r="B22" i="513"/>
  <c r="N22" i="512"/>
  <c r="D26" i="511"/>
  <c r="K11" i="512" l="1"/>
  <c r="K11" i="450" s="1"/>
  <c r="L12" i="512"/>
  <c r="L12" i="450" s="1"/>
  <c r="L15" i="512"/>
  <c r="L15" i="450" s="1"/>
  <c r="L13" i="512"/>
  <c r="L13" i="450" s="1"/>
  <c r="L14" i="512"/>
  <c r="L14" i="450" s="1"/>
  <c r="D29" i="511"/>
  <c r="L17" i="512" l="1"/>
  <c r="L17" i="450" s="1"/>
  <c r="L18" i="512"/>
  <c r="L18" i="450" s="1"/>
  <c r="L11" i="512"/>
  <c r="J22" i="450"/>
  <c r="J24" i="450" s="1"/>
  <c r="N13" i="450"/>
  <c r="N12" i="450"/>
  <c r="N14" i="450"/>
  <c r="N15" i="450"/>
  <c r="L11" i="450" l="1"/>
  <c r="N11" i="450" s="1"/>
  <c r="N18" i="450"/>
  <c r="N17" i="450"/>
  <c r="L20" i="512"/>
  <c r="L20" i="450" s="1"/>
  <c r="M13" i="512"/>
  <c r="M15" i="512"/>
  <c r="M12" i="512"/>
  <c r="M14" i="512"/>
  <c r="C23" i="507"/>
  <c r="C19" i="507"/>
  <c r="C17" i="507"/>
  <c r="C15" i="507"/>
  <c r="E13" i="507"/>
  <c r="C13" i="507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M11" i="512" l="1"/>
  <c r="L18" i="506"/>
  <c r="E26" i="506"/>
  <c r="O15" i="512"/>
  <c r="O14" i="512"/>
  <c r="O13" i="512"/>
  <c r="O12" i="512"/>
  <c r="O11" i="512"/>
  <c r="K22" i="450"/>
  <c r="L16" i="512"/>
  <c r="L16" i="450" s="1"/>
  <c r="N20" i="450"/>
  <c r="M17" i="512"/>
  <c r="O17" i="512" s="1"/>
  <c r="L19" i="512"/>
  <c r="L19" i="450" s="1"/>
  <c r="M18" i="512"/>
  <c r="O18" i="512" s="1"/>
  <c r="G12" i="508"/>
  <c r="L23" i="506"/>
  <c r="G14" i="508"/>
  <c r="E18" i="508"/>
  <c r="E22" i="508"/>
  <c r="H21" i="506"/>
  <c r="H27" i="507"/>
  <c r="H13" i="507"/>
  <c r="I13" i="507" s="1"/>
  <c r="F21" i="506"/>
  <c r="E24" i="508"/>
  <c r="L12" i="506"/>
  <c r="M12" i="506" s="1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I14" i="508" l="1"/>
  <c r="F12" i="513"/>
  <c r="G23" i="513" s="1"/>
  <c r="F13" i="513"/>
  <c r="T13" i="513" s="1"/>
  <c r="M20" i="512"/>
  <c r="F15" i="513" s="1"/>
  <c r="D15" i="449"/>
  <c r="D14" i="449"/>
  <c r="N16" i="450"/>
  <c r="N19" i="450"/>
  <c r="I22" i="508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T12" i="513" l="1"/>
  <c r="G24" i="513"/>
  <c r="H24" i="513" s="1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O20" i="512"/>
  <c r="D17" i="449" s="1"/>
  <c r="T15" i="513"/>
  <c r="G26" i="513"/>
  <c r="H26" i="513" s="1"/>
  <c r="L22" i="450"/>
  <c r="M19" i="512"/>
  <c r="M16" i="512"/>
  <c r="F11" i="513" s="1"/>
  <c r="H23" i="513"/>
  <c r="I23" i="513" s="1"/>
  <c r="J23" i="513" s="1"/>
  <c r="K23" i="513" s="1"/>
  <c r="L23" i="513" s="1"/>
  <c r="M23" i="513" s="1"/>
  <c r="N23" i="513" s="1"/>
  <c r="O23" i="513" s="1"/>
  <c r="P23" i="513" s="1"/>
  <c r="Q23" i="513" s="1"/>
  <c r="R23" i="513" s="1"/>
  <c r="C22" i="512"/>
  <c r="C24" i="512" s="1"/>
  <c r="N21" i="506"/>
  <c r="M21" i="506"/>
  <c r="L28" i="506"/>
  <c r="N28" i="506" s="1"/>
  <c r="S24" i="513" l="1"/>
  <c r="E15" i="449" s="1"/>
  <c r="F15" i="449" s="1"/>
  <c r="I15" i="449" s="1"/>
  <c r="I21" i="449" s="1"/>
  <c r="N22" i="450"/>
  <c r="I26" i="513"/>
  <c r="J26" i="513" s="1"/>
  <c r="K26" i="513" s="1"/>
  <c r="L26" i="513" s="1"/>
  <c r="M26" i="513" s="1"/>
  <c r="N26" i="513" s="1"/>
  <c r="O26" i="513" s="1"/>
  <c r="P26" i="513" s="1"/>
  <c r="Q26" i="513" s="1"/>
  <c r="R26" i="513" s="1"/>
  <c r="O19" i="512"/>
  <c r="D16" i="449" s="1"/>
  <c r="F14" i="513"/>
  <c r="F17" i="513" s="1"/>
  <c r="G22" i="513"/>
  <c r="H22" i="513" s="1"/>
  <c r="I22" i="513" s="1"/>
  <c r="J22" i="513" s="1"/>
  <c r="K22" i="513" s="1"/>
  <c r="L22" i="513" s="1"/>
  <c r="M22" i="513" s="1"/>
  <c r="N22" i="513" s="1"/>
  <c r="O22" i="513" s="1"/>
  <c r="P22" i="513" s="1"/>
  <c r="Q22" i="513" s="1"/>
  <c r="R22" i="513" s="1"/>
  <c r="T11" i="513"/>
  <c r="O16" i="512"/>
  <c r="D13" i="449" s="1"/>
  <c r="S23" i="513"/>
  <c r="S26" i="513" l="1"/>
  <c r="E17" i="449" s="1"/>
  <c r="F17" i="449" s="1"/>
  <c r="K17" i="449" s="1"/>
  <c r="K21" i="449" s="1"/>
  <c r="G25" i="513"/>
  <c r="H25" i="513" s="1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T14" i="513"/>
  <c r="E14" i="449"/>
  <c r="F14" i="449" s="1"/>
  <c r="H14" i="449" s="1"/>
  <c r="H21" i="449" s="1"/>
  <c r="H15" i="490"/>
  <c r="S25" i="513" l="1"/>
  <c r="E16" i="449" s="1"/>
  <c r="F16" i="449" s="1"/>
  <c r="J16" i="449" s="1"/>
  <c r="J21" i="449" s="1"/>
  <c r="D21" i="449"/>
  <c r="G59" i="472"/>
  <c r="G60" i="472"/>
  <c r="G63" i="472"/>
  <c r="G40" i="472" l="1"/>
  <c r="G29" i="513" l="1"/>
  <c r="F76" i="472"/>
  <c r="G76" i="472"/>
  <c r="I76" i="472"/>
  <c r="J76" i="472"/>
  <c r="E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J89" i="472"/>
  <c r="H12" i="490"/>
  <c r="H14" i="490"/>
  <c r="H29" i="513" l="1"/>
  <c r="F24" i="490"/>
  <c r="E21" i="473"/>
  <c r="E13" i="473"/>
  <c r="E15" i="473"/>
  <c r="E17" i="474"/>
  <c r="E17" i="473"/>
  <c r="E19" i="473"/>
  <c r="E19" i="474"/>
  <c r="G47" i="472"/>
  <c r="G69" i="472"/>
  <c r="G68" i="472"/>
  <c r="G86" i="472"/>
  <c r="G85" i="472"/>
  <c r="G65" i="472"/>
  <c r="G64" i="472"/>
  <c r="G82" i="472"/>
  <c r="G79" i="472"/>
  <c r="G78" i="472"/>
  <c r="I69" i="472"/>
  <c r="I68" i="472"/>
  <c r="I86" i="472"/>
  <c r="I85" i="472"/>
  <c r="I65" i="472"/>
  <c r="I64" i="472"/>
  <c r="I63" i="472"/>
  <c r="I60" i="472"/>
  <c r="I79" i="472" s="1"/>
  <c r="I59" i="472"/>
  <c r="I78" i="472" s="1"/>
  <c r="F86" i="472"/>
  <c r="F69" i="472"/>
  <c r="F68" i="472"/>
  <c r="F65" i="472"/>
  <c r="F64" i="472"/>
  <c r="F63" i="472"/>
  <c r="F60" i="472"/>
  <c r="F59" i="472"/>
  <c r="I29" i="513" l="1"/>
  <c r="I82" i="472"/>
  <c r="F88" i="472"/>
  <c r="I83" i="472"/>
  <c r="I87" i="472"/>
  <c r="G83" i="472"/>
  <c r="G87" i="472"/>
  <c r="I80" i="472"/>
  <c r="I84" i="472"/>
  <c r="I88" i="472"/>
  <c r="G80" i="472"/>
  <c r="G84" i="472"/>
  <c r="G88" i="472"/>
  <c r="F87" i="472"/>
  <c r="I77" i="472"/>
  <c r="I81" i="472"/>
  <c r="G77" i="472"/>
  <c r="G81" i="472"/>
  <c r="F77" i="472"/>
  <c r="F81" i="472"/>
  <c r="F85" i="472"/>
  <c r="F79" i="472"/>
  <c r="E13" i="490"/>
  <c r="E15" i="474" s="1"/>
  <c r="F80" i="472"/>
  <c r="F84" i="472"/>
  <c r="E16" i="490"/>
  <c r="F83" i="472"/>
  <c r="E14" i="490"/>
  <c r="F78" i="472"/>
  <c r="E12" i="490"/>
  <c r="F82" i="472"/>
  <c r="E15" i="490"/>
  <c r="I70" i="472"/>
  <c r="G70" i="472"/>
  <c r="F70" i="472"/>
  <c r="J29" i="513" l="1"/>
  <c r="G89" i="472"/>
  <c r="I89" i="472"/>
  <c r="E13" i="474"/>
  <c r="C13" i="474"/>
  <c r="F89" i="472"/>
  <c r="K29" i="513" l="1"/>
  <c r="I47" i="472"/>
  <c r="I48" i="472" s="1"/>
  <c r="L29" i="513" l="1"/>
  <c r="F41" i="472"/>
  <c r="F48" i="472" s="1"/>
  <c r="M29" i="513" l="1"/>
  <c r="N29" i="513" l="1"/>
  <c r="C19" i="473"/>
  <c r="C13" i="473"/>
  <c r="C17" i="473"/>
  <c r="C15" i="474"/>
  <c r="C15" i="473"/>
  <c r="H17" i="490"/>
  <c r="H24" i="490" s="1"/>
  <c r="E17" i="490"/>
  <c r="E24" i="490" s="1"/>
  <c r="O29" i="513" l="1"/>
  <c r="G41" i="472"/>
  <c r="P29" i="513" l="1"/>
  <c r="G48" i="472"/>
  <c r="R29" i="513" l="1"/>
  <c r="Q29" i="513"/>
  <c r="K22" i="512"/>
  <c r="K24" i="512" s="1"/>
  <c r="K24" i="450" l="1"/>
  <c r="L22" i="512" l="1"/>
  <c r="L24" i="512" s="1"/>
  <c r="O22" i="512" l="1"/>
  <c r="M22" i="512"/>
  <c r="M24" i="512" s="1"/>
  <c r="L24" i="450"/>
  <c r="N24" i="450"/>
  <c r="O24" i="512" l="1"/>
  <c r="G17" i="513" l="1"/>
  <c r="L17" i="513"/>
  <c r="N17" i="513"/>
  <c r="J17" i="513"/>
  <c r="P17" i="513"/>
  <c r="K17" i="513"/>
  <c r="Q17" i="513"/>
  <c r="M17" i="513"/>
  <c r="I17" i="513"/>
  <c r="R17" i="513"/>
  <c r="O17" i="513"/>
  <c r="H17" i="513"/>
  <c r="S22" i="513" l="1"/>
  <c r="E13" i="449" s="1"/>
  <c r="F13" i="449" l="1"/>
  <c r="G13" i="449" s="1"/>
  <c r="G21" i="449" s="1"/>
  <c r="E21" i="449"/>
  <c r="S29" i="513"/>
  <c r="T17" i="513"/>
  <c r="F21" i="449" l="1"/>
  <c r="G24" i="516" s="1"/>
  <c r="G25" i="516" s="1"/>
  <c r="E15" i="483"/>
  <c r="F15" i="483" s="1"/>
  <c r="E12" i="483"/>
  <c r="F12" i="483" s="1"/>
  <c r="E14" i="483"/>
  <c r="F14" i="483" s="1"/>
  <c r="E16" i="483"/>
  <c r="E13" i="483"/>
  <c r="F13" i="483" s="1"/>
  <c r="G16" i="483" l="1"/>
  <c r="F16" i="483"/>
  <c r="K16" i="490" s="1"/>
  <c r="G21" i="474" s="1"/>
  <c r="G13" i="483"/>
  <c r="G12" i="483"/>
  <c r="M34" i="472" l="1"/>
  <c r="N34" i="472" s="1"/>
  <c r="O34" i="472" s="1"/>
  <c r="M12" i="472"/>
  <c r="K12" i="490"/>
  <c r="G13" i="474" s="1"/>
  <c r="K13" i="474" s="1"/>
  <c r="G21" i="473"/>
  <c r="M15" i="472" l="1"/>
  <c r="N15" i="472" s="1"/>
  <c r="N12" i="472"/>
  <c r="E21" i="474"/>
  <c r="C21" i="473"/>
  <c r="H21" i="473" s="1"/>
  <c r="I21" i="473" s="1"/>
  <c r="M16" i="472"/>
  <c r="N16" i="472" s="1"/>
  <c r="M19" i="472"/>
  <c r="N19" i="472" s="1"/>
  <c r="O19" i="472" s="1"/>
  <c r="G15" i="483"/>
  <c r="G14" i="483"/>
  <c r="G13" i="473"/>
  <c r="I13" i="474"/>
  <c r="K13" i="490"/>
  <c r="N40" i="472" l="1"/>
  <c r="O40" i="472" s="1"/>
  <c r="K21" i="474"/>
  <c r="I21" i="474"/>
  <c r="O12" i="472"/>
  <c r="M24" i="472"/>
  <c r="N24" i="472" s="1"/>
  <c r="M23" i="472"/>
  <c r="N23" i="472" s="1"/>
  <c r="H13" i="473"/>
  <c r="I13" i="473" s="1"/>
  <c r="G15" i="473"/>
  <c r="H15" i="473" s="1"/>
  <c r="G15" i="474"/>
  <c r="K15" i="474" s="1"/>
  <c r="N17" i="472" l="1"/>
  <c r="O17" i="472" s="1"/>
  <c r="I15" i="474"/>
  <c r="I15" i="473"/>
  <c r="M20" i="472" l="1"/>
  <c r="K15" i="490"/>
  <c r="G19" i="473" s="1"/>
  <c r="H19" i="473" s="1"/>
  <c r="N20" i="472" l="1"/>
  <c r="O20" i="472" s="1"/>
  <c r="M29" i="472"/>
  <c r="N29" i="472" s="1"/>
  <c r="O29" i="472" s="1"/>
  <c r="M28" i="472"/>
  <c r="N28" i="472" s="1"/>
  <c r="O28" i="472" s="1"/>
  <c r="G19" i="474"/>
  <c r="K14" i="490"/>
  <c r="G17" i="473" s="1"/>
  <c r="H17" i="473" s="1"/>
  <c r="N26" i="472" l="1"/>
  <c r="O26" i="472" s="1"/>
  <c r="N32" i="472"/>
  <c r="O32" i="472" s="1"/>
  <c r="G17" i="474"/>
  <c r="I19" i="473"/>
  <c r="I19" i="474"/>
  <c r="K19" i="474"/>
  <c r="N41" i="472" l="1"/>
  <c r="O41" i="472" s="1"/>
  <c r="I17" i="473"/>
  <c r="K17" i="474"/>
  <c r="I17" i="474"/>
  <c r="L12" i="490" l="1"/>
  <c r="L13" i="490"/>
  <c r="L14" i="490"/>
  <c r="L15" i="490"/>
  <c r="L16" i="490"/>
  <c r="M14" i="490" l="1"/>
  <c r="N14" i="490"/>
  <c r="M12" i="490"/>
  <c r="N12" i="490"/>
  <c r="M15" i="490"/>
  <c r="N15" i="490"/>
  <c r="M16" i="490"/>
  <c r="N16" i="490"/>
  <c r="M13" i="490"/>
  <c r="N13" i="490"/>
  <c r="L17" i="490"/>
  <c r="L24" i="490" l="1"/>
  <c r="N24" i="490" s="1"/>
  <c r="N17" i="490"/>
  <c r="M17" i="490"/>
  <c r="N48" i="472" l="1"/>
  <c r="O48" i="472" s="1"/>
  <c r="B16" i="450" l="1"/>
  <c r="B16" i="5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9138150C-8AEA-4AF6-A47F-DD8E80CC4A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Talk to Chris Ryan about rounding, show rounding on other filings
</t>
        </r>
      </text>
    </comment>
  </commentList>
</comments>
</file>

<file path=xl/sharedStrings.xml><?xml version="1.0" encoding="utf-8"?>
<sst xmlns="http://schemas.openxmlformats.org/spreadsheetml/2006/main" count="785" uniqueCount="298">
  <si>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</si>
  <si>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</si>
  <si>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</si>
  <si>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</si>
  <si>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</si>
  <si>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</si>
  <si>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</si>
  <si>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</si>
  <si>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</si>
  <si>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</si>
  <si>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</si>
  <si>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</si>
  <si>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</si>
  <si>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</si>
  <si>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 xml:space="preserve"> (g)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</si>
  <si>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</si>
  <si>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</si>
  <si>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</si>
  <si>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</si>
  <si>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</si>
  <si>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</si>
  <si>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</si>
  <si>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</si>
  <si>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</si>
  <si>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</si>
  <si>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</si>
  <si>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</si>
  <si>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</si>
  <si>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</si>
  <si>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</si>
  <si>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</si>
  <si>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</si>
  <si>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</si>
  <si>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</si>
  <si>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</si>
  <si>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</si>
  <si>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</si>
  <si>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</si>
  <si>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</si>
  <si>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</si>
  <si>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</si>
  <si>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</si>
  <si>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</si>
  <si>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</si>
  <si>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</si>
  <si>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</si>
  <si>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</si>
  <si>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</si>
  <si>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</si>
  <si>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</si>
  <si>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</si>
  <si>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</si>
  <si>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</si>
  <si>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</si>
  <si>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</si>
  <si>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</si>
  <si>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</si>
  <si>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</si>
  <si>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</si>
  <si>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</si>
  <si>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</si>
  <si>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</si>
  <si>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</si>
  <si>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</si>
  <si>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</si>
  <si>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</si>
  <si>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</si>
  <si>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</si>
  <si>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</si>
  <si>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</si>
  <si>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</si>
  <si>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</si>
  <si>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</si>
  <si>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</si>
  <si>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</si>
  <si>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</si>
  <si>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</si>
  <si>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</si>
  <si>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</si>
  <si>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</si>
  <si>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</si>
  <si>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</si>
  <si>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</si>
  <si>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</si>
  <si>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</si>
  <si>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</si>
  <si>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</si>
  <si>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</si>
  <si>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</si>
  <si>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</si>
  <si>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</si>
  <si>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</si>
  <si>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</si>
  <si>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</si>
  <si>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</si>
  <si>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</si>
  <si>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</si>
  <si>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</si>
  <si>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</si>
  <si>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</si>
  <si>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</si>
  <si>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</si>
  <si>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</si>
  <si>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</si>
  <si>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</si>
  <si>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</si>
  <si>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</si>
  <si>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</si>
  <si>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</si>
  <si>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</si>
  <si>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</si>
  <si>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</si>
  <si>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</si>
  <si>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</si>
  <si>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</si>
  <si>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</si>
  <si>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</si>
  <si>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</si>
  <si>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</si>
  <si>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</si>
  <si>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</si>
  <si>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</si>
  <si>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</si>
  <si>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</si>
  <si>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</si>
  <si>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</si>
  <si>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</si>
  <si>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</si>
  <si>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</si>
  <si>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</si>
  <si>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</si>
  <si>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</si>
  <si>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</si>
  <si>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</si>
  <si>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</si>
  <si>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</si>
  <si>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</si>
  <si>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</si>
  <si>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</si>
  <si>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</si>
  <si>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</si>
  <si>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</si>
  <si>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</si>
  <si>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</si>
  <si>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</si>
  <si>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</si>
  <si>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</si>
  <si>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</si>
  <si>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</si>
  <si>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</si>
  <si>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</si>
  <si>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</si>
  <si>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</si>
  <si>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</si>
  <si>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</si>
  <si>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</si>
  <si>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</si>
  <si>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</si>
  <si>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</si>
  <si>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</si>
  <si>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</si>
  <si>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</si>
  <si>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</si>
  <si>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</si>
  <si>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</si>
  <si>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</si>
  <si>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</si>
  <si>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</si>
  <si>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</si>
  <si>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</si>
  <si>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</si>
  <si>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</si>
  <si>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</si>
  <si>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</si>
  <si>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</si>
  <si>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</si>
  <si>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</si>
  <si>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</si>
  <si>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</si>
  <si>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</si>
  <si>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</si>
  <si>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</si>
  <si>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</si>
  <si>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</si>
  <si>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</si>
  <si>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</si>
  <si>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</si>
  <si>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</si>
  <si>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</si>
  <si>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</si>
  <si>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</si>
  <si>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</si>
  <si>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</si>
  <si>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(l)</t>
  </si>
  <si>
    <t>(n)</t>
  </si>
  <si>
    <t>DMA AMOUNT OF CHANGE BY RATE SCHEDULE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</si>
  <si>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</si>
  <si>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</si>
  <si>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</si>
  <si>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</si>
  <si>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</si>
  <si>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</si>
  <si>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</si>
  <si>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</si>
  <si>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</si>
  <si>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</si>
  <si>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</si>
  <si>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</si>
  <si>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</si>
  <si>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</si>
  <si>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</si>
  <si>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</si>
  <si>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</si>
  <si>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</si>
  <si>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</si>
  <si>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</si>
  <si>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</si>
  <si>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</si>
  <si>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</si>
  <si>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</si>
  <si>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Forecasted</t>
  </si>
  <si>
    <t>TEST PERIOD VOLUME - WEATHER NORMALIZED</t>
  </si>
  <si>
    <t>Deferral Balances at 7/31/2018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</si>
  <si>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</si>
  <si>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</si>
  <si>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</si>
  <si>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</si>
  <si>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</si>
  <si>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</si>
  <si>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</si>
  <si>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</si>
  <si>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</si>
  <si>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</si>
  <si>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</si>
  <si>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</si>
  <si>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</si>
  <si>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09/01/2016 through 12/31/2017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</si>
  <si>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</si>
  <si>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</si>
  <si>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</si>
  <si>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</si>
  <si>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</si>
  <si>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</si>
  <si>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</si>
  <si>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</si>
  <si>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</si>
  <si>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</si>
  <si>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</si>
  <si>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</si>
  <si>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</si>
  <si>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</si>
  <si>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</si>
  <si>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</si>
  <si>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</si>
  <si>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</si>
  <si>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</si>
  <si>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</si>
  <si>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</si>
  <si>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</si>
  <si>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9/1/16 to 12/31/17</t>
  </si>
  <si>
    <t>10/1/17 to 9/30/18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</si>
  <si>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</si>
  <si>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</si>
  <si>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</si>
  <si>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</si>
  <si>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</si>
  <si>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</si>
  <si>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</si>
  <si>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</si>
  <si>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2017 Total Earnings Test Sharing</t>
  </si>
  <si>
    <t>Earnings Test</t>
  </si>
  <si>
    <t>Cascade Natural Gas</t>
  </si>
  <si>
    <t>Adjusted Revenues from CBR</t>
  </si>
  <si>
    <t>Page 1 of 6</t>
  </si>
  <si>
    <t>Page 2 of 6</t>
  </si>
  <si>
    <t>Page 3 of 6</t>
  </si>
  <si>
    <t>Page 4 of 6</t>
  </si>
  <si>
    <t>Page 5 of 6</t>
  </si>
  <si>
    <t>Page 6 of 6</t>
  </si>
  <si>
    <t>DMA Typical Monthly Therm Usage and Cost by Class</t>
  </si>
  <si>
    <t>Actual</t>
  </si>
  <si>
    <t>Balance 12/31/18</t>
  </si>
  <si>
    <t>(Source:  WAC 480-90-233 Monthly Deferral Reporting for period ending 12/31/2018)</t>
  </si>
  <si>
    <t>FOR TWELVE MONTHS ENDED 7/31/2019</t>
  </si>
  <si>
    <t>ESTIMATED BALANCES FOR DEFERRED ACCOUNTS PERIOD ENDING: 10/31/2019</t>
  </si>
  <si>
    <t>FOR TWELVE MONTHS ENDED 12/31/2018</t>
  </si>
  <si>
    <t>Estimated Amortization Thru 10/31/2019 on Balances Currently Amortizing</t>
  </si>
  <si>
    <t>10/31/2019
Balance</t>
  </si>
  <si>
    <t>INTEREST CALCULATIONS FOR AMORTIZATION PERIOD 11/1/2019 TO 10/31/2020</t>
  </si>
  <si>
    <t>BASED UPON THE  TWELVE MONTHS ENDED 7/31/2019</t>
  </si>
  <si>
    <t>Account Balance 12/31/2018</t>
  </si>
  <si>
    <t>Interest Assignments &amp; Amortization through 10/31/2019</t>
  </si>
  <si>
    <t>BASED UPON THE  TWELVE MONTHS ENDED 12/31/2018</t>
  </si>
  <si>
    <t>2018 Deferrals</t>
  </si>
  <si>
    <t>2018 Commission Basis Earnings Test for Decoupling</t>
  </si>
  <si>
    <t>CNGC Advice W19-09-03</t>
  </si>
  <si>
    <t>4/01/2019 Rates</t>
  </si>
  <si>
    <t>2018 Decoupling Deferral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</si>
</sst>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0.000%"/>
    <numFmt numFmtId="169" formatCode="#,##0.00;[Red]\(#,##0.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0_)"/>
    <numFmt numFmtId="174" formatCode="0.0000%"/>
    <numFmt numFmtId="175" formatCode="0.0000000%"/>
    <numFmt numFmtId="176" formatCode="0.00\ 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0.0"/>
    <numFmt numFmtId="181" formatCode="0.000_)"/>
    <numFmt numFmtId="182" formatCode="_-* #,##0.00_-;\-* #,##0.00_-;_-* &quot;-&quot;??_-;_-@_-"/>
    <numFmt numFmtId="183" formatCode="0.0_)"/>
    <numFmt numFmtId="184" formatCode="#,##0.0"/>
    <numFmt numFmtId="185" formatCode="&quot;$&quot;#,##0\ ;\(&quot;$&quot;#,##0\)"/>
    <numFmt numFmtId="186" formatCode="m/d/yy\ h:mm"/>
    <numFmt numFmtId="187" formatCode="0.00\ ;\-0.00\ ;&quot;- &quot;"/>
    <numFmt numFmtId="188" formatCode="#,##0_);\(#,##0\);&quot;–&quot;_;&quot;&quot;"/>
    <numFmt numFmtId="189" formatCode="#,##0\ &quot;Pts&quot;;[Red]\-#,##0\ &quot;Pts&quot;"/>
    <numFmt numFmtId="190" formatCode="mmm\-yyyy"/>
    <numFmt numFmtId="191" formatCode="0.00_)"/>
    <numFmt numFmtId="192" formatCode="#,##0_);\-#,##0_);\-_)"/>
    <numFmt numFmtId="193" formatCode="#,##0.00_);\-#,##0.00_);\-_)"/>
    <numFmt numFmtId="194" formatCode="#,##0.0_);\-#,##0.0_);\-_)"/>
    <numFmt numFmtId="195" formatCode="mmm\ dd\,\ yyyy"/>
    <numFmt numFmtId="196" formatCode="yyyy"/>
    <numFmt numFmtId="197" formatCode="#,##0;\(#,##0\);\–;@"/>
    <numFmt numFmtId="198" formatCode="#,##0_);\(#,##0\);\–_);@_)"/>
    <numFmt numFmtId="199" formatCode="0_);\-0_);\-_);@_)"/>
    <numFmt numFmtId="200" formatCode="0_);\(0\)"/>
    <numFmt numFmtId="201" formatCode="_(* #,##0.000_);_(* \(#,##0.000\);_(* &quot;-&quot;??_);_(@_)"/>
    <numFmt numFmtId="202" formatCode="#,##0.000000_);\(#,##0.000000\)"/>
    <numFmt numFmtId="203" formatCode="0.00000_);\(0.00000\)"/>
    <numFmt numFmtId="204" formatCode="#,##0.00000_);\(#,##0.00000\)"/>
    <numFmt numFmtId="205" formatCode="_(&quot;$&quot;* #,##0.000000_);_(&quot;$&quot;* \(#,##0.000000\);_(&quot;$&quot;* &quot;-&quot;??_);_(@_)"/>
    <numFmt numFmtId="206" formatCode="0.000000"/>
    <numFmt numFmtId="207" formatCode="mm/dd/yy"/>
    <numFmt numFmtId="208" formatCode="#,##0.0000_);\(#,##0.0000\)"/>
    <numFmt numFmtId="209" formatCode="m/d/yy;@"/>
    <numFmt numFmtId="210" formatCode="0.00000"/>
    <numFmt numFmtId="211" formatCode="0.00_);\(0.00\)"/>
  </numFmts>
  <fonts count="11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531">
    <xf numFmtId="164" fontId="0" fillId="0" borderId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164" fontId="19" fillId="0" borderId="0"/>
    <xf numFmtId="164" fontId="19" fillId="0" borderId="0"/>
    <xf numFmtId="0" fontId="17" fillId="0" borderId="0"/>
    <xf numFmtId="169" fontId="22" fillId="2" borderId="0">
      <alignment horizontal="right"/>
    </xf>
    <xf numFmtId="0" fontId="23" fillId="3" borderId="0">
      <alignment horizontal="center"/>
    </xf>
    <xf numFmtId="0" fontId="24" fillId="4" borderId="0"/>
    <xf numFmtId="0" fontId="25" fillId="2" borderId="0" applyBorder="0">
      <alignment horizontal="centerContinuous"/>
    </xf>
    <xf numFmtId="0" fontId="26" fillId="4" borderId="0" applyBorder="0">
      <alignment horizontal="centerContinuous"/>
    </xf>
    <xf numFmtId="9" fontId="17" fillId="0" borderId="0" applyFont="0" applyFill="0" applyBorder="0" applyAlignment="0" applyProtection="0"/>
    <xf numFmtId="0" fontId="32" fillId="5" borderId="17" applyNumberFormat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1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76" fontId="38" fillId="24" borderId="7" applyNumberFormat="0" applyBorder="0" applyAlignment="0">
      <alignment horizontal="centerContinuous" vertical="center"/>
      <protection hidden="1"/>
    </xf>
    <xf numFmtId="1" fontId="39" fillId="25" borderId="12" applyNumberFormat="0" applyBorder="0" applyAlignment="0">
      <alignment horizontal="center" vertical="top" wrapText="1"/>
      <protection hidden="1"/>
    </xf>
    <xf numFmtId="0" fontId="27" fillId="0" borderId="0">
      <alignment vertical="center"/>
    </xf>
    <xf numFmtId="0" fontId="40" fillId="0" borderId="24">
      <alignment horizontal="left" vertical="center"/>
    </xf>
    <xf numFmtId="177" fontId="41" fillId="0" borderId="0">
      <alignment horizontal="right" vertical="center"/>
    </xf>
    <xf numFmtId="178" fontId="27" fillId="0" borderId="0">
      <alignment horizontal="right" vertical="center"/>
    </xf>
    <xf numFmtId="178" fontId="40" fillId="0" borderId="0">
      <alignment horizontal="right" vertical="center"/>
    </xf>
    <xf numFmtId="179" fontId="27" fillId="0" borderId="0" applyFont="0" applyFill="0" applyBorder="0" applyAlignment="0" applyProtection="0">
      <alignment horizontal="right"/>
    </xf>
    <xf numFmtId="0" fontId="42" fillId="0" borderId="0">
      <alignment vertical="center"/>
    </xf>
    <xf numFmtId="0" fontId="43" fillId="26" borderId="25" applyNumberFormat="0" applyAlignment="0" applyProtection="0"/>
    <xf numFmtId="0" fontId="43" fillId="26" borderId="25" applyNumberFormat="0" applyAlignment="0" applyProtection="0"/>
    <xf numFmtId="0" fontId="43" fillId="26" borderId="25" applyNumberFormat="0" applyAlignment="0" applyProtection="0"/>
    <xf numFmtId="0" fontId="44" fillId="27" borderId="26" applyNumberFormat="0" applyAlignment="0" applyProtection="0"/>
    <xf numFmtId="0" fontId="44" fillId="27" borderId="26" applyNumberFormat="0" applyAlignment="0" applyProtection="0"/>
    <xf numFmtId="0" fontId="44" fillId="27" borderId="26" applyNumberFormat="0" applyAlignment="0" applyProtection="0"/>
    <xf numFmtId="1" fontId="45" fillId="0" borderId="27">
      <alignment vertical="top"/>
    </xf>
    <xf numFmtId="180" fontId="42" fillId="0" borderId="0" applyBorder="0">
      <alignment horizontal="right"/>
    </xf>
    <xf numFmtId="180" fontId="42" fillId="0" borderId="23" applyAlignment="0">
      <alignment horizontal="right"/>
    </xf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43" fontId="35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83" fontId="27" fillId="0" borderId="0"/>
    <xf numFmtId="184" fontId="48" fillId="0" borderId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1" fontId="50" fillId="28" borderId="11" applyNumberFormat="0" applyBorder="0" applyAlignment="0">
      <alignment horizontal="centerContinuous" vertical="center"/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84" fontId="27" fillId="0" borderId="0"/>
    <xf numFmtId="187" fontId="51" fillId="29" borderId="0" applyBorder="0">
      <protection locked="0"/>
    </xf>
    <xf numFmtId="179" fontId="52" fillId="0" borderId="0">
      <alignment horizontal="right"/>
    </xf>
    <xf numFmtId="188" fontId="27" fillId="0" borderId="0" applyFill="0" applyBorder="0">
      <alignment horizontal="right"/>
    </xf>
    <xf numFmtId="49" fontId="27" fillId="0" borderId="0" applyFill="0" applyBorder="0"/>
    <xf numFmtId="0" fontId="53" fillId="0" borderId="0">
      <alignment vertical="center"/>
    </xf>
    <xf numFmtId="49" fontId="54" fillId="0" borderId="0" applyFill="0" applyBorder="0">
      <alignment horizontal="right" vertical="center"/>
    </xf>
    <xf numFmtId="0" fontId="55" fillId="0" borderId="0">
      <alignment horizontal="right"/>
    </xf>
    <xf numFmtId="178" fontId="56" fillId="0" borderId="0">
      <alignment horizontal="right" vertical="center"/>
    </xf>
    <xf numFmtId="178" fontId="52" fillId="0" borderId="0" applyFill="0" applyBorder="0">
      <alignment horizontal="right" vertical="center"/>
    </xf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8" fillId="25" borderId="0" applyNumberFormat="0" applyBorder="0" applyAlignment="0">
      <protection hidden="1"/>
    </xf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5" fontId="63" fillId="30" borderId="5" applyNumberFormat="0" applyFont="0" applyBorder="0" applyAlignment="0" applyProtection="0">
      <alignment horizontal="right"/>
    </xf>
    <xf numFmtId="0" fontId="64" fillId="11" borderId="25" applyNumberFormat="0" applyAlignment="0" applyProtection="0"/>
    <xf numFmtId="0" fontId="64" fillId="11" borderId="25" applyNumberFormat="0" applyAlignment="0" applyProtection="0"/>
    <xf numFmtId="0" fontId="64" fillId="11" borderId="25" applyNumberFormat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27" fillId="31" borderId="0">
      <alignment horizontal="center"/>
    </xf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191" fontId="68" fillId="0" borderId="0"/>
    <xf numFmtId="192" fontId="27" fillId="0" borderId="0"/>
    <xf numFmtId="193" fontId="27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35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33" borderId="32" applyNumberFormat="0" applyFont="0" applyAlignment="0" applyProtection="0"/>
    <xf numFmtId="0" fontId="18" fillId="33" borderId="32" applyNumberFormat="0" applyFont="0" applyAlignment="0" applyProtection="0"/>
    <xf numFmtId="0" fontId="18" fillId="33" borderId="32" applyNumberFormat="0" applyFont="0" applyAlignment="0" applyProtection="0"/>
    <xf numFmtId="0" fontId="18" fillId="33" borderId="32" applyNumberFormat="0" applyFont="0" applyAlignment="0" applyProtection="0"/>
    <xf numFmtId="0" fontId="71" fillId="26" borderId="33" applyNumberFormat="0" applyAlignment="0" applyProtection="0"/>
    <xf numFmtId="0" fontId="71" fillId="26" borderId="33" applyNumberFormat="0" applyAlignment="0" applyProtection="0"/>
    <xf numFmtId="0" fontId="71" fillId="26" borderId="33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7" fontId="72" fillId="30" borderId="0" applyBorder="0" applyAlignment="0">
      <protection hidden="1"/>
    </xf>
    <xf numFmtId="1" fontId="72" fillId="30" borderId="0">
      <alignment horizontal="center"/>
    </xf>
    <xf numFmtId="194" fontId="51" fillId="0" borderId="0"/>
    <xf numFmtId="191" fontId="73" fillId="30" borderId="0"/>
    <xf numFmtId="1" fontId="63" fillId="0" borderId="0" applyNumberFormat="0" applyFont="0" applyBorder="0" applyAlignment="0" applyProtection="0">
      <alignment horizontal="right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4" applyNumberFormat="0" applyProtection="0">
      <alignment horizontal="center"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29" fillId="34" borderId="35" applyNumberFormat="0" applyAlignment="0" applyProtection="0">
      <alignment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5" borderId="0" applyNumberFormat="0" applyBorder="0">
      <alignment horizontal="center"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36" applyNumberFormat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36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19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74" fillId="0" borderId="0" applyNumberFormat="0" applyFill="0" applyBorder="0" applyAlignment="0" applyProtection="0">
      <protection locked="0"/>
    </xf>
    <xf numFmtId="197" fontId="75" fillId="0" borderId="0" applyNumberFormat="0" applyFill="0" applyBorder="0" applyAlignment="0" applyProtection="0">
      <alignment horizontal="right" vertical="center" wrapText="1"/>
    </xf>
    <xf numFmtId="0" fontId="18" fillId="0" borderId="0" applyNumberFormat="0" applyFill="0" applyBorder="0" applyAlignment="0" applyProtection="0">
      <protection locked="0"/>
    </xf>
    <xf numFmtId="0" fontId="76" fillId="0" borderId="0" applyNumberFormat="0" applyFill="0" applyBorder="0" applyAlignment="0" applyProtection="0"/>
    <xf numFmtId="198" fontId="77" fillId="0" borderId="0" applyNumberFormat="0" applyFill="0" applyBorder="0" applyAlignment="0" applyProtection="0">
      <alignment horizontal="right" vertical="center"/>
    </xf>
    <xf numFmtId="0" fontId="18" fillId="0" borderId="0" applyNumberFormat="0" applyFill="0" applyBorder="0" applyAlignment="0" applyProtection="0"/>
    <xf numFmtId="0" fontId="78" fillId="37" borderId="37"/>
    <xf numFmtId="0" fontId="78" fillId="0" borderId="0"/>
    <xf numFmtId="0" fontId="78" fillId="0" borderId="0"/>
    <xf numFmtId="0" fontId="78" fillId="0" borderId="0"/>
    <xf numFmtId="176" fontId="24" fillId="38" borderId="0"/>
    <xf numFmtId="194" fontId="79" fillId="0" borderId="0"/>
    <xf numFmtId="191" fontId="42" fillId="39" borderId="0"/>
    <xf numFmtId="184" fontId="80" fillId="0" borderId="0"/>
    <xf numFmtId="199" fontId="81" fillId="30" borderId="3" applyAlignment="0"/>
    <xf numFmtId="194" fontId="82" fillId="40" borderId="0" applyFont="0" applyBorder="0" applyAlignment="0">
      <alignment vertical="top" wrapText="1"/>
    </xf>
    <xf numFmtId="194" fontId="83" fillId="40" borderId="0" applyFont="0" applyAlignment="0">
      <alignment horizontal="justify" vertical="top" wrapText="1"/>
    </xf>
    <xf numFmtId="194" fontId="84" fillId="40" borderId="0">
      <alignment vertical="top" wrapText="1"/>
    </xf>
    <xf numFmtId="194" fontId="85" fillId="40" borderId="38" applyBorder="0">
      <alignment horizontal="right" vertical="top" wrapText="1"/>
    </xf>
    <xf numFmtId="0" fontId="86" fillId="0" borderId="0" applyNumberFormat="0" applyFill="0" applyBorder="0" applyAlignment="0" applyProtection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87" fillId="41" borderId="0" applyNumberFormat="0" applyBorder="0"/>
    <xf numFmtId="180" fontId="30" fillId="0" borderId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180" fontId="42" fillId="0" borderId="40"/>
    <xf numFmtId="192" fontId="45" fillId="0" borderId="40" applyAlignment="0"/>
    <xf numFmtId="193" fontId="45" fillId="0" borderId="40" applyAlignment="0"/>
    <xf numFmtId="194" fontId="45" fillId="0" borderId="40" applyAlignment="0">
      <alignment horizontal="right"/>
    </xf>
    <xf numFmtId="176" fontId="72" fillId="30" borderId="12" applyBorder="0">
      <alignment horizontal="right" vertical="center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42" fillId="42" borderId="27" applyNumberFormat="0">
      <alignment horizontal="center" wrapText="1"/>
    </xf>
    <xf numFmtId="0" fontId="18" fillId="42" borderId="0" applyBorder="0" applyProtection="0"/>
    <xf numFmtId="0" fontId="18" fillId="42" borderId="0" applyBorder="0" applyProtection="0"/>
    <xf numFmtId="0" fontId="18" fillId="42" borderId="0" applyBorder="0" applyProtection="0"/>
    <xf numFmtId="0" fontId="18" fillId="42" borderId="0" applyBorder="0" applyProtection="0"/>
    <xf numFmtId="0" fontId="18" fillId="42" borderId="0">
      <alignment horizontal="right"/>
    </xf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90" fillId="0" borderId="0" applyNumberFormat="0" applyAlignment="0"/>
    <xf numFmtId="0" fontId="91" fillId="42" borderId="0" applyNumberFormat="0" applyAlignment="0"/>
    <xf numFmtId="49" fontId="29" fillId="42" borderId="0">
      <alignment horizontal="right"/>
    </xf>
    <xf numFmtId="173" fontId="42" fillId="42" borderId="27">
      <alignment horizontal="right" wrapText="1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" fontId="18" fillId="0" borderId="0">
      <alignment horizontal="center"/>
    </xf>
    <xf numFmtId="183" fontId="81" fillId="30" borderId="7" applyNumberFormat="0" applyBorder="0" applyAlignment="0"/>
    <xf numFmtId="173" fontId="29" fillId="31" borderId="3" applyAlignment="0">
      <alignment horizontal="right"/>
    </xf>
    <xf numFmtId="173" fontId="29" fillId="39" borderId="3" applyAlignment="0">
      <alignment horizontal="left"/>
    </xf>
    <xf numFmtId="39" fontId="20" fillId="0" borderId="0"/>
    <xf numFmtId="43" fontId="31" fillId="0" borderId="0" applyFont="0" applyFill="0" applyBorder="0" applyAlignment="0" applyProtection="0"/>
    <xf numFmtId="0" fontId="92" fillId="0" borderId="0"/>
    <xf numFmtId="44" fontId="9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39" fontId="20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20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39" fontId="20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43" fontId="16" fillId="0" borderId="0" applyFont="0" applyFill="0" applyBorder="0" applyAlignment="0" applyProtection="0"/>
    <xf numFmtId="0" fontId="99" fillId="5" borderId="17" applyNumberFormat="0" applyAlignment="0" applyProtection="0"/>
    <xf numFmtId="0" fontId="16" fillId="43" borderId="41" applyNumberFormat="0" applyFont="0" applyAlignment="0" applyProtection="0"/>
    <xf numFmtId="39" fontId="20" fillId="0" borderId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32" fillId="5" borderId="17" applyNumberFormat="0" applyAlignment="0" applyProtection="0"/>
    <xf numFmtId="0" fontId="9" fillId="0" borderId="0"/>
    <xf numFmtId="164" fontId="21" fillId="0" borderId="0"/>
    <xf numFmtId="0" fontId="18" fillId="0" borderId="0"/>
    <xf numFmtId="0" fontId="1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2" fillId="0" borderId="0"/>
    <xf numFmtId="39" fontId="20" fillId="0" borderId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39" fontId="20" fillId="0" borderId="0"/>
    <xf numFmtId="43" fontId="31" fillId="0" borderId="0" applyFont="0" applyFill="0" applyBorder="0" applyAlignment="0" applyProtection="0"/>
    <xf numFmtId="39" fontId="20" fillId="0" borderId="0"/>
    <xf numFmtId="0" fontId="3" fillId="0" borderId="0"/>
    <xf numFmtId="43" fontId="31" fillId="0" borderId="0" applyFont="0" applyFill="0" applyBorder="0" applyAlignment="0" applyProtection="0"/>
    <xf numFmtId="39" fontId="2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1" fillId="0" borderId="0" applyFont="0" applyFill="0" applyBorder="0" applyAlignment="0" applyProtection="0"/>
    <xf numFmtId="39" fontId="20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20" fillId="0" borderId="0"/>
    <xf numFmtId="0" fontId="3" fillId="0" borderId="0"/>
  </cellStyleXfs>
  <cellXfs count="631">
    <xf numFmtId="164" fontId="0" fillId="0" borderId="0" xfId="0"/>
    <xf numFmtId="167" fontId="33" fillId="0" borderId="0" xfId="1" applyNumberFormat="1" applyFont="1" applyFill="1" applyBorder="1"/>
    <xf numFmtId="164" fontId="93" fillId="0" borderId="0" xfId="0" applyFont="1" applyFill="1" applyAlignment="1" applyProtection="1">
      <alignment horizontal="left"/>
    </xf>
    <xf numFmtId="164" fontId="33" fillId="0" borderId="0" xfId="0" applyFont="1" applyFill="1" applyBorder="1"/>
    <xf numFmtId="164" fontId="33" fillId="0" borderId="0" xfId="5" applyFont="1" applyFill="1" applyBorder="1" applyAlignment="1" applyProtection="1">
      <alignment horizontal="center"/>
    </xf>
    <xf numFmtId="167" fontId="33" fillId="0" borderId="0" xfId="1" applyNumberFormat="1" applyFont="1" applyFill="1"/>
    <xf numFmtId="167" fontId="33" fillId="0" borderId="1" xfId="1" applyNumberFormat="1" applyFont="1" applyFill="1" applyBorder="1"/>
    <xf numFmtId="171" fontId="33" fillId="0" borderId="5" xfId="2" applyNumberFormat="1" applyFont="1" applyFill="1" applyBorder="1"/>
    <xf numFmtId="164" fontId="33" fillId="0" borderId="0" xfId="18" applyFont="1" applyFill="1" applyAlignment="1" applyProtection="1">
      <alignment horizontal="left"/>
    </xf>
    <xf numFmtId="172" fontId="33" fillId="0" borderId="0" xfId="18" applyNumberFormat="1" applyFont="1" applyFill="1"/>
    <xf numFmtId="164" fontId="33" fillId="0" borderId="0" xfId="18" applyFont="1" applyFill="1" applyAlignment="1">
      <alignment horizontal="centerContinuous"/>
    </xf>
    <xf numFmtId="164" fontId="33" fillId="0" borderId="0" xfId="18" quotePrefix="1" applyFont="1" applyFill="1" applyAlignment="1">
      <alignment horizontal="centerContinuous"/>
    </xf>
    <xf numFmtId="164" fontId="33" fillId="0" borderId="2" xfId="18" applyFont="1" applyFill="1" applyBorder="1"/>
    <xf numFmtId="164" fontId="33" fillId="0" borderId="16" xfId="18" applyFont="1" applyFill="1" applyBorder="1"/>
    <xf numFmtId="164" fontId="33" fillId="0" borderId="2" xfId="18" applyFont="1" applyFill="1" applyBorder="1" applyAlignment="1" applyProtection="1">
      <alignment horizontal="center"/>
    </xf>
    <xf numFmtId="172" fontId="33" fillId="0" borderId="16" xfId="18" applyNumberFormat="1" applyFont="1" applyFill="1" applyBorder="1" applyAlignment="1">
      <alignment horizontal="centerContinuous"/>
    </xf>
    <xf numFmtId="164" fontId="33" fillId="0" borderId="0" xfId="18" applyFont="1" applyFill="1" applyBorder="1"/>
    <xf numFmtId="164" fontId="33" fillId="0" borderId="9" xfId="18" quotePrefix="1" applyFont="1" applyFill="1" applyBorder="1"/>
    <xf numFmtId="164" fontId="33" fillId="0" borderId="9" xfId="18" applyFont="1" applyFill="1" applyBorder="1" applyAlignment="1" applyProtection="1">
      <alignment horizontal="center"/>
    </xf>
    <xf numFmtId="164" fontId="33" fillId="0" borderId="0" xfId="18" applyFont="1" applyFill="1" applyBorder="1" applyAlignment="1" applyProtection="1">
      <alignment horizontal="center"/>
    </xf>
    <xf numFmtId="164" fontId="33" fillId="0" borderId="9" xfId="18" applyFont="1" applyFill="1" applyBorder="1"/>
    <xf numFmtId="172" fontId="33" fillId="0" borderId="9" xfId="18" applyNumberFormat="1" applyFont="1" applyFill="1" applyBorder="1" applyAlignment="1">
      <alignment horizontal="centerContinuous"/>
    </xf>
    <xf numFmtId="164" fontId="33" fillId="0" borderId="9" xfId="18" applyFont="1" applyFill="1" applyBorder="1" applyAlignment="1">
      <alignment horizontal="centerContinuous"/>
    </xf>
    <xf numFmtId="164" fontId="33" fillId="0" borderId="0" xfId="18" applyFont="1" applyFill="1" applyBorder="1" applyAlignment="1" applyProtection="1">
      <alignment horizontal="centerContinuous"/>
    </xf>
    <xf numFmtId="172" fontId="33" fillId="0" borderId="9" xfId="18" applyNumberFormat="1" applyFont="1" applyFill="1" applyBorder="1" applyAlignment="1" applyProtection="1">
      <alignment horizontal="center"/>
    </xf>
    <xf numFmtId="164" fontId="93" fillId="0" borderId="3" xfId="18" applyFont="1" applyFill="1" applyBorder="1" applyAlignment="1" applyProtection="1">
      <alignment horizontal="left"/>
    </xf>
    <xf numFmtId="164" fontId="33" fillId="0" borderId="3" xfId="18" applyFont="1" applyFill="1" applyBorder="1"/>
    <xf numFmtId="37" fontId="33" fillId="0" borderId="3" xfId="18" applyNumberFormat="1" applyFont="1" applyFill="1" applyBorder="1" applyProtection="1"/>
    <xf numFmtId="172" fontId="33" fillId="0" borderId="3" xfId="18" applyNumberFormat="1" applyFont="1" applyFill="1" applyBorder="1"/>
    <xf numFmtId="164" fontId="33" fillId="0" borderId="8" xfId="18" applyFont="1" applyFill="1" applyBorder="1"/>
    <xf numFmtId="164" fontId="33" fillId="0" borderId="0" xfId="18" applyFont="1" applyFill="1" applyBorder="1" applyAlignment="1" applyProtection="1">
      <alignment horizontal="left"/>
    </xf>
    <xf numFmtId="164" fontId="33" fillId="0" borderId="9" xfId="18" quotePrefix="1" applyFont="1" applyFill="1" applyBorder="1" applyAlignment="1">
      <alignment horizontal="left"/>
    </xf>
    <xf numFmtId="170" fontId="33" fillId="0" borderId="9" xfId="2" applyNumberFormat="1" applyFont="1" applyFill="1" applyBorder="1" applyProtection="1"/>
    <xf numFmtId="164" fontId="94" fillId="0" borderId="0" xfId="0" applyFont="1" applyFill="1" applyAlignment="1" applyProtection="1">
      <alignment horizontal="center"/>
    </xf>
    <xf numFmtId="164" fontId="94" fillId="0" borderId="0" xfId="0" applyFont="1" applyFill="1" applyAlignment="1">
      <alignment horizontal="center"/>
    </xf>
    <xf numFmtId="164" fontId="33" fillId="0" borderId="0" xfId="0" applyFont="1" applyFill="1" applyAlignment="1" applyProtection="1">
      <alignment horizontal="fill"/>
    </xf>
    <xf numFmtId="171" fontId="33" fillId="0" borderId="0" xfId="2" applyNumberFormat="1" applyFont="1" applyFill="1"/>
    <xf numFmtId="10" fontId="33" fillId="0" borderId="0" xfId="12" applyNumberFormat="1" applyFont="1" applyFill="1" applyBorder="1" applyProtection="1"/>
    <xf numFmtId="164" fontId="33" fillId="0" borderId="0" xfId="4" applyFont="1" applyFill="1" applyAlignment="1">
      <alignment horizontal="centerContinuous"/>
    </xf>
    <xf numFmtId="164" fontId="33" fillId="0" borderId="0" xfId="4" applyFont="1" applyFill="1"/>
    <xf numFmtId="164" fontId="33" fillId="0" borderId="5" xfId="4" applyFont="1" applyFill="1" applyBorder="1" applyAlignment="1" applyProtection="1">
      <alignment horizontal="center"/>
    </xf>
    <xf numFmtId="164" fontId="33" fillId="0" borderId="0" xfId="4" applyFont="1" applyFill="1" applyBorder="1" applyAlignment="1" applyProtection="1">
      <alignment horizontal="center"/>
    </xf>
    <xf numFmtId="164" fontId="33" fillId="0" borderId="9" xfId="4" applyFont="1" applyFill="1" applyBorder="1"/>
    <xf numFmtId="37" fontId="33" fillId="0" borderId="9" xfId="4" applyNumberFormat="1" applyFont="1" applyFill="1" applyBorder="1" applyProtection="1"/>
    <xf numFmtId="10" fontId="33" fillId="0" borderId="9" xfId="12" applyNumberFormat="1" applyFont="1" applyFill="1" applyBorder="1" applyProtection="1"/>
    <xf numFmtId="164" fontId="33" fillId="0" borderId="0" xfId="4" applyFont="1" applyFill="1" applyBorder="1"/>
    <xf numFmtId="37" fontId="33" fillId="0" borderId="0" xfId="4" applyNumberFormat="1" applyFont="1" applyFill="1" applyProtection="1"/>
    <xf numFmtId="164" fontId="33" fillId="0" borderId="0" xfId="4" applyFont="1" applyFill="1" applyAlignment="1" applyProtection="1">
      <alignment horizontal="left"/>
    </xf>
    <xf numFmtId="164" fontId="33" fillId="0" borderId="0" xfId="4" quotePrefix="1" applyFont="1" applyFill="1" applyAlignment="1" applyProtection="1">
      <alignment horizontal="left"/>
    </xf>
    <xf numFmtId="164" fontId="33" fillId="0" borderId="0" xfId="4" quotePrefix="1" applyFont="1" applyFill="1" applyAlignment="1">
      <alignment horizontal="left"/>
    </xf>
    <xf numFmtId="164" fontId="33" fillId="0" borderId="0" xfId="4" quotePrefix="1" applyFont="1" applyFill="1" applyAlignment="1" applyProtection="1">
      <alignment horizontal="center"/>
    </xf>
    <xf numFmtId="164" fontId="33" fillId="0" borderId="0" xfId="4" quotePrefix="1" applyFont="1" applyFill="1" applyAlignment="1">
      <alignment horizontal="center"/>
    </xf>
    <xf numFmtId="0" fontId="33" fillId="0" borderId="0" xfId="6" applyFont="1" applyFill="1" applyBorder="1" applyAlignment="1" applyProtection="1">
      <alignment horizontal="center"/>
    </xf>
    <xf numFmtId="164" fontId="33" fillId="0" borderId="0" xfId="4" applyFont="1" applyFill="1" applyAlignment="1">
      <alignment horizontal="center"/>
    </xf>
    <xf numFmtId="164" fontId="93" fillId="0" borderId="0" xfId="4" applyFont="1" applyFill="1" applyBorder="1"/>
    <xf numFmtId="164" fontId="97" fillId="0" borderId="0" xfId="4" applyFont="1" applyFill="1" applyAlignment="1" applyProtection="1">
      <alignment horizontal="left"/>
    </xf>
    <xf numFmtId="164" fontId="97" fillId="0" borderId="0" xfId="4" quotePrefix="1" applyFont="1" applyFill="1" applyAlignment="1" applyProtection="1">
      <alignment horizontal="left"/>
    </xf>
    <xf numFmtId="164" fontId="33" fillId="0" borderId="0" xfId="4" applyFont="1" applyFill="1" applyBorder="1" applyAlignment="1" applyProtection="1">
      <alignment horizontal="left" indent="1"/>
    </xf>
    <xf numFmtId="164" fontId="93" fillId="0" borderId="8" xfId="18" applyFont="1" applyFill="1" applyBorder="1"/>
    <xf numFmtId="170" fontId="93" fillId="0" borderId="10" xfId="2" applyNumberFormat="1" applyFont="1" applyFill="1" applyBorder="1" applyProtection="1"/>
    <xf numFmtId="164" fontId="93" fillId="0" borderId="0" xfId="18" applyFont="1" applyFill="1"/>
    <xf numFmtId="167" fontId="93" fillId="0" borderId="0" xfId="1" applyNumberFormat="1" applyFont="1" applyFill="1" applyBorder="1"/>
    <xf numFmtId="164" fontId="93" fillId="0" borderId="3" xfId="18" applyFont="1" applyFill="1" applyBorder="1"/>
    <xf numFmtId="167" fontId="33" fillId="0" borderId="0" xfId="1" applyNumberFormat="1" applyFont="1" applyFill="1" applyBorder="1" applyProtection="1"/>
    <xf numFmtId="37" fontId="93" fillId="0" borderId="9" xfId="18" applyNumberFormat="1" applyFont="1" applyFill="1" applyBorder="1" applyProtection="1"/>
    <xf numFmtId="164" fontId="33" fillId="0" borderId="4" xfId="18" applyFont="1" applyFill="1" applyBorder="1" applyAlignment="1" applyProtection="1">
      <alignment horizontal="center"/>
    </xf>
    <xf numFmtId="164" fontId="33" fillId="0" borderId="5" xfId="18" applyFont="1" applyFill="1" applyBorder="1" applyAlignment="1" applyProtection="1">
      <alignment horizontal="center"/>
    </xf>
    <xf numFmtId="164" fontId="33" fillId="0" borderId="6" xfId="18" applyFont="1" applyFill="1" applyBorder="1" applyAlignment="1" applyProtection="1">
      <alignment horizontal="center"/>
    </xf>
    <xf numFmtId="164" fontId="33" fillId="0" borderId="0" xfId="18" applyFont="1" applyFill="1" applyAlignment="1">
      <alignment horizontal="center"/>
    </xf>
    <xf numFmtId="164" fontId="33" fillId="0" borderId="4" xfId="18" applyFont="1" applyFill="1" applyBorder="1" applyAlignment="1">
      <alignment horizontal="center"/>
    </xf>
    <xf numFmtId="164" fontId="33" fillId="0" borderId="5" xfId="18" applyFont="1" applyFill="1" applyBorder="1" applyAlignment="1">
      <alignment horizontal="center"/>
    </xf>
    <xf numFmtId="164" fontId="33" fillId="0" borderId="7" xfId="18" applyFont="1" applyFill="1" applyBorder="1" applyAlignment="1">
      <alignment horizontal="center"/>
    </xf>
    <xf numFmtId="164" fontId="33" fillId="0" borderId="9" xfId="18" applyFont="1" applyFill="1" applyBorder="1" applyAlignment="1">
      <alignment horizontal="center"/>
    </xf>
    <xf numFmtId="164" fontId="33" fillId="0" borderId="0" xfId="18" applyFont="1" applyFill="1" applyAlignment="1" applyProtection="1">
      <alignment horizontal="right"/>
    </xf>
    <xf numFmtId="164" fontId="33" fillId="0" borderId="0" xfId="18" quotePrefix="1" applyFont="1" applyFill="1" applyAlignment="1">
      <alignment horizontal="right"/>
    </xf>
    <xf numFmtId="10" fontId="93" fillId="0" borderId="8" xfId="12" applyNumberFormat="1" applyFont="1" applyFill="1" applyBorder="1" applyProtection="1"/>
    <xf numFmtId="10" fontId="93" fillId="0" borderId="0" xfId="12" applyNumberFormat="1" applyFont="1" applyFill="1"/>
    <xf numFmtId="167" fontId="33" fillId="0" borderId="0" xfId="1" applyNumberFormat="1" applyFont="1" applyFill="1" applyProtection="1"/>
    <xf numFmtId="167" fontId="93" fillId="0" borderId="0" xfId="1" applyNumberFormat="1" applyFont="1" applyFill="1"/>
    <xf numFmtId="164" fontId="96" fillId="0" borderId="0" xfId="0" applyFont="1" applyFill="1" applyAlignment="1" applyProtection="1">
      <alignment horizontal="left"/>
    </xf>
    <xf numFmtId="164" fontId="96" fillId="0" borderId="0" xfId="0" applyFont="1" applyFill="1" applyAlignment="1">
      <alignment horizontal="center"/>
    </xf>
    <xf numFmtId="164" fontId="93" fillId="0" borderId="0" xfId="0" applyFont="1" applyFill="1" applyAlignment="1">
      <alignment horizontal="centerContinuous"/>
    </xf>
    <xf numFmtId="164" fontId="93" fillId="0" borderId="1" xfId="0" applyFont="1" applyFill="1" applyBorder="1" applyAlignment="1">
      <alignment horizontal="center"/>
    </xf>
    <xf numFmtId="164" fontId="33" fillId="0" borderId="0" xfId="4" applyFont="1" applyFill="1" applyAlignment="1" applyProtection="1">
      <alignment horizontal="center"/>
    </xf>
    <xf numFmtId="10" fontId="33" fillId="0" borderId="5" xfId="1" applyNumberFormat="1" applyFont="1" applyFill="1" applyBorder="1" applyProtection="1"/>
    <xf numFmtId="164" fontId="93" fillId="0" borderId="0" xfId="4" applyFont="1" applyFill="1" applyBorder="1" applyAlignment="1">
      <alignment horizontal="center"/>
    </xf>
    <xf numFmtId="164" fontId="93" fillId="0" borderId="1" xfId="4" applyFont="1" applyFill="1" applyBorder="1" applyAlignment="1">
      <alignment horizontal="center"/>
    </xf>
    <xf numFmtId="171" fontId="33" fillId="0" borderId="0" xfId="3" applyNumberFormat="1" applyFont="1" applyFill="1" applyBorder="1"/>
    <xf numFmtId="171" fontId="33" fillId="0" borderId="5" xfId="3" applyNumberFormat="1" applyFont="1" applyFill="1" applyBorder="1"/>
    <xf numFmtId="171" fontId="33" fillId="0" borderId="0" xfId="2" applyNumberFormat="1" applyFont="1" applyFill="1" applyBorder="1"/>
    <xf numFmtId="44" fontId="33" fillId="0" borderId="0" xfId="2" applyFont="1" applyFill="1" applyProtection="1"/>
    <xf numFmtId="44" fontId="33" fillId="0" borderId="0" xfId="2" applyFont="1" applyFill="1"/>
    <xf numFmtId="44" fontId="93" fillId="0" borderId="14" xfId="2" applyFont="1" applyFill="1" applyBorder="1" applyProtection="1"/>
    <xf numFmtId="164" fontId="97" fillId="0" borderId="0" xfId="18" quotePrefix="1" applyFont="1" applyFill="1" applyAlignment="1">
      <alignment horizontal="left"/>
    </xf>
    <xf numFmtId="171" fontId="33" fillId="0" borderId="9" xfId="2" applyNumberFormat="1" applyFont="1" applyFill="1" applyBorder="1" applyProtection="1"/>
    <xf numFmtId="37" fontId="33" fillId="0" borderId="9" xfId="18" applyNumberFormat="1" applyFont="1" applyFill="1" applyBorder="1" applyProtection="1"/>
    <xf numFmtId="171" fontId="93" fillId="0" borderId="10" xfId="2" applyNumberFormat="1" applyFont="1" applyFill="1" applyBorder="1" applyProtection="1"/>
    <xf numFmtId="37" fontId="93" fillId="0" borderId="9" xfId="4" applyNumberFormat="1" applyFont="1" applyFill="1" applyBorder="1" applyProtection="1"/>
    <xf numFmtId="172" fontId="33" fillId="0" borderId="6" xfId="4" applyNumberFormat="1" applyFont="1" applyFill="1" applyBorder="1" applyProtection="1"/>
    <xf numFmtId="39" fontId="33" fillId="0" borderId="0" xfId="4" applyNumberFormat="1" applyFont="1" applyFill="1" applyBorder="1" applyProtection="1"/>
    <xf numFmtId="164" fontId="33" fillId="0" borderId="0" xfId="4" quotePrefix="1" applyFont="1" applyFill="1" applyAlignment="1">
      <alignment horizontal="right"/>
    </xf>
    <xf numFmtId="164" fontId="33" fillId="0" borderId="11" xfId="4" applyFont="1" applyFill="1" applyBorder="1" applyAlignment="1" applyProtection="1">
      <alignment horizontal="left"/>
    </xf>
    <xf numFmtId="164" fontId="33" fillId="0" borderId="1" xfId="0" applyFont="1" applyFill="1" applyBorder="1" applyAlignment="1">
      <alignment horizontal="center" vertical="center" wrapText="1"/>
    </xf>
    <xf numFmtId="164" fontId="33" fillId="0" borderId="1" xfId="0" quotePrefix="1" applyFont="1" applyFill="1" applyBorder="1" applyAlignment="1">
      <alignment horizontal="center" wrapText="1"/>
    </xf>
    <xf numFmtId="164" fontId="33" fillId="0" borderId="1" xfId="0" applyFont="1" applyFill="1" applyBorder="1" applyAlignment="1">
      <alignment horizontal="center" wrapText="1"/>
    </xf>
    <xf numFmtId="164" fontId="93" fillId="0" borderId="0" xfId="0" applyFont="1" applyFill="1" applyAlignment="1">
      <alignment horizontal="right"/>
    </xf>
    <xf numFmtId="0" fontId="33" fillId="0" borderId="6" xfId="3" applyFont="1" applyFill="1" applyBorder="1"/>
    <xf numFmtId="0" fontId="33" fillId="0" borderId="3" xfId="3" applyFont="1" applyFill="1" applyBorder="1"/>
    <xf numFmtId="164" fontId="93" fillId="0" borderId="0" xfId="4" applyFont="1" applyFill="1" applyAlignment="1" applyProtection="1">
      <alignment horizontal="centerContinuous"/>
    </xf>
    <xf numFmtId="164" fontId="33" fillId="0" borderId="0" xfId="4" applyFont="1" applyFill="1" applyAlignment="1" applyProtection="1">
      <alignment horizontal="right"/>
    </xf>
    <xf numFmtId="164" fontId="93" fillId="0" borderId="0" xfId="4" applyFont="1" applyFill="1" applyAlignment="1" applyProtection="1"/>
    <xf numFmtId="164" fontId="33" fillId="0" borderId="0" xfId="4" applyFont="1" applyFill="1" applyAlignment="1" applyProtection="1">
      <alignment horizontal="centerContinuous"/>
    </xf>
    <xf numFmtId="164" fontId="33" fillId="0" borderId="1" xfId="4" applyFont="1" applyFill="1" applyBorder="1" applyAlignment="1">
      <alignment horizontal="center"/>
    </xf>
    <xf numFmtId="164" fontId="33" fillId="0" borderId="1" xfId="4" applyFont="1" applyFill="1" applyBorder="1" applyAlignment="1" applyProtection="1">
      <alignment horizontal="center"/>
    </xf>
    <xf numFmtId="171" fontId="33" fillId="0" borderId="0" xfId="2" applyNumberFormat="1" applyFont="1" applyFill="1" applyProtection="1"/>
    <xf numFmtId="10" fontId="33" fillId="0" borderId="0" xfId="12" applyNumberFormat="1" applyFont="1" applyFill="1" applyProtection="1"/>
    <xf numFmtId="173" fontId="33" fillId="0" borderId="0" xfId="4" applyNumberFormat="1" applyFont="1" applyFill="1" applyProtection="1"/>
    <xf numFmtId="10" fontId="33" fillId="0" borderId="0" xfId="4" applyNumberFormat="1" applyFont="1" applyFill="1" applyProtection="1"/>
    <xf numFmtId="5" fontId="33" fillId="0" borderId="0" xfId="4" applyNumberFormat="1" applyFont="1" applyFill="1" applyProtection="1"/>
    <xf numFmtId="165" fontId="33" fillId="0" borderId="0" xfId="4" applyNumberFormat="1" applyFont="1" applyFill="1" applyProtection="1"/>
    <xf numFmtId="37" fontId="33" fillId="0" borderId="0" xfId="4" applyNumberFormat="1" applyFont="1" applyFill="1" applyAlignment="1" applyProtection="1">
      <alignment horizontal="right"/>
    </xf>
    <xf numFmtId="164" fontId="33" fillId="0" borderId="0" xfId="4" applyFont="1" applyFill="1" applyAlignment="1">
      <alignment horizontal="left"/>
    </xf>
    <xf numFmtId="167" fontId="33" fillId="0" borderId="5" xfId="1" applyNumberFormat="1" applyFont="1" applyFill="1" applyBorder="1" applyProtection="1"/>
    <xf numFmtId="167" fontId="33" fillId="0" borderId="4" xfId="1" applyNumberFormat="1" applyFont="1" applyFill="1" applyBorder="1" applyProtection="1"/>
    <xf numFmtId="167" fontId="33" fillId="0" borderId="5" xfId="1" applyNumberFormat="1" applyFont="1" applyFill="1" applyBorder="1"/>
    <xf numFmtId="164" fontId="33" fillId="0" borderId="4" xfId="4" applyFont="1" applyFill="1" applyBorder="1" applyAlignment="1">
      <alignment horizontal="center"/>
    </xf>
    <xf numFmtId="164" fontId="33" fillId="0" borderId="2" xfId="4" applyFont="1" applyFill="1" applyBorder="1"/>
    <xf numFmtId="164" fontId="33" fillId="0" borderId="4" xfId="4" applyFont="1" applyFill="1" applyBorder="1" applyAlignment="1" applyProtection="1">
      <alignment horizontal="center"/>
    </xf>
    <xf numFmtId="164" fontId="33" fillId="0" borderId="4" xfId="4" applyFont="1" applyFill="1" applyBorder="1"/>
    <xf numFmtId="172" fontId="33" fillId="0" borderId="4" xfId="4" applyNumberFormat="1" applyFont="1" applyFill="1" applyBorder="1" applyAlignment="1">
      <alignment horizontal="centerContinuous"/>
    </xf>
    <xf numFmtId="172" fontId="33" fillId="0" borderId="5" xfId="4" applyNumberFormat="1" applyFont="1" applyFill="1" applyBorder="1" applyAlignment="1" applyProtection="1">
      <alignment horizontal="center"/>
    </xf>
    <xf numFmtId="164" fontId="33" fillId="0" borderId="5" xfId="4" applyFont="1" applyFill="1" applyBorder="1" applyAlignment="1">
      <alignment horizontal="center"/>
    </xf>
    <xf numFmtId="164" fontId="33" fillId="0" borderId="6" xfId="4" applyFont="1" applyFill="1" applyBorder="1" applyAlignment="1" applyProtection="1">
      <alignment horizontal="center"/>
    </xf>
    <xf numFmtId="172" fontId="33" fillId="0" borderId="6" xfId="4" applyNumberFormat="1" applyFont="1" applyFill="1" applyBorder="1" applyAlignment="1" applyProtection="1">
      <alignment horizontal="center"/>
    </xf>
    <xf numFmtId="164" fontId="33" fillId="0" borderId="3" xfId="4" applyFont="1" applyFill="1" applyBorder="1" applyAlignment="1">
      <alignment horizontal="center"/>
    </xf>
    <xf numFmtId="164" fontId="93" fillId="0" borderId="3" xfId="4" applyFont="1" applyFill="1" applyBorder="1" applyAlignment="1" applyProtection="1">
      <alignment horizontal="left"/>
    </xf>
    <xf numFmtId="164" fontId="33" fillId="0" borderId="3" xfId="4" applyFont="1" applyFill="1" applyBorder="1"/>
    <xf numFmtId="172" fontId="33" fillId="0" borderId="3" xfId="4" applyNumberFormat="1" applyFont="1" applyFill="1" applyBorder="1"/>
    <xf numFmtId="164" fontId="33" fillId="0" borderId="16" xfId="4" applyFont="1" applyFill="1" applyBorder="1"/>
    <xf numFmtId="164" fontId="33" fillId="0" borderId="12" xfId="4" applyFont="1" applyFill="1" applyBorder="1" applyAlignment="1" applyProtection="1">
      <alignment horizontal="left" indent="1"/>
    </xf>
    <xf numFmtId="37" fontId="33" fillId="0" borderId="5" xfId="4" applyNumberFormat="1" applyFont="1" applyFill="1" applyBorder="1" applyProtection="1"/>
    <xf numFmtId="37" fontId="33" fillId="0" borderId="0" xfId="4" applyNumberFormat="1" applyFont="1" applyFill="1" applyBorder="1" applyProtection="1"/>
    <xf numFmtId="164" fontId="33" fillId="0" borderId="13" xfId="4" applyFont="1" applyFill="1" applyBorder="1"/>
    <xf numFmtId="164" fontId="93" fillId="0" borderId="3" xfId="4" applyFont="1" applyFill="1" applyBorder="1" applyAlignment="1" applyProtection="1">
      <alignment horizontal="left" indent="1"/>
    </xf>
    <xf numFmtId="164" fontId="93" fillId="0" borderId="8" xfId="4" applyFont="1" applyFill="1" applyBorder="1"/>
    <xf numFmtId="37" fontId="93" fillId="0" borderId="10" xfId="4" applyNumberFormat="1" applyFont="1" applyFill="1" applyBorder="1" applyProtection="1"/>
    <xf numFmtId="37" fontId="93" fillId="0" borderId="0" xfId="4" applyNumberFormat="1" applyFont="1" applyFill="1" applyBorder="1" applyProtection="1"/>
    <xf numFmtId="172" fontId="93" fillId="0" borderId="10" xfId="4" applyNumberFormat="1" applyFont="1" applyFill="1" applyBorder="1" applyProtection="1"/>
    <xf numFmtId="37" fontId="93" fillId="0" borderId="8" xfId="4" applyNumberFormat="1" applyFont="1" applyFill="1" applyBorder="1" applyProtection="1"/>
    <xf numFmtId="10" fontId="93" fillId="0" borderId="10" xfId="1" applyNumberFormat="1" applyFont="1" applyFill="1" applyBorder="1" applyProtection="1"/>
    <xf numFmtId="164" fontId="93" fillId="0" borderId="0" xfId="4" applyFont="1" applyFill="1"/>
    <xf numFmtId="10" fontId="33" fillId="0" borderId="5" xfId="4" applyNumberFormat="1" applyFont="1" applyFill="1" applyBorder="1" applyProtection="1"/>
    <xf numFmtId="164" fontId="33" fillId="0" borderId="0" xfId="4" applyFont="1" applyFill="1" applyBorder="1" applyProtection="1"/>
    <xf numFmtId="172" fontId="93" fillId="0" borderId="10" xfId="1" applyNumberFormat="1" applyFont="1" applyFill="1" applyBorder="1" applyProtection="1"/>
    <xf numFmtId="164" fontId="33" fillId="0" borderId="12" xfId="4" applyFont="1" applyFill="1" applyBorder="1" applyAlignment="1" applyProtection="1">
      <alignment horizontal="left"/>
    </xf>
    <xf numFmtId="164" fontId="33" fillId="0" borderId="0" xfId="4" applyFont="1" applyFill="1" applyBorder="1" applyAlignment="1" applyProtection="1"/>
    <xf numFmtId="164" fontId="33" fillId="0" borderId="0" xfId="4" applyFont="1" applyFill="1" applyBorder="1" applyAlignment="1" applyProtection="1">
      <alignment horizontal="left"/>
    </xf>
    <xf numFmtId="164" fontId="93" fillId="0" borderId="5" xfId="4" applyFont="1" applyFill="1" applyBorder="1" applyAlignment="1" applyProtection="1">
      <alignment horizontal="center"/>
    </xf>
    <xf numFmtId="172" fontId="93" fillId="0" borderId="10" xfId="4" applyNumberFormat="1" applyFont="1" applyFill="1" applyBorder="1"/>
    <xf numFmtId="164" fontId="93" fillId="0" borderId="0" xfId="4" applyFont="1" applyFill="1" applyBorder="1" applyAlignment="1" applyProtection="1">
      <alignment horizontal="left" indent="1"/>
    </xf>
    <xf numFmtId="37" fontId="33" fillId="0" borderId="0" xfId="4" applyNumberFormat="1" applyFont="1" applyFill="1" applyBorder="1"/>
    <xf numFmtId="37" fontId="33" fillId="0" borderId="3" xfId="4" applyNumberFormat="1" applyFont="1" applyFill="1" applyBorder="1"/>
    <xf numFmtId="10" fontId="33" fillId="0" borderId="1" xfId="1" applyNumberFormat="1" applyFont="1" applyFill="1" applyBorder="1" applyProtection="1"/>
    <xf numFmtId="10" fontId="33" fillId="0" borderId="9" xfId="1" applyNumberFormat="1" applyFont="1" applyFill="1" applyBorder="1" applyProtection="1"/>
    <xf numFmtId="172" fontId="33" fillId="0" borderId="5" xfId="4" applyNumberFormat="1" applyFont="1" applyFill="1" applyBorder="1" applyProtection="1"/>
    <xf numFmtId="172" fontId="33" fillId="0" borderId="5" xfId="1" applyNumberFormat="1" applyFont="1" applyFill="1" applyBorder="1" applyProtection="1"/>
    <xf numFmtId="164" fontId="93" fillId="0" borderId="7" xfId="4" applyFont="1" applyFill="1" applyBorder="1" applyAlignment="1" applyProtection="1">
      <alignment horizontal="left" indent="1"/>
    </xf>
    <xf numFmtId="164" fontId="93" fillId="0" borderId="13" xfId="4" applyFont="1" applyFill="1" applyBorder="1"/>
    <xf numFmtId="164" fontId="93" fillId="0" borderId="10" xfId="4" applyFont="1" applyFill="1" applyBorder="1"/>
    <xf numFmtId="10" fontId="93" fillId="0" borderId="8" xfId="1" applyNumberFormat="1" applyFont="1" applyFill="1" applyBorder="1" applyProtection="1"/>
    <xf numFmtId="164" fontId="93" fillId="0" borderId="3" xfId="4" applyFont="1" applyFill="1" applyBorder="1"/>
    <xf numFmtId="37" fontId="93" fillId="0" borderId="13" xfId="4" applyNumberFormat="1" applyFont="1" applyFill="1" applyBorder="1" applyProtection="1"/>
    <xf numFmtId="164" fontId="33" fillId="0" borderId="1" xfId="4" applyFont="1" applyFill="1" applyBorder="1"/>
    <xf numFmtId="164" fontId="33" fillId="0" borderId="0" xfId="4" quotePrefix="1" applyFont="1" applyFill="1" applyBorder="1" applyAlignment="1" applyProtection="1">
      <alignment horizontal="left"/>
    </xf>
    <xf numFmtId="164" fontId="93" fillId="0" borderId="0" xfId="4" quotePrefix="1" applyFont="1" applyFill="1" applyBorder="1" applyAlignment="1">
      <alignment horizontal="left"/>
    </xf>
    <xf numFmtId="164" fontId="93" fillId="0" borderId="0" xfId="4" applyFont="1" applyFill="1" applyAlignment="1">
      <alignment horizontal="center"/>
    </xf>
    <xf numFmtId="0" fontId="33" fillId="0" borderId="11" xfId="3" applyFont="1" applyFill="1" applyBorder="1" applyAlignment="1" applyProtection="1">
      <alignment horizontal="center" wrapText="1"/>
    </xf>
    <xf numFmtId="0" fontId="33" fillId="0" borderId="4" xfId="3" applyFont="1" applyFill="1" applyBorder="1" applyAlignment="1" applyProtection="1">
      <alignment horizontal="center" wrapText="1"/>
    </xf>
    <xf numFmtId="0" fontId="33" fillId="0" borderId="1" xfId="3" quotePrefix="1" applyFont="1" applyFill="1" applyBorder="1" applyAlignment="1" applyProtection="1">
      <alignment horizontal="center"/>
    </xf>
    <xf numFmtId="0" fontId="33" fillId="0" borderId="13" xfId="3" quotePrefix="1" applyFont="1" applyFill="1" applyBorder="1" applyAlignment="1" applyProtection="1">
      <alignment horizontal="center"/>
    </xf>
    <xf numFmtId="0" fontId="33" fillId="0" borderId="8" xfId="3" applyFont="1" applyFill="1" applyBorder="1"/>
    <xf numFmtId="171" fontId="33" fillId="0" borderId="4" xfId="3" applyNumberFormat="1" applyFont="1" applyFill="1" applyBorder="1"/>
    <xf numFmtId="0" fontId="33" fillId="0" borderId="1" xfId="3" applyFont="1" applyFill="1" applyBorder="1"/>
    <xf numFmtId="164" fontId="33" fillId="0" borderId="0" xfId="0" applyFont="1" applyFill="1"/>
    <xf numFmtId="164" fontId="93" fillId="0" borderId="0" xfId="0" applyFont="1" applyFill="1"/>
    <xf numFmtId="164" fontId="33" fillId="0" borderId="0" xfId="18" applyFont="1" applyFill="1"/>
    <xf numFmtId="164" fontId="33" fillId="0" borderId="0" xfId="0" quotePrefix="1" applyFont="1" applyFill="1"/>
    <xf numFmtId="44" fontId="33" fillId="0" borderId="0" xfId="2" applyNumberFormat="1" applyFont="1" applyFill="1"/>
    <xf numFmtId="164" fontId="97" fillId="0" borderId="0" xfId="0" applyFont="1" applyFill="1"/>
    <xf numFmtId="164" fontId="33" fillId="0" borderId="1" xfId="0" applyFont="1" applyFill="1" applyBorder="1" applyAlignment="1">
      <alignment horizontal="center"/>
    </xf>
    <xf numFmtId="164" fontId="97" fillId="0" borderId="0" xfId="0" quotePrefix="1" applyFont="1" applyFill="1" applyAlignment="1">
      <alignment wrapText="1"/>
    </xf>
    <xf numFmtId="164" fontId="93" fillId="0" borderId="1" xfId="0" applyFont="1" applyFill="1" applyBorder="1" applyAlignment="1">
      <alignment horizontal="center" wrapText="1"/>
    </xf>
    <xf numFmtId="164" fontId="93" fillId="0" borderId="0" xfId="0" quotePrefix="1" applyFont="1" applyFill="1" applyAlignment="1" applyProtection="1">
      <alignment horizontal="left"/>
    </xf>
    <xf numFmtId="0" fontId="33" fillId="0" borderId="0" xfId="3" applyFont="1" applyFill="1"/>
    <xf numFmtId="0" fontId="33" fillId="0" borderId="0" xfId="3" applyFont="1" applyFill="1" applyAlignment="1"/>
    <xf numFmtId="0" fontId="33" fillId="0" borderId="0" xfId="3" applyFont="1" applyFill="1" applyAlignment="1" applyProtection="1">
      <alignment horizontal="center"/>
    </xf>
    <xf numFmtId="0" fontId="33" fillId="0" borderId="0" xfId="3" applyFont="1" applyFill="1" applyBorder="1"/>
    <xf numFmtId="0" fontId="33" fillId="0" borderId="0" xfId="3" applyFont="1" applyFill="1" applyAlignment="1">
      <alignment horizontal="center"/>
    </xf>
    <xf numFmtId="0" fontId="33" fillId="0" borderId="16" xfId="3" applyFont="1" applyFill="1" applyBorder="1" applyAlignment="1" applyProtection="1">
      <alignment horizontal="center" wrapText="1"/>
    </xf>
    <xf numFmtId="0" fontId="33" fillId="0" borderId="0" xfId="3" applyFont="1" applyFill="1" applyAlignment="1">
      <alignment horizontal="center" wrapText="1"/>
    </xf>
    <xf numFmtId="0" fontId="33" fillId="0" borderId="0" xfId="3" applyFont="1" applyFill="1" applyAlignment="1">
      <alignment wrapText="1"/>
    </xf>
    <xf numFmtId="0" fontId="33" fillId="0" borderId="6" xfId="3" applyFont="1" applyFill="1" applyBorder="1" applyAlignment="1" applyProtection="1">
      <alignment horizontal="center"/>
    </xf>
    <xf numFmtId="0" fontId="33" fillId="0" borderId="13" xfId="3" applyFont="1" applyFill="1" applyBorder="1" applyAlignment="1" applyProtection="1">
      <alignment horizontal="center"/>
    </xf>
    <xf numFmtId="0" fontId="33" fillId="0" borderId="6" xfId="3" quotePrefix="1" applyFont="1" applyFill="1" applyBorder="1" applyAlignment="1" applyProtection="1">
      <alignment horizontal="center"/>
    </xf>
    <xf numFmtId="0" fontId="93" fillId="0" borderId="3" xfId="3" applyFont="1" applyFill="1" applyBorder="1" applyAlignment="1" applyProtection="1">
      <alignment horizontal="left"/>
    </xf>
    <xf numFmtId="0" fontId="33" fillId="0" borderId="4" xfId="3" applyFont="1" applyFill="1" applyBorder="1" applyAlignment="1" applyProtection="1">
      <alignment horizontal="left"/>
    </xf>
    <xf numFmtId="0" fontId="33" fillId="0" borderId="0" xfId="3" applyFont="1" applyFill="1" applyBorder="1" applyAlignment="1">
      <alignment horizontal="center"/>
    </xf>
    <xf numFmtId="0" fontId="33" fillId="0" borderId="12" xfId="3" applyFont="1" applyFill="1" applyBorder="1" applyAlignment="1" applyProtection="1">
      <alignment horizontal="left"/>
    </xf>
    <xf numFmtId="0" fontId="33" fillId="0" borderId="5" xfId="3" quotePrefix="1" applyFont="1" applyFill="1" applyBorder="1" applyAlignment="1">
      <alignment horizontal="center"/>
    </xf>
    <xf numFmtId="0" fontId="33" fillId="0" borderId="5" xfId="3" applyFont="1" applyFill="1" applyBorder="1" applyAlignment="1" applyProtection="1">
      <alignment horizontal="center"/>
    </xf>
    <xf numFmtId="0" fontId="33" fillId="0" borderId="15" xfId="3" applyFont="1" applyFill="1" applyBorder="1" applyAlignment="1" applyProtection="1">
      <alignment horizontal="left"/>
    </xf>
    <xf numFmtId="0" fontId="33" fillId="0" borderId="0" xfId="3" applyFont="1" applyFill="1" applyBorder="1" applyAlignment="1" applyProtection="1">
      <alignment horizontal="left"/>
    </xf>
    <xf numFmtId="0" fontId="97" fillId="0" borderId="0" xfId="3" quotePrefix="1" applyFont="1" applyFill="1" applyAlignment="1">
      <alignment horizontal="left"/>
    </xf>
    <xf numFmtId="0" fontId="33" fillId="0" borderId="0" xfId="3" applyFont="1" applyFill="1" applyBorder="1" applyAlignment="1" applyProtection="1">
      <alignment horizontal="center"/>
    </xf>
    <xf numFmtId="0" fontId="33" fillId="0" borderId="0" xfId="3" applyFont="1" applyFill="1" applyAlignment="1">
      <alignment horizontal="left"/>
    </xf>
    <xf numFmtId="175" fontId="33" fillId="0" borderId="0" xfId="12" applyNumberFormat="1" applyFont="1" applyFill="1" applyBorder="1" applyAlignment="1">
      <alignment horizontal="right"/>
    </xf>
    <xf numFmtId="0" fontId="33" fillId="0" borderId="0" xfId="3" applyFont="1" applyFill="1" applyAlignment="1">
      <alignment horizontal="right"/>
    </xf>
    <xf numFmtId="10" fontId="93" fillId="0" borderId="0" xfId="18" applyNumberFormat="1" applyFont="1" applyFill="1"/>
    <xf numFmtId="10" fontId="33" fillId="0" borderId="0" xfId="18" applyNumberFormat="1" applyFont="1" applyFill="1"/>
    <xf numFmtId="167" fontId="93" fillId="0" borderId="3" xfId="1" applyNumberFormat="1" applyFont="1" applyFill="1" applyBorder="1" applyProtection="1"/>
    <xf numFmtId="167" fontId="93" fillId="0" borderId="10" xfId="1" applyNumberFormat="1" applyFont="1" applyFill="1" applyBorder="1" applyProtection="1"/>
    <xf numFmtId="3" fontId="33" fillId="0" borderId="0" xfId="0" applyNumberFormat="1" applyFont="1" applyFill="1"/>
    <xf numFmtId="0" fontId="33" fillId="0" borderId="7" xfId="3" applyFont="1" applyFill="1" applyBorder="1"/>
    <xf numFmtId="0" fontId="33" fillId="0" borderId="5" xfId="3" applyFont="1" applyFill="1" applyBorder="1" applyAlignment="1" applyProtection="1">
      <alignment horizontal="left"/>
    </xf>
    <xf numFmtId="171" fontId="33" fillId="0" borderId="4" xfId="2" applyNumberFormat="1" applyFont="1" applyFill="1" applyBorder="1" applyAlignment="1" applyProtection="1">
      <alignment horizontal="center"/>
    </xf>
    <xf numFmtId="171" fontId="33" fillId="0" borderId="11" xfId="3" applyNumberFormat="1" applyFont="1" applyFill="1" applyBorder="1"/>
    <xf numFmtId="0" fontId="33" fillId="0" borderId="6" xfId="3" applyFont="1" applyFill="1" applyBorder="1" applyAlignment="1" applyProtection="1">
      <alignment horizontal="left"/>
    </xf>
    <xf numFmtId="0" fontId="33" fillId="0" borderId="1" xfId="3" applyFont="1" applyFill="1" applyBorder="1" applyAlignment="1" applyProtection="1">
      <alignment horizontal="center"/>
    </xf>
    <xf numFmtId="44" fontId="33" fillId="0" borderId="6" xfId="2" applyFont="1" applyFill="1" applyBorder="1" applyAlignment="1" applyProtection="1">
      <alignment horizontal="center"/>
    </xf>
    <xf numFmtId="171" fontId="33" fillId="0" borderId="15" xfId="2" applyNumberFormat="1" applyFont="1" applyFill="1" applyBorder="1"/>
    <xf numFmtId="171" fontId="33" fillId="0" borderId="15" xfId="3" applyNumberFormat="1" applyFont="1" applyFill="1" applyBorder="1"/>
    <xf numFmtId="171" fontId="33" fillId="0" borderId="6" xfId="3" applyNumberFormat="1" applyFont="1" applyFill="1" applyBorder="1"/>
    <xf numFmtId="172" fontId="33" fillId="0" borderId="0" xfId="18" applyNumberFormat="1" applyFont="1" applyFill="1" applyAlignment="1">
      <alignment horizontal="centerContinuous"/>
    </xf>
    <xf numFmtId="172" fontId="93" fillId="0" borderId="0" xfId="18" applyNumberFormat="1" applyFont="1" applyFill="1" applyAlignment="1" applyProtection="1">
      <alignment horizontal="centerContinuous"/>
    </xf>
    <xf numFmtId="164" fontId="33" fillId="0" borderId="1" xfId="18" applyFont="1" applyFill="1" applyBorder="1" applyAlignment="1">
      <alignment horizontal="center"/>
    </xf>
    <xf numFmtId="164" fontId="93" fillId="0" borderId="1" xfId="18" applyFont="1" applyFill="1" applyBorder="1" applyAlignment="1" applyProtection="1">
      <alignment horizontal="left"/>
    </xf>
    <xf numFmtId="164" fontId="33" fillId="0" borderId="1" xfId="18" applyFont="1" applyFill="1" applyBorder="1"/>
    <xf numFmtId="167" fontId="33" fillId="0" borderId="1" xfId="1" applyNumberFormat="1" applyFont="1" applyFill="1" applyBorder="1" applyProtection="1"/>
    <xf numFmtId="37" fontId="33" fillId="0" borderId="0" xfId="18" applyNumberFormat="1" applyFont="1" applyFill="1" applyBorder="1" applyProtection="1"/>
    <xf numFmtId="171" fontId="33" fillId="0" borderId="1" xfId="2" applyNumberFormat="1" applyFont="1" applyFill="1" applyBorder="1" applyProtection="1"/>
    <xf numFmtId="170" fontId="33" fillId="0" borderId="1" xfId="2" applyNumberFormat="1" applyFont="1" applyFill="1" applyBorder="1" applyProtection="1"/>
    <xf numFmtId="10" fontId="33" fillId="0" borderId="1" xfId="12" applyNumberFormat="1" applyFont="1" applyFill="1" applyBorder="1" applyProtection="1"/>
    <xf numFmtId="164" fontId="33" fillId="0" borderId="12" xfId="18" applyFont="1" applyFill="1" applyBorder="1" applyAlignment="1" applyProtection="1">
      <alignment horizontal="center"/>
    </xf>
    <xf numFmtId="164" fontId="33" fillId="0" borderId="11" xfId="18" applyFont="1" applyFill="1" applyBorder="1" applyAlignment="1" applyProtection="1">
      <alignment horizontal="left"/>
    </xf>
    <xf numFmtId="167" fontId="33" fillId="0" borderId="4" xfId="1" applyNumberFormat="1" applyFont="1" applyFill="1" applyBorder="1"/>
    <xf numFmtId="171" fontId="33" fillId="0" borderId="4" xfId="2" applyNumberFormat="1" applyFont="1" applyFill="1" applyBorder="1"/>
    <xf numFmtId="170" fontId="33" fillId="0" borderId="4" xfId="2" applyNumberFormat="1" applyFont="1" applyFill="1" applyBorder="1"/>
    <xf numFmtId="164" fontId="33" fillId="0" borderId="12" xfId="18" applyFont="1" applyFill="1" applyBorder="1" applyAlignment="1" applyProtection="1">
      <alignment horizontal="left"/>
    </xf>
    <xf numFmtId="171" fontId="33" fillId="0" borderId="5" xfId="2" applyNumberFormat="1" applyFont="1" applyFill="1" applyBorder="1" applyProtection="1"/>
    <xf numFmtId="170" fontId="33" fillId="0" borderId="5" xfId="2" applyNumberFormat="1" applyFont="1" applyFill="1" applyBorder="1" applyProtection="1"/>
    <xf numFmtId="167" fontId="33" fillId="0" borderId="6" xfId="1" applyNumberFormat="1" applyFont="1" applyFill="1" applyBorder="1" applyProtection="1"/>
    <xf numFmtId="10" fontId="33" fillId="0" borderId="13" xfId="12" applyNumberFormat="1" applyFont="1" applyFill="1" applyBorder="1" applyProtection="1"/>
    <xf numFmtId="164" fontId="33" fillId="0" borderId="10" xfId="18" applyFont="1" applyFill="1" applyBorder="1" applyAlignment="1">
      <alignment horizontal="center"/>
    </xf>
    <xf numFmtId="164" fontId="93" fillId="0" borderId="7" xfId="18" applyFont="1" applyFill="1" applyBorder="1" applyAlignment="1" applyProtection="1">
      <alignment horizontal="left"/>
    </xf>
    <xf numFmtId="167" fontId="93" fillId="0" borderId="10" xfId="1" applyNumberFormat="1" applyFont="1" applyFill="1" applyBorder="1"/>
    <xf numFmtId="164" fontId="93" fillId="0" borderId="0" xfId="18" applyFont="1" applyFill="1" applyBorder="1"/>
    <xf numFmtId="171" fontId="93" fillId="0" borderId="10" xfId="2" applyNumberFormat="1" applyFont="1" applyFill="1" applyBorder="1"/>
    <xf numFmtId="170" fontId="93" fillId="0" borderId="10" xfId="2" applyNumberFormat="1" applyFont="1" applyFill="1" applyBorder="1"/>
    <xf numFmtId="164" fontId="33" fillId="0" borderId="0" xfId="18" applyFont="1" applyFill="1" applyBorder="1" applyAlignment="1">
      <alignment horizontal="center"/>
    </xf>
    <xf numFmtId="164" fontId="93" fillId="0" borderId="0" xfId="18" applyFont="1" applyFill="1" applyBorder="1" applyAlignment="1" applyProtection="1">
      <alignment horizontal="left"/>
    </xf>
    <xf numFmtId="167" fontId="93" fillId="0" borderId="3" xfId="1" applyNumberFormat="1" applyFont="1" applyFill="1" applyBorder="1"/>
    <xf numFmtId="171" fontId="93" fillId="0" borderId="0" xfId="2" applyNumberFormat="1" applyFont="1" applyFill="1" applyBorder="1"/>
    <xf numFmtId="170" fontId="93" fillId="0" borderId="0" xfId="2" applyNumberFormat="1" applyFont="1" applyFill="1" applyBorder="1"/>
    <xf numFmtId="10" fontId="93" fillId="0" borderId="0" xfId="12" applyNumberFormat="1" applyFont="1" applyFill="1" applyBorder="1"/>
    <xf numFmtId="167" fontId="33" fillId="0" borderId="0" xfId="1" applyNumberFormat="1" applyFont="1" applyFill="1" applyAlignment="1">
      <alignment horizontal="left"/>
    </xf>
    <xf numFmtId="201" fontId="33" fillId="0" borderId="0" xfId="1" applyNumberFormat="1" applyFont="1" applyFill="1" applyProtection="1"/>
    <xf numFmtId="43" fontId="33" fillId="0" borderId="0" xfId="1" applyFont="1" applyFill="1" applyProtection="1"/>
    <xf numFmtId="164" fontId="33" fillId="0" borderId="0" xfId="4" applyFont="1" applyFill="1" applyBorder="1" applyAlignment="1">
      <alignment horizontal="center"/>
    </xf>
    <xf numFmtId="10" fontId="33" fillId="0" borderId="0" xfId="12" applyNumberFormat="1" applyFont="1" applyFill="1" applyBorder="1"/>
    <xf numFmtId="44" fontId="33" fillId="0" borderId="0" xfId="2" applyFont="1" applyFill="1" applyAlignment="1" applyProtection="1">
      <alignment horizontal="center"/>
    </xf>
    <xf numFmtId="0" fontId="33" fillId="0" borderId="0" xfId="51494" applyFont="1" applyFill="1" applyAlignment="1">
      <alignment horizontal="right" readingOrder="1"/>
    </xf>
    <xf numFmtId="0" fontId="33" fillId="0" borderId="0" xfId="51494" quotePrefix="1" applyFont="1" applyFill="1" applyAlignment="1">
      <alignment horizontal="right" readingOrder="1"/>
    </xf>
    <xf numFmtId="4" fontId="33" fillId="0" borderId="0" xfId="0" applyNumberFormat="1" applyFont="1" applyFill="1"/>
    <xf numFmtId="17" fontId="93" fillId="0" borderId="0" xfId="0" quotePrefix="1" applyNumberFormat="1" applyFont="1" applyFill="1" applyAlignment="1" applyProtection="1">
      <alignment horizontal="center"/>
    </xf>
    <xf numFmtId="174" fontId="93" fillId="0" borderId="0" xfId="0" applyNumberFormat="1" applyFont="1" applyFill="1"/>
    <xf numFmtId="164" fontId="93" fillId="0" borderId="1" xfId="0" applyFont="1" applyFill="1" applyBorder="1" applyAlignment="1" applyProtection="1">
      <alignment horizontal="center"/>
    </xf>
    <xf numFmtId="164" fontId="93" fillId="0" borderId="0" xfId="0" applyFont="1" applyFill="1" applyAlignment="1">
      <alignment horizontal="center"/>
    </xf>
    <xf numFmtId="164" fontId="33" fillId="0" borderId="0" xfId="0" applyFont="1" applyFill="1" applyAlignment="1">
      <alignment horizontal="center"/>
    </xf>
    <xf numFmtId="14" fontId="93" fillId="0" borderId="1" xfId="0" applyNumberFormat="1" applyFont="1" applyFill="1" applyBorder="1" applyAlignment="1">
      <alignment horizontal="center" wrapText="1"/>
    </xf>
    <xf numFmtId="44" fontId="93" fillId="0" borderId="14" xfId="2" applyNumberFormat="1" applyFont="1" applyFill="1" applyBorder="1"/>
    <xf numFmtId="39" fontId="33" fillId="0" borderId="0" xfId="0" applyNumberFormat="1" applyFont="1" applyFill="1"/>
    <xf numFmtId="17" fontId="93" fillId="0" borderId="0" xfId="0" applyNumberFormat="1" applyFont="1" applyFill="1" applyAlignment="1" applyProtection="1">
      <alignment horizontal="right"/>
    </xf>
    <xf numFmtId="168" fontId="96" fillId="0" borderId="0" xfId="0" applyNumberFormat="1" applyFont="1" applyFill="1" applyProtection="1"/>
    <xf numFmtId="10" fontId="96" fillId="0" borderId="0" xfId="0" applyNumberFormat="1" applyFont="1" applyFill="1" applyProtection="1"/>
    <xf numFmtId="166" fontId="96" fillId="0" borderId="0" xfId="0" applyNumberFormat="1" applyFont="1" applyFill="1" applyProtection="1"/>
    <xf numFmtId="202" fontId="33" fillId="0" borderId="0" xfId="0" applyNumberFormat="1" applyFont="1" applyFill="1"/>
    <xf numFmtId="37" fontId="33" fillId="0" borderId="0" xfId="0" applyNumberFormat="1" applyFont="1" applyFill="1"/>
    <xf numFmtId="203" fontId="33" fillId="0" borderId="0" xfId="0" applyNumberFormat="1" applyFont="1" applyFill="1"/>
    <xf numFmtId="164" fontId="96" fillId="46" borderId="0" xfId="0" applyFont="1" applyFill="1" applyAlignment="1">
      <alignment horizontal="center"/>
    </xf>
    <xf numFmtId="43" fontId="33" fillId="0" borderId="5" xfId="1" applyNumberFormat="1" applyFont="1" applyFill="1" applyBorder="1" applyProtection="1"/>
    <xf numFmtId="37" fontId="33" fillId="0" borderId="3" xfId="4" applyNumberFormat="1" applyFont="1" applyFill="1" applyBorder="1" applyProtection="1"/>
    <xf numFmtId="164" fontId="93" fillId="0" borderId="0" xfId="4" quotePrefix="1" applyFont="1" applyFill="1" applyAlignment="1">
      <alignment horizontal="left"/>
    </xf>
    <xf numFmtId="44" fontId="33" fillId="0" borderId="14" xfId="2" applyFont="1" applyFill="1" applyBorder="1"/>
    <xf numFmtId="37" fontId="33" fillId="0" borderId="1" xfId="4" applyNumberFormat="1" applyFont="1" applyFill="1" applyBorder="1" applyProtection="1"/>
    <xf numFmtId="164" fontId="33" fillId="0" borderId="4" xfId="18" applyFont="1" applyFill="1" applyBorder="1"/>
    <xf numFmtId="164" fontId="33" fillId="0" borderId="6" xfId="18" applyFont="1" applyFill="1" applyBorder="1" applyAlignment="1">
      <alignment horizontal="center"/>
    </xf>
    <xf numFmtId="10" fontId="33" fillId="0" borderId="4" xfId="18" applyNumberFormat="1" applyFont="1" applyFill="1" applyBorder="1"/>
    <xf numFmtId="10" fontId="33" fillId="0" borderId="5" xfId="18" applyNumberFormat="1" applyFont="1" applyFill="1" applyBorder="1"/>
    <xf numFmtId="10" fontId="33" fillId="0" borderId="10" xfId="18" applyNumberFormat="1" applyFont="1" applyFill="1" applyBorder="1"/>
    <xf numFmtId="3" fontId="33" fillId="0" borderId="0" xfId="1" applyNumberFormat="1" applyFont="1" applyFill="1"/>
    <xf numFmtId="164" fontId="33" fillId="0" borderId="12" xfId="5" applyFont="1" applyFill="1" applyBorder="1" applyProtection="1"/>
    <xf numFmtId="164" fontId="33" fillId="0" borderId="15" xfId="5" applyFont="1" applyFill="1" applyBorder="1" applyProtection="1"/>
    <xf numFmtId="172" fontId="33" fillId="0" borderId="4" xfId="4" applyNumberFormat="1" applyFont="1" applyFill="1" applyBorder="1"/>
    <xf numFmtId="164" fontId="93" fillId="0" borderId="6" xfId="4" applyFont="1" applyFill="1" applyBorder="1"/>
    <xf numFmtId="172" fontId="93" fillId="0" borderId="6" xfId="4" applyNumberFormat="1" applyFont="1" applyFill="1" applyBorder="1" applyProtection="1"/>
    <xf numFmtId="37" fontId="93" fillId="0" borderId="5" xfId="4" applyNumberFormat="1" applyFont="1" applyFill="1" applyBorder="1" applyProtection="1"/>
    <xf numFmtId="164" fontId="33" fillId="0" borderId="5" xfId="18" applyFont="1" applyFill="1" applyBorder="1"/>
    <xf numFmtId="10" fontId="93" fillId="0" borderId="10" xfId="18" applyNumberFormat="1" applyFont="1" applyFill="1" applyBorder="1"/>
    <xf numFmtId="167" fontId="33" fillId="0" borderId="10" xfId="1" applyNumberFormat="1" applyFont="1" applyFill="1" applyBorder="1"/>
    <xf numFmtId="164" fontId="93" fillId="0" borderId="0" xfId="0" applyFont="1" applyFill="1" applyAlignment="1">
      <alignment horizontal="center"/>
    </xf>
    <xf numFmtId="164" fontId="93" fillId="0" borderId="0" xfId="0" applyFont="1" applyFill="1" applyAlignment="1" applyProtection="1">
      <alignment horizontal="center"/>
    </xf>
    <xf numFmtId="44" fontId="33" fillId="0" borderId="14" xfId="2" applyFont="1" applyFill="1" applyBorder="1" applyAlignment="1">
      <alignment horizontal="center"/>
    </xf>
    <xf numFmtId="44" fontId="33" fillId="0" borderId="0" xfId="2" applyFont="1" applyFill="1" applyAlignment="1">
      <alignment horizontal="center"/>
    </xf>
    <xf numFmtId="164" fontId="93" fillId="0" borderId="0" xfId="0" applyFont="1" applyFill="1" applyBorder="1" applyAlignment="1">
      <alignment horizontal="center"/>
    </xf>
    <xf numFmtId="17" fontId="33" fillId="44" borderId="10" xfId="13" applyNumberFormat="1" applyFont="1" applyFill="1" applyBorder="1"/>
    <xf numFmtId="3" fontId="100" fillId="44" borderId="10" xfId="0" applyNumberFormat="1" applyFont="1" applyFill="1" applyBorder="1"/>
    <xf numFmtId="17" fontId="33" fillId="44" borderId="10" xfId="0" applyNumberFormat="1" applyFont="1" applyFill="1" applyBorder="1"/>
    <xf numFmtId="17" fontId="33" fillId="44" borderId="0" xfId="0" applyNumberFormat="1" applyFont="1" applyFill="1" applyBorder="1"/>
    <xf numFmtId="167" fontId="95" fillId="44" borderId="0" xfId="13" applyNumberFormat="1" applyFont="1" applyFill="1" applyBorder="1" applyAlignment="1"/>
    <xf numFmtId="167" fontId="95" fillId="44" borderId="0" xfId="13" applyNumberFormat="1" applyFont="1" applyFill="1" applyBorder="1"/>
    <xf numFmtId="3" fontId="100" fillId="44" borderId="0" xfId="0" applyNumberFormat="1" applyFont="1" applyFill="1" applyBorder="1"/>
    <xf numFmtId="167" fontId="33" fillId="0" borderId="0" xfId="1" applyNumberFormat="1" applyFont="1"/>
    <xf numFmtId="39" fontId="33" fillId="0" borderId="0" xfId="0" applyNumberFormat="1" applyFont="1" applyFill="1" applyAlignment="1">
      <alignment horizontal="center"/>
    </xf>
    <xf numFmtId="164" fontId="101" fillId="0" borderId="0" xfId="51497" applyFont="1" applyAlignment="1"/>
    <xf numFmtId="164" fontId="101" fillId="0" borderId="0" xfId="0" applyFont="1" applyAlignment="1"/>
    <xf numFmtId="164" fontId="102" fillId="0" borderId="0" xfId="0" applyFont="1" applyAlignment="1">
      <alignment horizontal="center"/>
    </xf>
    <xf numFmtId="164" fontId="31" fillId="0" borderId="0" xfId="0" applyFont="1"/>
    <xf numFmtId="49" fontId="31" fillId="0" borderId="0" xfId="0" applyNumberFormat="1" applyFont="1" applyAlignment="1">
      <alignment horizontal="center"/>
    </xf>
    <xf numFmtId="164" fontId="31" fillId="0" borderId="0" xfId="0" applyFont="1" applyAlignment="1">
      <alignment horizontal="center"/>
    </xf>
    <xf numFmtId="164" fontId="17" fillId="0" borderId="0" xfId="51497" applyFont="1" applyAlignment="1" applyProtection="1">
      <alignment horizontal="left"/>
    </xf>
    <xf numFmtId="164" fontId="31" fillId="0" borderId="0" xfId="0" applyFont="1" applyFill="1" applyAlignment="1">
      <alignment horizontal="center"/>
    </xf>
    <xf numFmtId="164" fontId="31" fillId="0" borderId="0" xfId="0" applyFont="1" applyFill="1" applyAlignment="1" applyProtection="1">
      <alignment horizontal="center"/>
    </xf>
    <xf numFmtId="164" fontId="31" fillId="0" borderId="0" xfId="0" applyFont="1" applyFill="1" applyBorder="1" applyAlignment="1" applyProtection="1">
      <alignment horizontal="center"/>
    </xf>
    <xf numFmtId="164" fontId="31" fillId="0" borderId="1" xfId="0" applyFont="1" applyFill="1" applyBorder="1" applyAlignment="1" applyProtection="1">
      <alignment horizontal="center"/>
    </xf>
    <xf numFmtId="164" fontId="31" fillId="0" borderId="0" xfId="0" applyFont="1" applyFill="1" applyBorder="1" applyAlignment="1" applyProtection="1">
      <alignment horizontal="left"/>
    </xf>
    <xf numFmtId="170" fontId="31" fillId="0" borderId="0" xfId="2" applyNumberFormat="1" applyFont="1" applyFill="1" applyProtection="1"/>
    <xf numFmtId="164" fontId="31" fillId="0" borderId="0" xfId="0" applyFont="1" applyFill="1"/>
    <xf numFmtId="167" fontId="31" fillId="0" borderId="0" xfId="1" applyNumberFormat="1" applyFont="1" applyFill="1" applyProtection="1"/>
    <xf numFmtId="164" fontId="104" fillId="0" borderId="0" xfId="0" applyFont="1" applyFill="1" applyAlignment="1" applyProtection="1">
      <alignment horizontal="center"/>
    </xf>
    <xf numFmtId="164" fontId="104" fillId="0" borderId="0" xfId="0" applyFont="1" applyFill="1" applyAlignment="1">
      <alignment horizontal="center"/>
    </xf>
    <xf numFmtId="164" fontId="104" fillId="0" borderId="0" xfId="0" applyFont="1" applyFill="1" applyAlignment="1">
      <alignment horizontal="center" wrapText="1"/>
    </xf>
    <xf numFmtId="164" fontId="104" fillId="0" borderId="0" xfId="0" applyFont="1" applyFill="1" applyBorder="1" applyAlignment="1" applyProtection="1">
      <alignment horizontal="center"/>
    </xf>
    <xf numFmtId="164" fontId="104" fillId="0" borderId="0" xfId="0" quotePrefix="1" applyFont="1" applyFill="1" applyAlignment="1">
      <alignment horizontal="center" wrapText="1"/>
    </xf>
    <xf numFmtId="164" fontId="104" fillId="0" borderId="0" xfId="0" applyFont="1" applyFill="1" applyBorder="1" applyAlignment="1" applyProtection="1">
      <alignment horizontal="center" wrapText="1"/>
    </xf>
    <xf numFmtId="164" fontId="104" fillId="0" borderId="0" xfId="0" quotePrefix="1" applyFont="1" applyFill="1" applyBorder="1" applyAlignment="1" applyProtection="1">
      <alignment horizontal="center" wrapText="1"/>
    </xf>
    <xf numFmtId="164" fontId="104" fillId="0" borderId="1" xfId="0" applyFont="1" applyFill="1" applyBorder="1" applyAlignment="1" applyProtection="1">
      <alignment horizontal="center"/>
    </xf>
    <xf numFmtId="170" fontId="104" fillId="0" borderId="0" xfId="2" applyNumberFormat="1" applyFont="1" applyFill="1" applyBorder="1" applyAlignment="1" applyProtection="1">
      <alignment horizontal="center"/>
    </xf>
    <xf numFmtId="174" fontId="104" fillId="0" borderId="0" xfId="0" applyNumberFormat="1" applyFont="1" applyFill="1" applyBorder="1" applyAlignment="1" applyProtection="1">
      <alignment horizontal="center"/>
    </xf>
    <xf numFmtId="170" fontId="104" fillId="0" borderId="0" xfId="2" applyNumberFormat="1" applyFont="1" applyFill="1" applyProtection="1"/>
    <xf numFmtId="171" fontId="104" fillId="0" borderId="0" xfId="2" applyNumberFormat="1" applyFont="1" applyFill="1" applyBorder="1"/>
    <xf numFmtId="164" fontId="104" fillId="0" borderId="0" xfId="0" applyFont="1" applyFill="1"/>
    <xf numFmtId="167" fontId="104" fillId="0" borderId="0" xfId="1" applyNumberFormat="1" applyFont="1" applyFill="1" applyProtection="1"/>
    <xf numFmtId="3" fontId="104" fillId="0" borderId="0" xfId="0" applyNumberFormat="1" applyFont="1" applyFill="1" applyBorder="1" applyAlignment="1" applyProtection="1">
      <alignment horizontal="center"/>
    </xf>
    <xf numFmtId="171" fontId="104" fillId="0" borderId="0" xfId="2" applyNumberFormat="1" applyFont="1" applyFill="1" applyBorder="1" applyProtection="1"/>
    <xf numFmtId="170" fontId="103" fillId="0" borderId="0" xfId="2" applyNumberFormat="1" applyFont="1" applyFill="1" applyProtection="1"/>
    <xf numFmtId="164" fontId="104" fillId="0" borderId="23" xfId="0" applyFont="1" applyFill="1" applyBorder="1"/>
    <xf numFmtId="164" fontId="104" fillId="0" borderId="0" xfId="0" applyFont="1" applyFill="1" applyBorder="1" applyAlignment="1" applyProtection="1">
      <alignment horizontal="centerContinuous"/>
    </xf>
    <xf numFmtId="170" fontId="104" fillId="0" borderId="0" xfId="0" applyNumberFormat="1" applyFont="1" applyFill="1" applyProtection="1"/>
    <xf numFmtId="170" fontId="104" fillId="0" borderId="0" xfId="0" applyNumberFormat="1" applyFont="1" applyFill="1"/>
    <xf numFmtId="164" fontId="104" fillId="0" borderId="0" xfId="0" quotePrefix="1" applyFont="1" applyFill="1" applyAlignment="1" applyProtection="1">
      <alignment horizontal="center"/>
    </xf>
    <xf numFmtId="164" fontId="104" fillId="0" borderId="1" xfId="0" applyFont="1" applyFill="1" applyBorder="1" applyAlignment="1">
      <alignment horizontal="center"/>
    </xf>
    <xf numFmtId="164" fontId="104" fillId="0" borderId="0" xfId="0" applyFont="1" applyFill="1" applyAlignment="1">
      <alignment horizontal="centerContinuous"/>
    </xf>
    <xf numFmtId="44" fontId="104" fillId="0" borderId="0" xfId="2" applyNumberFormat="1" applyFont="1" applyFill="1" applyBorder="1" applyAlignment="1" applyProtection="1">
      <alignment horizontal="center"/>
    </xf>
    <xf numFmtId="37" fontId="93" fillId="0" borderId="0" xfId="18" applyNumberFormat="1" applyFont="1" applyFill="1" applyBorder="1" applyProtection="1"/>
    <xf numFmtId="172" fontId="33" fillId="0" borderId="4" xfId="18" applyNumberFormat="1" applyFont="1" applyFill="1" applyBorder="1" applyAlignment="1">
      <alignment horizontal="centerContinuous"/>
    </xf>
    <xf numFmtId="172" fontId="33" fillId="0" borderId="5" xfId="18" applyNumberFormat="1" applyFont="1" applyFill="1" applyBorder="1" applyAlignment="1">
      <alignment horizontal="centerContinuous"/>
    </xf>
    <xf numFmtId="172" fontId="33" fillId="0" borderId="5" xfId="18" applyNumberFormat="1" applyFont="1" applyFill="1" applyBorder="1" applyAlignment="1" applyProtection="1">
      <alignment horizontal="center"/>
    </xf>
    <xf numFmtId="172" fontId="33" fillId="0" borderId="7" xfId="18" applyNumberFormat="1" applyFont="1" applyFill="1" applyBorder="1"/>
    <xf numFmtId="37" fontId="33" fillId="0" borderId="8" xfId="18" applyNumberFormat="1" applyFont="1" applyFill="1" applyBorder="1" applyProtection="1"/>
    <xf numFmtId="164" fontId="93" fillId="0" borderId="10" xfId="18" applyFont="1" applyFill="1" applyBorder="1"/>
    <xf numFmtId="164" fontId="31" fillId="0" borderId="0" xfId="4" applyFont="1" applyFill="1"/>
    <xf numFmtId="44" fontId="31" fillId="0" borderId="0" xfId="2" applyFont="1" applyFill="1" applyProtection="1"/>
    <xf numFmtId="5" fontId="31" fillId="0" borderId="0" xfId="4" applyNumberFormat="1" applyFont="1" applyFill="1" applyProtection="1"/>
    <xf numFmtId="0" fontId="31" fillId="0" borderId="3" xfId="3" applyFont="1" applyFill="1" applyBorder="1"/>
    <xf numFmtId="0" fontId="31" fillId="0" borderId="0" xfId="3" applyFont="1" applyFill="1"/>
    <xf numFmtId="171" fontId="31" fillId="0" borderId="9" xfId="3" applyNumberFormat="1" applyFont="1" applyFill="1" applyBorder="1"/>
    <xf numFmtId="171" fontId="31" fillId="0" borderId="5" xfId="3" applyNumberFormat="1" applyFont="1" applyFill="1" applyBorder="1"/>
    <xf numFmtId="171" fontId="31" fillId="0" borderId="12" xfId="2" applyNumberFormat="1" applyFont="1" applyFill="1" applyBorder="1"/>
    <xf numFmtId="0" fontId="31" fillId="0" borderId="0" xfId="3" applyFont="1" applyFill="1" applyAlignment="1"/>
    <xf numFmtId="0" fontId="31" fillId="0" borderId="0" xfId="3" applyFont="1" applyFill="1" applyAlignment="1" applyProtection="1">
      <alignment horizontal="center"/>
    </xf>
    <xf numFmtId="0" fontId="31" fillId="0" borderId="0" xfId="3" applyFont="1" applyFill="1" applyBorder="1"/>
    <xf numFmtId="0" fontId="31" fillId="0" borderId="0" xfId="3" applyFont="1" applyFill="1" applyAlignment="1">
      <alignment horizontal="center"/>
    </xf>
    <xf numFmtId="0" fontId="31" fillId="0" borderId="4" xfId="3" applyFont="1" applyFill="1" applyBorder="1" applyAlignment="1" applyProtection="1">
      <alignment horizontal="center" wrapText="1"/>
    </xf>
    <xf numFmtId="0" fontId="31" fillId="0" borderId="16" xfId="3" applyFont="1" applyFill="1" applyBorder="1" applyAlignment="1" applyProtection="1">
      <alignment horizontal="center" wrapText="1"/>
    </xf>
    <xf numFmtId="0" fontId="31" fillId="0" borderId="6" xfId="3" applyFont="1" applyFill="1" applyBorder="1" applyAlignment="1" applyProtection="1">
      <alignment horizontal="center"/>
    </xf>
    <xf numFmtId="0" fontId="31" fillId="0" borderId="13" xfId="3" applyFont="1" applyFill="1" applyBorder="1" applyAlignment="1" applyProtection="1">
      <alignment horizontal="center"/>
    </xf>
    <xf numFmtId="0" fontId="31" fillId="0" borderId="6" xfId="3" quotePrefix="1" applyFont="1" applyFill="1" applyBorder="1" applyAlignment="1" applyProtection="1">
      <alignment horizontal="center"/>
    </xf>
    <xf numFmtId="0" fontId="31" fillId="0" borderId="1" xfId="3" quotePrefix="1" applyFont="1" applyFill="1" applyBorder="1" applyAlignment="1" applyProtection="1">
      <alignment horizontal="center"/>
    </xf>
    <xf numFmtId="0" fontId="31" fillId="0" borderId="13" xfId="3" quotePrefix="1" applyFont="1" applyFill="1" applyBorder="1" applyAlignment="1" applyProtection="1">
      <alignment horizontal="center"/>
    </xf>
    <xf numFmtId="0" fontId="101" fillId="0" borderId="3" xfId="3" applyFont="1" applyFill="1" applyBorder="1" applyAlignment="1" applyProtection="1">
      <alignment horizontal="left"/>
    </xf>
    <xf numFmtId="0" fontId="31" fillId="0" borderId="16" xfId="3" applyFont="1" applyFill="1" applyBorder="1"/>
    <xf numFmtId="0" fontId="31" fillId="0" borderId="0" xfId="3" applyFont="1" applyFill="1" applyBorder="1" applyAlignment="1">
      <alignment horizontal="center"/>
    </xf>
    <xf numFmtId="0" fontId="31" fillId="0" borderId="5" xfId="3" quotePrefix="1" applyFont="1" applyFill="1" applyBorder="1" applyAlignment="1">
      <alignment horizontal="center"/>
    </xf>
    <xf numFmtId="0" fontId="31" fillId="0" borderId="5" xfId="3" applyFont="1" applyFill="1" applyBorder="1" applyAlignment="1" applyProtection="1">
      <alignment horizontal="center"/>
    </xf>
    <xf numFmtId="0" fontId="31" fillId="0" borderId="12" xfId="3" applyFont="1" applyFill="1" applyBorder="1" applyAlignment="1" applyProtection="1">
      <alignment horizontal="left"/>
    </xf>
    <xf numFmtId="0" fontId="31" fillId="0" borderId="15" xfId="3" applyFont="1" applyFill="1" applyBorder="1" applyAlignment="1" applyProtection="1">
      <alignment horizontal="left"/>
    </xf>
    <xf numFmtId="0" fontId="31" fillId="0" borderId="6" xfId="3" applyFont="1" applyFill="1" applyBorder="1"/>
    <xf numFmtId="0" fontId="31" fillId="0" borderId="1" xfId="3" applyFont="1" applyFill="1" applyBorder="1"/>
    <xf numFmtId="174" fontId="33" fillId="0" borderId="5" xfId="1" applyNumberFormat="1" applyFont="1" applyFill="1" applyBorder="1" applyProtection="1"/>
    <xf numFmtId="164" fontId="31" fillId="0" borderId="0" xfId="18" applyFont="1" applyFill="1" applyBorder="1" applyAlignment="1" applyProtection="1">
      <alignment horizontal="left"/>
    </xf>
    <xf numFmtId="7" fontId="101" fillId="0" borderId="0" xfId="0" applyNumberFormat="1" applyFont="1" applyFill="1" applyAlignment="1" applyProtection="1">
      <alignment horizontal="right"/>
    </xf>
    <xf numFmtId="164" fontId="31" fillId="0" borderId="0" xfId="4" applyFont="1" applyFill="1" applyAlignment="1" applyProtection="1">
      <alignment horizontal="left"/>
    </xf>
    <xf numFmtId="164" fontId="31" fillId="0" borderId="0" xfId="4" applyFont="1" applyFill="1" applyBorder="1" applyAlignment="1">
      <alignment horizontal="center"/>
    </xf>
    <xf numFmtId="164" fontId="31" fillId="0" borderId="0" xfId="4" applyFont="1" applyFill="1" applyBorder="1" applyAlignment="1" applyProtection="1">
      <alignment horizontal="left"/>
    </xf>
    <xf numFmtId="164" fontId="31" fillId="0" borderId="0" xfId="4" applyFont="1" applyFill="1" applyBorder="1" applyAlignment="1" applyProtection="1">
      <alignment horizontal="center"/>
    </xf>
    <xf numFmtId="164" fontId="31" fillId="0" borderId="0" xfId="4" applyFont="1" applyFill="1" applyBorder="1"/>
    <xf numFmtId="44" fontId="31" fillId="0" borderId="0" xfId="2" applyNumberFormat="1" applyFont="1" applyFill="1" applyProtection="1"/>
    <xf numFmtId="0" fontId="31" fillId="0" borderId="11" xfId="3" applyFont="1" applyFill="1" applyBorder="1" applyAlignment="1" applyProtection="1">
      <alignment horizontal="center" wrapText="1"/>
    </xf>
    <xf numFmtId="164" fontId="93" fillId="0" borderId="1" xfId="0" applyFont="1" applyFill="1" applyBorder="1" applyAlignment="1">
      <alignment horizontal="center" vertical="top" wrapText="1"/>
    </xf>
    <xf numFmtId="0" fontId="31" fillId="0" borderId="0" xfId="3" quotePrefix="1" applyFont="1" applyFill="1" applyBorder="1" applyAlignment="1">
      <alignment horizontal="center"/>
    </xf>
    <xf numFmtId="0" fontId="31" fillId="0" borderId="0" xfId="3" applyFont="1" applyFill="1" applyBorder="1" applyAlignment="1" applyProtection="1">
      <alignment horizontal="center"/>
    </xf>
    <xf numFmtId="171" fontId="104" fillId="0" borderId="0" xfId="2" applyNumberFormat="1" applyFont="1" applyFill="1" applyBorder="1" applyAlignment="1" applyProtection="1">
      <alignment horizontal="center"/>
    </xf>
    <xf numFmtId="171" fontId="103" fillId="0" borderId="23" xfId="2" applyNumberFormat="1" applyFont="1" applyFill="1" applyBorder="1" applyProtection="1"/>
    <xf numFmtId="167" fontId="31" fillId="0" borderId="5" xfId="1" applyNumberFormat="1" applyFont="1" applyFill="1" applyBorder="1" applyProtection="1"/>
    <xf numFmtId="164" fontId="33" fillId="0" borderId="0" xfId="4" applyFont="1" applyFill="1" applyAlignment="1" applyProtection="1">
      <alignment vertical="top"/>
    </xf>
    <xf numFmtId="164" fontId="93" fillId="0" borderId="0" xfId="4" applyFont="1" applyFill="1" applyAlignment="1" applyProtection="1">
      <alignment horizontal="center"/>
    </xf>
    <xf numFmtId="37" fontId="33" fillId="0" borderId="0" xfId="0" applyNumberFormat="1" applyFont="1" applyFill="1" applyProtection="1"/>
    <xf numFmtId="37" fontId="33" fillId="0" borderId="0" xfId="0" applyNumberFormat="1" applyFont="1" applyFill="1" applyBorder="1" applyProtection="1"/>
    <xf numFmtId="17" fontId="33" fillId="0" borderId="0" xfId="0" quotePrefix="1" applyNumberFormat="1" applyFont="1" applyFill="1" applyBorder="1" applyAlignment="1" applyProtection="1">
      <alignment horizontal="left"/>
    </xf>
    <xf numFmtId="164" fontId="33" fillId="0" borderId="0" xfId="0" applyFont="1" applyFill="1" applyBorder="1" applyAlignment="1"/>
    <xf numFmtId="164" fontId="33" fillId="0" borderId="0" xfId="0" applyFont="1" applyFill="1" applyBorder="1" applyAlignment="1">
      <alignment horizontal="right"/>
    </xf>
    <xf numFmtId="164" fontId="33" fillId="0" borderId="0" xfId="0" applyFont="1" applyFill="1" applyAlignment="1" applyProtection="1">
      <alignment horizontal="left"/>
    </xf>
    <xf numFmtId="164" fontId="33" fillId="0" borderId="0" xfId="0" applyFont="1" applyFill="1" applyBorder="1" applyAlignment="1" applyProtection="1">
      <alignment horizontal="right"/>
    </xf>
    <xf numFmtId="37" fontId="93" fillId="0" borderId="0" xfId="0" applyNumberFormat="1" applyFont="1" applyFill="1" applyBorder="1" applyAlignment="1" applyProtection="1">
      <alignment horizontal="center"/>
    </xf>
    <xf numFmtId="204" fontId="33" fillId="0" borderId="17" xfId="13" applyNumberFormat="1" applyFont="1" applyFill="1"/>
    <xf numFmtId="44" fontId="93" fillId="0" borderId="14" xfId="2" applyFont="1" applyFill="1" applyBorder="1"/>
    <xf numFmtId="39" fontId="107" fillId="0" borderId="0" xfId="5865" applyFont="1"/>
    <xf numFmtId="39" fontId="107" fillId="0" borderId="0" xfId="5865" applyFont="1" applyFill="1"/>
    <xf numFmtId="39" fontId="107" fillId="0" borderId="0" xfId="5865" applyFont="1" applyBorder="1" applyAlignment="1">
      <alignment horizontal="left" vertical="top"/>
    </xf>
    <xf numFmtId="39" fontId="107" fillId="0" borderId="0" xfId="5865" applyFont="1" applyBorder="1" applyAlignment="1">
      <alignment horizontal="left" wrapText="1"/>
    </xf>
    <xf numFmtId="39" fontId="107" fillId="0" borderId="0" xfId="5865" applyNumberFormat="1" applyFont="1" applyAlignment="1" applyProtection="1">
      <alignment horizontal="left"/>
    </xf>
    <xf numFmtId="39" fontId="109" fillId="0" borderId="1" xfId="5865" applyFont="1" applyBorder="1" applyAlignment="1">
      <alignment horizontal="center" wrapText="1"/>
    </xf>
    <xf numFmtId="39" fontId="107" fillId="47" borderId="0" xfId="5865" applyFont="1" applyFill="1"/>
    <xf numFmtId="208" fontId="107" fillId="0" borderId="0" xfId="5865" applyNumberFormat="1" applyFont="1"/>
    <xf numFmtId="164" fontId="93" fillId="0" borderId="0" xfId="0" applyFont="1" applyFill="1" applyBorder="1" applyAlignment="1" applyProtection="1">
      <alignment horizontal="center"/>
    </xf>
    <xf numFmtId="164" fontId="33" fillId="0" borderId="0" xfId="0" applyFont="1" applyFill="1" applyAlignment="1">
      <alignment horizontal="center"/>
    </xf>
    <xf numFmtId="164" fontId="110" fillId="0" borderId="0" xfId="0" applyFont="1" applyAlignment="1">
      <alignment horizontal="center"/>
    </xf>
    <xf numFmtId="3" fontId="93" fillId="0" borderId="0" xfId="1" applyNumberFormat="1" applyFont="1" applyFill="1" applyAlignment="1">
      <alignment horizontal="center"/>
    </xf>
    <xf numFmtId="164" fontId="33" fillId="0" borderId="0" xfId="0" applyFont="1" applyFill="1" applyAlignment="1">
      <alignment horizontal="center"/>
    </xf>
    <xf numFmtId="10" fontId="93" fillId="0" borderId="0" xfId="0" applyNumberFormat="1" applyFont="1" applyFill="1" applyAlignment="1">
      <alignment horizontal="center"/>
    </xf>
    <xf numFmtId="39" fontId="107" fillId="0" borderId="0" xfId="5865" applyNumberFormat="1" applyFont="1" applyFill="1" applyAlignment="1" applyProtection="1"/>
    <xf numFmtId="17" fontId="107" fillId="0" borderId="0" xfId="5865" applyNumberFormat="1" applyFont="1" applyFill="1" applyBorder="1"/>
    <xf numFmtId="164" fontId="104" fillId="0" borderId="0" xfId="0" applyFont="1" applyFill="1" applyBorder="1" applyAlignment="1">
      <alignment horizontal="center"/>
    </xf>
    <xf numFmtId="164" fontId="31" fillId="0" borderId="0" xfId="0" applyFont="1" applyFill="1" applyBorder="1" applyAlignment="1" applyProtection="1">
      <alignment horizontal="center" wrapText="1"/>
    </xf>
    <xf numFmtId="164" fontId="103" fillId="0" borderId="0" xfId="0" applyFont="1" applyFill="1" applyBorder="1" applyAlignment="1" applyProtection="1"/>
    <xf numFmtId="164" fontId="17" fillId="0" borderId="0" xfId="51497" applyFont="1" applyFill="1"/>
    <xf numFmtId="164" fontId="17" fillId="0" borderId="0" xfId="51497" applyFont="1" applyFill="1" applyAlignment="1" applyProtection="1">
      <alignment horizontal="left"/>
    </xf>
    <xf numFmtId="164" fontId="104" fillId="0" borderId="0" xfId="0" applyFont="1" applyFill="1" applyAlignment="1">
      <alignment horizontal="right" readingOrder="1"/>
    </xf>
    <xf numFmtId="39" fontId="107" fillId="0" borderId="0" xfId="51504" applyNumberFormat="1" applyFont="1" applyFill="1" applyAlignment="1">
      <alignment horizontal="center"/>
    </xf>
    <xf numFmtId="37" fontId="107" fillId="0" borderId="0" xfId="51504" applyNumberFormat="1" applyFont="1" applyFill="1"/>
    <xf numFmtId="43" fontId="107" fillId="0" borderId="0" xfId="5860" applyFont="1" applyFill="1"/>
    <xf numFmtId="0" fontId="8" fillId="0" borderId="0" xfId="51500" applyAlignment="1"/>
    <xf numFmtId="0" fontId="113" fillId="0" borderId="0" xfId="51500" applyFont="1" applyAlignment="1"/>
    <xf numFmtId="164" fontId="104" fillId="0" borderId="18" xfId="0" applyFont="1" applyFill="1" applyBorder="1" applyAlignment="1" applyProtection="1">
      <alignment horizontal="center" wrapText="1"/>
    </xf>
    <xf numFmtId="164" fontId="104" fillId="0" borderId="19" xfId="0" applyFont="1" applyFill="1" applyBorder="1" applyAlignment="1" applyProtection="1">
      <alignment horizontal="center" wrapText="1"/>
    </xf>
    <xf numFmtId="164" fontId="104" fillId="0" borderId="20" xfId="0" applyFont="1" applyFill="1" applyBorder="1" applyAlignment="1" applyProtection="1">
      <alignment horizontal="center" wrapText="1"/>
    </xf>
    <xf numFmtId="164" fontId="104" fillId="0" borderId="48" xfId="0" applyFont="1" applyFill="1" applyBorder="1" applyAlignment="1" applyProtection="1">
      <alignment horizontal="center"/>
    </xf>
    <xf numFmtId="164" fontId="104" fillId="0" borderId="47" xfId="0" applyFont="1" applyFill="1" applyBorder="1" applyAlignment="1" applyProtection="1">
      <alignment horizontal="center"/>
    </xf>
    <xf numFmtId="3" fontId="104" fillId="0" borderId="21" xfId="0" applyNumberFormat="1" applyFont="1" applyFill="1" applyBorder="1" applyAlignment="1" applyProtection="1">
      <alignment horizontal="center"/>
    </xf>
    <xf numFmtId="3" fontId="104" fillId="0" borderId="22" xfId="0" applyNumberFormat="1" applyFont="1" applyFill="1" applyBorder="1" applyAlignment="1" applyProtection="1">
      <alignment horizontal="center"/>
    </xf>
    <xf numFmtId="174" fontId="104" fillId="0" borderId="21" xfId="0" applyNumberFormat="1" applyFont="1" applyFill="1" applyBorder="1" applyAlignment="1" applyProtection="1">
      <alignment horizontal="center"/>
    </xf>
    <xf numFmtId="174" fontId="104" fillId="0" borderId="22" xfId="0" applyNumberFormat="1" applyFont="1" applyFill="1" applyBorder="1" applyAlignment="1" applyProtection="1">
      <alignment horizontal="center"/>
    </xf>
    <xf numFmtId="171" fontId="104" fillId="0" borderId="21" xfId="2" applyNumberFormat="1" applyFont="1" applyFill="1" applyBorder="1"/>
    <xf numFmtId="171" fontId="104" fillId="0" borderId="22" xfId="2" applyNumberFormat="1" applyFont="1" applyFill="1" applyBorder="1"/>
    <xf numFmtId="204" fontId="33" fillId="0" borderId="21" xfId="0" applyNumberFormat="1" applyFont="1" applyFill="1" applyBorder="1"/>
    <xf numFmtId="164" fontId="33" fillId="0" borderId="22" xfId="0" applyFont="1" applyFill="1" applyBorder="1"/>
    <xf numFmtId="44" fontId="104" fillId="0" borderId="21" xfId="2" applyNumberFormat="1" applyFont="1" applyFill="1" applyBorder="1" applyAlignment="1" applyProtection="1">
      <alignment horizontal="center"/>
    </xf>
    <xf numFmtId="44" fontId="104" fillId="0" borderId="22" xfId="2" applyNumberFormat="1" applyFont="1" applyFill="1" applyBorder="1" applyAlignment="1" applyProtection="1">
      <alignment horizontal="center"/>
    </xf>
    <xf numFmtId="205" fontId="104" fillId="0" borderId="22" xfId="2" applyNumberFormat="1" applyFont="1" applyFill="1" applyBorder="1" applyAlignment="1" applyProtection="1">
      <alignment horizontal="center"/>
    </xf>
    <xf numFmtId="171" fontId="104" fillId="0" borderId="21" xfId="2" applyNumberFormat="1" applyFont="1" applyFill="1" applyBorder="1" applyProtection="1"/>
    <xf numFmtId="171" fontId="104" fillId="0" borderId="22" xfId="2" applyNumberFormat="1" applyFont="1" applyFill="1" applyBorder="1" applyProtection="1"/>
    <xf numFmtId="171" fontId="103" fillId="0" borderId="45" xfId="2" applyNumberFormat="1" applyFont="1" applyFill="1" applyBorder="1" applyProtection="1"/>
    <xf numFmtId="171" fontId="103" fillId="0" borderId="46" xfId="2" applyNumberFormat="1" applyFont="1" applyFill="1" applyBorder="1" applyProtection="1"/>
    <xf numFmtId="164" fontId="104" fillId="0" borderId="45" xfId="0" applyFont="1" applyFill="1" applyBorder="1"/>
    <xf numFmtId="164" fontId="104" fillId="0" borderId="46" xfId="0" applyFont="1" applyFill="1" applyBorder="1"/>
    <xf numFmtId="39" fontId="107" fillId="0" borderId="0" xfId="5865" applyNumberFormat="1" applyFont="1" applyBorder="1" applyAlignment="1" applyProtection="1">
      <protection locked="0"/>
    </xf>
    <xf numFmtId="0" fontId="8" fillId="0" borderId="0" xfId="51500" applyFill="1" applyBorder="1"/>
    <xf numFmtId="170" fontId="8" fillId="0" borderId="0" xfId="51500" applyNumberFormat="1" applyFill="1" applyBorder="1"/>
    <xf numFmtId="170" fontId="105" fillId="0" borderId="0" xfId="51500" applyNumberFormat="1" applyFont="1" applyFill="1" applyBorder="1"/>
    <xf numFmtId="39" fontId="93" fillId="0" borderId="0" xfId="0" applyNumberFormat="1" applyFont="1" applyFill="1"/>
    <xf numFmtId="10" fontId="96" fillId="0" borderId="0" xfId="12" applyNumberFormat="1" applyFont="1" applyFill="1"/>
    <xf numFmtId="164" fontId="116" fillId="0" borderId="0" xfId="0" applyFont="1"/>
    <xf numFmtId="164" fontId="33" fillId="0" borderId="16" xfId="4" applyFont="1" applyFill="1" applyBorder="1" applyAlignment="1">
      <alignment horizontal="center"/>
    </xf>
    <xf numFmtId="164" fontId="33" fillId="0" borderId="9" xfId="4" applyFont="1" applyFill="1" applyBorder="1" applyAlignment="1" applyProtection="1">
      <alignment horizontal="center"/>
    </xf>
    <xf numFmtId="37" fontId="33" fillId="0" borderId="9" xfId="0" applyNumberFormat="1" applyFont="1" applyFill="1" applyBorder="1" applyProtection="1"/>
    <xf numFmtId="1" fontId="33" fillId="0" borderId="5" xfId="1" applyNumberFormat="1" applyFont="1" applyFill="1" applyBorder="1"/>
    <xf numFmtId="164" fontId="33" fillId="0" borderId="9" xfId="4" applyFont="1" applyFill="1" applyBorder="1" applyAlignment="1">
      <alignment horizontal="center"/>
    </xf>
    <xf numFmtId="164" fontId="33" fillId="0" borderId="13" xfId="4" applyFont="1" applyFill="1" applyBorder="1" applyAlignment="1">
      <alignment horizontal="center"/>
    </xf>
    <xf numFmtId="37" fontId="33" fillId="0" borderId="13" xfId="0" applyNumberFormat="1" applyFont="1" applyFill="1" applyBorder="1" applyProtection="1"/>
    <xf numFmtId="37" fontId="33" fillId="0" borderId="6" xfId="4" applyNumberFormat="1" applyFont="1" applyFill="1" applyBorder="1" applyProtection="1"/>
    <xf numFmtId="164" fontId="93" fillId="0" borderId="8" xfId="4" applyFont="1" applyFill="1" applyBorder="1" applyAlignment="1">
      <alignment horizontal="center"/>
    </xf>
    <xf numFmtId="37" fontId="93" fillId="0" borderId="3" xfId="4" applyNumberFormat="1" applyFont="1" applyFill="1" applyBorder="1" applyProtection="1"/>
    <xf numFmtId="37" fontId="93" fillId="0" borderId="10" xfId="4" applyNumberFormat="1" applyFont="1" applyFill="1" applyBorder="1"/>
    <xf numFmtId="37" fontId="33" fillId="0" borderId="5" xfId="4" applyNumberFormat="1" applyFont="1" applyFill="1" applyBorder="1"/>
    <xf numFmtId="200" fontId="33" fillId="0" borderId="5" xfId="4" applyNumberFormat="1" applyFont="1" applyFill="1" applyBorder="1"/>
    <xf numFmtId="164" fontId="93" fillId="0" borderId="10" xfId="4" applyFont="1" applyFill="1" applyBorder="1" applyAlignment="1">
      <alignment horizontal="center"/>
    </xf>
    <xf numFmtId="37" fontId="33" fillId="0" borderId="0" xfId="4" applyNumberFormat="1" applyFont="1" applyFill="1" applyBorder="1" applyAlignment="1" applyProtection="1">
      <alignment horizontal="left"/>
    </xf>
    <xf numFmtId="37" fontId="33" fillId="0" borderId="4" xfId="4" applyNumberFormat="1" applyFont="1" applyFill="1" applyBorder="1"/>
    <xf numFmtId="37" fontId="33" fillId="0" borderId="15" xfId="4" applyNumberFormat="1" applyFont="1" applyFill="1" applyBorder="1" applyProtection="1"/>
    <xf numFmtId="37" fontId="93" fillId="0" borderId="1" xfId="4" applyNumberFormat="1" applyFont="1" applyFill="1" applyBorder="1" applyProtection="1"/>
    <xf numFmtId="37" fontId="93" fillId="0" borderId="6" xfId="4" applyNumberFormat="1" applyFont="1" applyFill="1" applyBorder="1" applyProtection="1"/>
    <xf numFmtId="37" fontId="93" fillId="0" borderId="6" xfId="4" applyNumberFormat="1" applyFont="1" applyFill="1" applyBorder="1"/>
    <xf numFmtId="39" fontId="107" fillId="0" borderId="0" xfId="5865" applyNumberFormat="1" applyFont="1" applyFill="1"/>
    <xf numFmtId="39" fontId="109" fillId="0" borderId="1" xfId="5865" applyNumberFormat="1" applyFont="1" applyFill="1" applyBorder="1" applyAlignment="1" applyProtection="1">
      <alignment horizontal="center" wrapText="1"/>
    </xf>
    <xf numFmtId="39" fontId="107" fillId="0" borderId="0" xfId="51510" applyFont="1" applyFill="1"/>
    <xf numFmtId="39" fontId="107" fillId="0" borderId="0" xfId="5865" applyFont="1" applyFill="1" applyAlignment="1"/>
    <xf numFmtId="211" fontId="107" fillId="0" borderId="0" xfId="0" applyNumberFormat="1" applyFont="1" applyFill="1"/>
    <xf numFmtId="0" fontId="107" fillId="0" borderId="0" xfId="51504" applyFont="1" applyFill="1"/>
    <xf numFmtId="39" fontId="107" fillId="0" borderId="0" xfId="5865" applyFont="1" applyFill="1" applyAlignment="1">
      <alignment horizontal="center"/>
    </xf>
    <xf numFmtId="0" fontId="111" fillId="0" borderId="0" xfId="51504" applyFont="1" applyFill="1"/>
    <xf numFmtId="39" fontId="107" fillId="0" borderId="0" xfId="5865" applyFont="1" applyFill="1" applyBorder="1" applyAlignment="1">
      <alignment horizontal="left" vertical="top"/>
    </xf>
    <xf numFmtId="39" fontId="107" fillId="0" borderId="0" xfId="5865" applyFont="1" applyFill="1" applyBorder="1" applyAlignment="1">
      <alignment horizontal="left" wrapText="1"/>
    </xf>
    <xf numFmtId="39" fontId="107" fillId="0" borderId="0" xfId="5865" applyNumberFormat="1" applyFont="1" applyFill="1" applyAlignment="1" applyProtection="1">
      <alignment horizontal="left"/>
      <protection locked="0"/>
    </xf>
    <xf numFmtId="39" fontId="107" fillId="0" borderId="0" xfId="5865" applyNumberFormat="1" applyFont="1" applyFill="1" applyAlignment="1" applyProtection="1">
      <alignment horizontal="left"/>
    </xf>
    <xf numFmtId="39" fontId="109" fillId="0" borderId="1" xfId="5865" applyFont="1" applyFill="1" applyBorder="1" applyAlignment="1">
      <alignment horizontal="center"/>
    </xf>
    <xf numFmtId="39" fontId="109" fillId="0" borderId="1" xfId="5865" applyFont="1" applyFill="1" applyBorder="1" applyAlignment="1">
      <alignment horizontal="center" wrapText="1"/>
    </xf>
    <xf numFmtId="39" fontId="107" fillId="0" borderId="0" xfId="51504" applyNumberFormat="1" applyFont="1" applyFill="1" applyAlignment="1" applyProtection="1">
      <alignment horizontal="fill"/>
    </xf>
    <xf numFmtId="39" fontId="107" fillId="0" borderId="0" xfId="51504" applyNumberFormat="1" applyFont="1" applyFill="1" applyAlignment="1" applyProtection="1"/>
    <xf numFmtId="39" fontId="107" fillId="0" borderId="0" xfId="51504" applyNumberFormat="1" applyFont="1" applyFill="1"/>
    <xf numFmtId="43" fontId="111" fillId="0" borderId="0" xfId="5860" applyFont="1" applyFill="1"/>
    <xf numFmtId="17" fontId="107" fillId="0" borderId="0" xfId="51504" applyNumberFormat="1" applyFont="1" applyFill="1"/>
    <xf numFmtId="37" fontId="107" fillId="0" borderId="0" xfId="51524" applyNumberFormat="1" applyFont="1" applyFill="1"/>
    <xf numFmtId="39" fontId="107" fillId="0" borderId="0" xfId="51523" applyNumberFormat="1" applyFont="1" applyFill="1"/>
    <xf numFmtId="39" fontId="107" fillId="0" borderId="0" xfId="51530" applyNumberFormat="1" applyFont="1" applyFill="1"/>
    <xf numFmtId="43" fontId="111" fillId="0" borderId="0" xfId="5860" applyFont="1" applyFill="1" applyBorder="1"/>
    <xf numFmtId="209" fontId="107" fillId="0" borderId="0" xfId="5865" applyNumberFormat="1" applyFont="1" applyFill="1" applyBorder="1"/>
    <xf numFmtId="39" fontId="107" fillId="0" borderId="0" xfId="51504" applyNumberFormat="1" applyFont="1" applyFill="1" applyBorder="1"/>
    <xf numFmtId="43" fontId="107" fillId="0" borderId="0" xfId="51528" applyFont="1" applyFill="1"/>
    <xf numFmtId="39" fontId="107" fillId="0" borderId="0" xfId="51504" applyNumberFormat="1" applyFont="1" applyFill="1" applyBorder="1" applyAlignment="1" applyProtection="1"/>
    <xf numFmtId="43" fontId="107" fillId="0" borderId="0" xfId="5860" applyFont="1" applyFill="1" applyBorder="1"/>
    <xf numFmtId="39" fontId="107" fillId="0" borderId="0" xfId="5865" applyFont="1" applyFill="1" applyBorder="1"/>
    <xf numFmtId="39" fontId="111" fillId="0" borderId="0" xfId="51504" applyNumberFormat="1" applyFont="1" applyFill="1"/>
    <xf numFmtId="209" fontId="107" fillId="0" borderId="0" xfId="5865" applyNumberFormat="1" applyFont="1" applyFill="1"/>
    <xf numFmtId="39" fontId="107" fillId="0" borderId="0" xfId="15" applyNumberFormat="1" applyFont="1" applyFill="1"/>
    <xf numFmtId="164" fontId="33" fillId="0" borderId="0" xfId="0" applyFont="1" applyFill="1" applyAlignment="1">
      <alignment horizontal="center"/>
    </xf>
    <xf numFmtId="17" fontId="33" fillId="0" borderId="0" xfId="0" applyNumberFormat="1" applyFont="1" applyFill="1" applyBorder="1"/>
    <xf numFmtId="164" fontId="0" fillId="0" borderId="0" xfId="0" applyFill="1"/>
    <xf numFmtId="37" fontId="7" fillId="44" borderId="10" xfId="0" applyNumberFormat="1" applyFont="1" applyFill="1" applyBorder="1"/>
    <xf numFmtId="167" fontId="33" fillId="44" borderId="8" xfId="13" applyNumberFormat="1" applyFont="1" applyFill="1" applyBorder="1"/>
    <xf numFmtId="37" fontId="7" fillId="44" borderId="5" xfId="0" applyNumberFormat="1" applyFont="1" applyFill="1" applyBorder="1"/>
    <xf numFmtId="37" fontId="2" fillId="44" borderId="10" xfId="0" applyNumberFormat="1" applyFont="1" applyFill="1" applyBorder="1"/>
    <xf numFmtId="3" fontId="2" fillId="44" borderId="5" xfId="0" applyNumberFormat="1" applyFont="1" applyFill="1" applyBorder="1"/>
    <xf numFmtId="37" fontId="2" fillId="44" borderId="5" xfId="0" applyNumberFormat="1" applyFont="1" applyFill="1" applyBorder="1"/>
    <xf numFmtId="167" fontId="2" fillId="44" borderId="10" xfId="1" applyNumberFormat="1" applyFont="1" applyFill="1" applyBorder="1"/>
    <xf numFmtId="37" fontId="7" fillId="44" borderId="6" xfId="0" applyNumberFormat="1" applyFont="1" applyFill="1" applyBorder="1"/>
    <xf numFmtId="167" fontId="7" fillId="44" borderId="6" xfId="1" applyNumberFormat="1" applyFont="1" applyFill="1" applyBorder="1"/>
    <xf numFmtId="207" fontId="93" fillId="0" borderId="0" xfId="0" applyNumberFormat="1" applyFont="1" applyFill="1" applyAlignment="1" applyProtection="1">
      <alignment horizontal="center"/>
    </xf>
    <xf numFmtId="14" fontId="93" fillId="0" borderId="1" xfId="0" applyNumberFormat="1" applyFont="1" applyFill="1" applyBorder="1" applyAlignment="1">
      <alignment horizontal="center"/>
    </xf>
    <xf numFmtId="14" fontId="93" fillId="0" borderId="0" xfId="0" applyNumberFormat="1" applyFont="1" applyFill="1" applyAlignment="1" applyProtection="1">
      <alignment horizontal="center"/>
    </xf>
    <xf numFmtId="17" fontId="93" fillId="0" borderId="0" xfId="0" applyNumberFormat="1" applyFont="1" applyFill="1" applyAlignment="1" applyProtection="1">
      <alignment horizontal="center"/>
    </xf>
    <xf numFmtId="14" fontId="96" fillId="0" borderId="0" xfId="0" applyNumberFormat="1" applyFont="1" applyFill="1" applyAlignment="1">
      <alignment horizontal="center"/>
    </xf>
    <xf numFmtId="17" fontId="33" fillId="0" borderId="1" xfId="0" applyNumberFormat="1" applyFont="1" applyFill="1" applyBorder="1" applyAlignment="1">
      <alignment horizontal="center"/>
    </xf>
    <xf numFmtId="0" fontId="8" fillId="0" borderId="0" xfId="51500" applyFill="1" applyBorder="1" applyAlignment="1">
      <alignment horizontal="center"/>
    </xf>
    <xf numFmtId="0" fontId="8" fillId="0" borderId="0" xfId="51500" applyFill="1" applyBorder="1" applyAlignment="1"/>
    <xf numFmtId="0" fontId="8" fillId="0" borderId="0" xfId="51500" applyFill="1"/>
    <xf numFmtId="10" fontId="0" fillId="0" borderId="0" xfId="51501" applyNumberFormat="1" applyFont="1" applyFill="1" applyBorder="1"/>
    <xf numFmtId="10" fontId="33" fillId="0" borderId="0" xfId="51501" applyNumberFormat="1" applyFont="1" applyFill="1" applyBorder="1"/>
    <xf numFmtId="10" fontId="8" fillId="0" borderId="0" xfId="51500" applyNumberFormat="1" applyFill="1" applyBorder="1"/>
    <xf numFmtId="206" fontId="106" fillId="0" borderId="0" xfId="51501" applyNumberFormat="1" applyFont="1" applyFill="1" applyBorder="1"/>
    <xf numFmtId="210" fontId="33" fillId="0" borderId="0" xfId="51501" applyNumberFormat="1" applyFont="1" applyFill="1" applyBorder="1"/>
    <xf numFmtId="170" fontId="8" fillId="0" borderId="0" xfId="51500" applyNumberFormat="1" applyFill="1"/>
    <xf numFmtId="9" fontId="8" fillId="0" borderId="0" xfId="51500" applyNumberFormat="1" applyFill="1" applyBorder="1"/>
    <xf numFmtId="0" fontId="6" fillId="0" borderId="0" xfId="51500" applyFont="1" applyFill="1" applyBorder="1"/>
    <xf numFmtId="0" fontId="4" fillId="0" borderId="0" xfId="51500" applyFont="1" applyFill="1" applyBorder="1"/>
    <xf numFmtId="170" fontId="8" fillId="0" borderId="0" xfId="2" applyNumberFormat="1" applyFont="1" applyFill="1" applyBorder="1"/>
    <xf numFmtId="0" fontId="8" fillId="0" borderId="0" xfId="51500" applyFill="1" applyAlignment="1">
      <alignment horizontal="center"/>
    </xf>
    <xf numFmtId="171" fontId="31" fillId="0" borderId="5" xfId="2" applyNumberFormat="1" applyFont="1" applyFill="1" applyBorder="1"/>
    <xf numFmtId="0" fontId="1" fillId="0" borderId="0" xfId="51500" applyFont="1" applyFill="1" applyBorder="1"/>
    <xf numFmtId="164" fontId="101" fillId="0" borderId="0" xfId="51497" applyFont="1" applyAlignment="1">
      <alignment horizontal="center"/>
    </xf>
    <xf numFmtId="164" fontId="101" fillId="0" borderId="0" xfId="0" applyFont="1" applyAlignment="1">
      <alignment horizontal="center"/>
    </xf>
    <xf numFmtId="164" fontId="103" fillId="0" borderId="0" xfId="0" applyFont="1" applyFill="1" applyBorder="1" applyAlignment="1" applyProtection="1">
      <alignment horizontal="center"/>
    </xf>
    <xf numFmtId="164" fontId="103" fillId="0" borderId="0" xfId="0" applyFont="1" applyFill="1" applyAlignment="1">
      <alignment horizontal="center"/>
    </xf>
    <xf numFmtId="164" fontId="103" fillId="0" borderId="0" xfId="0" applyFont="1" applyFill="1" applyAlignment="1" applyProtection="1">
      <alignment horizontal="center"/>
    </xf>
    <xf numFmtId="164" fontId="103" fillId="0" borderId="0" xfId="0" applyFont="1" applyFill="1" applyBorder="1" applyAlignment="1" applyProtection="1">
      <alignment horizontal="center" wrapText="1"/>
    </xf>
    <xf numFmtId="164" fontId="101" fillId="0" borderId="0" xfId="4" applyFont="1" applyFill="1" applyAlignment="1" applyProtection="1">
      <alignment horizontal="center"/>
    </xf>
    <xf numFmtId="164" fontId="93" fillId="0" borderId="0" xfId="18" applyFont="1" applyFill="1" applyAlignment="1" applyProtection="1">
      <alignment horizontal="center"/>
    </xf>
    <xf numFmtId="164" fontId="93" fillId="0" borderId="0" xfId="18" quotePrefix="1" applyFont="1" applyFill="1" applyAlignment="1" applyProtection="1">
      <alignment horizontal="center"/>
    </xf>
    <xf numFmtId="164" fontId="33" fillId="0" borderId="15" xfId="18" applyFont="1" applyFill="1" applyBorder="1" applyAlignment="1" applyProtection="1">
      <alignment horizontal="center"/>
    </xf>
    <xf numFmtId="164" fontId="33" fillId="0" borderId="13" xfId="18" applyFont="1" applyFill="1" applyBorder="1" applyAlignment="1" applyProtection="1">
      <alignment horizontal="center"/>
    </xf>
    <xf numFmtId="164" fontId="93" fillId="0" borderId="0" xfId="4" applyFont="1" applyFill="1" applyAlignment="1" applyProtection="1">
      <alignment horizontal="center"/>
    </xf>
    <xf numFmtId="164" fontId="93" fillId="0" borderId="0" xfId="4" quotePrefix="1" applyFont="1" applyFill="1" applyAlignment="1" applyProtection="1">
      <alignment horizontal="center"/>
    </xf>
    <xf numFmtId="164" fontId="93" fillId="45" borderId="0" xfId="18" quotePrefix="1" applyFont="1" applyFill="1" applyAlignment="1" applyProtection="1">
      <alignment horizontal="center"/>
    </xf>
    <xf numFmtId="164" fontId="93" fillId="45" borderId="0" xfId="18" applyFont="1" applyFill="1" applyAlignment="1" applyProtection="1">
      <alignment horizontal="center"/>
    </xf>
    <xf numFmtId="164" fontId="93" fillId="45" borderId="0" xfId="4" applyFont="1" applyFill="1" applyAlignment="1" applyProtection="1">
      <alignment horizontal="center"/>
    </xf>
    <xf numFmtId="164" fontId="97" fillId="0" borderId="0" xfId="4" quotePrefix="1" applyFont="1" applyFill="1" applyBorder="1" applyAlignment="1" applyProtection="1">
      <alignment horizontal="justify" wrapText="1"/>
    </xf>
    <xf numFmtId="164" fontId="93" fillId="45" borderId="0" xfId="4" quotePrefix="1" applyFont="1" applyFill="1" applyAlignment="1" applyProtection="1">
      <alignment horizontal="center"/>
    </xf>
    <xf numFmtId="164" fontId="97" fillId="0" borderId="0" xfId="4" applyFont="1" applyFill="1" applyAlignment="1">
      <alignment horizontal="justify" wrapText="1"/>
    </xf>
    <xf numFmtId="0" fontId="4" fillId="0" borderId="0" xfId="51500" applyFont="1" applyFill="1" applyBorder="1" applyAlignment="1">
      <alignment horizontal="center"/>
    </xf>
    <xf numFmtId="0" fontId="8" fillId="0" borderId="0" xfId="51500" applyFill="1" applyBorder="1" applyAlignment="1">
      <alignment horizontal="center"/>
    </xf>
    <xf numFmtId="0" fontId="3" fillId="0" borderId="0" xfId="51500" applyFont="1" applyFill="1" applyBorder="1" applyAlignment="1">
      <alignment horizontal="center"/>
    </xf>
    <xf numFmtId="0" fontId="5" fillId="0" borderId="0" xfId="51500" applyFont="1" applyFill="1" applyBorder="1" applyAlignment="1">
      <alignment horizontal="center"/>
    </xf>
    <xf numFmtId="0" fontId="105" fillId="0" borderId="0" xfId="51500" applyFont="1" applyFill="1" applyBorder="1" applyAlignment="1">
      <alignment horizontal="center"/>
    </xf>
    <xf numFmtId="164" fontId="33" fillId="0" borderId="0" xfId="0" quotePrefix="1" applyFont="1" applyFill="1" applyAlignment="1">
      <alignment horizontal="left"/>
    </xf>
    <xf numFmtId="164" fontId="93" fillId="0" borderId="0" xfId="0" quotePrefix="1" applyFont="1" applyFill="1" applyAlignment="1">
      <alignment horizontal="left"/>
    </xf>
    <xf numFmtId="164" fontId="93" fillId="0" borderId="0" xfId="0" applyFont="1" applyFill="1" applyAlignment="1">
      <alignment horizontal="left"/>
    </xf>
    <xf numFmtId="164" fontId="93" fillId="0" borderId="0" xfId="0" quotePrefix="1" applyFont="1" applyFill="1" applyAlignment="1">
      <alignment horizontal="center"/>
    </xf>
    <xf numFmtId="164" fontId="33" fillId="0" borderId="0" xfId="0" applyFont="1" applyFill="1" applyAlignment="1">
      <alignment horizontal="center"/>
    </xf>
    <xf numFmtId="164" fontId="93" fillId="0" borderId="0" xfId="0" applyFont="1" applyFill="1" applyBorder="1" applyAlignment="1" applyProtection="1">
      <alignment horizontal="center"/>
    </xf>
    <xf numFmtId="39" fontId="107" fillId="0" borderId="43" xfId="5865" applyFont="1" applyBorder="1" applyAlignment="1">
      <alignment horizontal="left" vertical="top" wrapText="1"/>
    </xf>
    <xf numFmtId="39" fontId="107" fillId="0" borderId="44" xfId="5865" applyFont="1" applyBorder="1" applyAlignment="1">
      <alignment horizontal="left" vertical="top" wrapText="1"/>
    </xf>
    <xf numFmtId="39" fontId="108" fillId="0" borderId="0" xfId="5865" applyFont="1" applyAlignment="1">
      <alignment horizontal="center"/>
    </xf>
    <xf numFmtId="17" fontId="107" fillId="0" borderId="0" xfId="5865" applyNumberFormat="1" applyFont="1" applyFill="1" applyBorder="1" applyAlignment="1">
      <alignment horizontal="right"/>
    </xf>
    <xf numFmtId="39" fontId="107" fillId="0" borderId="0" xfId="5865" applyFont="1" applyFill="1" applyBorder="1" applyAlignment="1">
      <alignment horizontal="right"/>
    </xf>
    <xf numFmtId="39" fontId="107" fillId="0" borderId="0" xfId="5865" applyFont="1" applyFill="1" applyAlignment="1">
      <alignment horizontal="right"/>
    </xf>
    <xf numFmtId="39" fontId="107" fillId="0" borderId="42" xfId="5865" applyFont="1" applyBorder="1" applyAlignment="1">
      <alignment horizontal="left" vertical="top"/>
    </xf>
    <xf numFmtId="39" fontId="107" fillId="0" borderId="43" xfId="5865" applyFont="1" applyBorder="1" applyAlignment="1">
      <alignment horizontal="left" vertical="top"/>
    </xf>
    <xf numFmtId="39" fontId="107" fillId="0" borderId="18" xfId="5865" applyNumberFormat="1" applyFont="1" applyBorder="1" applyAlignment="1" applyProtection="1">
      <alignment horizontal="left"/>
    </xf>
    <xf numFmtId="39" fontId="107" fillId="0" borderId="19" xfId="5865" applyNumberFormat="1" applyFont="1" applyBorder="1" applyAlignment="1" applyProtection="1">
      <alignment horizontal="left"/>
    </xf>
    <xf numFmtId="39" fontId="107" fillId="0" borderId="19" xfId="5865" applyNumberFormat="1" applyFont="1" applyBorder="1" applyAlignment="1" applyProtection="1">
      <protection locked="0"/>
    </xf>
    <xf numFmtId="39" fontId="107" fillId="0" borderId="20" xfId="5865" applyNumberFormat="1" applyFont="1" applyBorder="1" applyAlignment="1" applyProtection="1">
      <protection locked="0"/>
    </xf>
    <xf numFmtId="39" fontId="107" fillId="0" borderId="21" xfId="5865" applyNumberFormat="1" applyFont="1" applyBorder="1" applyAlignment="1" applyProtection="1">
      <alignment horizontal="left"/>
    </xf>
    <xf numFmtId="39" fontId="107" fillId="0" borderId="0" xfId="5865" applyNumberFormat="1" applyFont="1" applyBorder="1" applyAlignment="1" applyProtection="1">
      <alignment horizontal="left"/>
    </xf>
    <xf numFmtId="39" fontId="107" fillId="0" borderId="0" xfId="5865" applyNumberFormat="1" applyFont="1" applyBorder="1" applyAlignment="1" applyProtection="1">
      <alignment horizontal="left"/>
      <protection locked="0"/>
    </xf>
    <xf numFmtId="39" fontId="107" fillId="0" borderId="22" xfId="5865" applyNumberFormat="1" applyFont="1" applyBorder="1" applyAlignment="1" applyProtection="1">
      <alignment horizontal="left"/>
      <protection locked="0"/>
    </xf>
    <xf numFmtId="39" fontId="107" fillId="0" borderId="0" xfId="5865" applyNumberFormat="1" applyFont="1" applyFill="1" applyBorder="1" applyAlignment="1" applyProtection="1">
      <alignment horizontal="left"/>
      <protection locked="0"/>
    </xf>
    <xf numFmtId="39" fontId="107" fillId="0" borderId="22" xfId="5865" applyNumberFormat="1" applyFont="1" applyFill="1" applyBorder="1" applyAlignment="1" applyProtection="1">
      <alignment horizontal="left"/>
      <protection locked="0"/>
    </xf>
    <xf numFmtId="39" fontId="107" fillId="0" borderId="43" xfId="51504" applyNumberFormat="1" applyFont="1" applyFill="1" applyBorder="1" applyAlignment="1">
      <alignment horizontal="left" vertical="top" wrapText="1"/>
    </xf>
    <xf numFmtId="39" fontId="107" fillId="0" borderId="44" xfId="51504" applyNumberFormat="1" applyFont="1" applyFill="1" applyBorder="1" applyAlignment="1">
      <alignment horizontal="left" vertical="top" wrapText="1"/>
    </xf>
    <xf numFmtId="39" fontId="108" fillId="0" borderId="0" xfId="5865" applyFont="1" applyFill="1" applyAlignment="1">
      <alignment horizontal="center"/>
    </xf>
    <xf numFmtId="39" fontId="107" fillId="0" borderId="0" xfId="51504" applyNumberFormat="1" applyFont="1" applyFill="1" applyAlignment="1">
      <alignment horizontal="right"/>
    </xf>
    <xf numFmtId="43" fontId="107" fillId="0" borderId="0" xfId="51528" applyFont="1" applyFill="1" applyAlignment="1">
      <alignment horizontal="right"/>
    </xf>
    <xf numFmtId="39" fontId="107" fillId="0" borderId="42" xfId="5865" applyFont="1" applyFill="1" applyBorder="1" applyAlignment="1">
      <alignment horizontal="left" vertical="top"/>
    </xf>
    <xf numFmtId="39" fontId="107" fillId="0" borderId="43" xfId="5865" applyFont="1" applyFill="1" applyBorder="1" applyAlignment="1">
      <alignment horizontal="left" vertical="top"/>
    </xf>
    <xf numFmtId="39" fontId="107" fillId="0" borderId="18" xfId="5865" applyNumberFormat="1" applyFont="1" applyFill="1" applyBorder="1" applyAlignment="1" applyProtection="1">
      <alignment horizontal="left"/>
    </xf>
    <xf numFmtId="39" fontId="107" fillId="0" borderId="19" xfId="5865" applyNumberFormat="1" applyFont="1" applyFill="1" applyBorder="1" applyAlignment="1" applyProtection="1">
      <alignment horizontal="left"/>
    </xf>
    <xf numFmtId="39" fontId="107" fillId="0" borderId="19" xfId="51504" applyNumberFormat="1" applyFont="1" applyFill="1" applyBorder="1" applyAlignment="1" applyProtection="1">
      <alignment horizontal="left"/>
      <protection locked="0"/>
    </xf>
    <xf numFmtId="39" fontId="107" fillId="0" borderId="20" xfId="51504" applyNumberFormat="1" applyFont="1" applyFill="1" applyBorder="1" applyAlignment="1" applyProtection="1">
      <alignment horizontal="left"/>
      <protection locked="0"/>
    </xf>
    <xf numFmtId="39" fontId="107" fillId="0" borderId="21" xfId="5865" applyNumberFormat="1" applyFont="1" applyFill="1" applyBorder="1" applyAlignment="1" applyProtection="1">
      <alignment horizontal="left"/>
    </xf>
    <xf numFmtId="39" fontId="107" fillId="0" borderId="0" xfId="5865" applyNumberFormat="1" applyFont="1" applyFill="1" applyBorder="1" applyAlignment="1" applyProtection="1">
      <alignment horizontal="left"/>
    </xf>
    <xf numFmtId="39" fontId="107" fillId="0" borderId="0" xfId="51504" applyNumberFormat="1" applyFont="1" applyFill="1" applyBorder="1" applyAlignment="1" applyProtection="1">
      <alignment horizontal="left"/>
      <protection locked="0"/>
    </xf>
    <xf numFmtId="39" fontId="107" fillId="0" borderId="22" xfId="51504" applyNumberFormat="1" applyFont="1" applyFill="1" applyBorder="1" applyAlignment="1" applyProtection="1">
      <alignment horizontal="left"/>
      <protection locked="0"/>
    </xf>
  </cellXfs>
  <cellStyles count="51531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18" xfId="51512" xr:uid="{00000000-0005-0000-0000-00000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3 2" xfId="51520" xr:uid="{00000000-0005-0000-0000-000003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21" xfId="51511" xr:uid="{00000000-0005-0000-0000-000060C90000}"/>
    <cellStyle name="Comma 22" xfId="51518" xr:uid="{00000000-0005-0000-0000-00006BC90000}"/>
    <cellStyle name="Comma 23" xfId="51525" xr:uid="{00000000-0005-0000-0000-00006EC90000}"/>
    <cellStyle name="Comma 24" xfId="51515" xr:uid="{00000000-0005-0000-0000-000071C90000}"/>
    <cellStyle name="Comma 25" xfId="51528" xr:uid="{00000000-0005-0000-0000-000074C90000}"/>
    <cellStyle name="Comma 26" xfId="51527" xr:uid="{00000000-0005-0000-0000-000077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19" xfId="51521" xr:uid="{00000000-0005-0000-0000-00000C00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42" xfId="51517" xr:uid="{00000000-0005-0000-0000-00000A000000}"/>
    <cellStyle name="Normal 2 43" xfId="51522" xr:uid="{00000000-0005-0000-0000-00000A000000}"/>
    <cellStyle name="Normal 2 44" xfId="51513" xr:uid="{00000000-0005-0000-0000-00000A000000}"/>
    <cellStyle name="Normal 2 45" xfId="51524" xr:uid="{00000000-0005-0000-0000-00000A000000}"/>
    <cellStyle name="Normal 2 46" xfId="51523" xr:uid="{00000000-0005-0000-0000-00000A000000}"/>
    <cellStyle name="Normal 2 47" xfId="51530" xr:uid="{00000000-0005-0000-0000-00000A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66" xfId="51510" xr:uid="{00000000-0005-0000-0000-000064C90000}"/>
    <cellStyle name="Normal 67" xfId="51519" xr:uid="{00000000-0005-0000-0000-00006CC90000}"/>
    <cellStyle name="Normal 68" xfId="51526" xr:uid="{00000000-0005-0000-0000-00006FC90000}"/>
    <cellStyle name="Normal 69" xfId="51516" xr:uid="{00000000-0005-0000-0000-000072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70" xfId="51529" xr:uid="{00000000-0005-0000-0000-000075C90000}"/>
    <cellStyle name="Normal 71" xfId="51514" xr:uid="{00000000-0005-0000-0000-000078C9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Conservation%20Adj%20Exhibi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19-09-03%20Rule%2021%20Decoupling%20WP,%2009-13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07-18%20DEFSUMW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-19%20DEFSUMW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</sheetData>
      <sheetData sheetId="2">
        <row r="13">
          <cell r="E13">
            <v>175146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8"/>
      <sheetName val="Int calc thru 10-31-2018"/>
      <sheetName val="Amort Calc thru 10-31-2018"/>
      <sheetName val="EstimatedBalances"/>
      <sheetName val="Int during Amort"/>
      <sheetName val="Test Period Volumes"/>
      <sheetName val="Bills-Therms-Rev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43009</v>
          </cell>
          <cell r="B9">
            <v>5100019</v>
          </cell>
          <cell r="C9">
            <v>4006551</v>
          </cell>
          <cell r="D9">
            <v>1202126</v>
          </cell>
          <cell r="E9">
            <v>889708</v>
          </cell>
        </row>
        <row r="10">
          <cell r="A10">
            <v>43040</v>
          </cell>
          <cell r="B10">
            <v>10497863</v>
          </cell>
          <cell r="C10">
            <v>6884727</v>
          </cell>
          <cell r="D10">
            <v>986386</v>
          </cell>
          <cell r="E10">
            <v>1227100</v>
          </cell>
        </row>
        <row r="11">
          <cell r="A11">
            <v>43070</v>
          </cell>
          <cell r="B11">
            <v>16164227</v>
          </cell>
          <cell r="C11">
            <v>10738211</v>
          </cell>
          <cell r="D11">
            <v>1399191</v>
          </cell>
          <cell r="E11">
            <v>1408500</v>
          </cell>
        </row>
        <row r="12">
          <cell r="A12">
            <v>43101</v>
          </cell>
          <cell r="B12">
            <v>22610497</v>
          </cell>
          <cell r="C12">
            <v>15183067</v>
          </cell>
          <cell r="D12">
            <v>1543197</v>
          </cell>
          <cell r="E12">
            <v>1970610</v>
          </cell>
        </row>
        <row r="13">
          <cell r="A13">
            <v>43132</v>
          </cell>
          <cell r="B13">
            <v>15930429</v>
          </cell>
          <cell r="C13">
            <v>10870527</v>
          </cell>
          <cell r="D13">
            <v>1256468</v>
          </cell>
          <cell r="E13">
            <v>1427664</v>
          </cell>
        </row>
        <row r="14">
          <cell r="A14">
            <v>43160</v>
          </cell>
          <cell r="B14">
            <v>18880636</v>
          </cell>
          <cell r="C14">
            <v>12585828</v>
          </cell>
          <cell r="D14">
            <v>1403497</v>
          </cell>
          <cell r="E14">
            <v>1659310</v>
          </cell>
        </row>
        <row r="15">
          <cell r="A15">
            <v>43191</v>
          </cell>
          <cell r="B15">
            <v>12554859</v>
          </cell>
          <cell r="C15">
            <v>8691158</v>
          </cell>
          <cell r="D15">
            <v>1111390</v>
          </cell>
          <cell r="E15">
            <v>1413127</v>
          </cell>
        </row>
        <row r="16">
          <cell r="A16">
            <v>43221</v>
          </cell>
          <cell r="B16">
            <v>7404984</v>
          </cell>
          <cell r="C16">
            <v>5475205</v>
          </cell>
          <cell r="D16">
            <v>803238</v>
          </cell>
          <cell r="E16">
            <v>1078540</v>
          </cell>
        </row>
        <row r="17">
          <cell r="A17">
            <v>43252</v>
          </cell>
          <cell r="B17">
            <v>4018990</v>
          </cell>
          <cell r="C17">
            <v>3426552</v>
          </cell>
          <cell r="D17">
            <v>596675</v>
          </cell>
          <cell r="E17">
            <v>769608</v>
          </cell>
        </row>
        <row r="18">
          <cell r="A18">
            <v>43282</v>
          </cell>
          <cell r="B18">
            <v>3122808</v>
          </cell>
          <cell r="C18">
            <v>2887454</v>
          </cell>
          <cell r="D18">
            <v>526644</v>
          </cell>
          <cell r="E18">
            <v>659117</v>
          </cell>
        </row>
        <row r="20">
          <cell r="A20">
            <v>43313</v>
          </cell>
          <cell r="B20">
            <v>2839088.9205637244</v>
          </cell>
          <cell r="C20">
            <v>2804208.2645204235</v>
          </cell>
          <cell r="D20">
            <v>557671.25302452862</v>
          </cell>
          <cell r="E20">
            <v>765022.70541038003</v>
          </cell>
        </row>
        <row r="21">
          <cell r="A21">
            <v>43344</v>
          </cell>
          <cell r="B21">
            <v>3689315.8498839657</v>
          </cell>
          <cell r="C21">
            <v>3664338.4211181281</v>
          </cell>
          <cell r="D21">
            <v>803001.78426260757</v>
          </cell>
          <cell r="E21">
            <v>881364.61910256546</v>
          </cell>
        </row>
        <row r="22">
          <cell r="A22">
            <v>43374</v>
          </cell>
          <cell r="B22">
            <v>7235764.2056563143</v>
          </cell>
          <cell r="C22">
            <v>5684382.4138569897</v>
          </cell>
          <cell r="D22">
            <v>1705542.7208190407</v>
          </cell>
          <cell r="E22">
            <v>1262292.8071221046</v>
          </cell>
        </row>
        <row r="23">
          <cell r="A23">
            <v>43405</v>
          </cell>
          <cell r="B23">
            <v>14759873.050020888</v>
          </cell>
          <cell r="C23">
            <v>9679845.9366493132</v>
          </cell>
          <cell r="D23">
            <v>1386847.221983932</v>
          </cell>
          <cell r="E23">
            <v>1725288.3010266598</v>
          </cell>
        </row>
      </sheetData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2019 Amort"/>
      <sheetName val="WACAP2018 Amort"/>
      <sheetName val="WACAP2019"/>
      <sheetName val="WACAP2018"/>
      <sheetName val="Authorized Margins 2018"/>
      <sheetName val="Ammort Split2018"/>
      <sheetName val="WACAP2017"/>
      <sheetName val="Authorized Margins"/>
      <sheetName val="Ammort Split2017"/>
      <sheetName val="WACAP2016"/>
      <sheetName val="Authorized Margins (original)"/>
      <sheetName val="WACAP2016 (original)"/>
    </sheetNames>
    <sheetDataSet>
      <sheetData sheetId="0">
        <row r="14">
          <cell r="G14">
            <v>-13639.027789999996</v>
          </cell>
        </row>
        <row r="23">
          <cell r="G23">
            <v>-2409481.6187599991</v>
          </cell>
        </row>
        <row r="32">
          <cell r="G32">
            <v>-35385.85633000001</v>
          </cell>
        </row>
        <row r="50">
          <cell r="G50">
            <v>-670.18990999999994</v>
          </cell>
        </row>
        <row r="59">
          <cell r="G59">
            <v>-2240454.4014200005</v>
          </cell>
        </row>
        <row r="68">
          <cell r="G68">
            <v>-411717.82422000007</v>
          </cell>
        </row>
        <row r="77">
          <cell r="G77">
            <v>-408.93199999999985</v>
          </cell>
        </row>
        <row r="86">
          <cell r="G86">
            <v>5492.9260800000002</v>
          </cell>
        </row>
      </sheetData>
      <sheetData sheetId="1" refreshError="1"/>
      <sheetData sheetId="2" refreshError="1"/>
      <sheetData sheetId="3">
        <row r="14">
          <cell r="Q14">
            <v>8606.2899999999991</v>
          </cell>
        </row>
        <row r="26">
          <cell r="Q26">
            <v>-1444647.4400000013</v>
          </cell>
        </row>
        <row r="39">
          <cell r="Q39">
            <v>7433.6600000000544</v>
          </cell>
        </row>
        <row r="52">
          <cell r="Q52">
            <v>245706.20000000004</v>
          </cell>
        </row>
        <row r="64">
          <cell r="Q64">
            <v>6518.3300000000017</v>
          </cell>
        </row>
        <row r="76">
          <cell r="Q76">
            <v>-28946.250000001055</v>
          </cell>
        </row>
        <row r="91">
          <cell r="Q91">
            <v>233597.07000000004</v>
          </cell>
        </row>
        <row r="101">
          <cell r="Q101">
            <v>496.46</v>
          </cell>
        </row>
        <row r="116">
          <cell r="Q116">
            <v>-3548.04</v>
          </cell>
        </row>
        <row r="131">
          <cell r="Q131">
            <v>-34503.840000000004</v>
          </cell>
        </row>
        <row r="146">
          <cell r="Q146">
            <v>-4415.5599999999995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61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 refreshError="1"/>
      <sheetData sheetId="1" refreshError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3" refreshError="1"/>
      <sheetData sheetId="4">
        <row r="37">
          <cell r="M37">
            <v>7119326</v>
          </cell>
        </row>
      </sheetData>
      <sheetData sheetId="5" refreshError="1"/>
      <sheetData sheetId="6" refreshError="1"/>
      <sheetData sheetId="7" refreshError="1"/>
      <sheetData sheetId="8">
        <row r="35">
          <cell r="F35">
            <v>-28465.23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4.4699999999999997E-2</v>
          </cell>
          <cell r="C76">
            <v>31</v>
          </cell>
        </row>
        <row r="77">
          <cell r="A77">
            <v>43343</v>
          </cell>
          <cell r="B77">
            <v>4.4699999999999997E-2</v>
          </cell>
          <cell r="C77">
            <v>31</v>
          </cell>
        </row>
        <row r="78">
          <cell r="A78">
            <v>43373</v>
          </cell>
          <cell r="B78">
            <v>4.4699999999999997E-2</v>
          </cell>
          <cell r="C78">
            <v>30</v>
          </cell>
        </row>
        <row r="79">
          <cell r="A79">
            <v>43404</v>
          </cell>
          <cell r="B79">
            <v>4.4699999999999997E-2</v>
          </cell>
          <cell r="C79">
            <v>31</v>
          </cell>
        </row>
        <row r="80">
          <cell r="A80">
            <v>43434</v>
          </cell>
          <cell r="B80">
            <v>4.4699999999999997E-2</v>
          </cell>
          <cell r="C80">
            <v>30</v>
          </cell>
        </row>
        <row r="81">
          <cell r="A81">
            <v>43465</v>
          </cell>
          <cell r="B81">
            <v>4.4699999999999997E-2</v>
          </cell>
          <cell r="C81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RA 1862.20480"/>
      <sheetName val="Therm Sales by Rate Schedule"/>
      <sheetName val="DEFERRALS"/>
      <sheetName val="DG 2530.01253"/>
      <sheetName val="DG 2530.01254"/>
      <sheetName val="RA 1862.20477"/>
      <sheetName val="RA 1860.20460-liab less exp"/>
      <sheetName val="RA 1860.20460-exp only"/>
      <sheetName val="RA 1860.20461"/>
      <sheetName val="RA 1860.20479"/>
      <sheetName val="RA 1823.47020430"/>
      <sheetName val="RA 1823.47020431"/>
      <sheetName val="RA 1823.47020444"/>
      <sheetName val="RA 1823.47020449"/>
      <sheetName val="AMORTIZATIONS"/>
      <sheetName val="DG 2530.01286"/>
      <sheetName val="DG 2530.01288"/>
      <sheetName val="RA 1823.47020478"/>
      <sheetName val="RA 1860.20481"/>
      <sheetName val="ZBA 13"/>
      <sheetName val="Dec 18 Revised JE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5.5E-2</v>
          </cell>
          <cell r="C91">
            <v>31</v>
          </cell>
        </row>
        <row r="92">
          <cell r="A92">
            <v>43799</v>
          </cell>
          <cell r="B92">
            <v>5.5E-2</v>
          </cell>
          <cell r="C92">
            <v>30</v>
          </cell>
        </row>
        <row r="93">
          <cell r="A93">
            <v>43830</v>
          </cell>
          <cell r="B93">
            <v>5.5E-2</v>
          </cell>
          <cell r="C93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workbookViewId="0">
      <selection activeCell="B15" sqref="B15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68" t="s">
        <v>188</v>
      </c>
      <c r="C2" s="568"/>
      <c r="D2" s="568"/>
      <c r="E2" s="568"/>
      <c r="F2" s="568"/>
      <c r="G2" s="323"/>
      <c r="H2" s="323"/>
      <c r="I2" s="323"/>
      <c r="J2" s="323"/>
    </row>
    <row r="4" spans="2:10" ht="15.75">
      <c r="B4" s="569" t="s">
        <v>189</v>
      </c>
      <c r="C4" s="569"/>
      <c r="D4" s="569"/>
      <c r="E4" s="569"/>
      <c r="F4" s="569"/>
      <c r="G4" s="324"/>
      <c r="H4" s="324"/>
      <c r="I4" s="324"/>
      <c r="J4" s="324"/>
    </row>
    <row r="7" spans="2:10" ht="15.75">
      <c r="B7" s="569" t="s">
        <v>205</v>
      </c>
      <c r="C7" s="569"/>
      <c r="D7" s="569"/>
      <c r="E7" s="569"/>
      <c r="F7" s="569"/>
    </row>
    <row r="10" spans="2:10" ht="15.75">
      <c r="B10" s="325" t="s">
        <v>0</v>
      </c>
      <c r="C10" s="326"/>
      <c r="D10" s="326"/>
      <c r="E10" s="326"/>
      <c r="F10" s="325" t="s">
        <v>190</v>
      </c>
      <c r="G10" s="326"/>
    </row>
    <row r="11" spans="2:10" ht="15.75">
      <c r="B11" s="326"/>
      <c r="C11" s="326"/>
      <c r="D11" s="326"/>
      <c r="E11" s="326"/>
      <c r="F11" s="326"/>
      <c r="G11" s="326"/>
    </row>
    <row r="12" spans="2:10" ht="15.75">
      <c r="B12" s="326" t="s">
        <v>199</v>
      </c>
      <c r="C12" s="326"/>
      <c r="D12" s="326"/>
      <c r="E12" s="326"/>
      <c r="F12" s="327" t="s">
        <v>198</v>
      </c>
      <c r="G12" s="326"/>
    </row>
    <row r="13" spans="2:10" ht="15.75">
      <c r="B13" s="326" t="s">
        <v>200</v>
      </c>
      <c r="C13" s="326"/>
      <c r="D13" s="326"/>
      <c r="E13" s="326"/>
      <c r="F13" s="328">
        <v>2</v>
      </c>
      <c r="G13" s="326"/>
    </row>
    <row r="14" spans="2:10" ht="15.75">
      <c r="B14" s="326" t="s">
        <v>201</v>
      </c>
      <c r="C14" s="326"/>
      <c r="D14" s="326"/>
      <c r="E14" s="326"/>
      <c r="F14" s="328">
        <v>3</v>
      </c>
      <c r="G14" s="326"/>
    </row>
    <row r="15" spans="2:10" ht="15.75">
      <c r="B15" s="326" t="s">
        <v>279</v>
      </c>
      <c r="C15" s="326"/>
      <c r="D15" s="326"/>
      <c r="E15" s="326"/>
      <c r="F15" s="328">
        <v>4</v>
      </c>
      <c r="G15" s="326"/>
    </row>
    <row r="16" spans="2:10" ht="15.75">
      <c r="B16" s="326" t="s">
        <v>204</v>
      </c>
      <c r="C16" s="326"/>
      <c r="D16" s="326"/>
      <c r="E16" s="326"/>
      <c r="F16" s="328">
        <v>5</v>
      </c>
      <c r="G16" s="326"/>
    </row>
    <row r="17" spans="2:9" ht="15.75">
      <c r="B17" s="452" t="s">
        <v>208</v>
      </c>
      <c r="C17" s="451"/>
      <c r="D17" s="451"/>
      <c r="E17" s="451"/>
      <c r="F17" s="328">
        <v>6</v>
      </c>
      <c r="G17" s="451"/>
      <c r="H17" s="451"/>
      <c r="I17" s="451"/>
    </row>
    <row r="18" spans="2:9" ht="12.75">
      <c r="B18" s="475"/>
      <c r="C18" s="475"/>
      <c r="D18" s="475"/>
      <c r="E18" s="475"/>
      <c r="F18" s="475"/>
      <c r="G18" s="475"/>
    </row>
    <row r="19" spans="2:9" ht="15.75">
      <c r="B19" s="326"/>
      <c r="C19" s="326"/>
      <c r="D19" s="326"/>
      <c r="E19" s="326"/>
      <c r="F19" s="328"/>
      <c r="G19" s="326"/>
    </row>
    <row r="20" spans="2:9" ht="15.75">
      <c r="B20" s="326"/>
      <c r="C20" s="326"/>
      <c r="D20" s="326"/>
      <c r="E20" s="326"/>
      <c r="F20" s="328"/>
      <c r="G20" s="326"/>
    </row>
    <row r="21" spans="2:9" ht="15.75">
      <c r="B21" s="326"/>
      <c r="C21" s="326"/>
      <c r="D21" s="326"/>
      <c r="E21" s="326"/>
      <c r="F21" s="328"/>
      <c r="G21" s="326"/>
    </row>
    <row r="22" spans="2:9" ht="15.75">
      <c r="B22" s="326"/>
      <c r="C22" s="326"/>
      <c r="D22" s="326"/>
      <c r="E22" s="326"/>
      <c r="F22" s="326"/>
      <c r="G22" s="326"/>
    </row>
    <row r="23" spans="2:9" ht="15.75">
      <c r="B23" s="326"/>
      <c r="C23" s="326"/>
      <c r="D23" s="326"/>
      <c r="E23" s="326"/>
      <c r="F23" s="326"/>
      <c r="G23" s="326"/>
    </row>
    <row r="24" spans="2:9" ht="15.75">
      <c r="B24" s="326"/>
      <c r="C24" s="326"/>
      <c r="D24" s="326"/>
      <c r="E24" s="326"/>
      <c r="F24" s="326"/>
      <c r="G24" s="326"/>
    </row>
    <row r="25" spans="2:9" ht="15.75">
      <c r="B25" s="326"/>
      <c r="C25" s="326"/>
      <c r="D25" s="326"/>
      <c r="E25" s="326"/>
      <c r="F25" s="326"/>
      <c r="G25" s="326"/>
    </row>
    <row r="26" spans="2:9" ht="15.75">
      <c r="B26" s="326"/>
      <c r="C26" s="326"/>
      <c r="D26" s="326"/>
      <c r="E26" s="326"/>
      <c r="F26" s="326"/>
      <c r="G26" s="326"/>
    </row>
    <row r="27" spans="2:9" ht="15.75">
      <c r="B27" s="326"/>
      <c r="C27" s="326"/>
      <c r="D27" s="326"/>
      <c r="E27" s="326"/>
      <c r="F27" s="326"/>
      <c r="G27" s="326"/>
    </row>
    <row r="28" spans="2:9" ht="15.75">
      <c r="B28" s="326"/>
      <c r="C28" s="326"/>
      <c r="D28" s="326"/>
      <c r="E28" s="326"/>
      <c r="F28" s="326"/>
      <c r="G28" s="326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3" customWidth="1"/>
    <col min="2" max="2" width="28.6640625" style="39" bestFit="1" customWidth="1"/>
    <col min="3" max="3" width="18.83203125" style="39" customWidth="1"/>
    <col min="4" max="4" width="1.83203125" style="39" customWidth="1"/>
    <col min="5" max="5" width="20" style="39" customWidth="1"/>
    <col min="6" max="6" width="1.83203125" style="39" customWidth="1"/>
    <col min="7" max="7" width="15.5" style="39" customWidth="1"/>
    <col min="8" max="8" width="14.6640625" style="39" customWidth="1"/>
    <col min="9" max="9" width="12.33203125" style="39" customWidth="1"/>
    <col min="10" max="10" width="5.83203125" style="39" customWidth="1"/>
    <col min="11" max="16384" width="12" style="39"/>
  </cols>
  <sheetData>
    <row r="1" spans="1:17" ht="15" customHeight="1"/>
    <row r="2" spans="1:17" ht="15" customHeight="1">
      <c r="A2" s="39"/>
      <c r="B2" s="108"/>
      <c r="C2" s="579" t="s">
        <v>34</v>
      </c>
      <c r="D2" s="579"/>
      <c r="E2" s="579"/>
      <c r="F2" s="579"/>
      <c r="G2" s="579"/>
      <c r="H2" s="108"/>
      <c r="I2" s="73" t="s">
        <v>170</v>
      </c>
    </row>
    <row r="3" spans="1:17" ht="15" customHeight="1">
      <c r="A3" s="39"/>
      <c r="B3" s="108"/>
      <c r="C3" s="579" t="s">
        <v>75</v>
      </c>
      <c r="D3" s="579"/>
      <c r="E3" s="579"/>
      <c r="F3" s="579"/>
      <c r="G3" s="579"/>
      <c r="H3" s="108"/>
      <c r="I3" s="109"/>
    </row>
    <row r="4" spans="1:17" ht="15" customHeight="1">
      <c r="A4" s="39"/>
      <c r="B4" s="108"/>
      <c r="C4" s="583" t="s">
        <v>172</v>
      </c>
      <c r="D4" s="583"/>
      <c r="E4" s="583"/>
      <c r="F4" s="583"/>
      <c r="G4" s="583"/>
      <c r="H4" s="108"/>
      <c r="I4" s="100"/>
    </row>
    <row r="5" spans="1:17" ht="15" customHeight="1">
      <c r="A5" s="39"/>
      <c r="B5" s="108"/>
      <c r="C5" s="579" t="s">
        <v>36</v>
      </c>
      <c r="D5" s="579"/>
      <c r="E5" s="579"/>
      <c r="F5" s="579"/>
      <c r="G5" s="579"/>
      <c r="H5" s="108"/>
      <c r="I5" s="110"/>
    </row>
    <row r="8" spans="1:17">
      <c r="G8" s="83" t="s">
        <v>38</v>
      </c>
    </row>
    <row r="9" spans="1:17">
      <c r="A9" s="83" t="s">
        <v>3</v>
      </c>
      <c r="E9" s="111" t="s">
        <v>76</v>
      </c>
      <c r="G9" s="83" t="s">
        <v>33</v>
      </c>
      <c r="H9" s="83" t="s">
        <v>42</v>
      </c>
      <c r="I9" s="83" t="s">
        <v>43</v>
      </c>
    </row>
    <row r="10" spans="1:17" s="53" customFormat="1">
      <c r="A10" s="83" t="s">
        <v>6</v>
      </c>
      <c r="B10" s="83" t="s">
        <v>0</v>
      </c>
      <c r="C10" s="83" t="s">
        <v>77</v>
      </c>
      <c r="E10" s="50" t="s">
        <v>141</v>
      </c>
      <c r="G10" s="83" t="s">
        <v>48</v>
      </c>
      <c r="H10" s="83" t="s">
        <v>48</v>
      </c>
      <c r="I10" s="83" t="s">
        <v>48</v>
      </c>
    </row>
    <row r="11" spans="1:17" s="53" customFormat="1">
      <c r="A11" s="112"/>
      <c r="B11" s="113" t="s">
        <v>9</v>
      </c>
      <c r="C11" s="113" t="s">
        <v>10</v>
      </c>
      <c r="D11" s="112"/>
      <c r="E11" s="113" t="s">
        <v>11</v>
      </c>
      <c r="F11" s="112"/>
      <c r="G11" s="113" t="s">
        <v>12</v>
      </c>
      <c r="H11" s="113" t="s">
        <v>13</v>
      </c>
      <c r="I11" s="113" t="s">
        <v>88</v>
      </c>
    </row>
    <row r="12" spans="1:17" ht="8.25" customHeight="1"/>
    <row r="13" spans="1:17">
      <c r="A13" s="83">
        <v>1</v>
      </c>
      <c r="B13" s="47" t="s">
        <v>95</v>
      </c>
      <c r="C13" s="77">
        <f>+'Ex-2'!F13</f>
        <v>118476427</v>
      </c>
      <c r="D13" s="5"/>
      <c r="E13" s="77">
        <f>+'Ex-2'!H13</f>
        <v>121197050</v>
      </c>
      <c r="G13" s="114">
        <f>+'Ex-2'!K13</f>
        <v>4.1500000000000009E-3</v>
      </c>
      <c r="H13" s="46">
        <f>+G13*C13</f>
        <v>491677.17205000011</v>
      </c>
      <c r="I13" s="115">
        <f>+H13/E13</f>
        <v>4.0568410868911421E-3</v>
      </c>
      <c r="Q13" s="185"/>
    </row>
    <row r="14" spans="1:17">
      <c r="C14" s="77"/>
      <c r="D14" s="5"/>
      <c r="E14" s="77"/>
      <c r="G14" s="114"/>
      <c r="H14" s="46"/>
      <c r="I14" s="115"/>
      <c r="Q14" s="185"/>
    </row>
    <row r="15" spans="1:17">
      <c r="A15" s="83">
        <v>2</v>
      </c>
      <c r="B15" s="47" t="s">
        <v>96</v>
      </c>
      <c r="C15" s="77">
        <f>+'Ex-2'!F14</f>
        <v>80983340</v>
      </c>
      <c r="D15" s="5"/>
      <c r="E15" s="77">
        <f>+'Ex-2'!H14</f>
        <v>77628809</v>
      </c>
      <c r="G15" s="114">
        <f>+'Ex-2'!K14</f>
        <v>4.4099999999999999E-3</v>
      </c>
      <c r="H15" s="46">
        <f>+G15*C15</f>
        <v>357136.5294</v>
      </c>
      <c r="I15" s="115">
        <f>+H15/E15</f>
        <v>4.6005669029393452E-3</v>
      </c>
      <c r="Q15" s="185"/>
    </row>
    <row r="16" spans="1:17">
      <c r="C16" s="77"/>
      <c r="D16" s="5"/>
      <c r="E16" s="77"/>
      <c r="G16" s="114"/>
      <c r="H16" s="46"/>
      <c r="I16" s="115"/>
      <c r="Q16" s="185"/>
    </row>
    <row r="17" spans="1:17">
      <c r="A17" s="83">
        <v>3</v>
      </c>
      <c r="B17" s="47" t="s">
        <v>97</v>
      </c>
      <c r="C17" s="77">
        <f>+'Ex-2'!F15</f>
        <v>13450676</v>
      </c>
      <c r="D17" s="5"/>
      <c r="E17" s="77">
        <f>+'Ex-2'!H15</f>
        <v>10594609</v>
      </c>
      <c r="G17" s="114">
        <f>+'Ex-2'!K15</f>
        <v>8.8000000000000057E-4</v>
      </c>
      <c r="H17" s="46">
        <f>+G17*C17</f>
        <v>11836.594880000008</v>
      </c>
      <c r="I17" s="115">
        <f>+H17/E17</f>
        <v>1.117228099687304E-3</v>
      </c>
      <c r="Q17" s="185"/>
    </row>
    <row r="18" spans="1:17">
      <c r="C18" s="77"/>
      <c r="D18" s="5"/>
      <c r="E18" s="77"/>
      <c r="G18" s="114"/>
      <c r="H18" s="46"/>
      <c r="I18" s="115"/>
      <c r="Q18" s="185"/>
    </row>
    <row r="19" spans="1:17">
      <c r="A19" s="53">
        <v>4</v>
      </c>
      <c r="B19" s="39" t="s">
        <v>98</v>
      </c>
      <c r="C19" s="77">
        <f>+'Ex-2'!F16</f>
        <v>8608384</v>
      </c>
      <c r="D19" s="5"/>
      <c r="E19" s="77">
        <f>+'Ex-2'!H16</f>
        <v>6795588</v>
      </c>
      <c r="G19" s="114">
        <f>+'Ex-2'!K16</f>
        <v>2.63E-3</v>
      </c>
      <c r="H19" s="46">
        <f>+G19*C19</f>
        <v>22640.049920000001</v>
      </c>
      <c r="I19" s="115">
        <f>+H19/E19</f>
        <v>3.3315807138396265E-3</v>
      </c>
      <c r="Q19" s="185"/>
    </row>
    <row r="20" spans="1:17">
      <c r="C20" s="77"/>
      <c r="D20" s="5"/>
      <c r="E20" s="77"/>
      <c r="G20" s="114"/>
      <c r="H20" s="46"/>
      <c r="I20" s="115"/>
      <c r="Q20" s="185"/>
    </row>
    <row r="21" spans="1:17">
      <c r="A21" s="83">
        <v>5</v>
      </c>
      <c r="B21" s="47" t="s">
        <v>99</v>
      </c>
      <c r="C21" s="77">
        <f>+'Ex-2'!F19</f>
        <v>4238887</v>
      </c>
      <c r="D21" s="5"/>
      <c r="E21" s="77">
        <f>+'Ex-2'!H19</f>
        <v>2870316</v>
      </c>
      <c r="G21" s="114">
        <f>+'Ex-2'!K19</f>
        <v>6.0999999999999997E-4</v>
      </c>
      <c r="H21" s="46">
        <f>+G21*C21</f>
        <v>2585.7210700000001</v>
      </c>
      <c r="I21" s="115">
        <f>+H21/E21</f>
        <v>9.0084892046729352E-4</v>
      </c>
      <c r="Q21" s="185"/>
    </row>
    <row r="22" spans="1:17">
      <c r="C22" s="5"/>
      <c r="D22" s="5"/>
      <c r="E22" s="5"/>
      <c r="G22" s="36"/>
      <c r="I22" s="115"/>
    </row>
    <row r="23" spans="1:17">
      <c r="A23" s="53">
        <v>6</v>
      </c>
      <c r="B23" s="47" t="s">
        <v>114</v>
      </c>
      <c r="C23" s="77">
        <f>+'Ex-2'!F20</f>
        <v>412711</v>
      </c>
      <c r="D23" s="5"/>
      <c r="E23" s="77">
        <f>+'Ex-2'!H20</f>
        <v>307005</v>
      </c>
      <c r="G23" s="114">
        <f>+'Ex-2'!K20</f>
        <v>1.31E-3</v>
      </c>
      <c r="H23" s="46">
        <f>+G23*C23</f>
        <v>540.65140999999994</v>
      </c>
      <c r="I23" s="115">
        <f>+H23/E23</f>
        <v>1.7610508297910455E-3</v>
      </c>
    </row>
    <row r="24" spans="1:17">
      <c r="C24" s="5"/>
      <c r="D24" s="5"/>
      <c r="E24" s="5"/>
      <c r="G24" s="36"/>
      <c r="I24" s="115"/>
    </row>
    <row r="25" spans="1:17">
      <c r="A25" s="83">
        <v>7</v>
      </c>
      <c r="B25" s="39" t="s">
        <v>163</v>
      </c>
      <c r="C25" s="5">
        <f>+'Ex-2'!F24</f>
        <v>448282732</v>
      </c>
      <c r="D25" s="5"/>
      <c r="E25" s="5">
        <f>+'Ex-2'!H24</f>
        <v>14405303</v>
      </c>
      <c r="G25" s="114">
        <f>+'Ex-2'!K24</f>
        <v>3.6999999999999999E-4</v>
      </c>
      <c r="H25" s="46">
        <f>+G25*C25</f>
        <v>165864.61084000001</v>
      </c>
      <c r="I25" s="115">
        <f>+H25/E25</f>
        <v>1.1514135512456768E-2</v>
      </c>
    </row>
    <row r="26" spans="1:17">
      <c r="C26" s="5"/>
      <c r="D26" s="5"/>
      <c r="E26" s="5"/>
      <c r="G26" s="36"/>
      <c r="I26" s="115"/>
    </row>
    <row r="27" spans="1:17">
      <c r="A27" s="83">
        <v>8</v>
      </c>
      <c r="B27" s="48" t="s">
        <v>164</v>
      </c>
      <c r="C27" s="77">
        <v>0</v>
      </c>
      <c r="D27" s="264"/>
      <c r="E27" s="77">
        <v>0</v>
      </c>
      <c r="G27" s="114">
        <v>0</v>
      </c>
      <c r="H27" s="265">
        <f>+G27*C27</f>
        <v>0</v>
      </c>
      <c r="I27" s="266">
        <v>0</v>
      </c>
    </row>
    <row r="28" spans="1:17" ht="22.5" customHeight="1">
      <c r="A28" s="267"/>
      <c r="B28" s="45"/>
      <c r="C28" s="45"/>
      <c r="D28" s="45"/>
      <c r="E28" s="45"/>
      <c r="F28" s="45"/>
      <c r="G28" s="45"/>
      <c r="H28" s="45"/>
      <c r="I28" s="268"/>
      <c r="J28" s="45"/>
      <c r="K28" s="45"/>
      <c r="L28" s="45"/>
      <c r="M28" s="45"/>
    </row>
    <row r="29" spans="1:17" ht="32.25" customHeight="1">
      <c r="A29" s="41"/>
      <c r="B29" s="584" t="s">
        <v>165</v>
      </c>
      <c r="C29" s="584"/>
      <c r="D29" s="584"/>
      <c r="E29" s="584"/>
      <c r="F29" s="584"/>
      <c r="G29" s="584"/>
      <c r="H29" s="584"/>
      <c r="I29" s="584"/>
      <c r="J29" s="45"/>
      <c r="K29" s="45"/>
      <c r="L29" s="45"/>
      <c r="M29" s="45"/>
    </row>
    <row r="30" spans="1:17">
      <c r="A30" s="26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64" spans="1:7">
      <c r="A64" s="39"/>
      <c r="G64" s="49"/>
    </row>
    <row r="65" spans="1:9">
      <c r="A65" s="39"/>
      <c r="H65" s="49"/>
    </row>
    <row r="66" spans="1:9">
      <c r="A66" s="39"/>
      <c r="E66" s="5"/>
      <c r="G66" s="5"/>
      <c r="H66" s="5"/>
      <c r="I66" s="5"/>
    </row>
    <row r="67" spans="1:9">
      <c r="A67" s="39"/>
      <c r="E67" s="5"/>
      <c r="G67" s="5"/>
      <c r="H67" s="5"/>
      <c r="I67" s="5"/>
    </row>
    <row r="68" spans="1:9">
      <c r="A68" s="39"/>
      <c r="E68" s="5"/>
      <c r="G68" s="5"/>
      <c r="H68" s="5"/>
      <c r="I68" s="5"/>
    </row>
    <row r="69" spans="1:9">
      <c r="A69" s="39"/>
      <c r="E69" s="5"/>
      <c r="G69" s="5"/>
      <c r="H69" s="5"/>
      <c r="I69" s="5"/>
    </row>
    <row r="70" spans="1:9">
      <c r="A70" s="39"/>
      <c r="E70" s="5"/>
      <c r="G70" s="5"/>
      <c r="H70" s="5"/>
      <c r="I70" s="5"/>
    </row>
    <row r="71" spans="1:9">
      <c r="A71" s="39"/>
      <c r="E71" s="5"/>
      <c r="G71" s="5"/>
      <c r="H71" s="5"/>
      <c r="I71" s="5"/>
    </row>
    <row r="72" spans="1:9">
      <c r="A72" s="39"/>
      <c r="E72" s="5"/>
      <c r="G72" s="5"/>
      <c r="H72" s="5"/>
      <c r="I72" s="5"/>
    </row>
    <row r="76" spans="1:9">
      <c r="A76" s="39"/>
      <c r="B76" s="49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3" customWidth="1"/>
    <col min="2" max="2" width="27" style="39" bestFit="1" customWidth="1"/>
    <col min="3" max="3" width="16.1640625" style="39" customWidth="1"/>
    <col min="4" max="4" width="1.83203125" style="39" customWidth="1"/>
    <col min="5" max="5" width="19" style="39" bestFit="1" customWidth="1"/>
    <col min="6" max="6" width="1.83203125" style="39" customWidth="1"/>
    <col min="7" max="7" width="16.33203125" style="39" customWidth="1"/>
    <col min="8" max="8" width="1.83203125" style="39" customWidth="1"/>
    <col min="9" max="9" width="15.33203125" style="39" customWidth="1"/>
    <col min="10" max="10" width="1.83203125" style="39" customWidth="1"/>
    <col min="11" max="16384" width="12" style="39"/>
  </cols>
  <sheetData>
    <row r="2" spans="1:15">
      <c r="A2" s="39"/>
      <c r="B2" s="38"/>
      <c r="C2" s="579" t="s">
        <v>34</v>
      </c>
      <c r="D2" s="579"/>
      <c r="E2" s="579"/>
      <c r="F2" s="579"/>
      <c r="G2" s="579"/>
      <c r="H2" s="579"/>
      <c r="I2" s="38"/>
      <c r="K2" s="73" t="s">
        <v>170</v>
      </c>
    </row>
    <row r="3" spans="1:15">
      <c r="A3" s="39"/>
      <c r="B3" s="38"/>
      <c r="C3" s="579" t="s">
        <v>75</v>
      </c>
      <c r="D3" s="579"/>
      <c r="E3" s="579"/>
      <c r="F3" s="579"/>
      <c r="G3" s="579"/>
      <c r="H3" s="579"/>
      <c r="I3" s="38"/>
      <c r="K3" s="109"/>
    </row>
    <row r="4" spans="1:15">
      <c r="A4" s="39"/>
      <c r="B4" s="38"/>
      <c r="C4" s="585" t="s">
        <v>172</v>
      </c>
      <c r="D4" s="583"/>
      <c r="E4" s="583"/>
      <c r="F4" s="583"/>
      <c r="G4" s="583"/>
      <c r="H4" s="583"/>
      <c r="I4" s="38"/>
      <c r="K4" s="100"/>
    </row>
    <row r="5" spans="1:15">
      <c r="A5" s="39"/>
      <c r="B5" s="38"/>
      <c r="C5" s="579" t="s">
        <v>36</v>
      </c>
      <c r="D5" s="579"/>
      <c r="E5" s="579"/>
      <c r="F5" s="579"/>
      <c r="G5" s="579"/>
      <c r="H5" s="579"/>
      <c r="I5" s="38"/>
      <c r="J5" s="47"/>
    </row>
    <row r="6" spans="1:15">
      <c r="C6" s="38"/>
      <c r="D6" s="38"/>
      <c r="E6" s="38"/>
      <c r="F6" s="38"/>
      <c r="G6" s="38"/>
      <c r="H6" s="38"/>
      <c r="I6" s="38"/>
      <c r="J6" s="47"/>
    </row>
    <row r="7" spans="1:15" s="53" customFormat="1">
      <c r="C7" s="83" t="s">
        <v>78</v>
      </c>
      <c r="G7" s="83" t="s">
        <v>79</v>
      </c>
    </row>
    <row r="8" spans="1:15" s="53" customFormat="1">
      <c r="A8" s="83" t="s">
        <v>3</v>
      </c>
      <c r="C8" s="83" t="s">
        <v>80</v>
      </c>
      <c r="E8" s="83" t="s">
        <v>81</v>
      </c>
      <c r="G8" s="83" t="s">
        <v>82</v>
      </c>
      <c r="I8" s="83" t="s">
        <v>2</v>
      </c>
      <c r="K8" s="83" t="s">
        <v>43</v>
      </c>
    </row>
    <row r="9" spans="1:15" s="53" customFormat="1">
      <c r="A9" s="83" t="s">
        <v>6</v>
      </c>
      <c r="B9" s="83" t="s">
        <v>0</v>
      </c>
      <c r="C9" s="83" t="s">
        <v>83</v>
      </c>
      <c r="E9" s="50" t="s">
        <v>143</v>
      </c>
      <c r="G9" s="83" t="s">
        <v>84</v>
      </c>
      <c r="I9" s="83" t="s">
        <v>85</v>
      </c>
      <c r="K9" s="83" t="s">
        <v>48</v>
      </c>
    </row>
    <row r="10" spans="1:15" s="53" customFormat="1">
      <c r="A10" s="112"/>
      <c r="B10" s="113" t="s">
        <v>9</v>
      </c>
      <c r="C10" s="113" t="s">
        <v>10</v>
      </c>
      <c r="D10" s="112"/>
      <c r="E10" s="113" t="s">
        <v>11</v>
      </c>
      <c r="F10" s="112"/>
      <c r="G10" s="113" t="s">
        <v>12</v>
      </c>
      <c r="H10" s="112"/>
      <c r="I10" s="113" t="s">
        <v>13</v>
      </c>
      <c r="J10" s="112"/>
      <c r="K10" s="113" t="s">
        <v>88</v>
      </c>
    </row>
    <row r="11" spans="1:15" ht="9" customHeight="1"/>
    <row r="12" spans="1:15">
      <c r="A12" s="83">
        <v>1</v>
      </c>
      <c r="B12" s="47" t="s">
        <v>95</v>
      </c>
      <c r="C12" s="116">
        <v>56.370317240093023</v>
      </c>
      <c r="E12" s="90">
        <f>+'Ex-2'!H13/'Ex-2'!E13/12</f>
        <v>57.664772056836391</v>
      </c>
      <c r="G12" s="90">
        <f>+C12*'Ex-2'!K13</f>
        <v>0.23393681654638609</v>
      </c>
      <c r="I12" s="90">
        <f>E12+G12</f>
        <v>57.89870887338278</v>
      </c>
      <c r="K12" s="117">
        <f>G12/E12</f>
        <v>4.0568410868911421E-3</v>
      </c>
      <c r="O12" s="185"/>
    </row>
    <row r="13" spans="1:15">
      <c r="C13" s="46"/>
      <c r="E13" s="90"/>
      <c r="G13" s="91"/>
      <c r="I13" s="91"/>
      <c r="O13" s="185"/>
    </row>
    <row r="14" spans="1:15">
      <c r="A14" s="83">
        <v>2</v>
      </c>
      <c r="B14" s="47" t="s">
        <v>96</v>
      </c>
      <c r="C14" s="46">
        <v>271.0939048231167</v>
      </c>
      <c r="E14" s="90">
        <f>+'Ex-2'!H14/'Ex-2'!E14/12</f>
        <v>259.86452224096837</v>
      </c>
      <c r="G14" s="90">
        <f>+C14*'Ex-2'!K14</f>
        <v>1.1955241202699447</v>
      </c>
      <c r="I14" s="90">
        <f>E14+G14</f>
        <v>261.06004636123834</v>
      </c>
      <c r="K14" s="117">
        <f>G14/E14</f>
        <v>4.6005669029393461E-3</v>
      </c>
      <c r="O14" s="185"/>
    </row>
    <row r="15" spans="1:15">
      <c r="C15" s="46"/>
      <c r="E15" s="118"/>
      <c r="G15" s="119"/>
      <c r="I15" s="91"/>
      <c r="N15" s="53"/>
      <c r="O15" s="185"/>
    </row>
    <row r="16" spans="1:15">
      <c r="A16" s="83">
        <v>3</v>
      </c>
      <c r="B16" s="47" t="s">
        <v>97</v>
      </c>
      <c r="C16" s="120" t="s">
        <v>86</v>
      </c>
      <c r="E16" s="114">
        <f>+'Ex-2'!H15/'Ex-2'!F15</f>
        <v>0.7876636832230588</v>
      </c>
      <c r="G16" s="114">
        <f>+'Ex-2'!K15</f>
        <v>8.8000000000000057E-4</v>
      </c>
      <c r="I16" s="114">
        <f>E16+G16</f>
        <v>0.78854368322305879</v>
      </c>
      <c r="K16" s="117">
        <f>G16/E16</f>
        <v>1.117228099687304E-3</v>
      </c>
      <c r="O16" s="185"/>
    </row>
    <row r="17" spans="1:15">
      <c r="C17" s="46"/>
      <c r="E17" s="114"/>
      <c r="G17" s="114"/>
      <c r="I17" s="114"/>
      <c r="K17" s="117"/>
      <c r="O17" s="185"/>
    </row>
    <row r="18" spans="1:15">
      <c r="A18" s="53">
        <v>4</v>
      </c>
      <c r="B18" s="47" t="s">
        <v>98</v>
      </c>
      <c r="C18" s="120" t="s">
        <v>86</v>
      </c>
      <c r="E18" s="114">
        <f>+'Ex-2'!H16/'Ex-2'!F16</f>
        <v>0.78941506326855304</v>
      </c>
      <c r="G18" s="114">
        <f>+'Ex-2'!K16</f>
        <v>2.63E-3</v>
      </c>
      <c r="I18" s="114">
        <f>E18+G18</f>
        <v>0.79204506326855306</v>
      </c>
      <c r="K18" s="117">
        <f>G18/E18</f>
        <v>3.3315807138396265E-3</v>
      </c>
      <c r="O18" s="185"/>
    </row>
    <row r="19" spans="1:15">
      <c r="C19" s="46"/>
      <c r="E19" s="114"/>
      <c r="G19" s="114"/>
      <c r="I19" s="114"/>
      <c r="O19" s="185"/>
    </row>
    <row r="20" spans="1:15">
      <c r="A20" s="83">
        <v>5</v>
      </c>
      <c r="B20" s="47" t="s">
        <v>99</v>
      </c>
      <c r="C20" s="120" t="s">
        <v>86</v>
      </c>
      <c r="E20" s="114">
        <f>+'Ex-2'!H19/'Ex-2'!F19</f>
        <v>0.67713906976052907</v>
      </c>
      <c r="G20" s="114">
        <f>+'Ex-2'!K19</f>
        <v>6.0999999999999997E-4</v>
      </c>
      <c r="I20" s="114">
        <f>E20+G20</f>
        <v>0.67774906976052907</v>
      </c>
      <c r="K20" s="117">
        <f>G20/E20</f>
        <v>9.0084892046729352E-4</v>
      </c>
      <c r="O20" s="185"/>
    </row>
    <row r="21" spans="1:15">
      <c r="E21" s="36"/>
      <c r="G21" s="36"/>
      <c r="I21" s="114"/>
      <c r="K21" s="117"/>
    </row>
    <row r="22" spans="1:15">
      <c r="A22" s="53">
        <v>6</v>
      </c>
      <c r="B22" s="47" t="s">
        <v>114</v>
      </c>
      <c r="C22" s="120" t="s">
        <v>86</v>
      </c>
      <c r="E22" s="114">
        <f>+'Ex-2'!H20/'Ex-2'!F20</f>
        <v>0.74387404261093115</v>
      </c>
      <c r="G22" s="36">
        <f>+'Ex-2'!K20</f>
        <v>1.31E-3</v>
      </c>
      <c r="I22" s="114">
        <f>E22+G22</f>
        <v>0.74518404261093119</v>
      </c>
      <c r="K22" s="117">
        <f>G22/E22</f>
        <v>1.7610508297910457E-3</v>
      </c>
    </row>
    <row r="23" spans="1:15">
      <c r="E23" s="36"/>
      <c r="G23" s="36"/>
      <c r="I23" s="114"/>
      <c r="K23" s="117"/>
    </row>
    <row r="24" spans="1:15">
      <c r="A24" s="53">
        <v>7</v>
      </c>
      <c r="B24" s="39" t="s">
        <v>163</v>
      </c>
      <c r="C24" s="120" t="s">
        <v>86</v>
      </c>
      <c r="E24" s="114">
        <f>+'Ex-2'!H24/'Ex-2'!F24</f>
        <v>3.2134414224994058E-2</v>
      </c>
      <c r="G24" s="114">
        <f>+'Ex-2'!K24</f>
        <v>3.6999999999999999E-4</v>
      </c>
      <c r="I24" s="114">
        <f>E24+G24</f>
        <v>3.250441422499406E-2</v>
      </c>
      <c r="K24" s="117">
        <f>G24/E24</f>
        <v>1.1514135512456768E-2</v>
      </c>
    </row>
    <row r="25" spans="1:15">
      <c r="G25" s="36"/>
      <c r="I25" s="91"/>
    </row>
    <row r="26" spans="1:15">
      <c r="A26" s="83">
        <v>8</v>
      </c>
      <c r="B26" s="47" t="s">
        <v>166</v>
      </c>
      <c r="C26" s="120" t="s">
        <v>86</v>
      </c>
      <c r="E26" s="269" t="s">
        <v>167</v>
      </c>
      <c r="G26" s="114">
        <v>0</v>
      </c>
      <c r="I26" s="269" t="s">
        <v>167</v>
      </c>
      <c r="K26" s="269" t="s">
        <v>167</v>
      </c>
    </row>
    <row r="27" spans="1:15" ht="22.5" customHeight="1"/>
    <row r="28" spans="1:15" ht="29.25" customHeight="1">
      <c r="B28" s="586" t="s">
        <v>168</v>
      </c>
      <c r="C28" s="586"/>
      <c r="D28" s="586"/>
      <c r="E28" s="586"/>
      <c r="F28" s="586"/>
      <c r="G28" s="586"/>
      <c r="H28" s="586"/>
      <c r="I28" s="586"/>
      <c r="J28" s="586"/>
      <c r="K28" s="586"/>
    </row>
    <row r="29" spans="1:15">
      <c r="B29" s="47"/>
    </row>
    <row r="30" spans="1:15">
      <c r="B30" s="47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28"/>
  <sheetViews>
    <sheetView zoomScaleNormal="100" workbookViewId="0">
      <selection activeCell="B25" sqref="B25"/>
    </sheetView>
  </sheetViews>
  <sheetFormatPr defaultRowHeight="15"/>
  <cols>
    <col min="1" max="1" width="8.6640625" style="565" customWidth="1"/>
    <col min="2" max="2" width="35.5" style="554" customWidth="1"/>
    <col min="3" max="3" width="9.33203125" style="554"/>
    <col min="4" max="4" width="17" style="554" hidden="1" customWidth="1"/>
    <col min="5" max="5" width="11.33203125" style="554" hidden="1" customWidth="1"/>
    <col min="6" max="6" width="9.6640625" style="554" customWidth="1"/>
    <col min="7" max="8" width="18" style="554" customWidth="1"/>
    <col min="9" max="9" width="5.33203125" style="554" customWidth="1"/>
    <col min="10" max="10" width="11.83203125" style="554" customWidth="1"/>
    <col min="11" max="16384" width="9.33203125" style="554"/>
  </cols>
  <sheetData>
    <row r="1" spans="1:11">
      <c r="A1" s="552"/>
      <c r="B1" s="587" t="s">
        <v>271</v>
      </c>
      <c r="C1" s="587"/>
      <c r="D1" s="587"/>
      <c r="E1" s="587"/>
      <c r="F1" s="587"/>
      <c r="G1" s="587"/>
      <c r="H1" s="445" t="str">
        <f>+'DMA Cost by Class'!H1</f>
        <v>CNGC Advice W19-09-03</v>
      </c>
      <c r="I1" s="553"/>
      <c r="K1" s="445"/>
    </row>
    <row r="2" spans="1:11">
      <c r="A2" s="552"/>
      <c r="B2" s="588" t="s">
        <v>208</v>
      </c>
      <c r="C2" s="588"/>
      <c r="D2" s="588"/>
      <c r="E2" s="588"/>
      <c r="F2" s="588"/>
      <c r="G2" s="588"/>
      <c r="H2" s="446" t="s">
        <v>192</v>
      </c>
      <c r="I2" s="553"/>
      <c r="K2" s="446"/>
    </row>
    <row r="3" spans="1:11">
      <c r="A3" s="552"/>
      <c r="B3" s="589" t="s">
        <v>293</v>
      </c>
      <c r="C3" s="590"/>
      <c r="D3" s="590"/>
      <c r="E3" s="590"/>
      <c r="F3" s="590"/>
      <c r="G3" s="590"/>
      <c r="H3" s="446" t="s">
        <v>278</v>
      </c>
      <c r="I3" s="553"/>
      <c r="K3" s="446"/>
    </row>
    <row r="4" spans="1:11">
      <c r="A4" s="552"/>
      <c r="B4" s="476"/>
      <c r="C4" s="476"/>
      <c r="D4" s="476"/>
      <c r="E4" s="476"/>
      <c r="F4" s="476"/>
      <c r="G4" s="476"/>
      <c r="H4" s="476"/>
      <c r="I4" s="476"/>
    </row>
    <row r="5" spans="1:11">
      <c r="A5" s="552"/>
      <c r="B5" s="591" t="s">
        <v>294</v>
      </c>
      <c r="C5" s="591"/>
      <c r="D5" s="591"/>
      <c r="E5" s="591"/>
      <c r="F5" s="591"/>
      <c r="G5" s="591"/>
      <c r="H5" s="476"/>
      <c r="I5" s="476"/>
    </row>
    <row r="6" spans="1:11">
      <c r="A6" s="552"/>
      <c r="B6" s="476"/>
      <c r="C6" s="476"/>
      <c r="D6" s="476"/>
      <c r="E6" s="476"/>
      <c r="F6" s="476"/>
      <c r="G6" s="476"/>
      <c r="H6" s="476"/>
      <c r="I6" s="476"/>
    </row>
    <row r="7" spans="1:11">
      <c r="A7" s="552" t="s">
        <v>130</v>
      </c>
      <c r="B7" s="476"/>
      <c r="C7" s="476"/>
      <c r="D7" s="552" t="s">
        <v>209</v>
      </c>
      <c r="E7" s="552"/>
      <c r="F7" s="552"/>
      <c r="G7" s="552" t="s">
        <v>210</v>
      </c>
      <c r="H7" s="552"/>
      <c r="I7" s="552"/>
    </row>
    <row r="8" spans="1:11">
      <c r="A8" s="552"/>
      <c r="B8" s="476"/>
      <c r="C8" s="476"/>
      <c r="D8" s="476"/>
      <c r="E8" s="476"/>
      <c r="F8" s="476"/>
      <c r="G8" s="476"/>
      <c r="H8" s="476"/>
      <c r="I8" s="476"/>
    </row>
    <row r="9" spans="1:11">
      <c r="A9" s="552">
        <v>1</v>
      </c>
      <c r="B9" s="476" t="s">
        <v>211</v>
      </c>
      <c r="C9" s="476"/>
      <c r="D9" s="477">
        <v>1338806000</v>
      </c>
      <c r="E9" s="476"/>
      <c r="F9" s="476"/>
      <c r="G9" s="477">
        <v>339750739</v>
      </c>
      <c r="H9" s="477"/>
      <c r="I9" s="477"/>
    </row>
    <row r="10" spans="1:11">
      <c r="A10" s="552"/>
      <c r="B10" s="476"/>
      <c r="C10" s="476"/>
      <c r="D10" s="476"/>
      <c r="E10" s="476"/>
      <c r="F10" s="476"/>
      <c r="G10" s="476"/>
      <c r="H10" s="476"/>
      <c r="I10" s="476"/>
    </row>
    <row r="11" spans="1:11">
      <c r="A11" s="552">
        <v>2</v>
      </c>
      <c r="B11" s="476" t="s">
        <v>212</v>
      </c>
      <c r="C11" s="476"/>
      <c r="D11" s="477">
        <v>99114000</v>
      </c>
      <c r="E11" s="476"/>
      <c r="F11" s="476"/>
      <c r="G11" s="477">
        <v>21616060</v>
      </c>
      <c r="H11" s="477"/>
      <c r="I11" s="477"/>
    </row>
    <row r="12" spans="1:11">
      <c r="A12" s="552"/>
      <c r="B12" s="476"/>
      <c r="C12" s="476"/>
      <c r="D12" s="477"/>
      <c r="E12" s="476"/>
      <c r="F12" s="476"/>
      <c r="G12" s="476"/>
      <c r="H12" s="476"/>
      <c r="I12" s="476"/>
    </row>
    <row r="13" spans="1:11">
      <c r="A13" s="552">
        <v>3</v>
      </c>
      <c r="B13" s="476" t="s">
        <v>213</v>
      </c>
      <c r="C13" s="476"/>
      <c r="D13" s="555">
        <f>D11/D9</f>
        <v>7.4031637145336962E-2</v>
      </c>
      <c r="E13" s="476"/>
      <c r="F13" s="476"/>
      <c r="G13" s="556">
        <f>G11/G9</f>
        <v>6.362329060305591E-2</v>
      </c>
      <c r="H13" s="555"/>
      <c r="I13" s="555"/>
    </row>
    <row r="14" spans="1:11">
      <c r="A14" s="552">
        <v>4</v>
      </c>
      <c r="B14" s="476" t="s">
        <v>214</v>
      </c>
      <c r="C14" s="476"/>
      <c r="D14" s="555">
        <v>7.3200000000000001E-2</v>
      </c>
      <c r="E14" s="476"/>
      <c r="F14" s="476"/>
      <c r="G14" s="556">
        <v>7.3099999999999998E-2</v>
      </c>
      <c r="H14" s="555"/>
      <c r="I14" s="555"/>
    </row>
    <row r="15" spans="1:11">
      <c r="A15" s="552">
        <v>5</v>
      </c>
      <c r="B15" s="476" t="s">
        <v>215</v>
      </c>
      <c r="C15" s="476"/>
      <c r="D15" s="557">
        <f>D13-D14</f>
        <v>8.3163714533696087E-4</v>
      </c>
      <c r="E15" s="476"/>
      <c r="F15" s="476"/>
      <c r="G15" s="557">
        <f>G13-G14</f>
        <v>-9.4767093969440885E-3</v>
      </c>
      <c r="H15" s="557"/>
      <c r="I15" s="557"/>
    </row>
    <row r="16" spans="1:11">
      <c r="A16" s="552"/>
      <c r="B16" s="476"/>
      <c r="C16" s="476"/>
      <c r="D16" s="476"/>
      <c r="E16" s="476"/>
      <c r="F16" s="476"/>
      <c r="G16" s="476"/>
      <c r="H16" s="476"/>
      <c r="I16" s="476"/>
    </row>
    <row r="17" spans="1:10">
      <c r="A17" s="552">
        <v>6</v>
      </c>
      <c r="B17" s="476" t="s">
        <v>216</v>
      </c>
      <c r="C17" s="476"/>
      <c r="D17" s="477">
        <f>IF(D15&gt;0,D9*D15,0)</f>
        <v>1113400.7999999952</v>
      </c>
      <c r="E17" s="476"/>
      <c r="F17" s="476"/>
      <c r="G17" s="477">
        <f>IF(G15&gt;0,G9*G15,0)</f>
        <v>0</v>
      </c>
      <c r="H17" s="477"/>
      <c r="I17" s="477"/>
    </row>
    <row r="18" spans="1:10">
      <c r="A18" s="552">
        <v>7</v>
      </c>
      <c r="B18" s="476" t="s">
        <v>217</v>
      </c>
      <c r="C18" s="476"/>
      <c r="D18" s="558">
        <v>0.61931199999999997</v>
      </c>
      <c r="E18" s="476"/>
      <c r="F18" s="476"/>
      <c r="G18" s="559">
        <v>0.75499000000000005</v>
      </c>
      <c r="H18" s="558"/>
      <c r="I18" s="558"/>
    </row>
    <row r="19" spans="1:10">
      <c r="A19" s="552">
        <v>8</v>
      </c>
      <c r="B19" s="476" t="s">
        <v>218</v>
      </c>
      <c r="C19" s="476"/>
      <c r="D19" s="477">
        <f>D17/D18</f>
        <v>1797802.7230216679</v>
      </c>
      <c r="E19" s="476"/>
      <c r="F19" s="476"/>
      <c r="G19" s="477">
        <f>G17/G18</f>
        <v>0</v>
      </c>
      <c r="H19" s="477"/>
      <c r="I19" s="477"/>
      <c r="J19" s="560"/>
    </row>
    <row r="20" spans="1:10">
      <c r="A20" s="552">
        <v>9</v>
      </c>
      <c r="B20" s="476" t="s">
        <v>219</v>
      </c>
      <c r="C20" s="476"/>
      <c r="D20" s="561">
        <v>0.5</v>
      </c>
      <c r="E20" s="476"/>
      <c r="F20" s="476"/>
      <c r="G20" s="561">
        <v>0.5</v>
      </c>
      <c r="H20" s="561"/>
      <c r="I20" s="561"/>
    </row>
    <row r="21" spans="1:10">
      <c r="A21" s="552">
        <v>10</v>
      </c>
      <c r="B21" s="562" t="s">
        <v>269</v>
      </c>
      <c r="C21" s="476"/>
      <c r="D21" s="478">
        <f>D19*D20</f>
        <v>898901.36151083396</v>
      </c>
      <c r="E21" s="476"/>
      <c r="F21" s="476"/>
      <c r="G21" s="478">
        <v>0</v>
      </c>
      <c r="H21" s="478"/>
      <c r="I21" s="478"/>
    </row>
    <row r="22" spans="1:10">
      <c r="A22" s="552"/>
      <c r="B22" s="476"/>
      <c r="C22" s="476"/>
      <c r="D22" s="476"/>
      <c r="E22" s="476"/>
      <c r="F22" s="476"/>
      <c r="G22" s="476"/>
      <c r="H22" s="476"/>
      <c r="I22" s="476"/>
    </row>
    <row r="23" spans="1:10">
      <c r="A23" s="552">
        <v>11</v>
      </c>
      <c r="B23" s="563" t="s">
        <v>272</v>
      </c>
      <c r="C23" s="476"/>
      <c r="D23" s="476"/>
      <c r="E23" s="476"/>
      <c r="F23" s="476"/>
      <c r="G23" s="564">
        <v>224484640</v>
      </c>
      <c r="H23" s="476"/>
      <c r="I23" s="476"/>
    </row>
    <row r="24" spans="1:10">
      <c r="A24" s="552">
        <v>12</v>
      </c>
      <c r="B24" s="567" t="s">
        <v>297</v>
      </c>
      <c r="C24" s="476"/>
      <c r="D24" s="476"/>
      <c r="E24" s="476"/>
      <c r="F24" s="476"/>
      <c r="G24" s="564">
        <f>+'DMA Summary of Def. Accts.'!F21</f>
        <v>1505524.0729436884</v>
      </c>
      <c r="H24" s="476"/>
      <c r="I24" s="476"/>
    </row>
    <row r="25" spans="1:10">
      <c r="A25" s="552">
        <v>13</v>
      </c>
      <c r="B25" s="563" t="s">
        <v>270</v>
      </c>
      <c r="C25" s="476"/>
      <c r="D25" s="476"/>
      <c r="E25" s="476"/>
      <c r="F25" s="476"/>
      <c r="G25" s="557">
        <f>+G24/G23</f>
        <v>6.7065794476793084E-3</v>
      </c>
      <c r="H25" s="476"/>
      <c r="I25" s="476"/>
    </row>
    <row r="26" spans="1:10">
      <c r="A26" s="552"/>
      <c r="B26" s="476"/>
      <c r="C26" s="476"/>
      <c r="D26" s="476"/>
      <c r="E26" s="476"/>
      <c r="F26" s="476"/>
      <c r="G26" s="476"/>
      <c r="H26" s="476"/>
      <c r="I26" s="476"/>
    </row>
    <row r="27" spans="1:10">
      <c r="A27" s="552"/>
      <c r="B27" s="476"/>
      <c r="C27" s="476"/>
      <c r="D27" s="476"/>
      <c r="E27" s="476"/>
      <c r="F27" s="476"/>
      <c r="G27" s="476"/>
      <c r="H27" s="476"/>
      <c r="I27" s="476"/>
    </row>
    <row r="28" spans="1:10">
      <c r="A28" s="552"/>
      <c r="B28" s="476"/>
      <c r="C28" s="476"/>
      <c r="D28" s="476"/>
      <c r="E28" s="476"/>
      <c r="F28" s="476"/>
      <c r="G28" s="476"/>
      <c r="H28" s="476"/>
      <c r="I28" s="476"/>
    </row>
  </sheetData>
  <mergeCells count="4">
    <mergeCell ref="B1:G1"/>
    <mergeCell ref="B2:G2"/>
    <mergeCell ref="B3:G3"/>
    <mergeCell ref="B5:G5"/>
  </mergeCells>
  <printOptions horizontalCentered="1"/>
  <pageMargins left="0.7" right="0.7" top="0.75" bottom="0.75" header="0.3" footer="0.3"/>
  <pageSetup scale="95" firstPageNumber="5" orientation="portrait" useFirstPageNumber="1" r:id="rId1"/>
  <headerFooter scaleWithDoc="0" alignWithMargins="0">
    <oddFooter>&amp;LTab Name: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N18" sqref="N18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30"/>
  <sheetViews>
    <sheetView zoomScaleNormal="100" workbookViewId="0">
      <pane xSplit="1" topLeftCell="B1" activePane="topRight" state="frozen"/>
      <selection activeCell="N18" sqref="N18"/>
      <selection pane="topRight" activeCell="D18" activeCellId="1" sqref="D13 D18"/>
    </sheetView>
  </sheetViews>
  <sheetFormatPr defaultRowHeight="15"/>
  <cols>
    <col min="1" max="1" width="24.33203125" style="183" bestFit="1" customWidth="1"/>
    <col min="2" max="2" width="32.5" style="183" bestFit="1" customWidth="1"/>
    <col min="3" max="3" width="41.1640625" style="183" customWidth="1"/>
    <col min="4" max="4" width="24.33203125" style="183" bestFit="1" customWidth="1"/>
    <col min="5" max="5" width="11.1640625" style="183" bestFit="1" customWidth="1"/>
    <col min="6" max="6" width="8.6640625" style="183" bestFit="1" customWidth="1"/>
    <col min="7" max="9" width="10.6640625" style="183" customWidth="1"/>
    <col min="10" max="11" width="9.33203125" style="183"/>
    <col min="12" max="12" width="14.1640625" style="183" bestFit="1" customWidth="1"/>
    <col min="13" max="16384" width="9.33203125" style="183"/>
  </cols>
  <sheetData>
    <row r="1" spans="1:9">
      <c r="C1" s="579" t="s">
        <v>34</v>
      </c>
      <c r="D1" s="579"/>
      <c r="E1" s="579"/>
      <c r="F1" s="579"/>
      <c r="G1" s="579"/>
      <c r="H1" s="579"/>
    </row>
    <row r="2" spans="1:9">
      <c r="C2" s="579" t="s">
        <v>222</v>
      </c>
      <c r="D2" s="579"/>
      <c r="E2" s="579"/>
      <c r="F2" s="579"/>
      <c r="G2" s="579"/>
      <c r="H2" s="579"/>
    </row>
    <row r="3" spans="1:9">
      <c r="C3" s="579" t="s">
        <v>36</v>
      </c>
      <c r="D3" s="579"/>
      <c r="E3" s="579"/>
      <c r="F3" s="579"/>
      <c r="G3" s="579"/>
      <c r="H3" s="579"/>
    </row>
    <row r="7" spans="1:9">
      <c r="A7" s="192"/>
      <c r="B7" s="2"/>
      <c r="C7" s="80"/>
    </row>
    <row r="8" spans="1:9">
      <c r="A8" s="592" t="s">
        <v>282</v>
      </c>
      <c r="B8" s="592"/>
      <c r="C8" s="592"/>
    </row>
    <row r="9" spans="1:9">
      <c r="D9" s="187"/>
      <c r="G9" s="534"/>
      <c r="H9" s="534"/>
      <c r="I9" s="534"/>
    </row>
    <row r="10" spans="1:9">
      <c r="A10" s="188"/>
      <c r="B10" s="188"/>
      <c r="C10" s="80"/>
      <c r="D10" s="190"/>
      <c r="E10" s="190"/>
      <c r="F10" s="190"/>
      <c r="G10" s="190"/>
      <c r="H10" s="190"/>
      <c r="I10" s="190"/>
    </row>
    <row r="11" spans="1:9" ht="30">
      <c r="A11" s="408" t="s">
        <v>256</v>
      </c>
      <c r="B11" s="191" t="s">
        <v>255</v>
      </c>
      <c r="C11" s="191" t="s">
        <v>26</v>
      </c>
      <c r="D11" s="278" t="s">
        <v>281</v>
      </c>
      <c r="E11" s="191" t="s">
        <v>106</v>
      </c>
      <c r="F11" s="191" t="s">
        <v>25</v>
      </c>
      <c r="G11" s="191" t="s">
        <v>1</v>
      </c>
      <c r="H11" s="191" t="s">
        <v>4</v>
      </c>
      <c r="I11" s="191" t="s">
        <v>28</v>
      </c>
    </row>
    <row r="12" spans="1:9">
      <c r="B12" s="534"/>
      <c r="D12" s="187"/>
      <c r="E12" s="534" t="s">
        <v>24</v>
      </c>
      <c r="G12" s="534" t="s">
        <v>128</v>
      </c>
      <c r="H12" s="534" t="s">
        <v>128</v>
      </c>
      <c r="I12" s="534" t="s">
        <v>129</v>
      </c>
    </row>
    <row r="13" spans="1:9">
      <c r="A13" s="183" t="s">
        <v>233</v>
      </c>
      <c r="B13" s="534" t="str">
        <f>+'Int calc thru 10-31-2019'!B11</f>
        <v>503-Residential</v>
      </c>
      <c r="C13" s="183" t="s">
        <v>179</v>
      </c>
      <c r="D13" s="187">
        <f>-[24]WACAP2018!$Q$14-[24]WACAP2018!$Q$26</f>
        <v>1436041.1500000013</v>
      </c>
      <c r="E13" s="534" t="s">
        <v>24</v>
      </c>
      <c r="G13" s="534" t="s">
        <v>128</v>
      </c>
      <c r="H13" s="534" t="s">
        <v>128</v>
      </c>
      <c r="I13" s="534" t="s">
        <v>129</v>
      </c>
    </row>
    <row r="14" spans="1:9">
      <c r="A14" s="183" t="s">
        <v>233</v>
      </c>
      <c r="B14" s="534" t="str">
        <f>+'Int calc thru 10-31-2019'!B12</f>
        <v>504-Commercial</v>
      </c>
      <c r="C14" s="183" t="s">
        <v>179</v>
      </c>
      <c r="D14" s="187">
        <f>-[24]WACAP2018!$Q$64-[24]WACAP2018!$Q$76</f>
        <v>22427.920000001053</v>
      </c>
      <c r="E14" s="534" t="s">
        <v>24</v>
      </c>
      <c r="G14" s="534" t="s">
        <v>128</v>
      </c>
      <c r="H14" s="534" t="s">
        <v>128</v>
      </c>
      <c r="I14" s="534" t="s">
        <v>129</v>
      </c>
    </row>
    <row r="15" spans="1:9">
      <c r="A15" s="183" t="s">
        <v>233</v>
      </c>
      <c r="B15" s="534" t="str">
        <f>+'Int calc thru 10-31-2019'!B13</f>
        <v>505-Industrial</v>
      </c>
      <c r="C15" s="183" t="s">
        <v>179</v>
      </c>
      <c r="D15" s="187">
        <f>-[24]WACAP2018!$Q$39-[24]WACAP2018!$Q$116</f>
        <v>-3885.6200000000545</v>
      </c>
      <c r="E15" s="534" t="s">
        <v>24</v>
      </c>
      <c r="G15" s="534" t="s">
        <v>128</v>
      </c>
      <c r="H15" s="534" t="s">
        <v>128</v>
      </c>
      <c r="I15" s="534" t="s">
        <v>129</v>
      </c>
    </row>
    <row r="16" spans="1:9">
      <c r="A16" s="183" t="s">
        <v>233</v>
      </c>
      <c r="B16" s="534" t="str">
        <f>+'Int calc thru 10-31-2019'!B14</f>
        <v>511-Large Volume</v>
      </c>
      <c r="C16" s="183" t="s">
        <v>179</v>
      </c>
      <c r="D16" s="187">
        <f>-[24]WACAP2018!$Q$52-[24]WACAP2018!$Q$91-[24]WACAP2018!$Q$101</f>
        <v>-479799.7300000001</v>
      </c>
      <c r="E16" s="534" t="s">
        <v>24</v>
      </c>
      <c r="G16" s="534" t="s">
        <v>128</v>
      </c>
      <c r="H16" s="534" t="s">
        <v>128</v>
      </c>
      <c r="I16" s="534" t="s">
        <v>129</v>
      </c>
    </row>
    <row r="17" spans="1:9">
      <c r="A17" s="183" t="s">
        <v>233</v>
      </c>
      <c r="B17" s="534" t="str">
        <f>+'Int calc thru 10-31-2019'!B15</f>
        <v>570-Interruptible Commercial</v>
      </c>
      <c r="C17" s="183" t="s">
        <v>179</v>
      </c>
      <c r="D17" s="187">
        <f>-[24]WACAP2018!$Q$131-[24]WACAP2018!$Q$146</f>
        <v>38919.4</v>
      </c>
      <c r="E17" s="534" t="s">
        <v>24</v>
      </c>
      <c r="G17" s="534" t="s">
        <v>128</v>
      </c>
      <c r="H17" s="534" t="s">
        <v>128</v>
      </c>
      <c r="I17" s="534" t="s">
        <v>129</v>
      </c>
    </row>
    <row r="18" spans="1:9">
      <c r="A18" s="183" t="s">
        <v>248</v>
      </c>
      <c r="B18" s="534" t="str">
        <f>+B13</f>
        <v>503-Residential</v>
      </c>
      <c r="C18" s="183" t="s">
        <v>254</v>
      </c>
      <c r="D18" s="187">
        <f>+'[24]WACAP2019 Amort'!$G$14+'[24]WACAP2019 Amort'!$G$23</f>
        <v>-2423120.6465499992</v>
      </c>
      <c r="E18" s="534" t="s">
        <v>24</v>
      </c>
      <c r="G18" s="534" t="s">
        <v>128</v>
      </c>
      <c r="H18" s="534" t="s">
        <v>128</v>
      </c>
      <c r="I18" s="534" t="s">
        <v>128</v>
      </c>
    </row>
    <row r="19" spans="1:9">
      <c r="A19" s="183" t="s">
        <v>248</v>
      </c>
      <c r="B19" s="534" t="str">
        <f>+B14</f>
        <v>504-Commercial</v>
      </c>
      <c r="C19" s="183" t="s">
        <v>254</v>
      </c>
      <c r="D19" s="187">
        <f>+'[24]WACAP2019 Amort'!$G$50+'[24]WACAP2019 Amort'!$G$59</f>
        <v>-2241124.5913300007</v>
      </c>
      <c r="E19" s="534" t="s">
        <v>24</v>
      </c>
      <c r="G19" s="534" t="s">
        <v>128</v>
      </c>
      <c r="H19" s="534" t="s">
        <v>128</v>
      </c>
      <c r="I19" s="534" t="s">
        <v>128</v>
      </c>
    </row>
    <row r="20" spans="1:9">
      <c r="A20" s="183" t="s">
        <v>248</v>
      </c>
      <c r="B20" s="534" t="str">
        <f>+B15</f>
        <v>505-Industrial</v>
      </c>
      <c r="C20" s="183" t="s">
        <v>254</v>
      </c>
      <c r="D20" s="187">
        <f>+'[24]WACAP2019 Amort'!$G$32+'[24]WACAP2019 Amort'!$G$86</f>
        <v>-29892.930250000009</v>
      </c>
      <c r="E20" s="534" t="s">
        <v>24</v>
      </c>
      <c r="G20" s="534" t="s">
        <v>128</v>
      </c>
      <c r="H20" s="534" t="s">
        <v>128</v>
      </c>
      <c r="I20" s="534" t="s">
        <v>128</v>
      </c>
    </row>
    <row r="21" spans="1:9">
      <c r="A21" s="183" t="s">
        <v>248</v>
      </c>
      <c r="B21" s="534" t="str">
        <f>+B16</f>
        <v>511-Large Volume</v>
      </c>
      <c r="C21" s="183" t="s">
        <v>254</v>
      </c>
      <c r="D21" s="187">
        <f>+'[24]WACAP2019 Amort'!$G$68+'[24]WACAP2019 Amort'!$G$77+0.01</f>
        <v>-412126.74622000003</v>
      </c>
      <c r="E21" s="534" t="s">
        <v>24</v>
      </c>
      <c r="G21" s="534" t="s">
        <v>128</v>
      </c>
      <c r="H21" s="534" t="s">
        <v>128</v>
      </c>
      <c r="I21" s="534" t="s">
        <v>128</v>
      </c>
    </row>
    <row r="22" spans="1:9">
      <c r="A22" s="183" t="s">
        <v>248</v>
      </c>
      <c r="B22" s="534" t="str">
        <f>+B17</f>
        <v>570-Interruptible Commercial</v>
      </c>
      <c r="C22" s="183" t="s">
        <v>254</v>
      </c>
      <c r="D22" s="187">
        <f>15094.12+2071.81-0.01</f>
        <v>17165.920000000002</v>
      </c>
      <c r="E22" s="534" t="s">
        <v>24</v>
      </c>
      <c r="G22" s="534" t="s">
        <v>128</v>
      </c>
      <c r="H22" s="534" t="s">
        <v>128</v>
      </c>
      <c r="I22" s="534" t="s">
        <v>128</v>
      </c>
    </row>
    <row r="23" spans="1:9">
      <c r="B23" s="534"/>
      <c r="D23" s="187"/>
      <c r="E23" s="534"/>
      <c r="G23" s="534"/>
      <c r="H23" s="534"/>
      <c r="I23" s="534"/>
    </row>
    <row r="24" spans="1:9">
      <c r="A24" s="186"/>
      <c r="B24" s="186"/>
      <c r="D24" s="187"/>
    </row>
    <row r="25" spans="1:9">
      <c r="A25" s="191" t="s">
        <v>100</v>
      </c>
      <c r="B25" s="191"/>
      <c r="C25" s="191"/>
      <c r="D25" s="278"/>
      <c r="E25" s="191"/>
    </row>
    <row r="26" spans="1:9">
      <c r="A26" s="183" t="s">
        <v>178</v>
      </c>
      <c r="C26" s="183" t="s">
        <v>179</v>
      </c>
      <c r="D26" s="187">
        <f>SUM(D12:D17,D18:D23)</f>
        <v>-4075395.8743499983</v>
      </c>
      <c r="G26" s="534"/>
      <c r="H26" s="534"/>
      <c r="I26" s="534"/>
    </row>
    <row r="27" spans="1:9">
      <c r="D27" s="187"/>
      <c r="G27" s="534"/>
      <c r="H27" s="534"/>
      <c r="I27" s="534"/>
    </row>
    <row r="28" spans="1:9">
      <c r="D28" s="187"/>
      <c r="G28" s="534"/>
      <c r="H28" s="534"/>
      <c r="I28" s="534"/>
    </row>
    <row r="29" spans="1:9" ht="15.75" thickBot="1">
      <c r="D29" s="279">
        <f>-D26</f>
        <v>4075395.8743499983</v>
      </c>
      <c r="G29" s="534"/>
      <c r="H29" s="534"/>
      <c r="I29" s="534"/>
    </row>
    <row r="30" spans="1:9" ht="15.75" thickTop="1"/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N24"/>
  <sheetViews>
    <sheetView zoomScaleNormal="100" workbookViewId="0">
      <selection activeCell="N18" sqref="N18"/>
    </sheetView>
  </sheetViews>
  <sheetFormatPr defaultRowHeight="15"/>
  <cols>
    <col min="1" max="1" width="27.33203125" style="183" customWidth="1"/>
    <col min="2" max="2" width="34.1640625" style="183" bestFit="1" customWidth="1"/>
    <col min="3" max="3" width="17.6640625" style="183" bestFit="1" customWidth="1"/>
    <col min="4" max="12" width="14.5" style="183" bestFit="1" customWidth="1"/>
    <col min="13" max="13" width="1.6640625" style="183" customWidth="1"/>
    <col min="14" max="14" width="15.1640625" style="534" bestFit="1" customWidth="1"/>
    <col min="15" max="15" width="9.33203125" style="183"/>
    <col min="16" max="16" width="17.6640625" style="183" bestFit="1" customWidth="1"/>
    <col min="17" max="16384" width="9.33203125" style="183"/>
  </cols>
  <sheetData>
    <row r="1" spans="1:14">
      <c r="B1" s="579" t="s">
        <v>34</v>
      </c>
      <c r="C1" s="579"/>
      <c r="D1" s="579"/>
      <c r="E1" s="579"/>
      <c r="F1" s="579"/>
      <c r="G1" s="579"/>
      <c r="H1" s="579"/>
      <c r="I1" s="579"/>
      <c r="J1" s="579"/>
      <c r="K1" s="579"/>
    </row>
    <row r="2" spans="1:14">
      <c r="B2" s="579" t="s">
        <v>176</v>
      </c>
      <c r="C2" s="579"/>
      <c r="D2" s="579"/>
      <c r="E2" s="579"/>
      <c r="F2" s="579"/>
      <c r="G2" s="579"/>
      <c r="H2" s="579"/>
      <c r="I2" s="579"/>
      <c r="J2" s="579"/>
      <c r="K2" s="579"/>
    </row>
    <row r="3" spans="1:14">
      <c r="B3" s="580" t="s">
        <v>283</v>
      </c>
      <c r="C3" s="580"/>
      <c r="D3" s="580"/>
      <c r="E3" s="580"/>
      <c r="F3" s="580"/>
      <c r="G3" s="580"/>
      <c r="H3" s="580"/>
      <c r="I3" s="580"/>
      <c r="J3" s="580"/>
      <c r="K3" s="580"/>
    </row>
    <row r="4" spans="1:14">
      <c r="B4" s="579" t="s">
        <v>36</v>
      </c>
      <c r="C4" s="579"/>
      <c r="D4" s="579"/>
      <c r="E4" s="579"/>
      <c r="F4" s="579"/>
      <c r="G4" s="579"/>
      <c r="H4" s="579"/>
      <c r="I4" s="579"/>
      <c r="J4" s="579"/>
      <c r="K4" s="579"/>
    </row>
    <row r="7" spans="1:14">
      <c r="A7" s="79" t="s">
        <v>22</v>
      </c>
      <c r="B7" s="80" t="s">
        <v>184</v>
      </c>
      <c r="C7" s="549">
        <f>+EstimatedBalances!D7</f>
        <v>43496</v>
      </c>
      <c r="D7" s="549">
        <f>+EstimatedBalances!E7</f>
        <v>43524</v>
      </c>
      <c r="E7" s="549">
        <f>+EstimatedBalances!F7</f>
        <v>43555</v>
      </c>
      <c r="F7" s="549">
        <f>+EstimatedBalances!G7</f>
        <v>43585</v>
      </c>
      <c r="G7" s="549">
        <f>+EstimatedBalances!H7</f>
        <v>43616</v>
      </c>
      <c r="H7" s="549">
        <f>+EstimatedBalances!I7</f>
        <v>43646</v>
      </c>
      <c r="I7" s="549">
        <f>+EstimatedBalances!J7</f>
        <v>43677</v>
      </c>
      <c r="J7" s="281">
        <f>+EstimatedBalances!K7</f>
        <v>43708</v>
      </c>
      <c r="K7" s="281">
        <f>+EstimatedBalances!L7</f>
        <v>43738</v>
      </c>
      <c r="L7" s="281">
        <f>+EstimatedBalances!M7</f>
        <v>43769</v>
      </c>
      <c r="M7" s="281"/>
      <c r="N7" s="309" t="s">
        <v>27</v>
      </c>
    </row>
    <row r="8" spans="1:14">
      <c r="A8" s="79" t="s">
        <v>23</v>
      </c>
      <c r="C8" s="480">
        <v>5.1799999999999999E-2</v>
      </c>
      <c r="D8" s="480">
        <v>5.1799999999999999E-2</v>
      </c>
      <c r="E8" s="480">
        <v>5.1799999999999999E-2</v>
      </c>
      <c r="F8" s="480">
        <v>5.45E-2</v>
      </c>
      <c r="G8" s="480">
        <v>5.45E-2</v>
      </c>
      <c r="H8" s="480">
        <v>5.45E-2</v>
      </c>
      <c r="I8" s="480">
        <v>5.5E-2</v>
      </c>
      <c r="J8" s="282">
        <v>5.5E-2</v>
      </c>
      <c r="K8" s="282">
        <v>5.5E-2</v>
      </c>
      <c r="L8" s="282">
        <v>5.5E-2</v>
      </c>
      <c r="M8" s="283"/>
      <c r="N8" s="80" t="s">
        <v>29</v>
      </c>
    </row>
    <row r="9" spans="1:14">
      <c r="A9" s="33" t="s">
        <v>30</v>
      </c>
      <c r="B9" s="34" t="s">
        <v>0</v>
      </c>
      <c r="C9" s="284">
        <f>+C8/365*31</f>
        <v>4.3994520547945204E-3</v>
      </c>
      <c r="D9" s="284">
        <f>+D8/365*28</f>
        <v>3.9736986301369863E-3</v>
      </c>
      <c r="E9" s="284">
        <f t="shared" ref="E9:M9" si="0">+E8/365*31</f>
        <v>4.3994520547945204E-3</v>
      </c>
      <c r="F9" s="284">
        <f>+F8/365*30</f>
        <v>4.4794520547945206E-3</v>
      </c>
      <c r="G9" s="284">
        <f>+G8/365*31</f>
        <v>4.6287671232876706E-3</v>
      </c>
      <c r="H9" s="284">
        <f>+H8/365*30</f>
        <v>4.4794520547945206E-3</v>
      </c>
      <c r="I9" s="284">
        <f t="shared" si="0"/>
        <v>4.6712328767123295E-3</v>
      </c>
      <c r="J9" s="284">
        <f t="shared" si="0"/>
        <v>4.6712328767123295E-3</v>
      </c>
      <c r="K9" s="284">
        <f>+K8/365*30</f>
        <v>4.5205479452054796E-3</v>
      </c>
      <c r="L9" s="284">
        <f t="shared" si="0"/>
        <v>4.6712328767123295E-3</v>
      </c>
      <c r="M9" s="284">
        <f t="shared" si="0"/>
        <v>0</v>
      </c>
      <c r="N9" s="550">
        <v>43769</v>
      </c>
    </row>
    <row r="10" spans="1:14">
      <c r="J10" s="90"/>
      <c r="K10" s="90"/>
      <c r="L10" s="90"/>
      <c r="N10" s="322"/>
    </row>
    <row r="11" spans="1:14">
      <c r="A11" s="183" t="str">
        <f>+'Balances at 12-31-2018'!A13</f>
        <v>47WA.1862.20477</v>
      </c>
      <c r="B11" s="183" t="s">
        <v>249</v>
      </c>
      <c r="C11" s="90">
        <f>+'Balances at 12-31-2018'!D13*C9</f>
        <v>6317.7941881369916</v>
      </c>
      <c r="D11" s="90">
        <f>ROUND(EstimatedBalances!D11*'Int calc thru 10-31-2019'!D9,2)</f>
        <v>5731.5</v>
      </c>
      <c r="E11" s="90">
        <f>ROUND(EstimatedBalances!E11*'Int calc thru 10-31-2019'!E$9,2)</f>
        <v>6370.8</v>
      </c>
      <c r="F11" s="90">
        <f>ROUND(EstimatedBalances!F11*'Int calc thru 10-31-2019'!F$9,2)</f>
        <v>6515.19</v>
      </c>
      <c r="G11" s="90">
        <f>ROUND(EstimatedBalances!G11*'Int calc thru 10-31-2019'!G$9,2)</f>
        <v>6762.52</v>
      </c>
      <c r="H11" s="90">
        <f>ROUND(EstimatedBalances!H11*'Int calc thru 10-31-2019'!H$9,2)</f>
        <v>6574.67</v>
      </c>
      <c r="I11" s="90">
        <f>ROUND(EstimatedBalances!I11*'Int calc thru 10-31-2019'!I$9,2)</f>
        <v>6886.86</v>
      </c>
      <c r="J11" s="90">
        <f>ROUND(EstimatedBalances!J11*'Int calc thru 10-31-2019'!J$9,2)</f>
        <v>6919.03</v>
      </c>
      <c r="K11" s="90">
        <f>ROUND(EstimatedBalances!K11*'Int calc thru 10-31-2019'!K$9,2)</f>
        <v>6727.12</v>
      </c>
      <c r="L11" s="90">
        <f>ROUND(EstimatedBalances!L11*'Int calc thru 10-31-2019'!L$9,2)</f>
        <v>6982.78</v>
      </c>
      <c r="N11" s="322">
        <f>SUM(C11:M11)</f>
        <v>65788.264188136993</v>
      </c>
    </row>
    <row r="12" spans="1:14">
      <c r="A12" s="183" t="str">
        <f>+'Balances at 12-31-2018'!A14</f>
        <v>47WA.1862.20477</v>
      </c>
      <c r="B12" s="183" t="s">
        <v>250</v>
      </c>
      <c r="C12" s="90">
        <f>+'Balances at 12-31-2018'!D14*C9</f>
        <v>98.670558728771752</v>
      </c>
      <c r="D12" s="90">
        <f>ROUND(EstimatedBalances!D12*'Int calc thru 10-31-2019'!D9,2)</f>
        <v>89.51</v>
      </c>
      <c r="E12" s="90">
        <f>ROUND(EstimatedBalances!E12*'Int calc thru 10-31-2019'!E$9,2)</f>
        <v>99.5</v>
      </c>
      <c r="F12" s="90">
        <f>ROUND(EstimatedBalances!F12*'Int calc thru 10-31-2019'!F$9,2)</f>
        <v>101.75</v>
      </c>
      <c r="G12" s="90">
        <f>ROUND(EstimatedBalances!G12*'Int calc thru 10-31-2019'!G$9,2)</f>
        <v>105.62</v>
      </c>
      <c r="H12" s="90">
        <f>ROUND(EstimatedBalances!H12*'Int calc thru 10-31-2019'!H$9,2)</f>
        <v>102.68</v>
      </c>
      <c r="I12" s="90">
        <f>ROUND(EstimatedBalances!I12*'Int calc thru 10-31-2019'!I$9,2)</f>
        <v>107.56</v>
      </c>
      <c r="J12" s="90">
        <f>ROUND(EstimatedBalances!J12*'Int calc thru 10-31-2019'!J$9,2)</f>
        <v>108.06</v>
      </c>
      <c r="K12" s="90">
        <f>ROUND(EstimatedBalances!K12*'Int calc thru 10-31-2019'!K$9,2)</f>
        <v>105.06</v>
      </c>
      <c r="L12" s="90">
        <f>ROUND(EstimatedBalances!L12*'Int calc thru 10-31-2019'!L$9,2)</f>
        <v>109.06</v>
      </c>
      <c r="N12" s="322">
        <f t="shared" ref="N12:N20" si="1">SUM(C12:M12)</f>
        <v>1027.4705587287715</v>
      </c>
    </row>
    <row r="13" spans="1:14">
      <c r="A13" s="183" t="str">
        <f>+'Balances at 12-31-2018'!A15</f>
        <v>47WA.1862.20477</v>
      </c>
      <c r="B13" s="183" t="s">
        <v>251</v>
      </c>
      <c r="C13" s="90">
        <f>+'Balances at 12-31-2018'!D15*C9</f>
        <v>-17.094598893150923</v>
      </c>
      <c r="D13" s="90">
        <f>ROUND(EstimatedBalances!D13*'Int calc thru 10-31-2019'!D9,2)</f>
        <v>-15.51</v>
      </c>
      <c r="E13" s="90">
        <f>ROUND(EstimatedBalances!E13*'Int calc thru 10-31-2019'!E$9,2)</f>
        <v>-17.239999999999998</v>
      </c>
      <c r="F13" s="90">
        <f>ROUND(EstimatedBalances!F13*'Int calc thru 10-31-2019'!F$9,2)</f>
        <v>-17.63</v>
      </c>
      <c r="G13" s="90">
        <f>ROUND(EstimatedBalances!G13*'Int calc thru 10-31-2019'!G$9,2)</f>
        <v>-18.3</v>
      </c>
      <c r="H13" s="90">
        <f>ROUND(EstimatedBalances!H13*'Int calc thru 10-31-2019'!H$9,2)</f>
        <v>-17.79</v>
      </c>
      <c r="I13" s="90">
        <f>ROUND(EstimatedBalances!I13*'Int calc thru 10-31-2019'!I$9,2)</f>
        <v>-18.63</v>
      </c>
      <c r="J13" s="90">
        <f>ROUND(EstimatedBalances!J13*'Int calc thru 10-31-2019'!J$9,2)</f>
        <v>-18.72</v>
      </c>
      <c r="K13" s="90">
        <f>ROUND(EstimatedBalances!K13*'Int calc thru 10-31-2019'!K$9,2)</f>
        <v>-18.2</v>
      </c>
      <c r="L13" s="90">
        <f>ROUND(EstimatedBalances!L13*'Int calc thru 10-31-2019'!L$9,2)</f>
        <v>-18.89</v>
      </c>
      <c r="N13" s="322">
        <f t="shared" si="1"/>
        <v>-178.0045988931509</v>
      </c>
    </row>
    <row r="14" spans="1:14">
      <c r="A14" s="183" t="str">
        <f>+'Balances at 12-31-2018'!A16</f>
        <v>47WA.1862.20477</v>
      </c>
      <c r="B14" s="183" t="s">
        <v>252</v>
      </c>
      <c r="C14" s="90">
        <f>+'Balances at 12-31-2018'!D16*C9</f>
        <v>-2110.8559080383566</v>
      </c>
      <c r="D14" s="90">
        <f>ROUND(EstimatedBalances!D14*'Int calc thru 10-31-2019'!D9,2)</f>
        <v>-1914.97</v>
      </c>
      <c r="E14" s="90">
        <f>ROUND(EstimatedBalances!E14*'Int calc thru 10-31-2019'!E$9,2)</f>
        <v>-2128.5700000000002</v>
      </c>
      <c r="F14" s="90">
        <f>ROUND(EstimatedBalances!F14*'Int calc thru 10-31-2019'!F$9,2)</f>
        <v>-2176.81</v>
      </c>
      <c r="G14" s="90">
        <f>ROUND(EstimatedBalances!G14*'Int calc thru 10-31-2019'!G$9,2)</f>
        <v>-2259.44</v>
      </c>
      <c r="H14" s="90">
        <f>ROUND(EstimatedBalances!H14*'Int calc thru 10-31-2019'!H$9,2)</f>
        <v>-2196.6799999999998</v>
      </c>
      <c r="I14" s="90">
        <f>ROUND(EstimatedBalances!I14*'Int calc thru 10-31-2019'!I$9,2)</f>
        <v>-2300.9899999999998</v>
      </c>
      <c r="J14" s="90">
        <f>ROUND(EstimatedBalances!J14*'Int calc thru 10-31-2019'!J$9,2)</f>
        <v>-2311.7399999999998</v>
      </c>
      <c r="K14" s="90">
        <f>ROUND(EstimatedBalances!K14*'Int calc thru 10-31-2019'!K$9,2)</f>
        <v>-2247.62</v>
      </c>
      <c r="L14" s="90">
        <f>ROUND(EstimatedBalances!L14*'Int calc thru 10-31-2019'!L$9,2)</f>
        <v>-2333.04</v>
      </c>
      <c r="N14" s="322">
        <f t="shared" si="1"/>
        <v>-21980.715908038357</v>
      </c>
    </row>
    <row r="15" spans="1:14">
      <c r="A15" s="183" t="str">
        <f>+'Balances at 12-31-2018'!A17</f>
        <v>47WA.1862.20477</v>
      </c>
      <c r="B15" s="183" t="s">
        <v>253</v>
      </c>
      <c r="C15" s="90">
        <f>+'Balances at 12-31-2018'!D17*C9</f>
        <v>171.22403430136987</v>
      </c>
      <c r="D15" s="90">
        <f>ROUND(EstimatedBalances!D15*'Int calc thru 10-31-2019'!D9,2)</f>
        <v>155.33000000000001</v>
      </c>
      <c r="E15" s="90">
        <f>ROUND(EstimatedBalances!E15*'Int calc thru 10-31-2019'!E$9,2)</f>
        <v>172.66</v>
      </c>
      <c r="F15" s="90">
        <f>ROUND(EstimatedBalances!F15*'Int calc thru 10-31-2019'!F$9,2)</f>
        <v>176.57</v>
      </c>
      <c r="G15" s="90">
        <f>ROUND(EstimatedBalances!G15*'Int calc thru 10-31-2019'!G$9,2)</f>
        <v>183.28</v>
      </c>
      <c r="H15" s="90">
        <f>ROUND(EstimatedBalances!H15*'Int calc thru 10-31-2019'!H$9,2)</f>
        <v>178.19</v>
      </c>
      <c r="I15" s="90">
        <f>ROUND(EstimatedBalances!I15*'Int calc thru 10-31-2019'!I$9,2)</f>
        <v>186.65</v>
      </c>
      <c r="J15" s="90">
        <f>ROUND(EstimatedBalances!J15*'Int calc thru 10-31-2019'!J$9,2)</f>
        <v>187.52</v>
      </c>
      <c r="K15" s="90">
        <f>ROUND(EstimatedBalances!K15*'Int calc thru 10-31-2019'!K$9,2)</f>
        <v>182.32</v>
      </c>
      <c r="L15" s="90">
        <f>ROUND(EstimatedBalances!L15*'Int calc thru 10-31-2019'!L$9,2)</f>
        <v>189.25</v>
      </c>
      <c r="N15" s="322">
        <f t="shared" si="1"/>
        <v>1782.99403430137</v>
      </c>
    </row>
    <row r="16" spans="1:14">
      <c r="A16" s="183" t="str">
        <f>+'Balances at 12-31-2018'!A18</f>
        <v>47WA.1862.20480</v>
      </c>
      <c r="B16" s="183" t="str">
        <f>+'Balances at 12-31-2018'!B18</f>
        <v>503-Residential</v>
      </c>
      <c r="C16" s="90">
        <f>+'Balances at 12-31-2018'!D18*C9</f>
        <v>-10660.40310747942</v>
      </c>
      <c r="D16" s="90">
        <f>ROUND(EstimatedBalances!D16*'Int calc thru 10-31-2019'!D9,2)</f>
        <v>-7675.71</v>
      </c>
      <c r="E16" s="90">
        <f>ROUND(EstimatedBalances!E16*'Int calc thru 10-31-2019'!E$9,2)</f>
        <v>-6163.37</v>
      </c>
      <c r="F16" s="90">
        <f>ROUND(EstimatedBalances!F16*'Int calc thru 10-31-2019'!F$9,2)</f>
        <v>-3708.5</v>
      </c>
      <c r="G16" s="90">
        <f>ROUND(EstimatedBalances!G16*'Int calc thru 10-31-2019'!G$9,2)</f>
        <v>-2382.0500000000002</v>
      </c>
      <c r="H16" s="90">
        <f>ROUND(EstimatedBalances!H16*'Int calc thru 10-31-2019'!H$9,2)</f>
        <v>-1457.89</v>
      </c>
      <c r="I16" s="90">
        <f>ROUND(EstimatedBalances!I16*'Int calc thru 10-31-2019'!I$9,2)</f>
        <v>-1038.48</v>
      </c>
      <c r="J16" s="90">
        <f>ROUND(EstimatedBalances!J16*'Int calc thru 10-31-2019'!J$9,2)</f>
        <v>-654.80999999999995</v>
      </c>
      <c r="K16" s="90">
        <f>ROUND(EstimatedBalances!K16*'Int calc thru 10-31-2019'!K$9,2)</f>
        <v>-292.77999999999997</v>
      </c>
      <c r="L16" s="90">
        <f>ROUND(EstimatedBalances!L16*'Int calc thru 10-31-2019'!L$9,2)</f>
        <v>125.46</v>
      </c>
      <c r="N16" s="322">
        <f t="shared" si="1"/>
        <v>-33908.533107479416</v>
      </c>
    </row>
    <row r="17" spans="1:14">
      <c r="A17" s="183" t="str">
        <f>+'Balances at 12-31-2018'!A19</f>
        <v>47WA.1862.20480</v>
      </c>
      <c r="B17" s="183" t="str">
        <f>+'Balances at 12-31-2018'!B19</f>
        <v>504-Commercial</v>
      </c>
      <c r="C17" s="90">
        <f>+'Balances at 12-31-2018'!D19*C9</f>
        <v>-9859.7201883773014</v>
      </c>
      <c r="D17" s="90">
        <f>ROUND(EstimatedBalances!D17*'Int calc thru 10-31-2019'!D9,2)</f>
        <v>-7356.88</v>
      </c>
      <c r="E17" s="90">
        <f>ROUND(EstimatedBalances!E17*'Int calc thru 10-31-2019'!E$9,2)</f>
        <v>-6302.95</v>
      </c>
      <c r="F17" s="90">
        <f>ROUND(EstimatedBalances!F17*'Int calc thru 10-31-2019'!F$9,2)</f>
        <v>-4270.59</v>
      </c>
      <c r="G17" s="90">
        <f>ROUND(EstimatedBalances!G17*'Int calc thru 10-31-2019'!G$9,2)</f>
        <v>-3150.1</v>
      </c>
      <c r="H17" s="90">
        <f>ROUND(EstimatedBalances!H17*'Int calc thru 10-31-2019'!H$9,2)</f>
        <v>-2329.75</v>
      </c>
      <c r="I17" s="90">
        <f>ROUND(EstimatedBalances!I17*'Int calc thru 10-31-2019'!I$9,2)</f>
        <v>-1947.36</v>
      </c>
      <c r="J17" s="90">
        <f>ROUND(EstimatedBalances!J17*'Int calc thru 10-31-2019'!J$9,2)</f>
        <v>-1521.93</v>
      </c>
      <c r="K17" s="90">
        <f>ROUND(EstimatedBalances!K17*'Int calc thru 10-31-2019'!K$9,2)</f>
        <v>-1061.76</v>
      </c>
      <c r="L17" s="90">
        <f>ROUND(EstimatedBalances!L17*'Int calc thru 10-31-2019'!L$9,2)</f>
        <v>-600.79999999999995</v>
      </c>
      <c r="N17" s="322">
        <f t="shared" si="1"/>
        <v>-38401.840188377304</v>
      </c>
    </row>
    <row r="18" spans="1:14">
      <c r="A18" s="183" t="str">
        <f>+'Balances at 12-31-2018'!A20</f>
        <v>47WA.1862.20480</v>
      </c>
      <c r="B18" s="183" t="str">
        <f>+'Balances at 12-31-2018'!B20</f>
        <v>505-Industrial</v>
      </c>
      <c r="C18" s="90">
        <f>+'Balances at 12-31-2018'!D20*C9</f>
        <v>-131.51251341219182</v>
      </c>
      <c r="D18" s="90">
        <f>ROUND(EstimatedBalances!D18*'Int calc thru 10-31-2019'!D9,2)</f>
        <v>-137.6</v>
      </c>
      <c r="E18" s="90">
        <f>ROUND(EstimatedBalances!E18*'Int calc thru 10-31-2019'!E$9,2)</f>
        <v>-175.77</v>
      </c>
      <c r="F18" s="90">
        <f>ROUND(EstimatedBalances!F18*'Int calc thru 10-31-2019'!F$9,2)</f>
        <v>-205.56</v>
      </c>
      <c r="G18" s="90">
        <f>ROUND(EstimatedBalances!G18*'Int calc thru 10-31-2019'!G$9,2)</f>
        <v>-233.14</v>
      </c>
      <c r="H18" s="90">
        <f>ROUND(EstimatedBalances!H18*'Int calc thru 10-31-2019'!H$9,2)</f>
        <v>-238.02</v>
      </c>
      <c r="I18" s="90">
        <f>ROUND(EstimatedBalances!I18*'Int calc thru 10-31-2019'!I$9,2)</f>
        <v>-276.24</v>
      </c>
      <c r="J18" s="90">
        <f>ROUND(EstimatedBalances!J18*'Int calc thru 10-31-2019'!J$9,2)</f>
        <v>-285.58</v>
      </c>
      <c r="K18" s="90">
        <f>ROUND(EstimatedBalances!K18*'Int calc thru 10-31-2019'!K$9,2)</f>
        <v>-286.20999999999998</v>
      </c>
      <c r="L18" s="90">
        <f>ROUND(EstimatedBalances!L18*'Int calc thru 10-31-2019'!L$9,2)</f>
        <v>-309.39</v>
      </c>
      <c r="N18" s="322">
        <f t="shared" si="1"/>
        <v>-2279.022513412192</v>
      </c>
    </row>
    <row r="19" spans="1:14">
      <c r="A19" s="183" t="str">
        <f>+'Balances at 12-31-2018'!A21</f>
        <v>47WA.1862.20480</v>
      </c>
      <c r="B19" s="183" t="str">
        <f>+'Balances at 12-31-2018'!B21</f>
        <v>511-Large Volume</v>
      </c>
      <c r="C19" s="90">
        <f>+'Balances at 12-31-2018'!D21*C9</f>
        <v>-1813.131860493359</v>
      </c>
      <c r="D19" s="90">
        <f>ROUND(EstimatedBalances!D19*'Int calc thru 10-31-2019'!D9,2)</f>
        <v>-1280.6400000000001</v>
      </c>
      <c r="E19" s="90">
        <f>ROUND(EstimatedBalances!E19*'Int calc thru 10-31-2019'!E$9,2)</f>
        <v>-1010.24</v>
      </c>
      <c r="F19" s="90">
        <f>ROUND(EstimatedBalances!F19*'Int calc thru 10-31-2019'!F$9,2)</f>
        <v>-580.33000000000004</v>
      </c>
      <c r="G19" s="90">
        <f>ROUND(EstimatedBalances!G19*'Int calc thru 10-31-2019'!G$9,2)</f>
        <v>-281.47000000000003</v>
      </c>
      <c r="H19" s="90">
        <f>ROUND(EstimatedBalances!H19*'Int calc thru 10-31-2019'!H$9,2)</f>
        <v>-55.75</v>
      </c>
      <c r="I19" s="90">
        <f>ROUND(EstimatedBalances!I19*'Int calc thru 10-31-2019'!I$9,2)</f>
        <v>120.34</v>
      </c>
      <c r="J19" s="90">
        <f>ROUND(EstimatedBalances!J19*'Int calc thru 10-31-2019'!J$9,2)</f>
        <v>291.66000000000003</v>
      </c>
      <c r="K19" s="90">
        <f>ROUND(EstimatedBalances!K19*'Int calc thru 10-31-2019'!K$9,2)</f>
        <v>445.23</v>
      </c>
      <c r="L19" s="90">
        <f>ROUND(EstimatedBalances!L19*'Int calc thru 10-31-2019'!L$9,2)</f>
        <v>649.5</v>
      </c>
      <c r="N19" s="322">
        <f t="shared" si="1"/>
        <v>-3514.8318604933593</v>
      </c>
    </row>
    <row r="20" spans="1:14">
      <c r="A20" s="183" t="str">
        <f>+'Balances at 12-31-2018'!A22</f>
        <v>47WA.1862.20480</v>
      </c>
      <c r="B20" s="183" t="str">
        <f>+'Balances at 12-31-2018'!B22</f>
        <v>570-Interruptible Commercial</v>
      </c>
      <c r="C20" s="90">
        <f>+'Balances at 12-31-2018'!D22*C9</f>
        <v>75.520642016438359</v>
      </c>
      <c r="D20" s="90">
        <f>ROUND(EstimatedBalances!D20*'Int calc thru 10-31-2019'!D9,2)</f>
        <v>60.79</v>
      </c>
      <c r="E20" s="90">
        <f>ROUND(EstimatedBalances!E20*'Int calc thru 10-31-2019'!E$9,2)</f>
        <v>58.64</v>
      </c>
      <c r="F20" s="90">
        <f>ROUND(EstimatedBalances!F20*'Int calc thru 10-31-2019'!F$9,2)</f>
        <v>51.62</v>
      </c>
      <c r="G20" s="90">
        <f>ROUND(EstimatedBalances!G20*'Int calc thru 10-31-2019'!G$9,2)</f>
        <v>46.92</v>
      </c>
      <c r="H20" s="90">
        <f>ROUND(EstimatedBalances!H20*'Int calc thru 10-31-2019'!H$9,2)</f>
        <v>40.83</v>
      </c>
      <c r="I20" s="90">
        <f>ROUND(EstimatedBalances!I20*'Int calc thru 10-31-2019'!I$9,2)</f>
        <v>38.869999999999997</v>
      </c>
      <c r="J20" s="90">
        <f>ROUND(EstimatedBalances!J20*'Int calc thru 10-31-2019'!J$9,2)</f>
        <v>34.840000000000003</v>
      </c>
      <c r="K20" s="90">
        <f>ROUND(EstimatedBalances!K20*'Int calc thru 10-31-2019'!K$9,2)</f>
        <v>30.25</v>
      </c>
      <c r="L20" s="90">
        <f>ROUND(EstimatedBalances!L20*'Int calc thru 10-31-2019'!L$9,2)</f>
        <v>26.12</v>
      </c>
      <c r="N20" s="322">
        <f t="shared" si="1"/>
        <v>464.40064201643838</v>
      </c>
    </row>
    <row r="21" spans="1:14">
      <c r="J21" s="90"/>
      <c r="K21" s="90"/>
      <c r="L21" s="90"/>
      <c r="N21" s="322"/>
    </row>
    <row r="22" spans="1:14" ht="15.75" thickBot="1">
      <c r="A22" s="184" t="s">
        <v>27</v>
      </c>
      <c r="C22" s="292">
        <f t="shared" ref="C22:I22" si="2">SUM(C10:C20)</f>
        <v>-17929.508753510207</v>
      </c>
      <c r="D22" s="292">
        <f t="shared" si="2"/>
        <v>-12344.179999999998</v>
      </c>
      <c r="E22" s="292">
        <f t="shared" si="2"/>
        <v>-9096.5400000000009</v>
      </c>
      <c r="F22" s="292">
        <f t="shared" si="2"/>
        <v>-4114.2900000000009</v>
      </c>
      <c r="G22" s="292">
        <f t="shared" si="2"/>
        <v>-1226.1600000000008</v>
      </c>
      <c r="H22" s="292">
        <f t="shared" si="2"/>
        <v>600.49000000000035</v>
      </c>
      <c r="I22" s="292">
        <f t="shared" si="2"/>
        <v>1758.5799999999997</v>
      </c>
      <c r="J22" s="292">
        <f>SUM(J10:J20)</f>
        <v>2748.33</v>
      </c>
      <c r="K22" s="292">
        <f>SUM(K10:K20)</f>
        <v>3583.4100000000003</v>
      </c>
      <c r="L22" s="292">
        <f>SUM(L10:L20)</f>
        <v>4820.0499999999993</v>
      </c>
      <c r="M22" s="292">
        <f>SUM(M10:M16)</f>
        <v>0</v>
      </c>
      <c r="N22" s="311">
        <f>SUM(N10:N20)</f>
        <v>-31199.818753510204</v>
      </c>
    </row>
    <row r="23" spans="1:14" ht="15.75" thickTop="1"/>
    <row r="24" spans="1:14">
      <c r="A24" s="183" t="str">
        <f>+'Balances at 12-31-2018'!A26</f>
        <v>CORE Decoupling</v>
      </c>
      <c r="B24" s="183" t="str">
        <f>+'Balances at 12-31-2018'!C26</f>
        <v>Rule 21 Decoupling Mechanism</v>
      </c>
      <c r="C24" s="91">
        <f t="shared" ref="C24:J24" si="3">+C22</f>
        <v>-17929.508753510207</v>
      </c>
      <c r="D24" s="91">
        <f t="shared" si="3"/>
        <v>-12344.179999999998</v>
      </c>
      <c r="E24" s="91">
        <f t="shared" si="3"/>
        <v>-9096.5400000000009</v>
      </c>
      <c r="F24" s="91">
        <f t="shared" si="3"/>
        <v>-4114.2900000000009</v>
      </c>
      <c r="G24" s="91">
        <f t="shared" si="3"/>
        <v>-1226.1600000000008</v>
      </c>
      <c r="H24" s="91">
        <f t="shared" si="3"/>
        <v>600.49000000000035</v>
      </c>
      <c r="I24" s="91">
        <f t="shared" si="3"/>
        <v>1758.5799999999997</v>
      </c>
      <c r="J24" s="91">
        <f t="shared" si="3"/>
        <v>2748.33</v>
      </c>
      <c r="K24" s="91">
        <f t="shared" ref="K24:N24" si="4">+K22</f>
        <v>3583.4100000000003</v>
      </c>
      <c r="L24" s="91">
        <f t="shared" si="4"/>
        <v>4820.0499999999993</v>
      </c>
      <c r="M24" s="91">
        <f t="shared" si="4"/>
        <v>0</v>
      </c>
      <c r="N24" s="312">
        <f t="shared" si="4"/>
        <v>-31199.818753510204</v>
      </c>
    </row>
  </sheetData>
  <mergeCells count="4">
    <mergeCell ref="B1:K1"/>
    <mergeCell ref="B2:K2"/>
    <mergeCell ref="B3:K3"/>
    <mergeCell ref="B4:K4"/>
  </mergeCells>
  <phoneticPr fontId="28" type="noConversion"/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pageSetUpPr fitToPage="1"/>
  </sheetPr>
  <dimension ref="A1:P22"/>
  <sheetViews>
    <sheetView workbookViewId="0">
      <selection activeCell="N18" sqref="N18"/>
    </sheetView>
  </sheetViews>
  <sheetFormatPr defaultRowHeight="15"/>
  <cols>
    <col min="1" max="1" width="22.1640625" style="183" customWidth="1"/>
    <col min="2" max="2" width="11.1640625" style="183" bestFit="1" customWidth="1"/>
    <col min="3" max="3" width="12.1640625" style="183" customWidth="1"/>
    <col min="4" max="4" width="14.83203125" style="183" bestFit="1" customWidth="1"/>
    <col min="5" max="6" width="16.6640625" style="183" bestFit="1" customWidth="1"/>
    <col min="7" max="10" width="14.83203125" style="183" bestFit="1" customWidth="1"/>
    <col min="11" max="11" width="17.6640625" style="183" customWidth="1"/>
    <col min="12" max="12" width="17" style="183" customWidth="1"/>
    <col min="13" max="13" width="17.33203125" style="183" customWidth="1"/>
    <col min="14" max="14" width="20" style="183" customWidth="1"/>
    <col min="15" max="15" width="12.6640625" style="183" customWidth="1"/>
    <col min="16" max="16" width="15.6640625" style="183" bestFit="1" customWidth="1"/>
    <col min="17" max="16384" width="9.33203125" style="183"/>
  </cols>
  <sheetData>
    <row r="1" spans="1:16">
      <c r="A1" s="579" t="s">
        <v>34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</row>
    <row r="2" spans="1:16">
      <c r="A2" s="579" t="s">
        <v>286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6">
      <c r="A3" s="580" t="s">
        <v>283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</row>
    <row r="4" spans="1:16">
      <c r="A4" s="579" t="s">
        <v>36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418"/>
    </row>
    <row r="5" spans="1:16">
      <c r="A5" s="192"/>
      <c r="M5" s="419"/>
      <c r="N5" s="417"/>
      <c r="O5" s="420"/>
    </row>
    <row r="6" spans="1:16">
      <c r="A6" s="2"/>
      <c r="M6" s="419"/>
      <c r="N6" s="417"/>
      <c r="O6" s="420"/>
    </row>
    <row r="7" spans="1:16">
      <c r="A7" s="421"/>
      <c r="K7" s="416"/>
      <c r="L7" s="416"/>
      <c r="M7" s="416"/>
      <c r="N7" s="417"/>
      <c r="O7" s="422"/>
    </row>
    <row r="10" spans="1:16">
      <c r="C10" s="546">
        <v>43405</v>
      </c>
      <c r="D10" s="309" t="s">
        <v>223</v>
      </c>
      <c r="E10" s="309" t="s">
        <v>223</v>
      </c>
      <c r="F10" s="309" t="s">
        <v>223</v>
      </c>
      <c r="G10" s="309" t="s">
        <v>223</v>
      </c>
      <c r="H10" s="309" t="s">
        <v>223</v>
      </c>
      <c r="I10" s="309" t="s">
        <v>223</v>
      </c>
      <c r="J10" s="309" t="s">
        <v>223</v>
      </c>
      <c r="K10" s="309" t="s">
        <v>223</v>
      </c>
      <c r="L10" s="309" t="s">
        <v>223</v>
      </c>
      <c r="M10" s="309" t="s">
        <v>223</v>
      </c>
      <c r="N10" s="423" t="s">
        <v>223</v>
      </c>
    </row>
    <row r="11" spans="1:16">
      <c r="C11" s="310" t="s">
        <v>224</v>
      </c>
      <c r="D11" s="273">
        <v>43466</v>
      </c>
      <c r="E11" s="273">
        <v>43497</v>
      </c>
      <c r="F11" s="273">
        <v>43525</v>
      </c>
      <c r="G11" s="273">
        <v>43556</v>
      </c>
      <c r="H11" s="273">
        <v>43586</v>
      </c>
      <c r="I11" s="273">
        <v>43617</v>
      </c>
      <c r="J11" s="273">
        <v>43647</v>
      </c>
      <c r="K11" s="273">
        <v>43678</v>
      </c>
      <c r="L11" s="273">
        <v>43709</v>
      </c>
      <c r="M11" s="273">
        <v>43739</v>
      </c>
      <c r="N11" s="423" t="s">
        <v>225</v>
      </c>
    </row>
    <row r="12" spans="1:16">
      <c r="C12" s="275" t="s">
        <v>226</v>
      </c>
      <c r="D12" s="82" t="s">
        <v>227</v>
      </c>
      <c r="E12" s="82" t="s">
        <v>227</v>
      </c>
      <c r="F12" s="82" t="s">
        <v>227</v>
      </c>
      <c r="G12" s="82" t="s">
        <v>227</v>
      </c>
      <c r="H12" s="82" t="s">
        <v>227</v>
      </c>
      <c r="I12" s="82" t="s">
        <v>227</v>
      </c>
      <c r="J12" s="82" t="s">
        <v>227</v>
      </c>
      <c r="K12" s="82" t="s">
        <v>227</v>
      </c>
      <c r="L12" s="82" t="s">
        <v>227</v>
      </c>
      <c r="M12" s="82" t="s">
        <v>227</v>
      </c>
      <c r="N12" s="547">
        <v>43769</v>
      </c>
    </row>
    <row r="13" spans="1:16">
      <c r="A13" s="183" t="s">
        <v>233</v>
      </c>
      <c r="B13" s="183" t="s">
        <v>24</v>
      </c>
      <c r="C13" s="424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6">
      <c r="A14" s="183" t="s">
        <v>248</v>
      </c>
      <c r="B14" s="183" t="s">
        <v>24</v>
      </c>
      <c r="C14" s="424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6">
      <c r="B15" s="534">
        <v>503</v>
      </c>
      <c r="C15" s="424">
        <v>2.5850000000000001E-2</v>
      </c>
      <c r="D15" s="90">
        <f>+$C$15*'Test Period Volumes'!$C12</f>
        <v>502151.21715000004</v>
      </c>
      <c r="E15" s="90">
        <f>+$C$15*'Test Period Volumes'!$C13</f>
        <v>538364.84405000007</v>
      </c>
      <c r="F15" s="90">
        <f>+$C$15*'Test Period Volumes'!$C14</f>
        <v>579212.57460000005</v>
      </c>
      <c r="G15" s="90">
        <f>+$C$15*'Test Period Volumes'!$C15</f>
        <v>316981.95430000004</v>
      </c>
      <c r="H15" s="90">
        <f>+$C$15*'Test Period Volumes'!$C16</f>
        <v>191537.35865000001</v>
      </c>
      <c r="I15" s="90">
        <f>+$C$15*'Test Period Volumes'!$C17</f>
        <v>104607.32425000001</v>
      </c>
      <c r="J15" s="90">
        <f>+$C$15*'Test Period Volumes'!$C18</f>
        <v>83173.072950000002</v>
      </c>
      <c r="K15" s="90">
        <f>+$C$15*'Test Period Volumes'!$C20</f>
        <v>76066.374255200513</v>
      </c>
      <c r="L15" s="90">
        <f>+C15*'Test Period Volumes'!C21</f>
        <v>91918.577034534595</v>
      </c>
      <c r="M15" s="90">
        <f>+C15*'Test Period Volumes'!C22</f>
        <v>188412.73323309972</v>
      </c>
      <c r="N15" s="90">
        <f>SUM(D15:M15)</f>
        <v>2672426.0304728351</v>
      </c>
      <c r="P15" s="91"/>
    </row>
    <row r="16" spans="1:16">
      <c r="B16" s="534">
        <v>504</v>
      </c>
      <c r="C16" s="424">
        <v>3.0450000000000001E-2</v>
      </c>
      <c r="D16" s="90">
        <f>+$C$16*'Test Period Volumes'!D12</f>
        <v>399591.75690000004</v>
      </c>
      <c r="E16" s="90">
        <f>+$C$16*'Test Period Volumes'!D13</f>
        <v>426082.37385000003</v>
      </c>
      <c r="F16" s="90">
        <f>+$C$16*'Test Period Volumes'!D14</f>
        <v>485595.61995000002</v>
      </c>
      <c r="G16" s="90">
        <f>+$C$16*'Test Period Volumes'!D15</f>
        <v>277097.25330000004</v>
      </c>
      <c r="H16" s="90">
        <f>+$C$16*'Test Period Volumes'!D16</f>
        <v>163601.3946</v>
      </c>
      <c r="I16" s="90">
        <f>+$C$16*'Test Period Volumes'!D17</f>
        <v>105543.62805</v>
      </c>
      <c r="J16" s="90">
        <f>+$C$16*'Test Period Volumes'!D18</f>
        <v>93021.552750000003</v>
      </c>
      <c r="K16" s="90">
        <f>+$C$16*'Test Period Volumes'!D20</f>
        <v>92456.620464619366</v>
      </c>
      <c r="L16" s="90">
        <f>+C16*'Test Period Volumes'!D21</f>
        <v>107317.7750193508</v>
      </c>
      <c r="M16" s="90">
        <f>+C16*'Test Period Volumes'!D22</f>
        <v>178162.06472903237</v>
      </c>
      <c r="N16" s="90">
        <f t="shared" ref="N16:N19" si="0">SUM(D16:M16)</f>
        <v>2328470.0396130029</v>
      </c>
      <c r="P16" s="91"/>
    </row>
    <row r="17" spans="1:16">
      <c r="B17" s="534">
        <v>505</v>
      </c>
      <c r="C17" s="424">
        <v>-3.2100000000000002E-3</v>
      </c>
      <c r="D17" s="90">
        <f>+$C$17*'Test Period Volumes'!E12</f>
        <v>-4602.2251500000002</v>
      </c>
      <c r="E17" s="90">
        <f>+$C$17*'Test Period Volumes'!E13</f>
        <v>-5187.8382900000006</v>
      </c>
      <c r="F17" s="90">
        <f>+$C$17*'Test Period Volumes'!E14</f>
        <v>-5761.0800900000004</v>
      </c>
      <c r="G17" s="90">
        <f>+$C$17*'Test Period Volumes'!E15</f>
        <v>-4273.5051000000003</v>
      </c>
      <c r="H17" s="90">
        <f>+$C$17*'Test Period Volumes'!E16</f>
        <v>-2535.5115900000001</v>
      </c>
      <c r="I17" s="90">
        <f>+$C$17*'Test Period Volumes'!E14</f>
        <v>-5761.0800900000004</v>
      </c>
      <c r="J17" s="90">
        <f>+$C$17*'Test Period Volumes'!E18</f>
        <v>-1724.3092800000002</v>
      </c>
      <c r="K17" s="90">
        <f>+$C$17*'Test Period Volumes'!E20</f>
        <v>-1891.0917581011984</v>
      </c>
      <c r="L17" s="90">
        <f>+C17*'Test Period Volumes'!E21</f>
        <v>-2633.0111729624637</v>
      </c>
      <c r="M17" s="90">
        <f>+C17*'Test Period Volumes'!E22</f>
        <v>-4547.8024781527574</v>
      </c>
      <c r="N17" s="90">
        <f t="shared" si="0"/>
        <v>-38917.454999216425</v>
      </c>
      <c r="P17" s="91"/>
    </row>
    <row r="18" spans="1:16">
      <c r="B18" s="534">
        <v>511</v>
      </c>
      <c r="C18" s="424">
        <v>5.0680000000000003E-2</v>
      </c>
      <c r="D18" s="90">
        <f>+$C$18*'Test Period Volumes'!F12</f>
        <v>91659.645280000012</v>
      </c>
      <c r="E18" s="90">
        <f>+$C$18*'Test Period Volumes'!F13</f>
        <v>93933.403480000008</v>
      </c>
      <c r="F18" s="90">
        <f>+$C$18*'Test Period Volumes'!F14</f>
        <v>101084.04740000001</v>
      </c>
      <c r="G18" s="90">
        <f>+$C$18*'Test Period Volumes'!F15</f>
        <v>69324.563840000003</v>
      </c>
      <c r="H18" s="90">
        <f>+$C$18*'Test Period Volumes'!F16</f>
        <v>48645.958200000001</v>
      </c>
      <c r="I18" s="90">
        <f>+$C$18*'Test Period Volumes'!F17</f>
        <v>38262.690480000005</v>
      </c>
      <c r="J18" s="90">
        <f>+$C$18*'Test Period Volumes'!F18</f>
        <v>36554.977200000001</v>
      </c>
      <c r="K18" s="90">
        <f>+$C$18*'Test Period Volumes'!F20</f>
        <v>35761.181420134395</v>
      </c>
      <c r="L18" s="90">
        <f>+C18*'Test Period Volumes'!F21</f>
        <v>40107.844728585485</v>
      </c>
      <c r="M18" s="90">
        <f>+C18*'Test Period Volumes'!F22</f>
        <v>78077.680624873014</v>
      </c>
      <c r="N18" s="90">
        <f t="shared" si="0"/>
        <v>633411.99265359296</v>
      </c>
      <c r="P18" s="91"/>
    </row>
    <row r="19" spans="1:16">
      <c r="B19" s="534">
        <v>570</v>
      </c>
      <c r="C19" s="424">
        <v>-7.5100000000000002E-3</v>
      </c>
      <c r="D19" s="90">
        <f>+$C$19*'Test Period Volumes'!G12</f>
        <v>-1943.72318</v>
      </c>
      <c r="E19" s="90">
        <f>+$C$19*'Test Period Volumes'!G13</f>
        <v>-2029.0818400000001</v>
      </c>
      <c r="F19" s="90">
        <f>+$C$19*'Test Period Volumes'!G14</f>
        <v>-1863.5689500000001</v>
      </c>
      <c r="G19" s="90">
        <f>+$C$19*'Test Period Volumes'!G15</f>
        <v>-1438.8784499999999</v>
      </c>
      <c r="H19" s="90">
        <f>+$C$19*'Test Period Volumes'!G16</f>
        <v>-1069.47657</v>
      </c>
      <c r="I19" s="90">
        <f>+$C$19*'Test Period Volumes'!G17</f>
        <v>-833.51237000000003</v>
      </c>
      <c r="J19" s="90">
        <f>+$C$19*'Test Period Volumes'!G18</f>
        <v>-902.63441</v>
      </c>
      <c r="K19" s="90">
        <f>+$C$19*'Test Period Volumes'!G20</f>
        <v>-801.70881258378051</v>
      </c>
      <c r="L19" s="90">
        <f>+C19*'Test Period Volumes'!G21</f>
        <v>-1129.6370780843522</v>
      </c>
      <c r="M19" s="90">
        <f>+C19*'Test Period Volumes'!G22</f>
        <v>-2039.7460491322331</v>
      </c>
      <c r="N19" s="90">
        <f t="shared" si="0"/>
        <v>-14051.967709800365</v>
      </c>
    </row>
    <row r="20" spans="1:16" ht="15.75" thickBot="1">
      <c r="A20" s="184" t="s">
        <v>228</v>
      </c>
      <c r="C20" s="184"/>
      <c r="D20" s="425">
        <f t="shared" ref="D20:J20" si="1">SUM(D13:D19)</f>
        <v>986856.67100000021</v>
      </c>
      <c r="E20" s="425">
        <f t="shared" si="1"/>
        <v>1051163.7012499999</v>
      </c>
      <c r="F20" s="425">
        <f t="shared" si="1"/>
        <v>1158267.5929100001</v>
      </c>
      <c r="G20" s="425">
        <f t="shared" si="1"/>
        <v>657691.38789000013</v>
      </c>
      <c r="H20" s="425">
        <f t="shared" si="1"/>
        <v>400179.72328999999</v>
      </c>
      <c r="I20" s="425">
        <f t="shared" si="1"/>
        <v>241819.05031999998</v>
      </c>
      <c r="J20" s="425">
        <f t="shared" si="1"/>
        <v>210122.65921000001</v>
      </c>
      <c r="K20" s="425">
        <f>SUM(K13:K19)</f>
        <v>201591.37556926926</v>
      </c>
      <c r="L20" s="425">
        <f>SUM(L13:L19)</f>
        <v>235581.54853142408</v>
      </c>
      <c r="M20" s="425">
        <f>SUM(M13:M19)</f>
        <v>438064.93005972012</v>
      </c>
      <c r="N20" s="425">
        <f>SUM(N13:N19)</f>
        <v>5581338.6400304139</v>
      </c>
      <c r="P20" s="91"/>
    </row>
    <row r="21" spans="1:16" ht="15.75" thickTop="1"/>
    <row r="22" spans="1:16">
      <c r="A22" s="183" t="str">
        <f>+'Int calc thru 10-31-2019'!A24</f>
        <v>CORE Decoupling</v>
      </c>
      <c r="D22" s="91">
        <f t="shared" ref="D22:J22" si="2">+D20</f>
        <v>986856.67100000021</v>
      </c>
      <c r="E22" s="91">
        <f t="shared" si="2"/>
        <v>1051163.7012499999</v>
      </c>
      <c r="F22" s="91">
        <f t="shared" si="2"/>
        <v>1158267.5929100001</v>
      </c>
      <c r="G22" s="91">
        <f t="shared" si="2"/>
        <v>657691.38789000013</v>
      </c>
      <c r="H22" s="91">
        <f t="shared" si="2"/>
        <v>400179.72328999999</v>
      </c>
      <c r="I22" s="91">
        <f t="shared" si="2"/>
        <v>241819.05031999998</v>
      </c>
      <c r="J22" s="91">
        <f t="shared" si="2"/>
        <v>210122.65921000001</v>
      </c>
      <c r="K22" s="91">
        <f>+K20</f>
        <v>201591.37556926926</v>
      </c>
      <c r="L22" s="91">
        <f>+L20</f>
        <v>235581.54853142408</v>
      </c>
      <c r="M22" s="91">
        <f t="shared" ref="M22" si="3">+M20</f>
        <v>438064.93005972012</v>
      </c>
      <c r="N22" s="91">
        <f>+N20</f>
        <v>5581338.6400304139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O24"/>
  <sheetViews>
    <sheetView zoomScaleNormal="100" workbookViewId="0">
      <selection activeCell="N18" sqref="N18"/>
    </sheetView>
  </sheetViews>
  <sheetFormatPr defaultRowHeight="15"/>
  <cols>
    <col min="1" max="1" width="19.33203125" style="183" bestFit="1" customWidth="1"/>
    <col min="2" max="2" width="32.5" style="183" bestFit="1" customWidth="1"/>
    <col min="3" max="4" width="17.6640625" style="183" bestFit="1" customWidth="1"/>
    <col min="5" max="5" width="17.6640625" style="183" customWidth="1"/>
    <col min="6" max="7" width="15.6640625" style="183" bestFit="1" customWidth="1"/>
    <col min="8" max="11" width="14.83203125" style="183" bestFit="1" customWidth="1"/>
    <col min="12" max="13" width="16.6640625" style="183" bestFit="1" customWidth="1"/>
    <col min="14" max="14" width="7.1640625" style="183" bestFit="1" customWidth="1"/>
    <col min="15" max="15" width="16.6640625" style="183" bestFit="1" customWidth="1"/>
    <col min="16" max="16384" width="9.33203125" style="183"/>
  </cols>
  <sheetData>
    <row r="1" spans="1:15">
      <c r="B1" s="579" t="s">
        <v>34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</row>
    <row r="2" spans="1:15">
      <c r="B2" s="595" t="s">
        <v>284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5">
      <c r="B3" s="580" t="s">
        <v>285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</row>
    <row r="4" spans="1:15">
      <c r="B4" s="579" t="s">
        <v>36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</row>
    <row r="5" spans="1:15">
      <c r="A5" s="593"/>
      <c r="B5" s="594"/>
    </row>
    <row r="7" spans="1:15">
      <c r="C7" s="548">
        <v>43465</v>
      </c>
      <c r="D7" s="548">
        <v>43496</v>
      </c>
      <c r="E7" s="548">
        <v>43524</v>
      </c>
      <c r="F7" s="548">
        <v>43555</v>
      </c>
      <c r="G7" s="548">
        <v>43585</v>
      </c>
      <c r="H7" s="548">
        <v>43616</v>
      </c>
      <c r="I7" s="548">
        <v>43646</v>
      </c>
      <c r="J7" s="548">
        <v>43677</v>
      </c>
      <c r="K7" s="548">
        <v>43708</v>
      </c>
      <c r="L7" s="548">
        <v>43738</v>
      </c>
      <c r="M7" s="548">
        <v>43769</v>
      </c>
      <c r="N7" s="273"/>
      <c r="O7" s="81" t="s">
        <v>107</v>
      </c>
    </row>
    <row r="8" spans="1:15">
      <c r="A8" s="2" t="s">
        <v>19</v>
      </c>
      <c r="B8" s="80" t="s">
        <v>184</v>
      </c>
      <c r="C8" s="310" t="s">
        <v>18</v>
      </c>
      <c r="D8" s="310" t="s">
        <v>18</v>
      </c>
      <c r="E8" s="310" t="s">
        <v>18</v>
      </c>
      <c r="F8" s="310" t="s">
        <v>18</v>
      </c>
      <c r="G8" s="310" t="s">
        <v>18</v>
      </c>
      <c r="H8" s="310" t="s">
        <v>18</v>
      </c>
      <c r="I8" s="310" t="s">
        <v>18</v>
      </c>
      <c r="J8" s="310" t="s">
        <v>18</v>
      </c>
      <c r="K8" s="310" t="s">
        <v>18</v>
      </c>
      <c r="L8" s="310" t="s">
        <v>18</v>
      </c>
      <c r="M8" s="310" t="s">
        <v>18</v>
      </c>
      <c r="N8" s="310"/>
      <c r="O8" s="310" t="s">
        <v>108</v>
      </c>
    </row>
    <row r="9" spans="1:15">
      <c r="A9" s="35" t="s">
        <v>21</v>
      </c>
      <c r="C9" s="310" t="s">
        <v>20</v>
      </c>
      <c r="D9" s="310" t="s">
        <v>20</v>
      </c>
      <c r="E9" s="310" t="s">
        <v>20</v>
      </c>
      <c r="F9" s="310" t="s">
        <v>20</v>
      </c>
      <c r="G9" s="310" t="s">
        <v>20</v>
      </c>
      <c r="H9" s="310" t="s">
        <v>20</v>
      </c>
      <c r="I9" s="310" t="s">
        <v>20</v>
      </c>
      <c r="J9" s="310" t="s">
        <v>20</v>
      </c>
      <c r="K9" s="310" t="s">
        <v>20</v>
      </c>
      <c r="L9" s="310" t="s">
        <v>20</v>
      </c>
      <c r="M9" s="310" t="s">
        <v>20</v>
      </c>
      <c r="N9" s="310"/>
      <c r="O9" s="548">
        <v>43769</v>
      </c>
    </row>
    <row r="10" spans="1:15">
      <c r="C10" s="35" t="s">
        <v>21</v>
      </c>
      <c r="D10" s="35" t="s">
        <v>21</v>
      </c>
      <c r="E10" s="35" t="s">
        <v>21</v>
      </c>
      <c r="F10" s="35" t="s">
        <v>21</v>
      </c>
      <c r="G10" s="35" t="s">
        <v>21</v>
      </c>
      <c r="H10" s="35" t="s">
        <v>21</v>
      </c>
      <c r="I10" s="35" t="s">
        <v>21</v>
      </c>
      <c r="J10" s="35" t="s">
        <v>21</v>
      </c>
      <c r="K10" s="35" t="s">
        <v>21</v>
      </c>
      <c r="L10" s="35" t="s">
        <v>21</v>
      </c>
      <c r="M10" s="35"/>
      <c r="N10" s="35"/>
      <c r="O10" s="35"/>
    </row>
    <row r="11" spans="1:15">
      <c r="A11" s="534" t="str">
        <f>+'Int calc thru 10-31-2019'!A11</f>
        <v>47WA.1862.20477</v>
      </c>
      <c r="B11" s="183" t="str">
        <f>+'Int calc thru 10-31-2019'!B11</f>
        <v>503-Residential</v>
      </c>
      <c r="C11" s="479">
        <f>+'Balances at 12-31-2018'!D13</f>
        <v>1436041.1500000013</v>
      </c>
      <c r="D11" s="479">
        <f>+C11+'Int calc thru 10-31-2019'!C11</f>
        <v>1442358.9441881382</v>
      </c>
      <c r="E11" s="280">
        <f>+D11+'Int calc thru 10-31-2019'!D11</f>
        <v>1448090.4441881382</v>
      </c>
      <c r="F11" s="280">
        <f>+E11+'Int calc thru 10-31-2019'!E11</f>
        <v>1454461.2441881383</v>
      </c>
      <c r="G11" s="280">
        <f>+F11+'Int calc thru 10-31-2019'!F11</f>
        <v>1460976.4341881382</v>
      </c>
      <c r="H11" s="280">
        <f>+G11+'Int calc thru 10-31-2019'!G11</f>
        <v>1467738.9541881382</v>
      </c>
      <c r="I11" s="280">
        <f>+H11+'Int calc thru 10-31-2019'!H11</f>
        <v>1474313.6241881382</v>
      </c>
      <c r="J11" s="280">
        <f>+I11+'Int calc thru 10-31-2019'!I11</f>
        <v>1481200.4841881383</v>
      </c>
      <c r="K11" s="280">
        <f>+J11+'Int calc thru 10-31-2019'!J11</f>
        <v>1488119.5141881383</v>
      </c>
      <c r="L11" s="280">
        <f>+K11+'Int calc thru 10-31-2019'!K11</f>
        <v>1494846.6341881384</v>
      </c>
      <c r="M11" s="280">
        <f>+L11+'Int calc thru 10-31-2019'!L11</f>
        <v>1501829.4141881384</v>
      </c>
      <c r="N11" s="280"/>
      <c r="O11" s="280">
        <f t="shared" ref="O11:O20" si="0">+M11-C11</f>
        <v>65788.264188137138</v>
      </c>
    </row>
    <row r="12" spans="1:15">
      <c r="A12" s="534" t="str">
        <f>+'Int calc thru 10-31-2019'!A12</f>
        <v>47WA.1862.20477</v>
      </c>
      <c r="B12" s="183" t="str">
        <f>+'Int calc thru 10-31-2019'!B12</f>
        <v>504-Commercial</v>
      </c>
      <c r="C12" s="479">
        <f>+'Balances at 12-31-2018'!D14</f>
        <v>22427.920000001053</v>
      </c>
      <c r="D12" s="479">
        <f>+C12+'Int calc thru 10-31-2019'!C12</f>
        <v>22526.590558729826</v>
      </c>
      <c r="E12" s="280">
        <f>+D12+'Int calc thru 10-31-2019'!D12</f>
        <v>22616.100558729824</v>
      </c>
      <c r="F12" s="280">
        <f>+E12+'Int calc thru 10-31-2019'!E12</f>
        <v>22715.600558729824</v>
      </c>
      <c r="G12" s="280">
        <f>+F12+'Int calc thru 10-31-2019'!F12</f>
        <v>22817.350558729824</v>
      </c>
      <c r="H12" s="280">
        <f>+G12+'Int calc thru 10-31-2019'!G12</f>
        <v>22922.970558729823</v>
      </c>
      <c r="I12" s="280">
        <f>+H12+'Int calc thru 10-31-2019'!H12</f>
        <v>23025.650558729823</v>
      </c>
      <c r="J12" s="280">
        <f>+I12+'Int calc thru 10-31-2019'!I12</f>
        <v>23133.210558729825</v>
      </c>
      <c r="K12" s="280">
        <f>+J12+'Int calc thru 10-31-2019'!J12</f>
        <v>23241.270558729826</v>
      </c>
      <c r="L12" s="280">
        <f>+K12+'Int calc thru 10-31-2019'!K12</f>
        <v>23346.330558729827</v>
      </c>
      <c r="M12" s="280">
        <f>+L12+'Int calc thru 10-31-2019'!L12</f>
        <v>23455.390558729829</v>
      </c>
      <c r="N12" s="280"/>
      <c r="O12" s="280">
        <f t="shared" si="0"/>
        <v>1027.4705587287754</v>
      </c>
    </row>
    <row r="13" spans="1:15">
      <c r="A13" s="534" t="str">
        <f>+'Int calc thru 10-31-2019'!A13</f>
        <v>47WA.1862.20477</v>
      </c>
      <c r="B13" s="183" t="str">
        <f>+'Int calc thru 10-31-2019'!B13</f>
        <v>505-Industrial</v>
      </c>
      <c r="C13" s="479">
        <f>+'Balances at 12-31-2018'!D15</f>
        <v>-3885.6200000000545</v>
      </c>
      <c r="D13" s="479">
        <f>+C13+'Int calc thru 10-31-2019'!C13</f>
        <v>-3902.7145988932052</v>
      </c>
      <c r="E13" s="280">
        <f>+D13+'Int calc thru 10-31-2019'!D13</f>
        <v>-3918.2245988932054</v>
      </c>
      <c r="F13" s="280">
        <f>+E13+'Int calc thru 10-31-2019'!E13</f>
        <v>-3935.4645988932052</v>
      </c>
      <c r="G13" s="280">
        <f>+F13+'Int calc thru 10-31-2019'!F13</f>
        <v>-3953.0945988932053</v>
      </c>
      <c r="H13" s="280">
        <f>+G13+'Int calc thru 10-31-2019'!G13</f>
        <v>-3971.3945988932055</v>
      </c>
      <c r="I13" s="280">
        <f>+H13+'Int calc thru 10-31-2019'!H13</f>
        <v>-3989.1845988932055</v>
      </c>
      <c r="J13" s="280">
        <f>+I13+'Int calc thru 10-31-2019'!I13</f>
        <v>-4007.8145988932056</v>
      </c>
      <c r="K13" s="280">
        <f>+J13+'Int calc thru 10-31-2019'!J13</f>
        <v>-4026.5345988932054</v>
      </c>
      <c r="L13" s="280">
        <f>+K13+'Int calc thru 10-31-2019'!K13</f>
        <v>-4044.7345988932052</v>
      </c>
      <c r="M13" s="280">
        <f>+L13+'Int calc thru 10-31-2019'!L13</f>
        <v>-4063.6245988932051</v>
      </c>
      <c r="N13" s="280"/>
      <c r="O13" s="280">
        <f t="shared" si="0"/>
        <v>-178.00459889315061</v>
      </c>
    </row>
    <row r="14" spans="1:15">
      <c r="A14" s="534" t="str">
        <f>+'Int calc thru 10-31-2019'!A14</f>
        <v>47WA.1862.20477</v>
      </c>
      <c r="B14" s="183" t="str">
        <f>+'Int calc thru 10-31-2019'!B14</f>
        <v>511-Large Volume</v>
      </c>
      <c r="C14" s="479">
        <f>+'Balances at 12-31-2018'!D16</f>
        <v>-479799.7300000001</v>
      </c>
      <c r="D14" s="479">
        <f>+C14+'Int calc thru 10-31-2019'!C14</f>
        <v>-481910.58590803843</v>
      </c>
      <c r="E14" s="280">
        <f>+D14+'Int calc thru 10-31-2019'!D14</f>
        <v>-483825.5559080384</v>
      </c>
      <c r="F14" s="280">
        <f>+E14+'Int calc thru 10-31-2019'!E14</f>
        <v>-485954.1259080384</v>
      </c>
      <c r="G14" s="280">
        <f>+F14+'Int calc thru 10-31-2019'!F14</f>
        <v>-488130.9359080384</v>
      </c>
      <c r="H14" s="280">
        <f>+G14+'Int calc thru 10-31-2019'!G14</f>
        <v>-490390.3759080384</v>
      </c>
      <c r="I14" s="280">
        <f>+H14+'Int calc thru 10-31-2019'!H14</f>
        <v>-492587.0559080384</v>
      </c>
      <c r="J14" s="280">
        <f>+I14+'Int calc thru 10-31-2019'!I14</f>
        <v>-494888.04590803839</v>
      </c>
      <c r="K14" s="280">
        <f>+J14+'Int calc thru 10-31-2019'!J14</f>
        <v>-497199.78590803838</v>
      </c>
      <c r="L14" s="280">
        <f>+K14+'Int calc thru 10-31-2019'!K14</f>
        <v>-499447.40590803837</v>
      </c>
      <c r="M14" s="280">
        <f>+L14+'Int calc thru 10-31-2019'!L14</f>
        <v>-501780.44590803835</v>
      </c>
      <c r="N14" s="280"/>
      <c r="O14" s="280">
        <f t="shared" si="0"/>
        <v>-21980.715908038255</v>
      </c>
    </row>
    <row r="15" spans="1:15">
      <c r="A15" s="534" t="str">
        <f>+'Int calc thru 10-31-2019'!A15</f>
        <v>47WA.1862.20477</v>
      </c>
      <c r="B15" s="183" t="str">
        <f>+'Int calc thru 10-31-2019'!B15</f>
        <v>570-Interruptible Commercial</v>
      </c>
      <c r="C15" s="479">
        <f>+'Balances at 12-31-2018'!D17</f>
        <v>38919.4</v>
      </c>
      <c r="D15" s="479">
        <f>+C15+'Int calc thru 10-31-2019'!C15</f>
        <v>39090.624034301371</v>
      </c>
      <c r="E15" s="280">
        <f>+D15+'Int calc thru 10-31-2019'!D15</f>
        <v>39245.954034301372</v>
      </c>
      <c r="F15" s="280">
        <f>+E15+'Int calc thru 10-31-2019'!E15</f>
        <v>39418.614034301376</v>
      </c>
      <c r="G15" s="280">
        <f>+F15+'Int calc thru 10-31-2019'!F15</f>
        <v>39595.184034301376</v>
      </c>
      <c r="H15" s="280">
        <f>+G15+'Int calc thru 10-31-2019'!G15</f>
        <v>39778.464034301374</v>
      </c>
      <c r="I15" s="280">
        <f>+H15+'Int calc thru 10-31-2019'!H15</f>
        <v>39956.654034301377</v>
      </c>
      <c r="J15" s="280">
        <f>+I15+'Int calc thru 10-31-2019'!I15</f>
        <v>40143.304034301378</v>
      </c>
      <c r="K15" s="280">
        <f>+J15+'Int calc thru 10-31-2019'!J15</f>
        <v>40330.824034301375</v>
      </c>
      <c r="L15" s="280">
        <f>+K15+'Int calc thru 10-31-2019'!K15</f>
        <v>40513.144034301375</v>
      </c>
      <c r="M15" s="280">
        <f>+L15+'Int calc thru 10-31-2019'!L15</f>
        <v>40702.394034301375</v>
      </c>
      <c r="N15" s="280"/>
      <c r="O15" s="280">
        <f t="shared" si="0"/>
        <v>1782.9940343013732</v>
      </c>
    </row>
    <row r="16" spans="1:15">
      <c r="A16" s="534" t="str">
        <f>+'Int calc thru 10-31-2019'!A16</f>
        <v>47WA.1862.20480</v>
      </c>
      <c r="B16" s="183" t="str">
        <f>+'Int calc thru 10-31-2019'!B16</f>
        <v>503-Residential</v>
      </c>
      <c r="C16" s="479">
        <f>+'Balances at 12-31-2018'!D18</f>
        <v>-2423120.6465499992</v>
      </c>
      <c r="D16" s="479">
        <f>+C16+'Int calc thru 10-31-2019'!C16+'Amort Calc thru 10-31-2019'!D15</f>
        <v>-1931629.8325074785</v>
      </c>
      <c r="E16" s="280">
        <f>+D16+'Int calc thru 10-31-2019'!D16+'Amort Calc thru 10-31-2019'!E15</f>
        <v>-1400940.6984574785</v>
      </c>
      <c r="F16" s="280">
        <f>+E16+'Int calc thru 10-31-2019'!E16+'Amort Calc thru 10-31-2019'!F15</f>
        <v>-827891.49385747861</v>
      </c>
      <c r="G16" s="280">
        <f>+F16+'Int calc thru 10-31-2019'!F16+'Amort Calc thru 10-31-2019'!G15</f>
        <v>-514618.03955747857</v>
      </c>
      <c r="H16" s="280">
        <f>+G16+'Int calc thru 10-31-2019'!G16+'Amort Calc thru 10-31-2019'!H15</f>
        <v>-325462.73090747854</v>
      </c>
      <c r="I16" s="280">
        <f>+H16+'Int calc thru 10-31-2019'!H16+'Amort Calc thru 10-31-2019'!I15</f>
        <v>-222313.29665747855</v>
      </c>
      <c r="J16" s="280">
        <f>+I16+'Int calc thru 10-31-2019'!I16+'Amort Calc thru 10-31-2019'!J15</f>
        <v>-140178.70370747856</v>
      </c>
      <c r="K16" s="280">
        <f>+J16+'Int calc thru 10-31-2019'!J16+'Amort Calc thru 10-31-2019'!K15</f>
        <v>-64767.139452278047</v>
      </c>
      <c r="L16" s="280">
        <f>+K16+'Int calc thru 10-31-2019'!K16+'Amort Calc thru 10-31-2019'!L15</f>
        <v>26858.65758225655</v>
      </c>
      <c r="M16" s="280">
        <f>+L16+'Int calc thru 10-31-2019'!L16+'Amort Calc thru 10-31-2019'!M15</f>
        <v>215396.85081535627</v>
      </c>
      <c r="N16" s="280"/>
      <c r="O16" s="280">
        <f t="shared" si="0"/>
        <v>2638517.4973653555</v>
      </c>
    </row>
    <row r="17" spans="1:15">
      <c r="A17" s="534" t="s">
        <v>248</v>
      </c>
      <c r="B17" s="183" t="str">
        <f>+B12</f>
        <v>504-Commercial</v>
      </c>
      <c r="C17" s="479">
        <f>+'Balances at 12-31-2018'!D19</f>
        <v>-2241124.5913300007</v>
      </c>
      <c r="D17" s="479">
        <f>+C17+'Int calc thru 10-31-2019'!C17+'Amort Calc thru 10-31-2019'!D16</f>
        <v>-1851392.5546183782</v>
      </c>
      <c r="E17" s="280">
        <f>+D17+'Int calc thru 10-31-2019'!D17+'Amort Calc thru 10-31-2019'!E16</f>
        <v>-1432667.060768378</v>
      </c>
      <c r="F17" s="280">
        <f>+E17+'Int calc thru 10-31-2019'!E17+'Amort Calc thru 10-31-2019'!F16</f>
        <v>-953374.39081837796</v>
      </c>
      <c r="G17" s="280">
        <f>+F17+'Int calc thru 10-31-2019'!F17+'Amort Calc thru 10-31-2019'!G16</f>
        <v>-680547.72751837783</v>
      </c>
      <c r="H17" s="280">
        <f>+G17+'Int calc thru 10-31-2019'!G17+'Amort Calc thru 10-31-2019'!H16</f>
        <v>-520096.4329183778</v>
      </c>
      <c r="I17" s="280">
        <f>+H17+'Int calc thru 10-31-2019'!H17+'Amort Calc thru 10-31-2019'!I16</f>
        <v>-416882.5548683778</v>
      </c>
      <c r="J17" s="280">
        <f>+I17+'Int calc thru 10-31-2019'!I17+'Amort Calc thru 10-31-2019'!J16</f>
        <v>-325808.36211837782</v>
      </c>
      <c r="K17" s="280">
        <f>+J17+'Int calc thru 10-31-2019'!J17+'Amort Calc thru 10-31-2019'!K16</f>
        <v>-234873.67165375844</v>
      </c>
      <c r="L17" s="280">
        <f>+K17+'Int calc thru 10-31-2019'!K17+'Amort Calc thru 10-31-2019'!L16</f>
        <v>-128617.65663440766</v>
      </c>
      <c r="M17" s="280">
        <f>+L17+'Int calc thru 10-31-2019'!L17+'Amort Calc thru 10-31-2019'!M16</f>
        <v>48943.608094624709</v>
      </c>
      <c r="N17" s="280"/>
      <c r="O17" s="280">
        <f t="shared" si="0"/>
        <v>2290068.1994246254</v>
      </c>
    </row>
    <row r="18" spans="1:15">
      <c r="A18" s="534" t="s">
        <v>248</v>
      </c>
      <c r="B18" s="183" t="str">
        <f>+B13</f>
        <v>505-Industrial</v>
      </c>
      <c r="C18" s="479">
        <f>+'Balances at 12-31-2018'!D20</f>
        <v>-29892.930250000009</v>
      </c>
      <c r="D18" s="479">
        <f>+C18+'Int calc thru 10-31-2019'!C18+'Amort Calc thru 10-31-2019'!D17</f>
        <v>-34626.667913412202</v>
      </c>
      <c r="E18" s="280">
        <f>+D18+'Int calc thru 10-31-2019'!D18+'Amort Calc thru 10-31-2019'!E17</f>
        <v>-39952.106203412201</v>
      </c>
      <c r="F18" s="280">
        <f>+E18+'Int calc thru 10-31-2019'!E18+'Amort Calc thru 10-31-2019'!F17</f>
        <v>-45888.9562934122</v>
      </c>
      <c r="G18" s="280">
        <f>+F18+'Int calc thru 10-31-2019'!F18+'Amort Calc thru 10-31-2019'!G17</f>
        <v>-50368.0213934122</v>
      </c>
      <c r="H18" s="280">
        <f>+G18+'Int calc thru 10-31-2019'!G18+'Amort Calc thru 10-31-2019'!H17</f>
        <v>-53136.672983412202</v>
      </c>
      <c r="I18" s="280">
        <f>+H18+'Int calc thru 10-31-2019'!H18+'Amort Calc thru 10-31-2019'!I17</f>
        <v>-59135.773073412201</v>
      </c>
      <c r="J18" s="280">
        <f>+I18+'Int calc thru 10-31-2019'!I18+'Amort Calc thru 10-31-2019'!J17</f>
        <v>-61136.322353412201</v>
      </c>
      <c r="K18" s="280">
        <f>+J18+'Int calc thru 10-31-2019'!J18+'Amort Calc thru 10-31-2019'!K17</f>
        <v>-63312.994111513399</v>
      </c>
      <c r="L18" s="280">
        <f>+K18+'Int calc thru 10-31-2019'!K18+'Amort Calc thru 10-31-2019'!L17</f>
        <v>-66232.215284475868</v>
      </c>
      <c r="M18" s="280">
        <f>+L18+'Int calc thru 10-31-2019'!L18+'Amort Calc thru 10-31-2019'!M17</f>
        <v>-71089.407762628631</v>
      </c>
      <c r="N18" s="280"/>
      <c r="O18" s="280">
        <f t="shared" si="0"/>
        <v>-41196.477512628626</v>
      </c>
    </row>
    <row r="19" spans="1:15">
      <c r="A19" s="534" t="s">
        <v>248</v>
      </c>
      <c r="B19" s="183" t="str">
        <f>+B14</f>
        <v>511-Large Volume</v>
      </c>
      <c r="C19" s="479">
        <f>+'Balances at 12-31-2018'!D21</f>
        <v>-412126.74622000003</v>
      </c>
      <c r="D19" s="479">
        <f>+C19+'Int calc thru 10-31-2019'!C19+'Amort Calc thru 10-31-2019'!D18</f>
        <v>-322280.23280049337</v>
      </c>
      <c r="E19" s="280">
        <f>+D19+'Int calc thru 10-31-2019'!D19+'Amort Calc thru 10-31-2019'!E18</f>
        <v>-229627.46932049337</v>
      </c>
      <c r="F19" s="280">
        <f>+E19+'Int calc thru 10-31-2019'!E19+'Amort Calc thru 10-31-2019'!F18</f>
        <v>-129553.66192049335</v>
      </c>
      <c r="G19" s="280">
        <f>+F19+'Int calc thru 10-31-2019'!F19+'Amort Calc thru 10-31-2019'!G18</f>
        <v>-60809.428080493351</v>
      </c>
      <c r="H19" s="280">
        <f>+G19+'Int calc thru 10-31-2019'!G19+'Amort Calc thru 10-31-2019'!H18</f>
        <v>-12444.939880493352</v>
      </c>
      <c r="I19" s="280">
        <f>+H19+'Int calc thru 10-31-2019'!H19+'Amort Calc thru 10-31-2019'!I18</f>
        <v>25762.000599506653</v>
      </c>
      <c r="J19" s="280">
        <f>+I19+'Int calc thru 10-31-2019'!I19+'Amort Calc thru 10-31-2019'!J18</f>
        <v>62437.317799506651</v>
      </c>
      <c r="K19" s="280">
        <f>+J19+'Int calc thru 10-31-2019'!J19+'Amort Calc thru 10-31-2019'!K18</f>
        <v>98490.159219641049</v>
      </c>
      <c r="L19" s="280">
        <f>+K19+'Int calc thru 10-31-2019'!K19+'Amort Calc thru 10-31-2019'!L18</f>
        <v>139043.23394822652</v>
      </c>
      <c r="M19" s="280">
        <f>+L19+'Int calc thru 10-31-2019'!L19+'Amort Calc thru 10-31-2019'!M18</f>
        <v>217770.41457309952</v>
      </c>
      <c r="N19" s="280"/>
      <c r="O19" s="280">
        <f t="shared" si="0"/>
        <v>629897.16079309955</v>
      </c>
    </row>
    <row r="20" spans="1:15">
      <c r="A20" s="534" t="s">
        <v>248</v>
      </c>
      <c r="B20" s="183" t="str">
        <f>+B15</f>
        <v>570-Interruptible Commercial</v>
      </c>
      <c r="C20" s="479">
        <f>+'Balances at 12-31-2018'!D22</f>
        <v>17165.920000000002</v>
      </c>
      <c r="D20" s="479">
        <f>+C20+'Int calc thru 10-31-2019'!C20+'Amort Calc thru 10-31-2019'!D19</f>
        <v>15297.717462016441</v>
      </c>
      <c r="E20" s="280">
        <f>+D20+'Int calc thru 10-31-2019'!D20+'Amort Calc thru 10-31-2019'!E19</f>
        <v>13329.425622016441</v>
      </c>
      <c r="F20" s="280">
        <f>+E20+'Int calc thru 10-31-2019'!E20+'Amort Calc thru 10-31-2019'!F19</f>
        <v>11524.496672016439</v>
      </c>
      <c r="G20" s="280">
        <f>+F20+'Int calc thru 10-31-2019'!F20+'Amort Calc thru 10-31-2019'!G19</f>
        <v>10137.23822201644</v>
      </c>
      <c r="H20" s="280">
        <f>+G20+'Int calc thru 10-31-2019'!G20+'Amort Calc thru 10-31-2019'!H19</f>
        <v>9114.6816520164393</v>
      </c>
      <c r="I20" s="280">
        <f>+H20+'Int calc thru 10-31-2019'!H20+'Amort Calc thru 10-31-2019'!I19</f>
        <v>8321.9992820164389</v>
      </c>
      <c r="J20" s="280">
        <f>+I20+'Int calc thru 10-31-2019'!I20+'Amort Calc thru 10-31-2019'!J19</f>
        <v>7458.23487201644</v>
      </c>
      <c r="K20" s="280">
        <f>+J20+'Int calc thru 10-31-2019'!J20+'Amort Calc thru 10-31-2019'!K19</f>
        <v>6691.3660594326593</v>
      </c>
      <c r="L20" s="280">
        <f>+K20+'Int calc thru 10-31-2019'!K20+'Amort Calc thru 10-31-2019'!L19</f>
        <v>5591.9789813483076</v>
      </c>
      <c r="M20" s="280">
        <f>+L20+'Int calc thru 10-31-2019'!L20+'Amort Calc thru 10-31-2019'!M19</f>
        <v>3578.3529322160744</v>
      </c>
      <c r="N20" s="280"/>
      <c r="O20" s="280">
        <f t="shared" si="0"/>
        <v>-13587.567067783928</v>
      </c>
    </row>
    <row r="21" spans="1:15">
      <c r="A21" s="534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</row>
    <row r="22" spans="1:15" ht="15.75" thickBot="1">
      <c r="A22" s="310" t="s">
        <v>17</v>
      </c>
      <c r="C22" s="92">
        <f t="shared" ref="C22:O22" si="1">SUM(C11:C21)</f>
        <v>-4075395.8743499983</v>
      </c>
      <c r="D22" s="92">
        <f t="shared" si="1"/>
        <v>-3106468.7121035084</v>
      </c>
      <c r="E22" s="92">
        <f t="shared" si="1"/>
        <v>-2067649.1908535077</v>
      </c>
      <c r="F22" s="92">
        <f t="shared" si="1"/>
        <v>-918478.13794350775</v>
      </c>
      <c r="G22" s="92">
        <f t="shared" si="1"/>
        <v>-264901.04005350772</v>
      </c>
      <c r="H22" s="92">
        <f t="shared" si="1"/>
        <v>134052.52323649244</v>
      </c>
      <c r="I22" s="92">
        <f t="shared" si="1"/>
        <v>376472.06355649245</v>
      </c>
      <c r="J22" s="92">
        <f t="shared" si="1"/>
        <v>588353.30276649224</v>
      </c>
      <c r="K22" s="92">
        <f t="shared" si="1"/>
        <v>792693.00833576173</v>
      </c>
      <c r="L22" s="92">
        <f t="shared" si="1"/>
        <v>1031857.9668671859</v>
      </c>
      <c r="M22" s="92">
        <f t="shared" si="1"/>
        <v>1474742.9469269062</v>
      </c>
      <c r="N22" s="92">
        <f t="shared" si="1"/>
        <v>0</v>
      </c>
      <c r="O22" s="92">
        <f t="shared" si="1"/>
        <v>5550138.8212769032</v>
      </c>
    </row>
    <row r="23" spans="1:15" ht="15.75" thickTop="1"/>
    <row r="24" spans="1:15">
      <c r="A24" s="183" t="s">
        <v>178</v>
      </c>
      <c r="C24" s="272">
        <f t="shared" ref="C24:J24" si="2">+C22</f>
        <v>-4075395.8743499983</v>
      </c>
      <c r="D24" s="272">
        <f t="shared" si="2"/>
        <v>-3106468.7121035084</v>
      </c>
      <c r="E24" s="272">
        <f t="shared" si="2"/>
        <v>-2067649.1908535077</v>
      </c>
      <c r="F24" s="272">
        <f t="shared" si="2"/>
        <v>-918478.13794350775</v>
      </c>
      <c r="G24" s="272">
        <f t="shared" si="2"/>
        <v>-264901.04005350772</v>
      </c>
      <c r="H24" s="272">
        <f t="shared" si="2"/>
        <v>134052.52323649244</v>
      </c>
      <c r="I24" s="272">
        <f t="shared" si="2"/>
        <v>376472.06355649245</v>
      </c>
      <c r="J24" s="272">
        <f t="shared" si="2"/>
        <v>588353.30276649224</v>
      </c>
      <c r="K24" s="272">
        <f t="shared" ref="K24:O24" si="3">+K22</f>
        <v>792693.00833576173</v>
      </c>
      <c r="L24" s="272">
        <f t="shared" si="3"/>
        <v>1031857.9668671859</v>
      </c>
      <c r="M24" s="272">
        <f t="shared" si="3"/>
        <v>1474742.9469269062</v>
      </c>
      <c r="N24" s="272"/>
      <c r="O24" s="280">
        <f t="shared" si="3"/>
        <v>5550138.8212769032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activeCell="N18" sqref="N18"/>
      <selection pane="bottomLeft" activeCell="N18" sqref="N18"/>
    </sheetView>
  </sheetViews>
  <sheetFormatPr defaultRowHeight="15"/>
  <cols>
    <col min="1" max="1" width="25.5" style="183" customWidth="1"/>
    <col min="2" max="2" width="57.1640625" style="183" bestFit="1" customWidth="1"/>
    <col min="3" max="3" width="11.1640625" style="435" customWidth="1"/>
    <col min="4" max="4" width="3.5" style="183" customWidth="1"/>
    <col min="5" max="5" width="17.1640625" style="183" customWidth="1"/>
    <col min="6" max="6" width="19.83203125" style="183" bestFit="1" customWidth="1"/>
    <col min="7" max="7" width="16" style="183" customWidth="1"/>
    <col min="8" max="11" width="16" style="183" bestFit="1" customWidth="1"/>
    <col min="12" max="12" width="15.1640625" style="183" bestFit="1" customWidth="1"/>
    <col min="13" max="13" width="14" style="183" bestFit="1" customWidth="1"/>
    <col min="14" max="14" width="15.1640625" style="183" bestFit="1" customWidth="1"/>
    <col min="15" max="17" width="14" style="183" bestFit="1" customWidth="1"/>
    <col min="18" max="18" width="16.33203125" style="183" bestFit="1" customWidth="1"/>
    <col min="19" max="19" width="18.83203125" style="183" customWidth="1"/>
    <col min="20" max="20" width="14.5" style="183" customWidth="1"/>
    <col min="21" max="16384" width="9.33203125" style="183"/>
  </cols>
  <sheetData>
    <row r="1" spans="1:20">
      <c r="G1" s="579" t="s">
        <v>34</v>
      </c>
      <c r="H1" s="579"/>
      <c r="I1" s="579"/>
      <c r="J1" s="579"/>
      <c r="K1" s="579"/>
    </row>
    <row r="2" spans="1:20">
      <c r="F2" s="595" t="s">
        <v>288</v>
      </c>
      <c r="G2" s="595"/>
      <c r="H2" s="595"/>
      <c r="I2" s="595"/>
      <c r="J2" s="595"/>
      <c r="K2" s="595"/>
      <c r="L2" s="595"/>
    </row>
    <row r="3" spans="1:20">
      <c r="G3" s="580" t="s">
        <v>285</v>
      </c>
      <c r="H3" s="580"/>
      <c r="I3" s="580"/>
      <c r="J3" s="580"/>
      <c r="K3" s="580"/>
    </row>
    <row r="4" spans="1:20">
      <c r="G4" s="579" t="s">
        <v>36</v>
      </c>
      <c r="H4" s="579"/>
      <c r="I4" s="579"/>
      <c r="J4" s="579"/>
      <c r="K4" s="579"/>
    </row>
    <row r="7" spans="1:20">
      <c r="A7" s="593"/>
      <c r="B7" s="593"/>
    </row>
    <row r="8" spans="1:20">
      <c r="B8" s="184"/>
    </row>
    <row r="9" spans="1:20">
      <c r="B9" s="184" t="s">
        <v>104</v>
      </c>
      <c r="G9" s="596" t="s">
        <v>109</v>
      </c>
      <c r="H9" s="596"/>
      <c r="I9" s="596"/>
    </row>
    <row r="10" spans="1:20" ht="45">
      <c r="A10" s="277"/>
      <c r="B10" s="288" t="s">
        <v>186</v>
      </c>
      <c r="C10" s="189" t="s">
        <v>32</v>
      </c>
      <c r="D10" s="189"/>
      <c r="E10" s="102" t="s">
        <v>101</v>
      </c>
      <c r="F10" s="103" t="s">
        <v>287</v>
      </c>
      <c r="G10" s="551">
        <v>43770</v>
      </c>
      <c r="H10" s="551">
        <v>43800</v>
      </c>
      <c r="I10" s="551">
        <v>43831</v>
      </c>
      <c r="J10" s="551">
        <v>43862</v>
      </c>
      <c r="K10" s="551">
        <v>43891</v>
      </c>
      <c r="L10" s="551">
        <v>43922</v>
      </c>
      <c r="M10" s="551">
        <v>43952</v>
      </c>
      <c r="N10" s="551">
        <v>43983</v>
      </c>
      <c r="O10" s="551">
        <v>44013</v>
      </c>
      <c r="P10" s="551">
        <v>44044</v>
      </c>
      <c r="Q10" s="551">
        <v>44075</v>
      </c>
      <c r="R10" s="551">
        <v>44105</v>
      </c>
      <c r="S10" s="103" t="s">
        <v>137</v>
      </c>
      <c r="T10" s="104" t="s">
        <v>102</v>
      </c>
    </row>
    <row r="11" spans="1:20">
      <c r="A11" s="183" t="str">
        <f>+'Balances at 12-31-2018'!A13</f>
        <v>47WA.1862.20477</v>
      </c>
      <c r="B11" s="183" t="s">
        <v>258</v>
      </c>
      <c r="C11" s="435">
        <v>503</v>
      </c>
      <c r="E11" s="285">
        <v>-1.3601326561723574E-2</v>
      </c>
      <c r="F11" s="286">
        <f>+EstimatedBalances!M11+EstimatedBalances!M16</f>
        <v>1717226.2650034947</v>
      </c>
      <c r="G11" s="286">
        <f>$E11*'Test Period Volumes'!$C23</f>
        <v>-201128.06512421748</v>
      </c>
      <c r="H11" s="286">
        <f>$E11*'Test Period Volumes'!$C24</f>
        <v>-304079.09978023428</v>
      </c>
      <c r="I11" s="286">
        <f>$E11*'Test Period Volumes'!$C25</f>
        <v>-290264.26915888791</v>
      </c>
      <c r="J11" s="286">
        <f>$E11*'Test Period Volumes'!$C26</f>
        <v>-240915.368596457</v>
      </c>
      <c r="K11" s="286">
        <f>$E11*'Test Period Volumes'!$C27</f>
        <v>-195074.03403037807</v>
      </c>
      <c r="L11" s="286">
        <f>$E11*'Test Period Volumes'!$C28</f>
        <v>-121259.61431154782</v>
      </c>
      <c r="M11" s="286">
        <f>$E11*'Test Period Volumes'!$C29</f>
        <v>-80226.531301980096</v>
      </c>
      <c r="N11" s="286">
        <f>$E11*'Test Period Volumes'!$C30</f>
        <v>-51487.263690901214</v>
      </c>
      <c r="O11" s="286">
        <f>$E11*'Test Period Volumes'!$C31</f>
        <v>-43297.317858118317</v>
      </c>
      <c r="P11" s="286">
        <f>$E11*'Test Period Volumes'!$C32</f>
        <v>-40322.850496989515</v>
      </c>
      <c r="Q11" s="286">
        <f>$E11*'Test Period Volumes'!$C33</f>
        <v>-49030.068907013367</v>
      </c>
      <c r="R11" s="286">
        <f>$E11*'Test Period Volumes'!$C34</f>
        <v>-100141.77828158956</v>
      </c>
      <c r="S11" s="286">
        <f t="shared" ref="S11:S14" si="0">SUM(G11:R11)</f>
        <v>-1717226.2615383144</v>
      </c>
      <c r="T11" s="286">
        <f t="shared" ref="T11:T15" si="1">+S11+F11</f>
        <v>3.4651802852749825E-3</v>
      </c>
    </row>
    <row r="12" spans="1:20">
      <c r="A12" s="183" t="str">
        <f>+'Balances at 12-31-2018'!A14</f>
        <v>47WA.1862.20477</v>
      </c>
      <c r="B12" s="183" t="s">
        <v>258</v>
      </c>
      <c r="C12" s="435">
        <v>504</v>
      </c>
      <c r="E12" s="285">
        <v>-7.9183232643410123E-4</v>
      </c>
      <c r="F12" s="286">
        <f>+EstimatedBalances!M12+EstimatedBalances!M17</f>
        <v>72398.998653354531</v>
      </c>
      <c r="G12" s="286">
        <f>$E12*'Test Period Volumes'!$D$23</f>
        <v>-8043.9125400869498</v>
      </c>
      <c r="H12" s="286">
        <f>$E12*'Test Period Volumes'!$D$24</f>
        <v>-11915.610550492067</v>
      </c>
      <c r="I12" s="286">
        <f>$E12*'Test Period Volumes'!$D$25</f>
        <v>-11415.653805472781</v>
      </c>
      <c r="J12" s="286">
        <f>$E12*'Test Period Volumes'!$D$26</f>
        <v>-9423.3775695608947</v>
      </c>
      <c r="K12" s="286">
        <f>$E12*'Test Period Volumes'!$D$27</f>
        <v>-8082.7929569339858</v>
      </c>
      <c r="L12" s="286">
        <f>$E12*'Test Period Volumes'!$D$28</f>
        <v>-5238.8875312744312</v>
      </c>
      <c r="M12" s="286">
        <f>$E12*'Test Period Volumes'!$D$29</f>
        <v>-3386.7000405930626</v>
      </c>
      <c r="N12" s="286">
        <f>$E12*'Test Period Volumes'!$D$30</f>
        <v>-2567.4083391509603</v>
      </c>
      <c r="O12" s="286">
        <f>$E12*'Test Period Volumes'!$D$31</f>
        <v>-2393.2443451966183</v>
      </c>
      <c r="P12" s="286">
        <f>$E12*'Test Period Volumes'!$D$32</f>
        <v>-2422.2654507959151</v>
      </c>
      <c r="Q12" s="286">
        <f>$E12*'Test Period Volumes'!$D$33</f>
        <v>-2829.1506986740819</v>
      </c>
      <c r="R12" s="286">
        <f>$E12*'Test Period Volumes'!$D$34</f>
        <v>-4679.9961609744487</v>
      </c>
      <c r="S12" s="286">
        <f t="shared" si="0"/>
        <v>-72398.99998920619</v>
      </c>
      <c r="T12" s="286">
        <f t="shared" si="1"/>
        <v>-1.3358516589505598E-3</v>
      </c>
    </row>
    <row r="13" spans="1:20">
      <c r="A13" s="183" t="str">
        <f>+'Balances at 12-31-2018'!A15</f>
        <v>47WA.1862.20477</v>
      </c>
      <c r="B13" s="183" t="s">
        <v>258</v>
      </c>
      <c r="C13" s="435">
        <v>505</v>
      </c>
      <c r="E13" s="285">
        <v>5.6961503751751259E-3</v>
      </c>
      <c r="F13" s="286">
        <f>+EstimatedBalances!M13+EstimatedBalances!M18</f>
        <v>-75153.032361521837</v>
      </c>
      <c r="G13" s="286">
        <f>$E13*'Test Period Volumes'!$E$23</f>
        <v>9299.8108748078412</v>
      </c>
      <c r="H13" s="286">
        <f>$E13*'Test Period Volumes'!$E$24</f>
        <v>11031.123089544923</v>
      </c>
      <c r="I13" s="286">
        <f>$E13*'Test Period Volumes'!$E$25</f>
        <v>8971.8625843923019</v>
      </c>
      <c r="J13" s="286">
        <f>$E13*'Test Period Volumes'!$E$26</f>
        <v>7829.426234176467</v>
      </c>
      <c r="K13" s="286">
        <f>$E13*'Test Period Volumes'!$E$27</f>
        <v>6543.6654724241462</v>
      </c>
      <c r="L13" s="286">
        <f>$E13*'Test Period Volumes'!$E$28</f>
        <v>5513.4261716192805</v>
      </c>
      <c r="M13" s="286">
        <f>$E13*'Test Period Volumes'!$E$29</f>
        <v>3581.6720205613774</v>
      </c>
      <c r="N13" s="286">
        <f>$E13*'Test Period Volumes'!$E$30</f>
        <v>3085.3576168415166</v>
      </c>
      <c r="O13" s="286">
        <f>$E13*'Test Period Volumes'!$E$31</f>
        <v>3027.2556958254277</v>
      </c>
      <c r="P13" s="286">
        <f>$E13*'Test Period Volumes'!$E$32</f>
        <v>3380.8570215127838</v>
      </c>
      <c r="Q13" s="286">
        <f>$E13*'Test Period Volumes'!$E$33</f>
        <v>4736.6097656392194</v>
      </c>
      <c r="R13" s="286">
        <f>$E13*'Test Period Volumes'!$E$34</f>
        <v>8151.9655630766201</v>
      </c>
      <c r="S13" s="286">
        <f t="shared" si="0"/>
        <v>75153.032110421904</v>
      </c>
      <c r="T13" s="286">
        <f t="shared" si="1"/>
        <v>-2.5109993293881416E-4</v>
      </c>
    </row>
    <row r="14" spans="1:20">
      <c r="A14" s="183" t="str">
        <f>+'Balances at 12-31-2018'!A16</f>
        <v>47WA.1862.20477</v>
      </c>
      <c r="B14" s="183" t="s">
        <v>258</v>
      </c>
      <c r="C14" s="435">
        <v>511</v>
      </c>
      <c r="E14" s="285">
        <v>1.9039622565042713E-2</v>
      </c>
      <c r="F14" s="286">
        <f>+EstimatedBalances!M14+EstimatedBalances!M19</f>
        <v>-284010.03133493883</v>
      </c>
      <c r="G14" s="286">
        <f>$E14*'Test Period Volumes'!$F$23</f>
        <v>30689.503292712841</v>
      </c>
      <c r="H14" s="286">
        <f>$E14*'Test Period Volumes'!$F$24</f>
        <v>42211.622438188933</v>
      </c>
      <c r="I14" s="286">
        <f>$E14*'Test Period Volumes'!$F$25</f>
        <v>37830.165312203251</v>
      </c>
      <c r="J14" s="286">
        <f>$E14*'Test Period Volumes'!$F$26</f>
        <v>30012.963492245755</v>
      </c>
      <c r="K14" s="286">
        <f>$E14*'Test Period Volumes'!$F$27</f>
        <v>24307.769760348161</v>
      </c>
      <c r="L14" s="286">
        <f>$E14*'Test Period Volumes'!$F$28</f>
        <v>18935.195692813308</v>
      </c>
      <c r="M14" s="286">
        <f>$E14*'Test Period Volumes'!$F$29</f>
        <v>14548.301459663186</v>
      </c>
      <c r="N14" s="286">
        <f>$E14*'Test Period Volumes'!$F$30</f>
        <v>13446.654029232155</v>
      </c>
      <c r="O14" s="286">
        <f>$E14*'Test Period Volumes'!$F$31</f>
        <v>13587.068719743036</v>
      </c>
      <c r="P14" s="286">
        <f>$E14*'Test Period Volumes'!$F$32</f>
        <v>13535.408760374874</v>
      </c>
      <c r="Q14" s="286">
        <f>$E14*'Test Period Volumes'!$F$33</f>
        <v>15275.292816963136</v>
      </c>
      <c r="R14" s="286">
        <f>$E14*'Test Period Volumes'!$F$34</f>
        <v>29630.08935708012</v>
      </c>
      <c r="S14" s="286">
        <f t="shared" si="0"/>
        <v>284010.03513156879</v>
      </c>
      <c r="T14" s="286">
        <f t="shared" si="1"/>
        <v>3.7966299569234252E-3</v>
      </c>
    </row>
    <row r="15" spans="1:20">
      <c r="A15" s="183" t="str">
        <f>+'Balances at 12-31-2018'!A17</f>
        <v>47WA.1862.20477</v>
      </c>
      <c r="B15" s="183" t="s">
        <v>258</v>
      </c>
      <c r="C15" s="435">
        <v>570</v>
      </c>
      <c r="E15" s="285">
        <v>-1.8573176390441554E-2</v>
      </c>
      <c r="F15" s="286">
        <f>+EstimatedBalances!M15+EstimatedBalances!M20</f>
        <v>44280.74696651745</v>
      </c>
      <c r="G15" s="286">
        <f>$E15*'Test Period Volumes'!$G$23</f>
        <v>-6673.9763653917971</v>
      </c>
      <c r="H15" s="286">
        <f>$E15*'Test Period Volumes'!$G$24</f>
        <v>-6352.6598014625306</v>
      </c>
      <c r="I15" s="286">
        <f>$E15*'Test Period Volumes'!$G$25</f>
        <v>-5281.0344244131156</v>
      </c>
      <c r="J15" s="286">
        <f>$E15*'Test Period Volumes'!$G$26</f>
        <v>-4267.8869122051992</v>
      </c>
      <c r="K15" s="286">
        <f>$E15*'Test Period Volumes'!$G$27</f>
        <v>-2950.0710440578273</v>
      </c>
      <c r="L15" s="286">
        <f>$E15*'Test Period Volumes'!$G$28</f>
        <v>-2587.2075973656429</v>
      </c>
      <c r="M15" s="286">
        <f>$E15*'Test Period Volumes'!$G$29</f>
        <v>-2105.5294559757317</v>
      </c>
      <c r="N15" s="286">
        <f>$E15*'Test Period Volumes'!$G$30</f>
        <v>-1928.3030737162728</v>
      </c>
      <c r="O15" s="286">
        <f>$E15*'Test Period Volumes'!$G$31</f>
        <v>-2208.5928293275438</v>
      </c>
      <c r="P15" s="286">
        <f>$E15*'Test Period Volumes'!$G$32</f>
        <v>-1997.5639558228606</v>
      </c>
      <c r="Q15" s="286">
        <f>$E15*'Test Period Volumes'!$G$33</f>
        <v>-2832.1984162673257</v>
      </c>
      <c r="R15" s="286">
        <f>$E15*'Test Period Volumes'!$G$34</f>
        <v>-5095.7331345061111</v>
      </c>
      <c r="S15" s="286">
        <f t="shared" ref="S15" si="2">SUM(G15:R15)</f>
        <v>-44280.757010511952</v>
      </c>
      <c r="T15" s="286">
        <f t="shared" si="1"/>
        <v>-1.004399450175697E-2</v>
      </c>
    </row>
    <row r="16" spans="1:20">
      <c r="C16" s="438"/>
      <c r="E16" s="285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</row>
    <row r="17" spans="1:20">
      <c r="A17" s="183" t="s">
        <v>178</v>
      </c>
      <c r="B17" s="183" t="s">
        <v>185</v>
      </c>
      <c r="E17" s="287">
        <f t="shared" ref="E17:T17" si="3">SUM(E11:E15)</f>
        <v>-8.2305623383813909E-3</v>
      </c>
      <c r="F17" s="286">
        <f t="shared" si="3"/>
        <v>1474742.9469269062</v>
      </c>
      <c r="G17" s="286">
        <f t="shared" si="3"/>
        <v>-175856.63986217554</v>
      </c>
      <c r="H17" s="286">
        <f t="shared" si="3"/>
        <v>-269104.62460445502</v>
      </c>
      <c r="I17" s="286">
        <f t="shared" si="3"/>
        <v>-260158.92949217823</v>
      </c>
      <c r="J17" s="286">
        <f t="shared" si="3"/>
        <v>-216764.24335180086</v>
      </c>
      <c r="K17" s="286">
        <f t="shared" si="3"/>
        <v>-175255.46279859758</v>
      </c>
      <c r="L17" s="286">
        <f t="shared" si="3"/>
        <v>-104637.0875757553</v>
      </c>
      <c r="M17" s="286">
        <f t="shared" si="3"/>
        <v>-67588.787318324321</v>
      </c>
      <c r="N17" s="286">
        <f t="shared" si="3"/>
        <v>-39450.963457694779</v>
      </c>
      <c r="O17" s="286">
        <f t="shared" si="3"/>
        <v>-31284.830617074011</v>
      </c>
      <c r="P17" s="286">
        <f t="shared" si="3"/>
        <v>-27826.414121720634</v>
      </c>
      <c r="Q17" s="286">
        <f t="shared" si="3"/>
        <v>-34679.515439352421</v>
      </c>
      <c r="R17" s="286">
        <f t="shared" si="3"/>
        <v>-72135.452656913389</v>
      </c>
      <c r="S17" s="286">
        <f t="shared" si="3"/>
        <v>-1474742.951296042</v>
      </c>
      <c r="T17" s="286">
        <f t="shared" si="3"/>
        <v>-4.3691358514479361E-3</v>
      </c>
    </row>
    <row r="19" spans="1:20">
      <c r="B19" s="184" t="s">
        <v>103</v>
      </c>
    </row>
    <row r="20" spans="1:20">
      <c r="B20" s="105" t="s">
        <v>105</v>
      </c>
      <c r="C20" s="439">
        <f>+'Int calc thru 10-31-2019'!J8</f>
        <v>5.5E-2</v>
      </c>
      <c r="G20" s="274">
        <f>+C20*DAY(DATE(YEAR(G10),MONTH(G10)+1,DAY(1))-1)/365</f>
        <v>4.5205479452054796E-3</v>
      </c>
      <c r="H20" s="274">
        <f>+C20*DAY(DATE(YEAR(H10),MONTH(H10)+1,DAY(1))-1)/365</f>
        <v>4.6712328767123286E-3</v>
      </c>
      <c r="I20" s="274">
        <f>+C20*DAY(DATE(YEAR(I10),MONTH(I10)+1,DAY(1))-1)/365</f>
        <v>4.6712328767123286E-3</v>
      </c>
      <c r="J20" s="274">
        <f>+C20*DAY(DATE(YEAR(J10),MONTH(J10)+1,DAY(1))-1)/365</f>
        <v>4.3698630136986298E-3</v>
      </c>
      <c r="K20" s="274">
        <f>+C20*DAY(DATE(YEAR(K10),MONTH(K10)+1,DAY(1))-1)/365</f>
        <v>4.6712328767123286E-3</v>
      </c>
      <c r="L20" s="274">
        <f>+C20*DAY(DATE(YEAR(L10),MONTH(L10)+1,DAY(1))-1)/365</f>
        <v>4.5205479452054796E-3</v>
      </c>
      <c r="M20" s="274">
        <f>+C20*DAY(DATE(YEAR(M10),MONTH(M10)+1,DAY(1))-1)/365</f>
        <v>4.6712328767123286E-3</v>
      </c>
      <c r="N20" s="274">
        <f>+C20*DAY(DATE(YEAR(N10),MONTH(N10)+1,DAY(1))-1)/365</f>
        <v>4.5205479452054796E-3</v>
      </c>
      <c r="O20" s="274">
        <f>+C20*DAY(DATE(YEAR(O10),MONTH(O10)+1,DAY(1))-1)/365</f>
        <v>4.6712328767123286E-3</v>
      </c>
      <c r="P20" s="274">
        <f>+C20*DAY(DATE(YEAR(P10),MONTH(P10)+1,DAY(1))-1)/365</f>
        <v>4.6712328767123286E-3</v>
      </c>
      <c r="Q20" s="274">
        <f>+C20*DAY(DATE(YEAR(Q10),MONTH(Q10)+1,DAY(1))-1)/365</f>
        <v>4.5205479452054796E-3</v>
      </c>
      <c r="R20" s="274">
        <f>+C20*DAY(DATE(YEAR(R10),MONTH(R10)+1,DAY(1))-1)/365</f>
        <v>4.6712328767123286E-3</v>
      </c>
      <c r="S20" s="276" t="s">
        <v>27</v>
      </c>
    </row>
    <row r="21" spans="1:20"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86"/>
    </row>
    <row r="22" spans="1:20">
      <c r="A22" s="183" t="str">
        <f t="shared" ref="A22:B26" si="4">+A11</f>
        <v>47WA.1862.20477</v>
      </c>
      <c r="B22" s="183" t="str">
        <f t="shared" si="4"/>
        <v>Rule 21 Decoupling Mechanism &amp; Amort.</v>
      </c>
      <c r="C22" s="438">
        <v>503</v>
      </c>
      <c r="G22" s="221">
        <f>+G$20*(SUM($F11:F11))</f>
        <v>7762.8036637144287</v>
      </c>
      <c r="H22" s="221">
        <f>+H$20*(SUM($F11:G11)+G22)</f>
        <v>7118.3096192898647</v>
      </c>
      <c r="I22" s="221">
        <f>+I$20*(SUM($F11:H11)+H22+G22)</f>
        <v>5731.1366131955901</v>
      </c>
      <c r="J22" s="221">
        <f>+J$20*(SUM($F11:I11)+I22+H22+G22)</f>
        <v>4118.0150518739347</v>
      </c>
      <c r="K22" s="221">
        <f>+K$20*(SUM($F11:J11)+J22+G22+H22+I22)</f>
        <v>3295.8805069382774</v>
      </c>
      <c r="L22" s="221">
        <f>+L$20*(SUM($F11:K11)+K22+G22+H22+I22+J22)</f>
        <v>2322.6194430623236</v>
      </c>
      <c r="M22" s="221">
        <f>+M$20*(SUM($F11:L11)+L22+G22+H22+I22+J22+K22)</f>
        <v>1844.4576904773658</v>
      </c>
      <c r="N22" s="221">
        <f>+N$20*(SUM($F11:M11)+M22+G22+H22+I22+J22+K22+L22)</f>
        <v>1430.6291334952534</v>
      </c>
      <c r="O22" s="221">
        <f>+O$20*(SUM($F11:N11)+N22+G22+H22+I22+J22+K22+L22+M22)</f>
        <v>1244.4905742362989</v>
      </c>
      <c r="P22" s="221">
        <f>+P$20*(SUM($F11:O11)+O22+G22+H22+I22+J22+K22+L22+M22+N22)</f>
        <v>1048.0520248691239</v>
      </c>
      <c r="Q22" s="221">
        <f>+Q$20*(SUM($F11:P11)+P22+G22+H22+I22+J22+K22+L22+M22+N22+O22)</f>
        <v>836.70028550313305</v>
      </c>
      <c r="R22" s="221">
        <f>+R$20*(SUM($F11:Q11)+Q22+P22+O22+N22+M22+L22+K22+J22+I22+H22+G22)</f>
        <v>639.46784707558948</v>
      </c>
      <c r="S22" s="286">
        <f>SUM(G22:R22)</f>
        <v>37392.562453731181</v>
      </c>
    </row>
    <row r="23" spans="1:20">
      <c r="A23" s="183" t="str">
        <f t="shared" si="4"/>
        <v>47WA.1862.20477</v>
      </c>
      <c r="B23" s="183" t="str">
        <f t="shared" si="4"/>
        <v>Rule 21 Decoupling Mechanism &amp; Amort.</v>
      </c>
      <c r="C23" s="438">
        <v>504</v>
      </c>
      <c r="G23" s="221">
        <f>+G$20*(SUM($F12:F12))</f>
        <v>327.28314459735611</v>
      </c>
      <c r="H23" s="221">
        <f>+H$20*(SUM($F12:G12)+G23)</f>
        <v>302.14640982098553</v>
      </c>
      <c r="I23" s="221">
        <f>+I$20*(SUM($F12:H12)+H23+G23)</f>
        <v>247.89721431456303</v>
      </c>
      <c r="J23" s="221">
        <f>+J$20*(SUM($F12:I12)+I23+H23+G23)</f>
        <v>183.10227917541599</v>
      </c>
      <c r="K23" s="221">
        <f>+K$20*(SUM($F12:J12)+J23+G23+H23+I23)</f>
        <v>152.56654484050279</v>
      </c>
      <c r="L23" s="221">
        <f>+L$20*(SUM($F12:K12)+K23+G23+H23+I23+J23)</f>
        <v>111.79607468183153</v>
      </c>
      <c r="M23" s="221">
        <f>+M$20*(SUM($F12:L12)+L23+G23+H23+I23+J23+K23)</f>
        <v>91.572772330612992</v>
      </c>
      <c r="N23" s="221">
        <f>+N$20*(SUM($F12:M12)+M23+G23+H23+I23+J23+K23+L23)</f>
        <v>73.72303113111694</v>
      </c>
      <c r="O23" s="221">
        <f>+O$20*(SUM($F12:N12)+N23+G23+H23+I23+J23+K23+L23+M23)</f>
        <v>64.53188070715737</v>
      </c>
      <c r="P23" s="221">
        <f>+P$20*(SUM($F12:O12)+O23+G23+H23+I23+J23+K23+L23+M23+N23)</f>
        <v>53.653922482624417</v>
      </c>
      <c r="Q23" s="221">
        <f>+Q$20*(SUM($F12:P12)+P23+G23+H23+I23+J23+K23+L23+M23+N23+O23)</f>
        <v>41.215728812329885</v>
      </c>
      <c r="R23" s="221">
        <f>+R$20*(SUM($F12:Q12)+Q23+P23+O23+N23+M23+L23+K23+J23+I23+H23+G23)</f>
        <v>29.566492950053306</v>
      </c>
      <c r="S23" s="286">
        <f t="shared" ref="S23:S26" si="5">SUM(G23:R23)</f>
        <v>1679.0554958445496</v>
      </c>
    </row>
    <row r="24" spans="1:20">
      <c r="A24" s="183" t="str">
        <f t="shared" si="4"/>
        <v>47WA.1862.20477</v>
      </c>
      <c r="B24" s="183" t="str">
        <f t="shared" si="4"/>
        <v>Rule 21 Decoupling Mechanism &amp; Amort.</v>
      </c>
      <c r="C24" s="438">
        <v>505</v>
      </c>
      <c r="G24" s="221">
        <f>+G$20*(SUM($F13:F13))</f>
        <v>-339.73288601783844</v>
      </c>
      <c r="H24" s="221">
        <f>+H$20*(SUM($F13:G13)+G24)</f>
        <v>-309.20270467262407</v>
      </c>
      <c r="I24" s="221">
        <f>+I$20*(SUM($F13:H13)+H24+G24)</f>
        <v>-259.11811766931646</v>
      </c>
      <c r="J24" s="221">
        <f>+J$20*(SUM($F13:I13)+I24+H24+G24)</f>
        <v>-204.32731996222682</v>
      </c>
      <c r="K24" s="221">
        <f>+K$20*(SUM($F13:J13)+J24+G24+H24+I24)</f>
        <v>-182.80024653370555</v>
      </c>
      <c r="L24" s="221">
        <f>+L$20*(SUM($F13:K13)+K24+G24+H24+I24+J24)</f>
        <v>-148.14886816082901</v>
      </c>
      <c r="M24" s="221">
        <f>+M$20*(SUM($F13:L13)+L24+G24+H24+I24+J24+K24)</f>
        <v>-128.02470403359638</v>
      </c>
      <c r="N24" s="221">
        <f>+N$20*(SUM($F13:M13)+M24+G24+H24+I24+J24+K24+L24)</f>
        <v>-108.28249659102822</v>
      </c>
      <c r="O24" s="221">
        <f>+O$20*(SUM($F13:N13)+N24+G24+H24+I24+J24+K24+L24+M24)</f>
        <v>-97.985301965906103</v>
      </c>
      <c r="P24" s="221">
        <f>+P$20*(SUM($F13:O13)+O24+G24+H24+I24+J24+K24+L24+M24+N24)</f>
        <v>-84.301997797329435</v>
      </c>
      <c r="Q24" s="221">
        <f>+Q$20*(SUM($F13:P13)+P24+G24+H24+I24+J24+K24+L24+M24+N24+O24)</f>
        <v>-66.680343474830906</v>
      </c>
      <c r="R24" s="221">
        <f>+R$20*(SUM($F13:Q13)+Q24+P24+O24+N24+M24+L24+K24+J24+I24+H24+G24)</f>
        <v>-47.0886937419181</v>
      </c>
      <c r="S24" s="286">
        <f t="shared" si="5"/>
        <v>-1975.6936806211493</v>
      </c>
    </row>
    <row r="25" spans="1:20">
      <c r="A25" s="183" t="str">
        <f t="shared" si="4"/>
        <v>47WA.1862.20477</v>
      </c>
      <c r="B25" s="183" t="str">
        <f t="shared" si="4"/>
        <v>Rule 21 Decoupling Mechanism &amp; Amort.</v>
      </c>
      <c r="C25" s="438">
        <v>511</v>
      </c>
      <c r="G25" s="221">
        <f>+G$20*(SUM($F14:F14))</f>
        <v>-1283.8809635689015</v>
      </c>
      <c r="H25" s="221">
        <f>+H$20*(SUM($F14:G14)+G25)</f>
        <v>-1189.3164859037815</v>
      </c>
      <c r="I25" s="221">
        <f>+I$20*(SUM($F14:H14)+H25+G25)</f>
        <v>-997.69174166091523</v>
      </c>
      <c r="J25" s="221">
        <f>+J$20*(SUM($F14:I14)+I25+H25+G25)</f>
        <v>-772.37166856255601</v>
      </c>
      <c r="K25" s="221">
        <f>+K$20*(SUM($F14:J14)+J25+G25+H25+I25)</f>
        <v>-689.04906632624522</v>
      </c>
      <c r="L25" s="221">
        <f>+L$20*(SUM($F14:K14)+K25+G25+H25+I25+J25)</f>
        <v>-560.05211778817193</v>
      </c>
      <c r="M25" s="221">
        <f>+M$20*(SUM($F14:L14)+L25+G25+H25+I25+J25+K25)</f>
        <v>-492.88594693247751</v>
      </c>
      <c r="N25" s="221">
        <f>+N$20*(SUM($F14:M14)+M25+G25+H25+I25+J25+K25+L25)</f>
        <v>-413.44822054215234</v>
      </c>
      <c r="O25" s="221">
        <f>+O$20*(SUM($F14:N14)+N25+G25+H25+I25+J25+K25+L25+M25)</f>
        <v>-366.34868843104653</v>
      </c>
      <c r="P25" s="221">
        <f>+P$20*(SUM($F14:O14)+O25+G25+H25+I25+J25+K25+L25+M25+N25)</f>
        <v>-304.59162636697266</v>
      </c>
      <c r="Q25" s="221">
        <f>+Q$20*(SUM($F14:P14)+P25+G25+H25+I25+J25+K25+L25+M25+N25+O25)</f>
        <v>-234.9555468240253</v>
      </c>
      <c r="R25" s="221">
        <f>+R$20*(SUM($F14:Q14)+Q25+P25+O25+N25+M25+L25+K25+J25+I25+H25+G25)</f>
        <v>-172.53048045171059</v>
      </c>
      <c r="S25" s="286">
        <f t="shared" si="5"/>
        <v>-7477.1225533589577</v>
      </c>
    </row>
    <row r="26" spans="1:20">
      <c r="A26" s="183" t="str">
        <f t="shared" si="4"/>
        <v>47WA.1862.20477</v>
      </c>
      <c r="B26" s="183" t="str">
        <f t="shared" si="4"/>
        <v>Rule 21 Decoupling Mechanism &amp; Amort.</v>
      </c>
      <c r="C26" s="438">
        <v>570</v>
      </c>
      <c r="G26" s="221">
        <f>+G$20*(SUM($F15:F15))</f>
        <v>200.17323971165425</v>
      </c>
      <c r="H26" s="221">
        <f>+H$20*(SUM($F15:G15)+G26)</f>
        <v>176.60503903733593</v>
      </c>
      <c r="I26" s="221">
        <f>+I$20*(SUM($F15:H15)+H26+G26)</f>
        <v>147.75524898271959</v>
      </c>
      <c r="J26" s="221">
        <f>+J$20*(SUM($F15:I15)+I26+H26+G26)</f>
        <v>115.79092546645434</v>
      </c>
      <c r="K26" s="221">
        <f>+K$20*(SUM($F15:J15)+J26+G26+H26+I26)</f>
        <v>104.38109925258703</v>
      </c>
      <c r="L26" s="221">
        <f>+L$20*(SUM($F15:K15)+K26+G26+H26+I26+J26)</f>
        <v>88.149889185951409</v>
      </c>
      <c r="M26" s="221">
        <f>+M$20*(SUM($F15:L15)+L26+G26+H26+I26+J26+K26)</f>
        <v>79.41453829823277</v>
      </c>
      <c r="N26" s="221">
        <f>+N$20*(SUM($F15:M15)+M26+G26+H26+I26+J26+K26+L26)</f>
        <v>67.693629370432589</v>
      </c>
      <c r="O26" s="221">
        <f>+O$20*(SUM($F15:N15)+N26+G26+H26+I26+J26+K26+L26+M26)</f>
        <v>61.258743675630598</v>
      </c>
      <c r="P26" s="221">
        <f>+P$20*(SUM($F15:O15)+O26+G26+H26+I26+J26+K26+L26+M26+N26)</f>
        <v>51.228046097448377</v>
      </c>
      <c r="Q26" s="221">
        <f>+Q$20*(SUM($F15:P15)+P26+G26+H26+I26+J26+K26+L26+M26+N26+O26)</f>
        <v>40.777023684012811</v>
      </c>
      <c r="R26" s="221">
        <f>+R$20*(SUM($F15:Q15)+Q26+P26+O26+N26+M26+L26+K26+J26+I26+H26+G26)</f>
        <v>29.096878425019934</v>
      </c>
      <c r="S26" s="286">
        <f t="shared" si="5"/>
        <v>1162.3243011874797</v>
      </c>
    </row>
    <row r="27" spans="1:20"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86"/>
    </row>
    <row r="29" spans="1:20">
      <c r="A29" s="183" t="str">
        <f>+A17</f>
        <v>CORE Decoupling</v>
      </c>
      <c r="B29" s="183" t="s">
        <v>185</v>
      </c>
      <c r="G29" s="221">
        <f t="shared" ref="G29:R29" si="6">SUM(G21:G27)</f>
        <v>6666.6461984366988</v>
      </c>
      <c r="H29" s="221">
        <f t="shared" si="6"/>
        <v>6098.5418775717799</v>
      </c>
      <c r="I29" s="221">
        <f t="shared" si="6"/>
        <v>4869.9792171626414</v>
      </c>
      <c r="J29" s="221">
        <f t="shared" si="6"/>
        <v>3440.2092679910215</v>
      </c>
      <c r="K29" s="221">
        <f t="shared" si="6"/>
        <v>2680.9788381714166</v>
      </c>
      <c r="L29" s="221">
        <f t="shared" si="6"/>
        <v>1814.3644209811059</v>
      </c>
      <c r="M29" s="221">
        <f t="shared" si="6"/>
        <v>1394.5343501401376</v>
      </c>
      <c r="N29" s="221">
        <f t="shared" si="6"/>
        <v>1050.3150768636224</v>
      </c>
      <c r="O29" s="221">
        <f t="shared" si="6"/>
        <v>905.94720822213435</v>
      </c>
      <c r="P29" s="221">
        <f t="shared" si="6"/>
        <v>764.04036928489461</v>
      </c>
      <c r="Q29" s="221">
        <f t="shared" si="6"/>
        <v>617.05714770061945</v>
      </c>
      <c r="R29" s="221">
        <f t="shared" si="6"/>
        <v>478.51204425703412</v>
      </c>
      <c r="S29" s="221">
        <f>SUM(S21:S27)</f>
        <v>30781.126016783102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I36"/>
  <sheetViews>
    <sheetView workbookViewId="0">
      <selection activeCell="N18" sqref="N18"/>
    </sheetView>
  </sheetViews>
  <sheetFormatPr defaultRowHeight="10.5"/>
  <cols>
    <col min="1" max="1" width="12.5" bestFit="1" customWidth="1"/>
    <col min="3" max="4" width="14.83203125" bestFit="1" customWidth="1"/>
    <col min="5" max="5" width="13.6640625" bestFit="1" customWidth="1"/>
    <col min="6" max="6" width="17" bestFit="1" customWidth="1"/>
    <col min="7" max="7" width="13.6640625" bestFit="1" customWidth="1"/>
    <col min="8" max="9" width="14.83203125" bestFit="1" customWidth="1"/>
    <col min="10" max="11" width="13.6640625" bestFit="1" customWidth="1"/>
    <col min="13" max="13" width="12.33203125" bestFit="1" customWidth="1"/>
    <col min="14" max="14" width="10.5" bestFit="1" customWidth="1"/>
    <col min="15" max="16" width="14.83203125" bestFit="1" customWidth="1"/>
    <col min="21" max="21" width="8.6640625" bestFit="1" customWidth="1"/>
    <col min="22" max="22" width="13.6640625" bestFit="1" customWidth="1"/>
    <col min="23" max="23" width="18" bestFit="1" customWidth="1"/>
    <col min="24" max="26" width="16.6640625" bestFit="1" customWidth="1"/>
    <col min="27" max="28" width="12.33203125" customWidth="1"/>
    <col min="29" max="29" width="13.6640625" bestFit="1" customWidth="1"/>
    <col min="30" max="31" width="18" bestFit="1" customWidth="1"/>
  </cols>
  <sheetData>
    <row r="1" spans="1:9" ht="15">
      <c r="B1" s="579" t="s">
        <v>34</v>
      </c>
      <c r="C1" s="579"/>
      <c r="D1" s="579"/>
      <c r="E1" s="579"/>
      <c r="F1" s="579"/>
      <c r="G1" s="579"/>
      <c r="H1" s="579"/>
      <c r="I1" s="579"/>
    </row>
    <row r="2" spans="1:9" ht="15">
      <c r="B2" s="597" t="s">
        <v>221</v>
      </c>
      <c r="C2" s="597"/>
      <c r="D2" s="597"/>
      <c r="E2" s="597"/>
      <c r="F2" s="597"/>
      <c r="G2" s="597"/>
      <c r="H2" s="597"/>
      <c r="I2" s="597"/>
    </row>
    <row r="3" spans="1:9" ht="15">
      <c r="B3" s="580" t="s">
        <v>283</v>
      </c>
      <c r="C3" s="580"/>
      <c r="D3" s="580"/>
      <c r="E3" s="580"/>
      <c r="F3" s="580"/>
      <c r="G3" s="580"/>
      <c r="H3" s="580"/>
      <c r="I3" s="580"/>
    </row>
    <row r="4" spans="1:9" ht="15">
      <c r="B4" s="579" t="s">
        <v>36</v>
      </c>
      <c r="C4" s="579"/>
      <c r="D4" s="579"/>
      <c r="E4" s="579"/>
      <c r="F4" s="579"/>
      <c r="G4" s="579"/>
      <c r="H4" s="579"/>
      <c r="I4" s="579"/>
    </row>
    <row r="5" spans="1:9" ht="15">
      <c r="F5" s="415"/>
      <c r="G5" s="415"/>
      <c r="H5" s="415"/>
      <c r="I5" s="415"/>
    </row>
    <row r="6" spans="1:9" ht="15">
      <c r="B6" s="275"/>
      <c r="C6" s="434">
        <v>503</v>
      </c>
      <c r="D6" s="434">
        <v>504</v>
      </c>
      <c r="E6" s="313">
        <v>505</v>
      </c>
      <c r="F6" s="313">
        <v>511</v>
      </c>
      <c r="G6" s="313">
        <v>570</v>
      </c>
      <c r="H6" s="82">
        <v>663</v>
      </c>
      <c r="I6" s="82" t="s">
        <v>144</v>
      </c>
    </row>
    <row r="7" spans="1:9" ht="15">
      <c r="A7" s="481" t="s">
        <v>280</v>
      </c>
      <c r="B7" s="314">
        <v>43313</v>
      </c>
      <c r="C7" s="537">
        <v>2715109</v>
      </c>
      <c r="D7" s="537">
        <v>2801598</v>
      </c>
      <c r="E7" s="537">
        <v>543579</v>
      </c>
      <c r="F7" s="537">
        <v>651074</v>
      </c>
      <c r="G7" s="537">
        <v>98499</v>
      </c>
      <c r="H7" s="538">
        <v>59373915</v>
      </c>
      <c r="I7" s="315">
        <f t="shared" ref="I7:I18" si="0">+C7+D7+E7+F7+G7</f>
        <v>6809859</v>
      </c>
    </row>
    <row r="8" spans="1:9" ht="15">
      <c r="A8" s="481" t="s">
        <v>280</v>
      </c>
      <c r="B8" s="316">
        <v>43344</v>
      </c>
      <c r="C8" s="539">
        <v>2809188</v>
      </c>
      <c r="D8" s="539">
        <v>2784341</v>
      </c>
      <c r="E8" s="539">
        <v>648016</v>
      </c>
      <c r="F8" s="539">
        <v>625217</v>
      </c>
      <c r="G8" s="539">
        <v>118833</v>
      </c>
      <c r="H8" s="538">
        <v>62235946</v>
      </c>
      <c r="I8" s="315">
        <f t="shared" si="0"/>
        <v>6985595</v>
      </c>
    </row>
    <row r="9" spans="1:9" ht="15">
      <c r="A9" s="481" t="s">
        <v>280</v>
      </c>
      <c r="B9" s="314">
        <v>43374</v>
      </c>
      <c r="C9" s="537">
        <v>5307116</v>
      </c>
      <c r="D9" s="537">
        <v>4260267</v>
      </c>
      <c r="E9" s="537">
        <v>1031586</v>
      </c>
      <c r="F9" s="537">
        <v>1121758</v>
      </c>
      <c r="G9" s="537">
        <v>197763</v>
      </c>
      <c r="H9" s="538">
        <v>46198512</v>
      </c>
      <c r="I9" s="315">
        <f t="shared" si="0"/>
        <v>11918490</v>
      </c>
    </row>
    <row r="10" spans="1:9" ht="15">
      <c r="A10" s="481" t="s">
        <v>280</v>
      </c>
      <c r="B10" s="316">
        <v>43405</v>
      </c>
      <c r="C10" s="539">
        <v>8960930</v>
      </c>
      <c r="D10" s="539">
        <v>6155960</v>
      </c>
      <c r="E10" s="539">
        <v>989360</v>
      </c>
      <c r="F10" s="539">
        <v>976772</v>
      </c>
      <c r="G10" s="539">
        <v>217751</v>
      </c>
      <c r="H10" s="538">
        <v>26087607</v>
      </c>
      <c r="I10" s="315">
        <f t="shared" si="0"/>
        <v>17300773</v>
      </c>
    </row>
    <row r="11" spans="1:9" ht="15">
      <c r="A11" s="481" t="s">
        <v>280</v>
      </c>
      <c r="B11" s="314">
        <v>43435</v>
      </c>
      <c r="C11" s="540">
        <v>17031202</v>
      </c>
      <c r="D11" s="540">
        <v>11463654</v>
      </c>
      <c r="E11" s="540">
        <v>1475293</v>
      </c>
      <c r="F11" s="540">
        <v>1688938</v>
      </c>
      <c r="G11" s="540">
        <v>260561</v>
      </c>
      <c r="H11" s="538">
        <v>48237538</v>
      </c>
      <c r="I11" s="315">
        <f t="shared" si="0"/>
        <v>31919648</v>
      </c>
    </row>
    <row r="12" spans="1:9" ht="15">
      <c r="A12" s="481" t="s">
        <v>280</v>
      </c>
      <c r="B12" s="316">
        <v>43466</v>
      </c>
      <c r="C12" s="541">
        <v>19425579</v>
      </c>
      <c r="D12" s="541">
        <v>13122882</v>
      </c>
      <c r="E12" s="541">
        <v>1433715</v>
      </c>
      <c r="F12" s="542">
        <v>1808596</v>
      </c>
      <c r="G12" s="542">
        <v>258818</v>
      </c>
      <c r="H12" s="538">
        <v>50215607</v>
      </c>
      <c r="I12" s="315">
        <f t="shared" si="0"/>
        <v>36049590</v>
      </c>
    </row>
    <row r="13" spans="1:9" ht="15">
      <c r="A13" s="481" t="s">
        <v>280</v>
      </c>
      <c r="B13" s="314">
        <v>43497</v>
      </c>
      <c r="C13" s="543">
        <v>20826493</v>
      </c>
      <c r="D13" s="543">
        <v>13992853</v>
      </c>
      <c r="E13" s="543">
        <v>1616149</v>
      </c>
      <c r="F13" s="540">
        <v>1853461</v>
      </c>
      <c r="G13" s="540">
        <v>270184</v>
      </c>
      <c r="H13" s="538">
        <v>43709503</v>
      </c>
      <c r="I13" s="315">
        <f t="shared" si="0"/>
        <v>38559140</v>
      </c>
    </row>
    <row r="14" spans="1:9" ht="15">
      <c r="A14" s="481" t="s">
        <v>280</v>
      </c>
      <c r="B14" s="316">
        <v>43525</v>
      </c>
      <c r="C14" s="542">
        <v>22406676</v>
      </c>
      <c r="D14" s="542">
        <v>15947311</v>
      </c>
      <c r="E14" s="542">
        <v>1794729</v>
      </c>
      <c r="F14" s="542">
        <v>1994555</v>
      </c>
      <c r="G14" s="542">
        <v>248145</v>
      </c>
      <c r="H14" s="538">
        <v>42346978</v>
      </c>
      <c r="I14" s="315">
        <f t="shared" si="0"/>
        <v>42391416</v>
      </c>
    </row>
    <row r="15" spans="1:9" ht="15">
      <c r="A15" s="481" t="s">
        <v>280</v>
      </c>
      <c r="B15" s="314">
        <v>43556</v>
      </c>
      <c r="C15" s="540">
        <v>12262358</v>
      </c>
      <c r="D15" s="540">
        <v>9100074</v>
      </c>
      <c r="E15" s="540">
        <v>1331310</v>
      </c>
      <c r="F15" s="540">
        <v>1367888</v>
      </c>
      <c r="G15" s="540">
        <v>191595</v>
      </c>
      <c r="H15" s="538">
        <v>38003539</v>
      </c>
      <c r="I15" s="315">
        <f t="shared" si="0"/>
        <v>24253225</v>
      </c>
    </row>
    <row r="16" spans="1:9" ht="15">
      <c r="A16" s="481" t="s">
        <v>280</v>
      </c>
      <c r="B16" s="316">
        <v>43586</v>
      </c>
      <c r="C16" s="542">
        <v>7409569</v>
      </c>
      <c r="D16" s="542">
        <v>5372788</v>
      </c>
      <c r="E16" s="542">
        <v>789879</v>
      </c>
      <c r="F16" s="542">
        <v>959865</v>
      </c>
      <c r="G16" s="542">
        <v>142407</v>
      </c>
      <c r="H16" s="538">
        <v>35779544</v>
      </c>
      <c r="I16" s="315">
        <f t="shared" si="0"/>
        <v>14674508</v>
      </c>
    </row>
    <row r="17" spans="1:9" ht="15">
      <c r="A17" s="481" t="s">
        <v>280</v>
      </c>
      <c r="B17" s="314">
        <v>43617</v>
      </c>
      <c r="C17" s="540">
        <v>4046705</v>
      </c>
      <c r="D17" s="540">
        <v>3466129</v>
      </c>
      <c r="E17" s="540">
        <v>579038</v>
      </c>
      <c r="F17" s="540">
        <v>754986</v>
      </c>
      <c r="G17" s="540">
        <v>110987</v>
      </c>
      <c r="H17" s="538">
        <v>42774451</v>
      </c>
      <c r="I17" s="315">
        <f t="shared" si="0"/>
        <v>8957845</v>
      </c>
    </row>
    <row r="18" spans="1:9" ht="15">
      <c r="A18" s="481" t="s">
        <v>280</v>
      </c>
      <c r="B18" s="316">
        <v>43647</v>
      </c>
      <c r="C18" s="544">
        <v>3217527</v>
      </c>
      <c r="D18" s="545">
        <v>3054895</v>
      </c>
      <c r="E18" s="545">
        <v>537168</v>
      </c>
      <c r="F18" s="544">
        <v>721290</v>
      </c>
      <c r="G18" s="544">
        <v>120191</v>
      </c>
      <c r="H18" s="538">
        <v>59749836</v>
      </c>
      <c r="I18" s="315">
        <f t="shared" si="0"/>
        <v>7651071</v>
      </c>
    </row>
    <row r="19" spans="1:9" ht="15">
      <c r="A19" s="481"/>
      <c r="B19" s="317"/>
      <c r="C19" s="318"/>
      <c r="D19" s="319"/>
      <c r="E19" s="319"/>
      <c r="F19" s="319"/>
      <c r="G19" s="319"/>
      <c r="H19" s="319"/>
      <c r="I19" s="320"/>
    </row>
    <row r="20" spans="1:9" ht="15">
      <c r="A20" s="481" t="s">
        <v>220</v>
      </c>
      <c r="B20" s="535">
        <v>43678</v>
      </c>
      <c r="C20" s="5">
        <f t="shared" ref="C20:C31" si="1">(+C7/I7)*I20</f>
        <v>2942606.3541663638</v>
      </c>
      <c r="D20" s="5">
        <f t="shared" ref="D20:D31" si="2">(+D7/I7)*I20</f>
        <v>3036342.2155868425</v>
      </c>
      <c r="E20" s="5">
        <f t="shared" ref="E20:E31" si="3">(+E7/I7)*I20</f>
        <v>589125.15828697768</v>
      </c>
      <c r="F20" s="5">
        <f t="shared" ref="F20:F31" si="4">(+F7/I7)*I20</f>
        <v>705627.09984479856</v>
      </c>
      <c r="G20" s="5">
        <f t="shared" ref="G20:G31" si="5">(+G7/I7)*I20</f>
        <v>106752.17211501737</v>
      </c>
      <c r="H20" s="5">
        <f t="shared" ref="H20:H31" si="6">+H7</f>
        <v>59373915</v>
      </c>
      <c r="I20" s="299">
        <v>7380453</v>
      </c>
    </row>
    <row r="21" spans="1:9" ht="15">
      <c r="A21" s="481" t="s">
        <v>220</v>
      </c>
      <c r="B21" s="535">
        <v>43709</v>
      </c>
      <c r="C21" s="5">
        <f t="shared" si="1"/>
        <v>3555844.3727092682</v>
      </c>
      <c r="D21" s="5">
        <f t="shared" si="2"/>
        <v>3524393.2682873826</v>
      </c>
      <c r="E21" s="5">
        <f t="shared" si="3"/>
        <v>820252.70185746532</v>
      </c>
      <c r="F21" s="5">
        <f t="shared" si="4"/>
        <v>791393.93702812714</v>
      </c>
      <c r="G21" s="5">
        <f t="shared" si="5"/>
        <v>150417.7201177566</v>
      </c>
      <c r="H21" s="5">
        <f t="shared" si="6"/>
        <v>62235946</v>
      </c>
      <c r="I21" s="299">
        <v>8842302</v>
      </c>
    </row>
    <row r="22" spans="1:9" ht="15">
      <c r="A22" s="481" t="s">
        <v>220</v>
      </c>
      <c r="B22" s="535">
        <v>43739</v>
      </c>
      <c r="C22" s="5">
        <f t="shared" si="1"/>
        <v>7288693.742092832</v>
      </c>
      <c r="D22" s="5">
        <f t="shared" si="2"/>
        <v>5850970.9270618176</v>
      </c>
      <c r="E22" s="5">
        <f t="shared" si="3"/>
        <v>1416760.8966207968</v>
      </c>
      <c r="F22" s="5">
        <f t="shared" si="4"/>
        <v>1540601.4330085439</v>
      </c>
      <c r="G22" s="5">
        <f t="shared" si="5"/>
        <v>271604.00121600972</v>
      </c>
      <c r="H22" s="5">
        <f t="shared" si="6"/>
        <v>46198512</v>
      </c>
      <c r="I22" s="299">
        <v>16368631</v>
      </c>
    </row>
    <row r="23" spans="1:9" ht="15">
      <c r="A23" s="481" t="s">
        <v>220</v>
      </c>
      <c r="B23" s="535">
        <v>43770</v>
      </c>
      <c r="C23" s="5">
        <f t="shared" si="1"/>
        <v>14787385.937061885</v>
      </c>
      <c r="D23" s="5">
        <f t="shared" si="2"/>
        <v>10158605.896164292</v>
      </c>
      <c r="E23" s="5">
        <f t="shared" si="3"/>
        <v>1632648.4138020885</v>
      </c>
      <c r="F23" s="5">
        <f t="shared" si="4"/>
        <v>1611875.612968276</v>
      </c>
      <c r="G23" s="5">
        <f t="shared" si="5"/>
        <v>359334.14000345534</v>
      </c>
      <c r="H23" s="5">
        <f t="shared" si="6"/>
        <v>26087607</v>
      </c>
      <c r="I23" s="299">
        <v>28549850</v>
      </c>
    </row>
    <row r="24" spans="1:9" ht="15">
      <c r="A24" s="481" t="s">
        <v>220</v>
      </c>
      <c r="B24" s="535">
        <v>43800</v>
      </c>
      <c r="C24" s="5">
        <f t="shared" si="1"/>
        <v>22356576.647160586</v>
      </c>
      <c r="D24" s="5">
        <f t="shared" si="2"/>
        <v>15048148.645499537</v>
      </c>
      <c r="E24" s="5">
        <f t="shared" si="3"/>
        <v>1936592.6745228833</v>
      </c>
      <c r="F24" s="5">
        <f t="shared" si="4"/>
        <v>2217040.925784457</v>
      </c>
      <c r="G24" s="5">
        <f t="shared" si="5"/>
        <v>342034.10703253996</v>
      </c>
      <c r="H24" s="5">
        <f t="shared" si="6"/>
        <v>48237538</v>
      </c>
      <c r="I24" s="299">
        <v>41900393</v>
      </c>
    </row>
    <row r="25" spans="1:9" ht="15">
      <c r="A25" s="481" t="s">
        <v>220</v>
      </c>
      <c r="B25" s="535">
        <v>43831</v>
      </c>
      <c r="C25" s="5">
        <f t="shared" si="1"/>
        <v>21340879.350381933</v>
      </c>
      <c r="D25" s="5">
        <f t="shared" si="2"/>
        <v>14416756.457622126</v>
      </c>
      <c r="E25" s="5">
        <f t="shared" si="3"/>
        <v>1575074.7423195383</v>
      </c>
      <c r="F25" s="5">
        <f t="shared" si="4"/>
        <v>1986917.8174603372</v>
      </c>
      <c r="G25" s="5">
        <f t="shared" si="5"/>
        <v>284336.63221606682</v>
      </c>
      <c r="H25" s="5">
        <f t="shared" si="6"/>
        <v>50215607</v>
      </c>
      <c r="I25" s="299">
        <v>39603965</v>
      </c>
    </row>
    <row r="26" spans="1:9" ht="15">
      <c r="A26" s="481" t="s">
        <v>220</v>
      </c>
      <c r="B26" s="535">
        <v>43862</v>
      </c>
      <c r="C26" s="5">
        <f t="shared" si="1"/>
        <v>17712637.624217734</v>
      </c>
      <c r="D26" s="5">
        <f t="shared" si="2"/>
        <v>11900723.492810238</v>
      </c>
      <c r="E26" s="5">
        <f t="shared" si="3"/>
        <v>1374511.8577449343</v>
      </c>
      <c r="F26" s="5">
        <f t="shared" si="4"/>
        <v>1576342.3560375827</v>
      </c>
      <c r="G26" s="5">
        <f t="shared" si="5"/>
        <v>229787.66918950991</v>
      </c>
      <c r="H26" s="5">
        <f t="shared" si="6"/>
        <v>43709503</v>
      </c>
      <c r="I26" s="299">
        <v>32794003</v>
      </c>
    </row>
    <row r="27" spans="1:9" ht="15">
      <c r="A27" s="481" t="s">
        <v>220</v>
      </c>
      <c r="B27" s="535">
        <v>43891</v>
      </c>
      <c r="C27" s="5">
        <f t="shared" si="1"/>
        <v>14342280.008139007</v>
      </c>
      <c r="D27" s="5">
        <f t="shared" si="2"/>
        <v>10207707.726879045</v>
      </c>
      <c r="E27" s="5">
        <f t="shared" si="3"/>
        <v>1148787.3460895007</v>
      </c>
      <c r="F27" s="5">
        <f t="shared" si="4"/>
        <v>1276693.8880909286</v>
      </c>
      <c r="G27" s="5">
        <f t="shared" si="5"/>
        <v>158835.03080151888</v>
      </c>
      <c r="H27" s="5">
        <f t="shared" si="6"/>
        <v>42346978</v>
      </c>
      <c r="I27" s="299">
        <v>27134304</v>
      </c>
    </row>
    <row r="28" spans="1:9" ht="15">
      <c r="A28" s="481" t="s">
        <v>220</v>
      </c>
      <c r="B28" s="535">
        <v>43922</v>
      </c>
      <c r="C28" s="5">
        <f t="shared" si="1"/>
        <v>8915278.503259588</v>
      </c>
      <c r="D28" s="5">
        <f t="shared" si="2"/>
        <v>6616157.6843761606</v>
      </c>
      <c r="E28" s="5">
        <f t="shared" si="3"/>
        <v>967921.45720868057</v>
      </c>
      <c r="F28" s="5">
        <f t="shared" si="4"/>
        <v>994515.28664117865</v>
      </c>
      <c r="G28" s="5">
        <f t="shared" si="5"/>
        <v>139298.06851439347</v>
      </c>
      <c r="H28" s="5">
        <f t="shared" si="6"/>
        <v>38003539</v>
      </c>
      <c r="I28" s="299">
        <v>17633171</v>
      </c>
    </row>
    <row r="29" spans="1:9" ht="15">
      <c r="A29" s="481" t="s">
        <v>220</v>
      </c>
      <c r="B29" s="535">
        <v>43952</v>
      </c>
      <c r="C29" s="5">
        <f t="shared" si="1"/>
        <v>5898434.3135875491</v>
      </c>
      <c r="D29" s="5">
        <f t="shared" si="2"/>
        <v>4277041.9033592138</v>
      </c>
      <c r="E29" s="5">
        <f t="shared" si="3"/>
        <v>628788.17879720393</v>
      </c>
      <c r="F29" s="5">
        <f t="shared" si="4"/>
        <v>764106.61030509498</v>
      </c>
      <c r="G29" s="5">
        <f t="shared" si="5"/>
        <v>113363.99395093859</v>
      </c>
      <c r="H29" s="5">
        <f t="shared" si="6"/>
        <v>35779544</v>
      </c>
      <c r="I29" s="299">
        <v>11681735</v>
      </c>
    </row>
    <row r="30" spans="1:9" ht="15">
      <c r="A30" s="481" t="s">
        <v>220</v>
      </c>
      <c r="B30" s="535">
        <v>43983</v>
      </c>
      <c r="C30" s="5">
        <f t="shared" si="1"/>
        <v>3785458.97396472</v>
      </c>
      <c r="D30" s="5">
        <f t="shared" si="2"/>
        <v>3242363.6336153396</v>
      </c>
      <c r="E30" s="5">
        <f t="shared" si="3"/>
        <v>541656.6301142741</v>
      </c>
      <c r="F30" s="5">
        <f t="shared" si="4"/>
        <v>706245.829364317</v>
      </c>
      <c r="G30" s="5">
        <f t="shared" si="5"/>
        <v>103821.93294134918</v>
      </c>
      <c r="H30" s="5">
        <f t="shared" si="6"/>
        <v>42774451</v>
      </c>
      <c r="I30" s="299">
        <v>8379547</v>
      </c>
    </row>
    <row r="31" spans="1:9" ht="15">
      <c r="A31" s="481" t="s">
        <v>220</v>
      </c>
      <c r="B31" s="535">
        <v>44013</v>
      </c>
      <c r="C31" s="5">
        <f t="shared" si="1"/>
        <v>3183315.8083244814</v>
      </c>
      <c r="D31" s="5">
        <f t="shared" si="2"/>
        <v>3022413.0353129646</v>
      </c>
      <c r="E31" s="5">
        <f t="shared" si="3"/>
        <v>531456.42169468815</v>
      </c>
      <c r="F31" s="5">
        <f t="shared" si="4"/>
        <v>713620.69669854059</v>
      </c>
      <c r="G31" s="5">
        <f t="shared" si="5"/>
        <v>118913.03796932483</v>
      </c>
      <c r="H31" s="5">
        <f t="shared" si="6"/>
        <v>59749836</v>
      </c>
      <c r="I31" s="299">
        <v>7569719</v>
      </c>
    </row>
    <row r="32" spans="1:9" ht="15">
      <c r="A32" s="481" t="s">
        <v>220</v>
      </c>
      <c r="B32" s="535">
        <v>44044</v>
      </c>
      <c r="C32" s="5">
        <f>(+C20/I20)*I32</f>
        <v>2964626.304206592</v>
      </c>
      <c r="D32" s="5">
        <f>(+D20/I20)*I32</f>
        <v>3059063.6046702289</v>
      </c>
      <c r="E32" s="5">
        <f>(+E20/I20)*I32</f>
        <v>593533.66727240605</v>
      </c>
      <c r="F32" s="5">
        <f>(+F20/I20)*I32</f>
        <v>710907.40975224308</v>
      </c>
      <c r="G32" s="5">
        <f>(+G20/I20)*I32</f>
        <v>107551.01409852981</v>
      </c>
      <c r="H32" s="5">
        <f>+H20</f>
        <v>59373915</v>
      </c>
      <c r="I32" s="299">
        <v>7435682</v>
      </c>
    </row>
    <row r="33" spans="1:9" ht="15">
      <c r="A33" s="481" t="s">
        <v>220</v>
      </c>
      <c r="B33" s="535">
        <v>44075</v>
      </c>
      <c r="C33" s="5">
        <f>(+C21/I21)*I33</f>
        <v>3604800.5085762916</v>
      </c>
      <c r="D33" s="5">
        <f>(+D21/I21)*I33</f>
        <v>3572916.3918006984</v>
      </c>
      <c r="E33" s="5">
        <f>(+E21/I21)*I33</f>
        <v>831545.77278757223</v>
      </c>
      <c r="F33" s="5">
        <f>(+F21/I21)*I33</f>
        <v>802289.68640423613</v>
      </c>
      <c r="G33" s="5">
        <f>(+G21/I21)*I33</f>
        <v>152488.64043120164</v>
      </c>
      <c r="H33" s="5">
        <f>+H21</f>
        <v>62235946</v>
      </c>
      <c r="I33" s="299">
        <v>8964041</v>
      </c>
    </row>
    <row r="34" spans="1:9" ht="15">
      <c r="A34" s="481" t="s">
        <v>220</v>
      </c>
      <c r="B34" s="535">
        <v>44105</v>
      </c>
      <c r="C34" s="5">
        <f>(+C22/I22)*I34</f>
        <v>7362647.8878468666</v>
      </c>
      <c r="D34" s="5">
        <f>(+D22/I22)*I34</f>
        <v>5910337.3337258324</v>
      </c>
      <c r="E34" s="5">
        <f>(+E22/I22)*I34</f>
        <v>1431135.9472889602</v>
      </c>
      <c r="F34" s="5">
        <f>(+F22/I22)*I34</f>
        <v>1556233.0217344647</v>
      </c>
      <c r="G34" s="5">
        <f>(+G22/I22)*I34</f>
        <v>274359.80940387584</v>
      </c>
      <c r="H34" s="5">
        <f>+H22</f>
        <v>46198512</v>
      </c>
      <c r="I34" s="299">
        <v>16534714</v>
      </c>
    </row>
    <row r="35" spans="1:9" ht="15">
      <c r="B35" s="183" t="s">
        <v>187</v>
      </c>
      <c r="C35" s="321">
        <f t="shared" ref="C35:H35" si="7">SUM(C23:C34)</f>
        <v>126254321.86672723</v>
      </c>
      <c r="D35" s="321">
        <f t="shared" si="7"/>
        <v>91432235.805835694</v>
      </c>
      <c r="E35" s="321">
        <f t="shared" si="7"/>
        <v>13193653.109642731</v>
      </c>
      <c r="F35" s="321">
        <f t="shared" si="7"/>
        <v>14916789.141241657</v>
      </c>
      <c r="G35" s="321">
        <f t="shared" si="7"/>
        <v>2384124.076552704</v>
      </c>
      <c r="H35" s="321">
        <f t="shared" si="7"/>
        <v>554712976</v>
      </c>
      <c r="I35" s="5">
        <f>SUM(I23:I34)</f>
        <v>248181124</v>
      </c>
    </row>
    <row r="36" spans="1:9" ht="15">
      <c r="B36" s="536"/>
      <c r="C36" s="436">
        <v>1</v>
      </c>
      <c r="D36" s="436">
        <v>2</v>
      </c>
      <c r="E36" s="436">
        <v>3</v>
      </c>
      <c r="F36" s="436">
        <v>4</v>
      </c>
      <c r="G36" s="436">
        <v>5</v>
      </c>
      <c r="H36" s="436">
        <v>6</v>
      </c>
      <c r="I36" s="437">
        <v>7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8"/>
  <sheetViews>
    <sheetView tabSelected="1" zoomScaleNormal="100" workbookViewId="0">
      <selection activeCell="C13" sqref="C13"/>
    </sheetView>
  </sheetViews>
  <sheetFormatPr defaultColWidth="9.83203125" defaultRowHeight="15" customHeight="1"/>
  <cols>
    <col min="1" max="1" width="5.5" style="339" bestFit="1" customWidth="1"/>
    <col min="2" max="2" width="21" style="350" customWidth="1"/>
    <col min="3" max="3" width="15.83203125" style="350" bestFit="1" customWidth="1"/>
    <col min="4" max="4" width="16.5" style="183" bestFit="1" customWidth="1"/>
    <col min="5" max="6" width="15.83203125" style="183" bestFit="1" customWidth="1"/>
    <col min="7" max="9" width="13.83203125" style="183" bestFit="1" customWidth="1"/>
    <col min="10" max="10" width="14.6640625" style="183" customWidth="1"/>
    <col min="11" max="11" width="14.1640625" style="183" customWidth="1"/>
    <col min="12" max="12" width="10.33203125" style="183" bestFit="1" customWidth="1"/>
    <col min="13" max="13" width="2.33203125" style="183" customWidth="1"/>
    <col min="14" max="14" width="27.5" style="183" bestFit="1" customWidth="1"/>
    <col min="15" max="15" width="11.1640625" style="183" customWidth="1"/>
    <col min="16" max="16" width="13" style="183" customWidth="1"/>
    <col min="17" max="16384" width="9.83203125" style="183"/>
  </cols>
  <sheetData>
    <row r="1" spans="1:22" ht="15" customHeight="1">
      <c r="D1" s="571" t="s">
        <v>34</v>
      </c>
      <c r="E1" s="571"/>
      <c r="F1" s="571"/>
      <c r="G1" s="571"/>
      <c r="H1" s="571"/>
      <c r="I1" s="571"/>
      <c r="J1" s="571"/>
      <c r="K1" s="571"/>
      <c r="L1" s="571"/>
      <c r="M1" s="571"/>
      <c r="N1" s="445" t="s">
        <v>295</v>
      </c>
    </row>
    <row r="2" spans="1:22" ht="15" customHeight="1">
      <c r="A2" s="359"/>
      <c r="D2" s="572" t="s">
        <v>191</v>
      </c>
      <c r="E2" s="572"/>
      <c r="F2" s="572"/>
      <c r="G2" s="572"/>
      <c r="H2" s="572"/>
      <c r="I2" s="572"/>
      <c r="J2" s="572"/>
      <c r="K2" s="572"/>
      <c r="L2" s="572"/>
      <c r="M2" s="572"/>
      <c r="N2" s="446" t="s">
        <v>192</v>
      </c>
    </row>
    <row r="3" spans="1:22" ht="15" customHeight="1">
      <c r="D3" s="571" t="s">
        <v>36</v>
      </c>
      <c r="E3" s="571"/>
      <c r="F3" s="571"/>
      <c r="G3" s="571"/>
      <c r="H3" s="571"/>
      <c r="I3" s="571"/>
      <c r="J3" s="571"/>
      <c r="K3" s="571"/>
      <c r="L3" s="571"/>
      <c r="M3" s="571"/>
      <c r="N3" s="446" t="s">
        <v>273</v>
      </c>
    </row>
    <row r="4" spans="1:22" ht="15" customHeight="1">
      <c r="D4" s="573" t="s">
        <v>202</v>
      </c>
      <c r="E4" s="573"/>
      <c r="F4" s="573"/>
      <c r="G4" s="573"/>
      <c r="H4" s="573"/>
      <c r="I4" s="573"/>
      <c r="J4" s="573"/>
      <c r="K4" s="573"/>
      <c r="L4" s="573"/>
      <c r="M4" s="361"/>
      <c r="N4" s="447"/>
    </row>
    <row r="5" spans="1:22" ht="5.25" customHeight="1">
      <c r="E5" s="184"/>
      <c r="G5" s="3"/>
      <c r="H5" s="3"/>
      <c r="I5" s="3"/>
      <c r="J5" s="3"/>
      <c r="K5" s="3"/>
      <c r="L5" s="350"/>
      <c r="M5" s="350"/>
      <c r="N5" s="447"/>
    </row>
    <row r="6" spans="1:22" s="438" customFormat="1" ht="15" customHeight="1">
      <c r="A6" s="339"/>
      <c r="B6" s="339"/>
      <c r="C6" s="339"/>
      <c r="D6" s="338"/>
      <c r="E6" s="339"/>
      <c r="F6" s="339"/>
      <c r="G6" s="570"/>
      <c r="H6" s="570"/>
      <c r="I6" s="570"/>
      <c r="J6" s="570"/>
      <c r="K6" s="570"/>
      <c r="L6" s="339"/>
      <c r="M6" s="339"/>
      <c r="N6" s="331"/>
    </row>
    <row r="7" spans="1:22" s="438" customFormat="1" ht="16.5" thickBot="1">
      <c r="A7" s="339"/>
      <c r="B7" s="339"/>
      <c r="C7" s="339"/>
      <c r="D7" s="339"/>
      <c r="E7" s="339"/>
      <c r="F7" s="340"/>
      <c r="G7" s="442"/>
      <c r="H7" s="442"/>
      <c r="I7" s="442"/>
      <c r="J7" s="442"/>
      <c r="K7" s="442"/>
      <c r="L7" s="338"/>
      <c r="M7" s="338"/>
      <c r="N7" s="330"/>
    </row>
    <row r="8" spans="1:22" s="438" customFormat="1" ht="75">
      <c r="A8" s="343" t="s">
        <v>130</v>
      </c>
      <c r="B8" s="443" t="s">
        <v>257</v>
      </c>
      <c r="C8" s="340" t="s">
        <v>290</v>
      </c>
      <c r="D8" s="340" t="s">
        <v>291</v>
      </c>
      <c r="E8" s="342" t="s">
        <v>131</v>
      </c>
      <c r="F8" s="341" t="s">
        <v>7</v>
      </c>
      <c r="G8" s="453">
        <v>503</v>
      </c>
      <c r="H8" s="454">
        <v>504</v>
      </c>
      <c r="I8" s="454">
        <v>505</v>
      </c>
      <c r="J8" s="454">
        <v>511</v>
      </c>
      <c r="K8" s="455">
        <v>570</v>
      </c>
      <c r="L8" s="344" t="s">
        <v>132</v>
      </c>
      <c r="M8" s="341"/>
      <c r="N8" s="332"/>
    </row>
    <row r="9" spans="1:22" ht="15" customHeight="1">
      <c r="A9" s="360"/>
      <c r="B9" s="345" t="s">
        <v>9</v>
      </c>
      <c r="C9" s="345" t="s">
        <v>10</v>
      </c>
      <c r="D9" s="345" t="s">
        <v>11</v>
      </c>
      <c r="E9" s="345" t="s">
        <v>12</v>
      </c>
      <c r="F9" s="345" t="s">
        <v>207</v>
      </c>
      <c r="G9" s="456" t="s">
        <v>14</v>
      </c>
      <c r="H9" s="345" t="s">
        <v>51</v>
      </c>
      <c r="I9" s="345" t="s">
        <v>52</v>
      </c>
      <c r="J9" s="345" t="s">
        <v>15</v>
      </c>
      <c r="K9" s="457" t="s">
        <v>193</v>
      </c>
      <c r="L9" s="345" t="s">
        <v>194</v>
      </c>
      <c r="M9" s="345"/>
      <c r="N9" s="333"/>
    </row>
    <row r="10" spans="1:22" ht="15" customHeight="1">
      <c r="B10" s="356"/>
      <c r="C10" s="341"/>
      <c r="D10" s="346"/>
      <c r="E10" s="341"/>
      <c r="F10" s="341"/>
      <c r="G10" s="458">
        <f>+'Test Period Volumes'!C35</f>
        <v>126254321.86672723</v>
      </c>
      <c r="H10" s="352">
        <f>+'Test Period Volumes'!D35</f>
        <v>91432235.805835694</v>
      </c>
      <c r="I10" s="352">
        <f>+'Test Period Volumes'!E35</f>
        <v>13193653.109642731</v>
      </c>
      <c r="J10" s="352">
        <f>+'Test Period Volumes'!F35</f>
        <v>14916789.141241657</v>
      </c>
      <c r="K10" s="459">
        <f>+'Test Period Volumes'!G35</f>
        <v>2384124.076552704</v>
      </c>
      <c r="L10" s="341"/>
      <c r="M10" s="341"/>
      <c r="N10" s="332"/>
    </row>
    <row r="11" spans="1:22" ht="15" customHeight="1">
      <c r="B11" s="356"/>
      <c r="C11" s="341"/>
      <c r="D11" s="346"/>
      <c r="E11" s="341"/>
      <c r="F11" s="341"/>
      <c r="G11" s="460"/>
      <c r="H11" s="347"/>
      <c r="I11" s="347"/>
      <c r="J11" s="347"/>
      <c r="K11" s="461"/>
      <c r="L11" s="341"/>
      <c r="M11" s="341"/>
      <c r="N11" s="332"/>
    </row>
    <row r="12" spans="1:22" ht="15" customHeight="1">
      <c r="A12" s="338"/>
      <c r="B12" s="391"/>
      <c r="C12" s="357"/>
      <c r="D12" s="348"/>
      <c r="E12" s="406"/>
      <c r="F12" s="348"/>
      <c r="G12" s="462"/>
      <c r="H12" s="349"/>
      <c r="I12" s="349"/>
      <c r="J12" s="349"/>
      <c r="K12" s="463"/>
      <c r="L12" s="338"/>
      <c r="M12" s="350"/>
      <c r="N12" s="336"/>
    </row>
    <row r="13" spans="1:22" ht="15" customHeight="1">
      <c r="A13" s="338">
        <v>1</v>
      </c>
      <c r="B13" s="409">
        <v>503</v>
      </c>
      <c r="C13" s="357">
        <f>+'Balances at 12-31-2018'!D13+'Balances at 12-31-2018'!D18</f>
        <v>-987079.49654999794</v>
      </c>
      <c r="D13" s="348">
        <f>+EstimatedBalances!O11+EstimatedBalances!O16</f>
        <v>2704305.7615534924</v>
      </c>
      <c r="E13" s="406">
        <f>+'Int during Amort'!S22</f>
        <v>37392.562453731181</v>
      </c>
      <c r="F13" s="348">
        <f>SUM(C13:E13)</f>
        <v>1754618.8274572256</v>
      </c>
      <c r="G13" s="464">
        <f>ROUND(F13/G10,6)</f>
        <v>1.3897E-2</v>
      </c>
      <c r="H13" s="3"/>
      <c r="I13" s="3"/>
      <c r="J13" s="3"/>
      <c r="K13" s="465"/>
      <c r="L13" s="338" t="s">
        <v>16</v>
      </c>
      <c r="M13" s="338"/>
      <c r="N13" s="444" t="s">
        <v>202</v>
      </c>
      <c r="O13" s="444"/>
      <c r="P13" s="444"/>
      <c r="Q13" s="444"/>
      <c r="R13" s="444"/>
      <c r="S13" s="444"/>
      <c r="T13" s="444"/>
      <c r="U13" s="444"/>
      <c r="V13" s="444"/>
    </row>
    <row r="14" spans="1:22" ht="15" customHeight="1">
      <c r="A14" s="338">
        <v>2</v>
      </c>
      <c r="B14" s="409">
        <v>504</v>
      </c>
      <c r="C14" s="357">
        <f>+'Balances at 12-31-2018'!D14+'Balances at 12-31-2018'!D19</f>
        <v>-2218696.6713299998</v>
      </c>
      <c r="D14" s="348">
        <f>+EstimatedBalances!O12+EstimatedBalances!O17</f>
        <v>2291095.6699833539</v>
      </c>
      <c r="E14" s="406">
        <f>+'Int during Amort'!S23</f>
        <v>1679.0554958445496</v>
      </c>
      <c r="F14" s="348">
        <f>SUM(C14:E14)</f>
        <v>74078.054149198666</v>
      </c>
      <c r="G14" s="466"/>
      <c r="H14" s="411">
        <f>ROUND(F14/H10,6)</f>
        <v>8.0999999999999996E-4</v>
      </c>
      <c r="I14" s="362"/>
      <c r="J14" s="362"/>
      <c r="K14" s="467"/>
      <c r="L14" s="338" t="s">
        <v>16</v>
      </c>
      <c r="M14" s="338"/>
      <c r="N14" s="444" t="s">
        <v>202</v>
      </c>
    </row>
    <row r="15" spans="1:22" ht="15" customHeight="1">
      <c r="A15" s="338">
        <v>3</v>
      </c>
      <c r="B15" s="409">
        <v>505</v>
      </c>
      <c r="C15" s="357">
        <f>+'Balances at 12-31-2018'!D15+'Balances at 12-31-2018'!D20</f>
        <v>-33778.550250000066</v>
      </c>
      <c r="D15" s="348">
        <f>+EstimatedBalances!O13+EstimatedBalances!O18</f>
        <v>-41374.482111521778</v>
      </c>
      <c r="E15" s="406">
        <f>+'Int during Amort'!S24</f>
        <v>-1975.6936806211493</v>
      </c>
      <c r="F15" s="348">
        <f>SUM(C15:E15)</f>
        <v>-77128.726042142996</v>
      </c>
      <c r="G15" s="466"/>
      <c r="H15" s="362"/>
      <c r="I15" s="411">
        <f>ROUND(F15/I10,6)</f>
        <v>-5.8459999999999996E-3</v>
      </c>
      <c r="J15" s="362"/>
      <c r="K15" s="467"/>
      <c r="L15" s="338" t="s">
        <v>16</v>
      </c>
      <c r="M15" s="338"/>
      <c r="N15" s="444" t="s">
        <v>202</v>
      </c>
    </row>
    <row r="16" spans="1:22" ht="15" customHeight="1">
      <c r="A16" s="338">
        <v>4</v>
      </c>
      <c r="B16" s="410">
        <v>511</v>
      </c>
      <c r="C16" s="357">
        <f>+'Balances at 12-31-2018'!D16+'Balances at 12-31-2018'!D21</f>
        <v>-891926.47622000007</v>
      </c>
      <c r="D16" s="348">
        <f>+EstimatedBalances!O14+EstimatedBalances!O19</f>
        <v>607916.44488506136</v>
      </c>
      <c r="E16" s="406">
        <f>+'Int during Amort'!S25</f>
        <v>-7477.1225533589577</v>
      </c>
      <c r="F16" s="348">
        <f>SUM(C16:E16)</f>
        <v>-291487.15388829767</v>
      </c>
      <c r="G16" s="466"/>
      <c r="H16" s="362"/>
      <c r="I16" s="362"/>
      <c r="J16" s="411">
        <f>ROUND(F16/J10,6)</f>
        <v>-1.9540999999999999E-2</v>
      </c>
      <c r="K16" s="467"/>
      <c r="L16" s="338" t="s">
        <v>16</v>
      </c>
      <c r="M16" s="338"/>
      <c r="N16" s="444" t="s">
        <v>202</v>
      </c>
    </row>
    <row r="17" spans="1:14" ht="15" customHeight="1">
      <c r="A17" s="338">
        <v>5</v>
      </c>
      <c r="B17" s="410">
        <v>570</v>
      </c>
      <c r="C17" s="357">
        <f>+'Balances at 12-31-2018'!D17+'Balances at 12-31-2018'!D22</f>
        <v>56085.320000000007</v>
      </c>
      <c r="D17" s="348">
        <f>+EstimatedBalances!O15+EstimatedBalances!O20</f>
        <v>-11804.573033482555</v>
      </c>
      <c r="E17" s="406">
        <f>+'Int during Amort'!S26</f>
        <v>1162.3243011874797</v>
      </c>
      <c r="F17" s="348">
        <f>SUM(C17:E17)</f>
        <v>45443.071267704931</v>
      </c>
      <c r="G17" s="466"/>
      <c r="H17" s="362"/>
      <c r="I17" s="362"/>
      <c r="J17" s="362"/>
      <c r="K17" s="468">
        <f>ROUND(F17/K10,6)</f>
        <v>1.9061000000000002E-2</v>
      </c>
      <c r="L17" s="338" t="s">
        <v>16</v>
      </c>
      <c r="M17" s="338"/>
      <c r="N17" s="444" t="s">
        <v>202</v>
      </c>
    </row>
    <row r="18" spans="1:14" ht="15" customHeight="1">
      <c r="A18" s="338"/>
      <c r="B18" s="410"/>
      <c r="C18" s="357"/>
      <c r="D18" s="348"/>
      <c r="E18" s="406"/>
      <c r="F18" s="348"/>
      <c r="G18" s="466"/>
      <c r="H18" s="362"/>
      <c r="I18" s="362"/>
      <c r="J18" s="362"/>
      <c r="K18" s="467"/>
      <c r="L18" s="338"/>
      <c r="M18" s="338"/>
      <c r="N18" s="334"/>
    </row>
    <row r="19" spans="1:14" ht="15" customHeight="1">
      <c r="A19" s="338"/>
      <c r="B19" s="331"/>
      <c r="C19" s="357"/>
      <c r="D19" s="348"/>
      <c r="E19" s="335"/>
      <c r="F19" s="351"/>
      <c r="G19" s="466"/>
      <c r="H19" s="362"/>
      <c r="I19" s="362"/>
      <c r="J19" s="362"/>
      <c r="K19" s="467"/>
      <c r="L19" s="338"/>
      <c r="M19" s="338"/>
      <c r="N19" s="334"/>
    </row>
    <row r="20" spans="1:14" ht="15" customHeight="1">
      <c r="A20" s="338"/>
      <c r="B20" s="331"/>
      <c r="C20" s="358"/>
      <c r="D20" s="348"/>
      <c r="E20" s="335"/>
      <c r="F20" s="351"/>
      <c r="G20" s="469"/>
      <c r="H20" s="353"/>
      <c r="I20" s="353"/>
      <c r="J20" s="353"/>
      <c r="K20" s="470"/>
      <c r="L20" s="338"/>
      <c r="M20" s="338"/>
      <c r="N20" s="334"/>
    </row>
    <row r="21" spans="1:14" ht="22.5" customHeight="1" thickBot="1">
      <c r="A21" s="338">
        <v>6</v>
      </c>
      <c r="B21" s="400" t="s">
        <v>203</v>
      </c>
      <c r="C21" s="354">
        <f>SUM(C12:C20)</f>
        <v>-4075395.8743499978</v>
      </c>
      <c r="D21" s="354">
        <f t="shared" ref="D21:F21" si="0">SUM(D12:D20)</f>
        <v>5550138.8212769022</v>
      </c>
      <c r="E21" s="354">
        <f t="shared" si="0"/>
        <v>30781.126016783102</v>
      </c>
      <c r="F21" s="354">
        <f t="shared" si="0"/>
        <v>1505524.0729436884</v>
      </c>
      <c r="G21" s="471">
        <f>+G13</f>
        <v>1.3897E-2</v>
      </c>
      <c r="H21" s="412">
        <f>+H14</f>
        <v>8.0999999999999996E-4</v>
      </c>
      <c r="I21" s="412">
        <f>+I15</f>
        <v>-5.8459999999999996E-3</v>
      </c>
      <c r="J21" s="412">
        <f>+J16</f>
        <v>-1.9540999999999999E-2</v>
      </c>
      <c r="K21" s="472">
        <f>+K17</f>
        <v>1.9061000000000002E-2</v>
      </c>
      <c r="L21" s="350"/>
      <c r="M21" s="350"/>
      <c r="N21" s="336"/>
    </row>
    <row r="22" spans="1:14" ht="5.25" customHeight="1" thickBot="1">
      <c r="A22" s="338"/>
      <c r="D22" s="350"/>
      <c r="E22" s="350"/>
      <c r="F22" s="350"/>
      <c r="G22" s="473"/>
      <c r="H22" s="355"/>
      <c r="I22" s="355"/>
      <c r="J22" s="355"/>
      <c r="K22" s="474"/>
      <c r="L22" s="350"/>
      <c r="M22" s="350"/>
      <c r="N22" s="336"/>
    </row>
    <row r="23" spans="1:14" ht="15" customHeight="1">
      <c r="A23" s="338"/>
    </row>
    <row r="26" spans="1:14" ht="15" customHeight="1">
      <c r="A26" s="338"/>
    </row>
    <row r="28" spans="1:14" ht="15" customHeight="1">
      <c r="F28" s="3"/>
    </row>
    <row r="29" spans="1:14" ht="15" customHeight="1">
      <c r="A29" s="338"/>
    </row>
    <row r="32" spans="1:14" ht="15" customHeight="1">
      <c r="A32" s="338"/>
    </row>
    <row r="34" spans="1:1" ht="15" customHeight="1">
      <c r="A34" s="338"/>
    </row>
    <row r="36" spans="1:1" ht="15" customHeight="1">
      <c r="A36" s="338"/>
    </row>
    <row r="37" spans="1:1" ht="15" customHeight="1">
      <c r="A37" s="338"/>
    </row>
    <row r="38" spans="1:1" ht="15" customHeight="1">
      <c r="A38" s="338"/>
    </row>
  </sheetData>
  <mergeCells count="5">
    <mergeCell ref="G6:K6"/>
    <mergeCell ref="D1:M1"/>
    <mergeCell ref="D3:M3"/>
    <mergeCell ref="D2:M2"/>
    <mergeCell ref="D4:L4"/>
  </mergeCells>
  <phoneticPr fontId="28" type="noConversion"/>
  <printOptions horizontalCentered="1"/>
  <pageMargins left="0.2" right="0.2" top="1" bottom="0.17" header="0.35" footer="0.5"/>
  <pageSetup scale="85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50"/>
  <sheetViews>
    <sheetView view="pageBreakPreview" zoomScale="96" zoomScaleNormal="75" zoomScaleSheetLayoutView="96" workbookViewId="0">
      <pane xSplit="1" ySplit="10" topLeftCell="B15" activePane="bottomRight" state="frozen"/>
      <selection activeCell="N18" sqref="N18"/>
      <selection pane="topRight" activeCell="N18" sqref="N18"/>
      <selection pane="bottomLeft" activeCell="N18" sqref="N18"/>
      <selection pane="bottomRight" activeCell="N18" sqref="N18"/>
    </sheetView>
  </sheetViews>
  <sheetFormatPr defaultColWidth="13.33203125" defaultRowHeight="12.75"/>
  <cols>
    <col min="1" max="1" width="14.1640625" style="426" customWidth="1"/>
    <col min="2" max="2" width="10.5" style="426" bestFit="1" customWidth="1"/>
    <col min="3" max="3" width="16.1640625" style="426" customWidth="1"/>
    <col min="4" max="4" width="22" style="426" bestFit="1" customWidth="1"/>
    <col min="5" max="5" width="14.6640625" style="426" bestFit="1" customWidth="1"/>
    <col min="6" max="6" width="13.33203125" style="426" bestFit="1" customWidth="1"/>
    <col min="7" max="7" width="14.33203125" style="426" bestFit="1" customWidth="1"/>
    <col min="8" max="8" width="22.1640625" style="426" bestFit="1" customWidth="1"/>
    <col min="9" max="16384" width="13.33203125" style="426"/>
  </cols>
  <sheetData>
    <row r="1" spans="1:11">
      <c r="A1" s="606" t="s">
        <v>229</v>
      </c>
      <c r="B1" s="607"/>
      <c r="C1" s="608" t="s">
        <v>230</v>
      </c>
      <c r="D1" s="608"/>
      <c r="E1" s="608"/>
      <c r="F1" s="608"/>
      <c r="G1" s="608"/>
      <c r="H1" s="609"/>
    </row>
    <row r="2" spans="1:11">
      <c r="A2" s="610" t="s">
        <v>231</v>
      </c>
      <c r="B2" s="611"/>
      <c r="C2" s="612" t="s">
        <v>179</v>
      </c>
      <c r="D2" s="612"/>
      <c r="E2" s="612"/>
      <c r="F2" s="612"/>
      <c r="G2" s="612"/>
      <c r="H2" s="613"/>
    </row>
    <row r="3" spans="1:11">
      <c r="A3" s="610" t="s">
        <v>232</v>
      </c>
      <c r="B3" s="611"/>
      <c r="C3" s="612" t="s">
        <v>233</v>
      </c>
      <c r="D3" s="612"/>
      <c r="E3" s="612"/>
      <c r="F3" s="612"/>
      <c r="G3" s="612"/>
      <c r="H3" s="613"/>
    </row>
    <row r="4" spans="1:11" s="427" customFormat="1">
      <c r="A4" s="610" t="s">
        <v>234</v>
      </c>
      <c r="B4" s="611"/>
      <c r="C4" s="614" t="s">
        <v>24</v>
      </c>
      <c r="D4" s="614"/>
      <c r="E4" s="614"/>
      <c r="F4" s="614"/>
      <c r="G4" s="614"/>
      <c r="H4" s="615"/>
    </row>
    <row r="5" spans="1:11">
      <c r="A5" s="610" t="s">
        <v>235</v>
      </c>
      <c r="B5" s="611"/>
      <c r="C5" s="614" t="s">
        <v>236</v>
      </c>
      <c r="D5" s="614"/>
      <c r="E5" s="614"/>
      <c r="F5" s="614"/>
      <c r="G5" s="614"/>
      <c r="H5" s="615"/>
    </row>
    <row r="6" spans="1:11">
      <c r="A6" s="610" t="s">
        <v>237</v>
      </c>
      <c r="B6" s="611"/>
      <c r="C6" s="614" t="s">
        <v>238</v>
      </c>
      <c r="D6" s="614"/>
      <c r="E6" s="614"/>
      <c r="F6" s="614"/>
      <c r="G6" s="614"/>
      <c r="H6" s="615"/>
    </row>
    <row r="7" spans="1:11" ht="13.5" thickBot="1">
      <c r="A7" s="604" t="s">
        <v>239</v>
      </c>
      <c r="B7" s="605"/>
      <c r="C7" s="598" t="s">
        <v>240</v>
      </c>
      <c r="D7" s="598"/>
      <c r="E7" s="598"/>
      <c r="F7" s="598"/>
      <c r="G7" s="598"/>
      <c r="H7" s="599"/>
    </row>
    <row r="8" spans="1:11">
      <c r="A8" s="428"/>
      <c r="B8" s="428"/>
      <c r="C8" s="429"/>
      <c r="D8" s="429"/>
      <c r="E8" s="429"/>
      <c r="F8" s="429"/>
      <c r="G8" s="429"/>
      <c r="H8" s="429"/>
    </row>
    <row r="9" spans="1:11">
      <c r="A9" s="430"/>
      <c r="D9" s="600" t="s">
        <v>241</v>
      </c>
      <c r="E9" s="600"/>
      <c r="F9" s="600"/>
    </row>
    <row r="10" spans="1:11" s="431" customFormat="1">
      <c r="A10" s="503" t="s">
        <v>242</v>
      </c>
      <c r="B10" s="503" t="s">
        <v>33</v>
      </c>
      <c r="C10" s="503" t="s">
        <v>243</v>
      </c>
      <c r="D10" s="503" t="s">
        <v>4</v>
      </c>
      <c r="E10" s="503" t="s">
        <v>227</v>
      </c>
      <c r="F10" s="503" t="s">
        <v>1</v>
      </c>
      <c r="G10" s="503" t="s">
        <v>244</v>
      </c>
      <c r="H10" s="503" t="s">
        <v>245</v>
      </c>
    </row>
    <row r="11" spans="1:11">
      <c r="A11" s="601" t="s">
        <v>246</v>
      </c>
      <c r="B11" s="601"/>
      <c r="C11" s="601"/>
      <c r="D11" s="601"/>
      <c r="E11" s="601"/>
      <c r="F11" s="601"/>
      <c r="G11" s="601"/>
      <c r="H11" s="440">
        <v>0</v>
      </c>
    </row>
    <row r="12" spans="1:11">
      <c r="A12" s="441">
        <f>'[7]FERC Interest Rates'!A54</f>
        <v>42643</v>
      </c>
      <c r="B12" s="427"/>
      <c r="C12" s="427"/>
      <c r="D12" s="427">
        <v>11987.21</v>
      </c>
      <c r="E12" s="427"/>
      <c r="F12" s="427">
        <v>0</v>
      </c>
      <c r="G12" s="427"/>
      <c r="H12" s="440">
        <f>+SUM(D12:G12)+H11</f>
        <v>11987.21</v>
      </c>
      <c r="K12" s="433"/>
    </row>
    <row r="13" spans="1:11">
      <c r="A13" s="441">
        <f>'[7]FERC Interest Rates'!A55</f>
        <v>42674</v>
      </c>
      <c r="B13" s="427"/>
      <c r="C13" s="427"/>
      <c r="D13" s="427">
        <v>106762.45</v>
      </c>
      <c r="E13" s="427"/>
      <c r="F13" s="427">
        <f>+H12*(0.035/(365/31))</f>
        <v>35.633213287671232</v>
      </c>
      <c r="G13" s="427"/>
      <c r="H13" s="440">
        <f t="shared" ref="H13:H48" si="0">+SUM(D13:G13)+H12</f>
        <v>118785.29321328766</v>
      </c>
      <c r="K13" s="433"/>
    </row>
    <row r="14" spans="1:11">
      <c r="A14" s="441">
        <v>42704</v>
      </c>
      <c r="B14" s="427"/>
      <c r="C14" s="427"/>
      <c r="D14" s="427">
        <v>1565078.06</v>
      </c>
      <c r="E14" s="427"/>
      <c r="F14" s="427">
        <f>+H13*(0.035/(365/30))</f>
        <v>341.71111746288238</v>
      </c>
      <c r="G14" s="427"/>
      <c r="H14" s="440">
        <f t="shared" si="0"/>
        <v>1684205.0643307506</v>
      </c>
      <c r="K14" s="433"/>
    </row>
    <row r="15" spans="1:11">
      <c r="A15" s="441">
        <v>42735</v>
      </c>
      <c r="B15" s="427"/>
      <c r="C15" s="427"/>
      <c r="D15" s="427">
        <v>-1878222.42</v>
      </c>
      <c r="E15" s="427"/>
      <c r="F15" s="427">
        <f>+H14*(0.035/(365/31))</f>
        <v>5006.4725884900399</v>
      </c>
      <c r="G15" s="427"/>
      <c r="H15" s="427">
        <f t="shared" si="0"/>
        <v>-189010.88308075932</v>
      </c>
      <c r="K15" s="433"/>
    </row>
    <row r="16" spans="1:11">
      <c r="A16" s="441">
        <v>42766</v>
      </c>
      <c r="B16" s="427"/>
      <c r="C16" s="427"/>
      <c r="D16" s="427">
        <v>-3172497.17</v>
      </c>
      <c r="E16" s="427"/>
      <c r="F16" s="427">
        <f t="shared" ref="F16" si="1">+H15*(0.035/(365/31))</f>
        <v>-561.85426888390111</v>
      </c>
      <c r="G16" s="427"/>
      <c r="H16" s="427">
        <f t="shared" si="0"/>
        <v>-3362069.9073496433</v>
      </c>
      <c r="K16" s="433"/>
    </row>
    <row r="17" spans="1:11">
      <c r="A17" s="441">
        <v>42794</v>
      </c>
      <c r="B17" s="427"/>
      <c r="C17" s="427"/>
      <c r="D17" s="427">
        <v>-1296785.68</v>
      </c>
      <c r="E17" s="427"/>
      <c r="F17" s="427">
        <f>+H16*(0.035/(365/28))</f>
        <v>-9026.9274224730161</v>
      </c>
      <c r="G17" s="427"/>
      <c r="H17" s="427">
        <f t="shared" si="0"/>
        <v>-4667882.5147721162</v>
      </c>
      <c r="K17" s="433"/>
    </row>
    <row r="18" spans="1:11">
      <c r="A18" s="441">
        <v>42825</v>
      </c>
      <c r="B18" s="427"/>
      <c r="C18" s="427"/>
      <c r="D18" s="427">
        <v>-644163.9</v>
      </c>
      <c r="E18" s="427"/>
      <c r="F18" s="427">
        <f>+H17*(0.035/(365/31))</f>
        <v>-13875.760352130814</v>
      </c>
      <c r="G18" s="427"/>
      <c r="H18" s="427">
        <f t="shared" si="0"/>
        <v>-5325922.1751242466</v>
      </c>
      <c r="K18" s="433"/>
    </row>
    <row r="19" spans="1:11">
      <c r="A19" s="441">
        <v>42855</v>
      </c>
      <c r="B19" s="427"/>
      <c r="C19" s="427"/>
      <c r="D19" s="427">
        <v>-800040.13</v>
      </c>
      <c r="E19" s="427"/>
      <c r="F19" s="427">
        <f>+H18*(0.0371/(365/30))</f>
        <v>-16240.414742228182</v>
      </c>
      <c r="G19" s="427"/>
      <c r="H19" s="427">
        <f t="shared" si="0"/>
        <v>-6142202.7198664751</v>
      </c>
      <c r="K19" s="433"/>
    </row>
    <row r="20" spans="1:11">
      <c r="A20" s="441">
        <v>42886</v>
      </c>
      <c r="B20" s="427"/>
      <c r="C20" s="427"/>
      <c r="D20" s="427">
        <v>-358834.1</v>
      </c>
      <c r="E20" s="427"/>
      <c r="F20" s="427">
        <f>+H19*(0.0371/(365/31))</f>
        <v>-19353.828351009408</v>
      </c>
      <c r="G20" s="427"/>
      <c r="H20" s="427">
        <f t="shared" si="0"/>
        <v>-6520390.6482174844</v>
      </c>
      <c r="K20" s="433"/>
    </row>
    <row r="21" spans="1:11">
      <c r="A21" s="441">
        <v>42916</v>
      </c>
      <c r="B21" s="427"/>
      <c r="C21" s="427"/>
      <c r="D21" s="427">
        <v>736242.69</v>
      </c>
      <c r="E21" s="427"/>
      <c r="F21" s="427">
        <f>+H20*(0.0371/(365/30))</f>
        <v>-19882.725456071399</v>
      </c>
      <c r="G21" s="427"/>
      <c r="H21" s="427">
        <f t="shared" si="0"/>
        <v>-5804030.683673556</v>
      </c>
      <c r="K21" s="433"/>
    </row>
    <row r="22" spans="1:11">
      <c r="A22" s="441">
        <v>42947</v>
      </c>
      <c r="B22" s="427"/>
      <c r="C22" s="427"/>
      <c r="D22" s="427">
        <v>133175.96</v>
      </c>
      <c r="E22" s="427"/>
      <c r="F22" s="427">
        <f>+H21*(0.0396/(365/31))</f>
        <v>-19520.624841856599</v>
      </c>
      <c r="G22" s="427"/>
      <c r="H22" s="427">
        <f t="shared" si="0"/>
        <v>-5690375.3485154128</v>
      </c>
      <c r="K22" s="433"/>
    </row>
    <row r="23" spans="1:11">
      <c r="A23" s="441">
        <v>42978</v>
      </c>
      <c r="B23" s="427"/>
      <c r="C23" s="427"/>
      <c r="D23" s="427">
        <v>493325.73</v>
      </c>
      <c r="E23" s="427"/>
      <c r="F23" s="427">
        <f>+H22*(0.0396/(365/31))</f>
        <v>-19138.369254349374</v>
      </c>
      <c r="G23" s="427"/>
      <c r="H23" s="427">
        <f t="shared" si="0"/>
        <v>-5216187.9877697621</v>
      </c>
      <c r="K23" s="433"/>
    </row>
    <row r="24" spans="1:11">
      <c r="A24" s="441">
        <v>43008</v>
      </c>
      <c r="B24" s="427"/>
      <c r="C24" s="427"/>
      <c r="D24" s="427">
        <v>-32838.199999999997</v>
      </c>
      <c r="E24" s="427"/>
      <c r="F24" s="427">
        <f>+H23*(0.0396/(365/30))</f>
        <v>-16977.620080741035</v>
      </c>
      <c r="G24" s="427"/>
      <c r="H24" s="427">
        <f t="shared" si="0"/>
        <v>-5266003.8078505034</v>
      </c>
      <c r="K24" s="433"/>
    </row>
    <row r="25" spans="1:11">
      <c r="A25" s="441">
        <v>43039</v>
      </c>
      <c r="B25" s="427"/>
      <c r="C25" s="427"/>
      <c r="D25" s="427">
        <v>-89282.54</v>
      </c>
      <c r="E25" s="427"/>
      <c r="F25" s="427">
        <f>+H24*(0.0421/(365/31))</f>
        <v>-18829.209779796416</v>
      </c>
      <c r="G25" s="427"/>
      <c r="H25" s="427">
        <f t="shared" si="0"/>
        <v>-5374115.5576302996</v>
      </c>
      <c r="K25" s="433"/>
    </row>
    <row r="26" spans="1:11">
      <c r="A26" s="602" t="s">
        <v>247</v>
      </c>
      <c r="B26" s="602"/>
      <c r="C26" s="602"/>
      <c r="D26" s="602"/>
      <c r="E26" s="602"/>
      <c r="F26" s="602"/>
      <c r="G26" s="427">
        <v>195037.47</v>
      </c>
      <c r="H26" s="427">
        <f t="shared" si="0"/>
        <v>-5179078.0876302999</v>
      </c>
      <c r="K26" s="433"/>
    </row>
    <row r="27" spans="1:11">
      <c r="A27" s="441">
        <v>43069</v>
      </c>
      <c r="B27" s="427"/>
      <c r="C27" s="427"/>
      <c r="D27" s="427">
        <v>-64892.24</v>
      </c>
      <c r="E27" s="427"/>
      <c r="F27" s="427">
        <v>-17921.03</v>
      </c>
      <c r="G27" s="427"/>
      <c r="H27" s="427">
        <f t="shared" si="0"/>
        <v>-5261891.3576302994</v>
      </c>
    </row>
    <row r="28" spans="1:11">
      <c r="A28" s="441">
        <v>43100</v>
      </c>
      <c r="B28" s="427"/>
      <c r="C28" s="427"/>
      <c r="D28" s="427">
        <v>-618556.96</v>
      </c>
      <c r="E28" s="427">
        <v>-680.9</v>
      </c>
      <c r="F28" s="427">
        <v>-18814.509999999998</v>
      </c>
      <c r="G28" s="427"/>
      <c r="H28" s="427">
        <f t="shared" si="0"/>
        <v>-5899943.7276302995</v>
      </c>
    </row>
    <row r="29" spans="1:11">
      <c r="A29" s="441">
        <v>43131</v>
      </c>
      <c r="B29" s="427"/>
      <c r="C29" s="427"/>
      <c r="D29" s="427">
        <v>254921.14</v>
      </c>
      <c r="E29" s="427"/>
      <c r="F29" s="427">
        <v>-21296.37</v>
      </c>
      <c r="G29" s="427"/>
      <c r="H29" s="427">
        <f t="shared" si="0"/>
        <v>-5666318.957630299</v>
      </c>
    </row>
    <row r="30" spans="1:11">
      <c r="A30" s="441">
        <v>43159</v>
      </c>
      <c r="B30" s="427"/>
      <c r="C30" s="427"/>
      <c r="D30" s="427">
        <v>-811118.47</v>
      </c>
      <c r="E30" s="427"/>
      <c r="F30" s="427">
        <v>-18473.75</v>
      </c>
      <c r="G30" s="427"/>
      <c r="H30" s="427">
        <f t="shared" si="0"/>
        <v>-6495911.1776302988</v>
      </c>
    </row>
    <row r="31" spans="1:11">
      <c r="A31" s="441">
        <v>43190</v>
      </c>
      <c r="B31" s="427"/>
      <c r="C31" s="427"/>
      <c r="D31" s="427">
        <v>-448352.57</v>
      </c>
      <c r="E31" s="427"/>
      <c r="F31" s="427">
        <v>-23447.57</v>
      </c>
      <c r="G31" s="427"/>
      <c r="H31" s="427">
        <f t="shared" si="0"/>
        <v>-6967711.3176302984</v>
      </c>
    </row>
    <row r="32" spans="1:11">
      <c r="A32" s="441">
        <v>43220</v>
      </c>
      <c r="B32" s="427"/>
      <c r="C32" s="427"/>
      <c r="D32" s="427">
        <v>-552354.38</v>
      </c>
      <c r="E32" s="427"/>
      <c r="F32" s="427">
        <v>-25599.18</v>
      </c>
      <c r="G32" s="427"/>
      <c r="H32" s="427">
        <f t="shared" si="0"/>
        <v>-7545664.877630299</v>
      </c>
    </row>
    <row r="33" spans="1:8">
      <c r="A33" s="441">
        <v>43251</v>
      </c>
      <c r="B33" s="427"/>
      <c r="C33" s="427"/>
      <c r="D33" s="427">
        <v>546739.6</v>
      </c>
      <c r="E33" s="427"/>
      <c r="F33" s="427">
        <v>-28646.65</v>
      </c>
      <c r="G33" s="427"/>
      <c r="H33" s="427">
        <f t="shared" si="0"/>
        <v>-7027571.9276302988</v>
      </c>
    </row>
    <row r="34" spans="1:8">
      <c r="A34" s="441">
        <v>43281</v>
      </c>
      <c r="B34" s="427"/>
      <c r="C34" s="427"/>
      <c r="D34" s="427">
        <v>-92773.67</v>
      </c>
      <c r="E34" s="427"/>
      <c r="F34" s="427">
        <v>-25819.11</v>
      </c>
      <c r="G34" s="427"/>
      <c r="H34" s="427">
        <f t="shared" si="0"/>
        <v>-7146164.707630299</v>
      </c>
    </row>
    <row r="35" spans="1:8">
      <c r="A35" s="441">
        <v>43312</v>
      </c>
      <c r="B35" s="427"/>
      <c r="C35" s="427"/>
      <c r="D35" s="427">
        <v>23270.85</v>
      </c>
      <c r="E35" s="427"/>
      <c r="F35" s="427">
        <v>-28465.23</v>
      </c>
      <c r="G35" s="427"/>
      <c r="H35" s="427">
        <f t="shared" si="0"/>
        <v>-7151359.0876302989</v>
      </c>
    </row>
    <row r="36" spans="1:8">
      <c r="A36" s="441">
        <v>43343</v>
      </c>
      <c r="B36" s="427"/>
      <c r="C36" s="427"/>
      <c r="D36" s="504">
        <v>450457.18</v>
      </c>
      <c r="E36" s="427"/>
      <c r="F36" s="427">
        <f>+H35*(0.0469/(365/31))</f>
        <v>-28485.920486316965</v>
      </c>
      <c r="G36" s="427"/>
      <c r="H36" s="427">
        <f t="shared" si="0"/>
        <v>-6729387.8281166162</v>
      </c>
    </row>
    <row r="37" spans="1:8">
      <c r="A37" s="441">
        <v>43373</v>
      </c>
      <c r="B37" s="427"/>
      <c r="C37" s="427"/>
      <c r="D37" s="504">
        <v>-83303.360000000001</v>
      </c>
      <c r="E37" s="427"/>
      <c r="F37" s="427">
        <f>+H36*(0.0469/(365/30))</f>
        <v>-25940.407326465967</v>
      </c>
      <c r="G37" s="427"/>
      <c r="H37" s="427">
        <f t="shared" si="0"/>
        <v>-6838631.595443082</v>
      </c>
    </row>
    <row r="38" spans="1:8">
      <c r="A38" s="441">
        <v>43404</v>
      </c>
      <c r="B38" s="427"/>
      <c r="C38" s="427"/>
      <c r="D38" s="504">
        <v>302039.75</v>
      </c>
      <c r="E38" s="427"/>
      <c r="F38" s="427">
        <f>+H37*(0.0496/(365/31))</f>
        <v>-28808.4381949405</v>
      </c>
      <c r="G38" s="427"/>
      <c r="H38" s="427">
        <f>+SUM(D38:G38)+H37-0.01</f>
        <v>-6565400.2936380226</v>
      </c>
    </row>
    <row r="39" spans="1:8">
      <c r="A39" s="441"/>
      <c r="B39" s="603" t="s">
        <v>247</v>
      </c>
      <c r="C39" s="603"/>
      <c r="D39" s="603"/>
      <c r="E39" s="603"/>
      <c r="F39" s="603"/>
      <c r="G39" s="505">
        <v>6125923.8899999997</v>
      </c>
      <c r="H39" s="427">
        <f>+G39+H38</f>
        <v>-439476.40363802295</v>
      </c>
    </row>
    <row r="40" spans="1:8">
      <c r="A40" s="441">
        <v>43434</v>
      </c>
      <c r="B40" s="427"/>
      <c r="C40" s="427"/>
      <c r="D40" s="506">
        <v>347558.7</v>
      </c>
      <c r="E40" s="427"/>
      <c r="F40" s="427">
        <v>-1791.62</v>
      </c>
      <c r="G40" s="427"/>
      <c r="H40" s="502">
        <f>+SUM(D40:G40)+H39</f>
        <v>-93709.323638022935</v>
      </c>
    </row>
    <row r="41" spans="1:8">
      <c r="A41" s="441">
        <v>43465</v>
      </c>
      <c r="B41" s="427"/>
      <c r="C41" s="427"/>
      <c r="D41" s="506">
        <f>1003283.44+104523.81</f>
        <v>1107807.25</v>
      </c>
      <c r="E41" s="427"/>
      <c r="F41" s="427">
        <v>-394.76</v>
      </c>
      <c r="G41" s="427"/>
      <c r="H41" s="427">
        <f t="shared" si="0"/>
        <v>1013703.1663619771</v>
      </c>
    </row>
    <row r="42" spans="1:8">
      <c r="A42" s="441">
        <v>43496</v>
      </c>
      <c r="B42" s="427"/>
      <c r="C42" s="427"/>
      <c r="D42" s="506">
        <v>843959.23</v>
      </c>
      <c r="E42" s="427"/>
      <c r="F42" s="427">
        <v>4459.74</v>
      </c>
      <c r="G42" s="427"/>
      <c r="H42" s="427">
        <f t="shared" si="0"/>
        <v>1862122.1363619771</v>
      </c>
    </row>
    <row r="43" spans="1:8">
      <c r="A43" s="441">
        <v>43524</v>
      </c>
      <c r="B43" s="427"/>
      <c r="C43" s="427"/>
      <c r="D43" s="506">
        <v>-3745264.02</v>
      </c>
      <c r="E43" s="427"/>
      <c r="F43" s="427">
        <v>7399.51</v>
      </c>
      <c r="G43" s="427"/>
      <c r="H43" s="427">
        <f t="shared" si="0"/>
        <v>-1875742.3736380232</v>
      </c>
    </row>
    <row r="44" spans="1:8">
      <c r="A44" s="441">
        <v>43555</v>
      </c>
      <c r="B44" s="427"/>
      <c r="C44" s="427"/>
      <c r="D44" s="506">
        <v>-1400603.7</v>
      </c>
      <c r="E44" s="427"/>
      <c r="F44" s="427">
        <v>-8252.24</v>
      </c>
      <c r="G44" s="427"/>
      <c r="H44" s="427">
        <f t="shared" si="0"/>
        <v>-3284598.3136380231</v>
      </c>
    </row>
    <row r="45" spans="1:8">
      <c r="A45" s="441">
        <v>43585</v>
      </c>
      <c r="B45" s="427"/>
      <c r="C45" s="427"/>
      <c r="D45" s="506">
        <v>412427.72</v>
      </c>
      <c r="E45" s="427"/>
      <c r="F45" s="427">
        <v>-14713.2</v>
      </c>
      <c r="G45" s="427"/>
      <c r="H45" s="427">
        <f t="shared" si="0"/>
        <v>-2886883.7936380231</v>
      </c>
    </row>
    <row r="46" spans="1:8">
      <c r="A46" s="441">
        <v>43616</v>
      </c>
      <c r="B46" s="427"/>
      <c r="C46" s="427"/>
      <c r="D46" s="506">
        <v>-54642.65</v>
      </c>
      <c r="E46" s="427"/>
      <c r="F46" s="427">
        <v>-13362.71</v>
      </c>
      <c r="G46" s="427"/>
      <c r="H46" s="427">
        <f t="shared" si="0"/>
        <v>-2954889.153638023</v>
      </c>
    </row>
    <row r="47" spans="1:8">
      <c r="A47" s="441">
        <v>43646</v>
      </c>
      <c r="B47" s="427"/>
      <c r="C47" s="427"/>
      <c r="D47" s="506">
        <v>42807.88</v>
      </c>
      <c r="E47" s="427"/>
      <c r="F47" s="427">
        <v>-13236.28</v>
      </c>
      <c r="G47" s="427"/>
      <c r="H47" s="427">
        <f t="shared" si="0"/>
        <v>-2925317.5536380229</v>
      </c>
    </row>
    <row r="48" spans="1:8">
      <c r="A48" s="441">
        <v>43677</v>
      </c>
      <c r="B48" s="427"/>
      <c r="C48" s="427"/>
      <c r="D48" s="506">
        <v>-172084.6</v>
      </c>
      <c r="E48" s="427"/>
      <c r="F48" s="427">
        <v>-13664.84</v>
      </c>
      <c r="G48" s="427"/>
      <c r="H48" s="427">
        <f t="shared" si="0"/>
        <v>-3111066.9936380228</v>
      </c>
    </row>
    <row r="49" spans="1:8">
      <c r="A49" s="427"/>
      <c r="B49" s="427"/>
      <c r="C49" s="427"/>
      <c r="D49" s="427"/>
      <c r="E49" s="427"/>
      <c r="F49" s="427"/>
      <c r="G49" s="427"/>
      <c r="H49" s="427"/>
    </row>
    <row r="50" spans="1:8">
      <c r="H50" s="432"/>
    </row>
  </sheetData>
  <mergeCells count="18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C7:H7"/>
    <mergeCell ref="D9:F9"/>
    <mergeCell ref="A11:G11"/>
    <mergeCell ref="A26:F26"/>
    <mergeCell ref="B39:F39"/>
    <mergeCell ref="A7:B7"/>
  </mergeCells>
  <pageMargins left="0.5" right="0.25" top="0.5" bottom="0.75" header="0.5" footer="0.5"/>
  <pageSetup scale="98"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37"/>
  <sheetViews>
    <sheetView view="pageBreakPreview" zoomScale="115" zoomScaleNormal="100" zoomScaleSheetLayoutView="115" workbookViewId="0">
      <selection activeCell="N18" sqref="N18"/>
    </sheetView>
  </sheetViews>
  <sheetFormatPr defaultColWidth="13.33203125" defaultRowHeight="12.75"/>
  <cols>
    <col min="1" max="2" width="13.33203125" style="427"/>
    <col min="3" max="3" width="15.1640625" style="427" customWidth="1"/>
    <col min="4" max="4" width="13.33203125" style="427"/>
    <col min="5" max="5" width="15.33203125" style="427" customWidth="1"/>
    <col min="6" max="6" width="13.33203125" style="427"/>
    <col min="7" max="7" width="19.6640625" style="427" customWidth="1"/>
    <col min="8" max="8" width="17.5" style="427" customWidth="1"/>
    <col min="9" max="9" width="22.6640625" style="427" bestFit="1" customWidth="1"/>
    <col min="10" max="10" width="24.33203125" style="427" bestFit="1" customWidth="1"/>
    <col min="11" max="11" width="13.5" style="508" bestFit="1" customWidth="1"/>
    <col min="12" max="12" width="15.5" style="427" bestFit="1" customWidth="1"/>
    <col min="13" max="16384" width="13.33203125" style="427"/>
  </cols>
  <sheetData>
    <row r="1" spans="1:12">
      <c r="A1" s="623" t="s">
        <v>229</v>
      </c>
      <c r="B1" s="624"/>
      <c r="C1" s="625" t="s">
        <v>230</v>
      </c>
      <c r="D1" s="625"/>
      <c r="E1" s="625"/>
      <c r="F1" s="625"/>
      <c r="G1" s="625"/>
      <c r="H1" s="626"/>
      <c r="I1" s="507"/>
    </row>
    <row r="2" spans="1:12">
      <c r="A2" s="627" t="s">
        <v>231</v>
      </c>
      <c r="B2" s="628"/>
      <c r="C2" s="629" t="s">
        <v>179</v>
      </c>
      <c r="D2" s="629"/>
      <c r="E2" s="629"/>
      <c r="F2" s="629"/>
      <c r="G2" s="629"/>
      <c r="H2" s="630"/>
      <c r="I2" s="507"/>
    </row>
    <row r="3" spans="1:12">
      <c r="A3" s="627" t="s">
        <v>232</v>
      </c>
      <c r="B3" s="628"/>
      <c r="C3" s="629" t="s">
        <v>248</v>
      </c>
      <c r="D3" s="629"/>
      <c r="E3" s="629"/>
      <c r="F3" s="629"/>
      <c r="G3" s="629"/>
      <c r="H3" s="630"/>
      <c r="I3" s="507"/>
    </row>
    <row r="4" spans="1:12">
      <c r="A4" s="627" t="s">
        <v>234</v>
      </c>
      <c r="B4" s="628"/>
      <c r="C4" s="629" t="s">
        <v>24</v>
      </c>
      <c r="D4" s="629"/>
      <c r="E4" s="629"/>
      <c r="F4" s="629"/>
      <c r="G4" s="629"/>
      <c r="H4" s="630"/>
      <c r="I4" s="507"/>
    </row>
    <row r="5" spans="1:12">
      <c r="A5" s="627" t="s">
        <v>235</v>
      </c>
      <c r="B5" s="628"/>
      <c r="C5" s="629" t="s">
        <v>259</v>
      </c>
      <c r="D5" s="629"/>
      <c r="E5" s="629"/>
      <c r="F5" s="629"/>
      <c r="G5" s="629"/>
      <c r="H5" s="630"/>
      <c r="I5" s="507"/>
    </row>
    <row r="6" spans="1:12">
      <c r="A6" s="627" t="s">
        <v>237</v>
      </c>
      <c r="B6" s="628"/>
      <c r="C6" s="629" t="s">
        <v>260</v>
      </c>
      <c r="D6" s="629"/>
      <c r="E6" s="629"/>
      <c r="F6" s="629"/>
      <c r="G6" s="629"/>
      <c r="H6" s="630"/>
      <c r="I6" s="507"/>
    </row>
    <row r="7" spans="1:12" ht="13.5" thickBot="1">
      <c r="A7" s="621" t="s">
        <v>239</v>
      </c>
      <c r="B7" s="622"/>
      <c r="C7" s="616" t="s">
        <v>261</v>
      </c>
      <c r="D7" s="616"/>
      <c r="E7" s="616"/>
      <c r="F7" s="616"/>
      <c r="G7" s="616"/>
      <c r="H7" s="617"/>
      <c r="I7" s="509"/>
    </row>
    <row r="8" spans="1:12">
      <c r="A8" s="510"/>
      <c r="B8" s="510"/>
      <c r="C8" s="511"/>
      <c r="D8" s="511"/>
      <c r="E8" s="511"/>
      <c r="F8" s="511"/>
      <c r="G8" s="511"/>
      <c r="H8" s="511"/>
      <c r="J8" s="512"/>
    </row>
    <row r="9" spans="1:12">
      <c r="A9" s="513"/>
      <c r="D9" s="618" t="s">
        <v>241</v>
      </c>
      <c r="E9" s="618"/>
      <c r="F9" s="618"/>
    </row>
    <row r="10" spans="1:12" s="515" customFormat="1">
      <c r="A10" s="503" t="s">
        <v>242</v>
      </c>
      <c r="B10" s="503" t="s">
        <v>33</v>
      </c>
      <c r="C10" s="503" t="s">
        <v>243</v>
      </c>
      <c r="D10" s="503" t="s">
        <v>4</v>
      </c>
      <c r="E10" s="503" t="s">
        <v>227</v>
      </c>
      <c r="F10" s="503" t="s">
        <v>1</v>
      </c>
      <c r="G10" s="503" t="s">
        <v>244</v>
      </c>
      <c r="H10" s="503" t="s">
        <v>245</v>
      </c>
      <c r="I10" s="514" t="s">
        <v>262</v>
      </c>
      <c r="J10" s="514" t="s">
        <v>263</v>
      </c>
      <c r="K10" s="514" t="s">
        <v>264</v>
      </c>
      <c r="L10" s="514" t="s">
        <v>265</v>
      </c>
    </row>
    <row r="11" spans="1:12">
      <c r="A11" s="516"/>
      <c r="B11" s="516"/>
      <c r="C11" s="516"/>
      <c r="D11" s="516"/>
      <c r="E11" s="516"/>
      <c r="F11" s="516"/>
      <c r="G11" s="516"/>
      <c r="H11" s="517"/>
      <c r="I11" s="509"/>
    </row>
    <row r="12" spans="1:12">
      <c r="A12" s="619" t="s">
        <v>266</v>
      </c>
      <c r="B12" s="619"/>
      <c r="C12" s="619"/>
      <c r="D12" s="619"/>
      <c r="E12" s="619"/>
      <c r="F12" s="619"/>
      <c r="G12" s="518">
        <v>-195037.47</v>
      </c>
      <c r="H12" s="517"/>
      <c r="I12" s="519"/>
      <c r="J12" s="450"/>
    </row>
    <row r="13" spans="1:12">
      <c r="A13" s="619"/>
      <c r="B13" s="619"/>
      <c r="C13" s="619"/>
      <c r="D13" s="619"/>
      <c r="E13" s="619"/>
      <c r="F13" s="619"/>
      <c r="G13" s="518"/>
      <c r="H13" s="517">
        <f>SUM(G12:G12)</f>
        <v>-195037.47</v>
      </c>
      <c r="I13" s="509"/>
    </row>
    <row r="14" spans="1:12">
      <c r="A14" s="520">
        <v>43069</v>
      </c>
      <c r="B14" s="448" t="s">
        <v>267</v>
      </c>
      <c r="C14" s="521">
        <v>7119326</v>
      </c>
      <c r="D14" s="518"/>
      <c r="E14" s="522">
        <v>9648.1799999999985</v>
      </c>
      <c r="F14" s="523">
        <v>-674.88</v>
      </c>
      <c r="G14" s="518"/>
      <c r="H14" s="517">
        <f>H13+SUM(E14:G14)</f>
        <v>-186064.17</v>
      </c>
      <c r="I14" s="524">
        <v>-186064.17</v>
      </c>
      <c r="J14" s="427">
        <f>I14-H14</f>
        <v>0</v>
      </c>
      <c r="K14" s="508" t="s">
        <v>268</v>
      </c>
      <c r="L14" s="525">
        <v>43077</v>
      </c>
    </row>
    <row r="15" spans="1:12" s="530" customFormat="1">
      <c r="A15" s="520">
        <v>43100</v>
      </c>
      <c r="B15" s="448" t="s">
        <v>267</v>
      </c>
      <c r="C15" s="521">
        <v>29973671</v>
      </c>
      <c r="D15" s="526"/>
      <c r="E15" s="527">
        <v>24422.739999999994</v>
      </c>
      <c r="F15" s="523">
        <v>-665.29</v>
      </c>
      <c r="G15" s="526"/>
      <c r="H15" s="528">
        <f>H14+SUM(D15:G15)</f>
        <v>-162306.72000000003</v>
      </c>
      <c r="I15" s="524">
        <v>-162306.72</v>
      </c>
      <c r="J15" s="529">
        <f>I15-H15</f>
        <v>0</v>
      </c>
      <c r="K15" s="508" t="s">
        <v>268</v>
      </c>
      <c r="L15" s="525">
        <v>43108</v>
      </c>
    </row>
    <row r="16" spans="1:12">
      <c r="A16" s="520">
        <v>43131</v>
      </c>
      <c r="B16" s="448" t="s">
        <v>267</v>
      </c>
      <c r="C16" s="521">
        <v>41563527</v>
      </c>
      <c r="D16" s="509"/>
      <c r="E16" s="527">
        <v>36897.270000000004</v>
      </c>
      <c r="F16" s="523">
        <v>-585.86</v>
      </c>
      <c r="G16" s="509"/>
      <c r="H16" s="531">
        <f>H15+SUM(D16:G16)</f>
        <v>-125995.31000000003</v>
      </c>
      <c r="I16" s="519">
        <v>-125995.31</v>
      </c>
      <c r="J16" s="450">
        <f t="shared" ref="J16:J28" si="0">I16-H16</f>
        <v>0</v>
      </c>
      <c r="K16" s="508" t="s">
        <v>268</v>
      </c>
      <c r="L16" s="525">
        <v>43139</v>
      </c>
    </row>
    <row r="17" spans="1:12">
      <c r="A17" s="520">
        <v>43159</v>
      </c>
      <c r="B17" s="448" t="s">
        <v>267</v>
      </c>
      <c r="C17" s="521">
        <v>29732218</v>
      </c>
      <c r="D17" s="509"/>
      <c r="E17" s="527">
        <v>25373.300000000003</v>
      </c>
      <c r="F17" s="523">
        <v>-410.78</v>
      </c>
      <c r="G17" s="509"/>
      <c r="H17" s="531">
        <f t="shared" ref="H17:H25" si="1">H16+SUM(D17:G17)</f>
        <v>-101032.79000000002</v>
      </c>
      <c r="I17" s="427">
        <v>-101032.79</v>
      </c>
      <c r="J17" s="450">
        <f t="shared" si="0"/>
        <v>0</v>
      </c>
      <c r="K17" s="508" t="s">
        <v>268</v>
      </c>
      <c r="L17" s="532">
        <v>43167</v>
      </c>
    </row>
    <row r="18" spans="1:12">
      <c r="A18" s="520">
        <v>43190</v>
      </c>
      <c r="B18" s="448" t="s">
        <v>267</v>
      </c>
      <c r="C18" s="521">
        <v>34772590</v>
      </c>
      <c r="D18" s="509"/>
      <c r="E18" s="527">
        <v>30383.489999999998</v>
      </c>
      <c r="F18" s="523">
        <v>-364.69</v>
      </c>
      <c r="G18" s="509"/>
      <c r="H18" s="531">
        <f t="shared" si="1"/>
        <v>-71013.99000000002</v>
      </c>
      <c r="I18" s="427">
        <v>-71013.990000000005</v>
      </c>
      <c r="J18" s="450">
        <f t="shared" si="0"/>
        <v>0</v>
      </c>
      <c r="K18" s="508" t="s">
        <v>268</v>
      </c>
      <c r="L18" s="532">
        <v>43200</v>
      </c>
    </row>
    <row r="19" spans="1:12">
      <c r="A19" s="520">
        <v>43220</v>
      </c>
      <c r="B19" s="448" t="s">
        <v>267</v>
      </c>
      <c r="C19" s="521">
        <v>23972789</v>
      </c>
      <c r="D19" s="509"/>
      <c r="E19" s="527">
        <v>24119.02</v>
      </c>
      <c r="F19" s="523">
        <v>-260.89999999999998</v>
      </c>
      <c r="G19" s="509"/>
      <c r="H19" s="531">
        <f t="shared" si="1"/>
        <v>-47155.870000000024</v>
      </c>
      <c r="I19" s="427">
        <v>-47155.87</v>
      </c>
      <c r="J19" s="450">
        <f t="shared" si="0"/>
        <v>0</v>
      </c>
      <c r="K19" s="508" t="s">
        <v>268</v>
      </c>
      <c r="L19" s="532">
        <v>43227</v>
      </c>
    </row>
    <row r="20" spans="1:12">
      <c r="A20" s="520">
        <v>43251</v>
      </c>
      <c r="B20" s="448" t="s">
        <v>267</v>
      </c>
      <c r="C20" s="521">
        <v>14908800</v>
      </c>
      <c r="D20" s="509"/>
      <c r="E20" s="527">
        <v>17128.870000000003</v>
      </c>
      <c r="F20" s="523">
        <v>-179.02</v>
      </c>
      <c r="G20" s="509"/>
      <c r="H20" s="531">
        <f t="shared" si="1"/>
        <v>-30206.020000000022</v>
      </c>
      <c r="I20" s="427">
        <v>-30206.02</v>
      </c>
      <c r="J20" s="450">
        <f t="shared" si="0"/>
        <v>0</v>
      </c>
      <c r="K20" s="508" t="s">
        <v>268</v>
      </c>
      <c r="L20" s="532">
        <v>43258</v>
      </c>
    </row>
    <row r="21" spans="1:12">
      <c r="A21" s="520">
        <v>43281</v>
      </c>
      <c r="B21" s="448" t="s">
        <v>267</v>
      </c>
      <c r="C21" s="521">
        <v>8932302</v>
      </c>
      <c r="D21" s="509"/>
      <c r="E21" s="527">
        <v>10890.98</v>
      </c>
      <c r="F21" s="523">
        <v>-110.98</v>
      </c>
      <c r="G21" s="509"/>
      <c r="H21" s="531">
        <f t="shared" si="1"/>
        <v>-19426.020000000022</v>
      </c>
      <c r="I21" s="427">
        <v>-19426.02</v>
      </c>
      <c r="J21" s="450">
        <f t="shared" si="0"/>
        <v>0</v>
      </c>
      <c r="K21" s="508" t="s">
        <v>268</v>
      </c>
      <c r="L21" s="532">
        <v>43290</v>
      </c>
    </row>
    <row r="22" spans="1:12">
      <c r="A22" s="520">
        <v>43312</v>
      </c>
      <c r="B22" s="448" t="s">
        <v>267</v>
      </c>
      <c r="C22" s="521">
        <v>7315304</v>
      </c>
      <c r="E22" s="527">
        <v>8881.7200000000012</v>
      </c>
      <c r="F22" s="523">
        <v>-77.38</v>
      </c>
      <c r="H22" s="531">
        <f t="shared" si="1"/>
        <v>-10621.68000000002</v>
      </c>
      <c r="I22" s="427">
        <v>-10625.32</v>
      </c>
      <c r="J22" s="450">
        <f t="shared" si="0"/>
        <v>-3.639999999979409</v>
      </c>
      <c r="K22" s="508" t="s">
        <v>268</v>
      </c>
      <c r="L22" s="532">
        <v>43319</v>
      </c>
    </row>
    <row r="23" spans="1:12">
      <c r="A23" s="520">
        <v>43343</v>
      </c>
      <c r="B23" s="448" t="s">
        <v>267</v>
      </c>
      <c r="C23" s="521">
        <v>6809893</v>
      </c>
      <c r="E23" s="527">
        <v>8075.5700000000006</v>
      </c>
      <c r="F23" s="523">
        <v>-42.31</v>
      </c>
      <c r="H23" s="531">
        <f t="shared" si="1"/>
        <v>-2588.4200000000201</v>
      </c>
      <c r="J23" s="450">
        <f t="shared" si="0"/>
        <v>2588.4200000000201</v>
      </c>
      <c r="L23" s="532"/>
    </row>
    <row r="24" spans="1:12">
      <c r="A24" s="520">
        <v>43373</v>
      </c>
      <c r="B24" s="448" t="s">
        <v>267</v>
      </c>
      <c r="C24" s="521">
        <v>6985938</v>
      </c>
      <c r="E24" s="527">
        <v>6998.26</v>
      </c>
      <c r="F24" s="523">
        <v>-9.98</v>
      </c>
      <c r="H24" s="531">
        <f t="shared" si="1"/>
        <v>4399.8599999999806</v>
      </c>
      <c r="J24" s="450">
        <f t="shared" si="0"/>
        <v>-4399.8599999999806</v>
      </c>
      <c r="L24" s="532"/>
    </row>
    <row r="25" spans="1:12">
      <c r="A25" s="520">
        <v>43404</v>
      </c>
      <c r="B25" s="448" t="s">
        <v>267</v>
      </c>
      <c r="C25" s="521">
        <v>11920068</v>
      </c>
      <c r="E25" s="527">
        <v>14859.29</v>
      </c>
      <c r="F25" s="523">
        <v>18.53</v>
      </c>
      <c r="H25" s="531">
        <f t="shared" si="1"/>
        <v>19277.679999999982</v>
      </c>
      <c r="J25" s="450">
        <f t="shared" si="0"/>
        <v>-19277.679999999982</v>
      </c>
      <c r="L25" s="532"/>
    </row>
    <row r="26" spans="1:12">
      <c r="A26" s="520"/>
      <c r="B26" s="448"/>
      <c r="C26" s="521"/>
      <c r="D26" s="620" t="s">
        <v>266</v>
      </c>
      <c r="E26" s="620"/>
      <c r="F26" s="620"/>
      <c r="G26" s="427">
        <v>-6125923.8899999997</v>
      </c>
      <c r="H26" s="531">
        <f>+G26+H25</f>
        <v>-6106646.21</v>
      </c>
      <c r="J26" s="450">
        <f t="shared" si="0"/>
        <v>6106646.21</v>
      </c>
      <c r="L26" s="532"/>
    </row>
    <row r="27" spans="1:12">
      <c r="A27" s="520">
        <v>43434</v>
      </c>
      <c r="B27" s="448" t="s">
        <v>267</v>
      </c>
      <c r="C27" s="449">
        <v>17302158</v>
      </c>
      <c r="E27" s="450">
        <v>174187.14846999999</v>
      </c>
      <c r="F27" s="533">
        <v>78.59</v>
      </c>
      <c r="H27" s="531">
        <f>H26+SUM(D27:G27)</f>
        <v>-5932380.4715299997</v>
      </c>
      <c r="J27" s="450">
        <f t="shared" si="0"/>
        <v>5932380.4715299997</v>
      </c>
      <c r="L27" s="532"/>
    </row>
    <row r="28" spans="1:12">
      <c r="A28" s="520">
        <v>43465</v>
      </c>
      <c r="B28" s="448" t="s">
        <v>267</v>
      </c>
      <c r="C28" s="449">
        <v>6284764</v>
      </c>
      <c r="E28" s="450">
        <v>868272.24000000011</v>
      </c>
      <c r="F28" s="533">
        <v>-24990.76</v>
      </c>
      <c r="H28" s="531">
        <f t="shared" ref="H28:H35" si="2">H27+SUM(D28:G28)</f>
        <v>-5089098.9915299993</v>
      </c>
      <c r="J28" s="450">
        <f t="shared" si="0"/>
        <v>5089098.9915299993</v>
      </c>
      <c r="L28" s="532"/>
    </row>
    <row r="29" spans="1:12">
      <c r="A29" s="520">
        <v>43496</v>
      </c>
      <c r="B29" s="448" t="s">
        <v>267</v>
      </c>
      <c r="C29" s="427">
        <v>31921099</v>
      </c>
      <c r="E29" s="427">
        <v>986847.90999999992</v>
      </c>
      <c r="F29" s="533">
        <v>-22389.25</v>
      </c>
      <c r="H29" s="531">
        <f t="shared" si="2"/>
        <v>-4124640.3315299992</v>
      </c>
    </row>
    <row r="30" spans="1:12">
      <c r="A30" s="520">
        <v>43524</v>
      </c>
      <c r="B30" s="448" t="s">
        <v>267</v>
      </c>
      <c r="C30" s="427">
        <v>36049301</v>
      </c>
      <c r="E30" s="427">
        <v>1051189.8899999999</v>
      </c>
      <c r="F30" s="533">
        <v>-16390.080000000002</v>
      </c>
      <c r="H30" s="531">
        <f t="shared" si="2"/>
        <v>-3089840.5215299991</v>
      </c>
    </row>
    <row r="31" spans="1:12">
      <c r="A31" s="520">
        <v>43555</v>
      </c>
      <c r="B31" s="448" t="s">
        <v>267</v>
      </c>
      <c r="C31" s="427">
        <v>38560000</v>
      </c>
      <c r="E31" s="427">
        <v>1158207.93</v>
      </c>
      <c r="F31" s="533">
        <v>-13593.61</v>
      </c>
      <c r="H31" s="531">
        <f t="shared" si="2"/>
        <v>-1945226.2015299993</v>
      </c>
    </row>
    <row r="32" spans="1:12">
      <c r="A32" s="520">
        <v>43585</v>
      </c>
      <c r="B32" s="448" t="s">
        <v>267</v>
      </c>
      <c r="C32" s="427">
        <v>42389457</v>
      </c>
      <c r="E32" s="427">
        <v>657653.28999999992</v>
      </c>
      <c r="F32" s="533">
        <v>-8713.5499999999993</v>
      </c>
      <c r="H32" s="531">
        <f t="shared" si="2"/>
        <v>-1296286.4615299995</v>
      </c>
    </row>
    <row r="33" spans="1:8">
      <c r="A33" s="520">
        <v>43616</v>
      </c>
      <c r="B33" s="448" t="s">
        <v>267</v>
      </c>
      <c r="C33" s="427">
        <v>24251956</v>
      </c>
      <c r="E33" s="427">
        <v>400131.27</v>
      </c>
      <c r="F33" s="533">
        <v>-6000.21</v>
      </c>
      <c r="H33" s="531">
        <f t="shared" si="2"/>
        <v>-902155.40152999945</v>
      </c>
    </row>
    <row r="34" spans="1:8">
      <c r="A34" s="520">
        <v>43646</v>
      </c>
      <c r="B34" s="448" t="s">
        <v>267</v>
      </c>
      <c r="C34" s="427">
        <v>14672895</v>
      </c>
      <c r="E34" s="427">
        <v>245712.96</v>
      </c>
      <c r="F34" s="533">
        <v>-4041.16</v>
      </c>
      <c r="H34" s="531">
        <f t="shared" si="2"/>
        <v>-660483.6015299994</v>
      </c>
    </row>
    <row r="35" spans="1:8">
      <c r="A35" s="520">
        <v>43677</v>
      </c>
      <c r="B35" s="448" t="s">
        <v>267</v>
      </c>
      <c r="C35" s="427">
        <v>8957567</v>
      </c>
      <c r="E35" s="427">
        <v>210116.90000000002</v>
      </c>
      <c r="F35" s="533">
        <v>-3085.27</v>
      </c>
      <c r="H35" s="531">
        <f t="shared" si="2"/>
        <v>-453451.9715299994</v>
      </c>
    </row>
    <row r="36" spans="1:8">
      <c r="A36" s="520"/>
    </row>
    <row r="37" spans="1:8">
      <c r="A37" s="520"/>
    </row>
  </sheetData>
  <mergeCells count="18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C7:H7"/>
    <mergeCell ref="D9:F9"/>
    <mergeCell ref="A12:F12"/>
    <mergeCell ref="A13:F13"/>
    <mergeCell ref="D26:F26"/>
    <mergeCell ref="A7:B7"/>
  </mergeCells>
  <pageMargins left="0.7" right="0.7" top="0.75" bottom="0.75" header="0.3" footer="0.3"/>
  <pageSetup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90"/>
  <sheetViews>
    <sheetView zoomScaleNormal="100" workbookViewId="0">
      <pane xSplit="5" ySplit="4" topLeftCell="F18" activePane="bottomRight" state="frozen"/>
      <selection activeCell="N18" sqref="N18"/>
      <selection pane="topRight" activeCell="N18" sqref="N18"/>
      <selection pane="bottomLeft" activeCell="N18" sqref="N18"/>
      <selection pane="bottomRight" activeCell="N18" sqref="N18"/>
    </sheetView>
  </sheetViews>
  <sheetFormatPr defaultColWidth="12" defaultRowHeight="15" outlineLevelRow="1"/>
  <cols>
    <col min="1" max="1" width="1.6640625" style="39" customWidth="1"/>
    <col min="2" max="2" width="5.83203125" style="53" customWidth="1"/>
    <col min="3" max="3" width="15.5" style="39" customWidth="1"/>
    <col min="4" max="4" width="20" style="39" customWidth="1"/>
    <col min="5" max="5" width="10.6640625" style="53" bestFit="1" customWidth="1"/>
    <col min="6" max="6" width="13.6640625" style="39" bestFit="1" customWidth="1"/>
    <col min="7" max="7" width="16.5" style="39" customWidth="1"/>
    <col min="8" max="8" width="2.33203125" style="45" customWidth="1"/>
    <col min="9" max="9" width="18.1640625" style="39" customWidth="1"/>
    <col min="10" max="11" width="2.33203125" style="45" customWidth="1"/>
    <col min="12" max="12" width="4" style="39" customWidth="1"/>
    <col min="13" max="13" width="16.6640625" style="39" bestFit="1" customWidth="1"/>
    <col min="14" max="15" width="15" style="39" bestFit="1" customWidth="1"/>
    <col min="16" max="16" width="5.6640625" style="39" customWidth="1"/>
    <col min="17" max="16384" width="12" style="39"/>
  </cols>
  <sheetData>
    <row r="1" spans="1:16" ht="18" customHeight="1">
      <c r="A1" s="48"/>
      <c r="C1" s="579" t="s">
        <v>34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45"/>
    </row>
    <row r="2" spans="1:16">
      <c r="C2" s="580" t="s">
        <v>177</v>
      </c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45"/>
    </row>
    <row r="3" spans="1:16">
      <c r="C3" s="585" t="s">
        <v>289</v>
      </c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45"/>
    </row>
    <row r="4" spans="1:16">
      <c r="C4" s="579" t="s">
        <v>36</v>
      </c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45"/>
    </row>
    <row r="5" spans="1:16" ht="6" customHeight="1">
      <c r="M5" s="45"/>
      <c r="N5" s="45"/>
      <c r="O5" s="45"/>
      <c r="P5" s="45"/>
    </row>
    <row r="6" spans="1:16">
      <c r="B6" s="125"/>
      <c r="C6" s="126"/>
      <c r="D6" s="126"/>
      <c r="E6" s="125"/>
      <c r="F6" s="127"/>
      <c r="G6" s="127"/>
      <c r="I6" s="127"/>
      <c r="M6" s="129" t="s">
        <v>38</v>
      </c>
      <c r="N6" s="128"/>
      <c r="O6" s="128"/>
      <c r="P6" s="45"/>
    </row>
    <row r="7" spans="1:16">
      <c r="B7" s="40" t="s">
        <v>3</v>
      </c>
      <c r="C7" s="41"/>
      <c r="D7" s="41"/>
      <c r="E7" s="40" t="s">
        <v>33</v>
      </c>
      <c r="F7" s="40" t="s">
        <v>39</v>
      </c>
      <c r="G7" s="40" t="s">
        <v>40</v>
      </c>
      <c r="H7" s="41"/>
      <c r="I7" s="40" t="s">
        <v>41</v>
      </c>
      <c r="J7" s="41"/>
      <c r="K7" s="41"/>
      <c r="M7" s="130"/>
      <c r="N7" s="40" t="s">
        <v>42</v>
      </c>
      <c r="O7" s="40" t="s">
        <v>43</v>
      </c>
      <c r="P7" s="45"/>
    </row>
    <row r="8" spans="1:16">
      <c r="B8" s="40" t="s">
        <v>6</v>
      </c>
      <c r="C8" s="121"/>
      <c r="D8" s="41" t="s">
        <v>0</v>
      </c>
      <c r="E8" s="40" t="s">
        <v>44</v>
      </c>
      <c r="F8" s="40" t="s">
        <v>45</v>
      </c>
      <c r="G8" s="40" t="s">
        <v>46</v>
      </c>
      <c r="H8" s="41"/>
      <c r="I8" s="40" t="s">
        <v>47</v>
      </c>
      <c r="J8" s="41"/>
      <c r="K8" s="41"/>
      <c r="M8" s="130" t="s">
        <v>48</v>
      </c>
      <c r="N8" s="40" t="s">
        <v>48</v>
      </c>
      <c r="O8" s="40" t="s">
        <v>48</v>
      </c>
      <c r="P8" s="45"/>
    </row>
    <row r="9" spans="1:16">
      <c r="B9" s="131"/>
      <c r="C9" s="121"/>
      <c r="D9" s="41" t="s">
        <v>9</v>
      </c>
      <c r="E9" s="132" t="s">
        <v>10</v>
      </c>
      <c r="F9" s="132" t="s">
        <v>11</v>
      </c>
      <c r="G9" s="132" t="s">
        <v>12</v>
      </c>
      <c r="H9" s="41"/>
      <c r="I9" s="132" t="s">
        <v>49</v>
      </c>
      <c r="J9" s="41"/>
      <c r="K9" s="41"/>
      <c r="M9" s="133" t="s">
        <v>88</v>
      </c>
      <c r="N9" s="132" t="s">
        <v>50</v>
      </c>
      <c r="O9" s="132" t="s">
        <v>51</v>
      </c>
      <c r="P9" s="45"/>
    </row>
    <row r="10" spans="1:16" s="45" customFormat="1">
      <c r="B10" s="134"/>
      <c r="C10" s="135" t="s">
        <v>53</v>
      </c>
      <c r="D10" s="136"/>
      <c r="E10" s="134"/>
      <c r="F10" s="136"/>
      <c r="G10" s="136"/>
      <c r="I10" s="290"/>
      <c r="M10" s="137"/>
      <c r="N10" s="136"/>
      <c r="O10" s="136"/>
    </row>
    <row r="11" spans="1:16">
      <c r="B11" s="125">
        <v>1</v>
      </c>
      <c r="C11" s="101" t="s">
        <v>54</v>
      </c>
      <c r="D11" s="138"/>
      <c r="E11" s="482"/>
      <c r="F11" s="126"/>
      <c r="G11" s="128"/>
      <c r="I11" s="128"/>
      <c r="M11" s="302"/>
      <c r="N11" s="128"/>
      <c r="O11" s="128"/>
      <c r="P11" s="45"/>
    </row>
    <row r="12" spans="1:16">
      <c r="B12" s="40">
        <v>2</v>
      </c>
      <c r="C12" s="139" t="s">
        <v>118</v>
      </c>
      <c r="D12" s="42"/>
      <c r="E12" s="483" t="s">
        <v>57</v>
      </c>
      <c r="F12" s="484">
        <v>190130</v>
      </c>
      <c r="G12" s="484">
        <v>126418452</v>
      </c>
      <c r="H12" s="141"/>
      <c r="I12" s="124">
        <v>109961201</v>
      </c>
      <c r="K12" s="141"/>
      <c r="M12" s="165">
        <f>+'DMA Proposed Rate 594'!F12</f>
        <v>3.9747000000000005E-2</v>
      </c>
      <c r="N12" s="140">
        <f>+G12*M12</f>
        <v>5024754.2116440004</v>
      </c>
      <c r="O12" s="398">
        <f>N12/I12</f>
        <v>4.5695701446949462E-2</v>
      </c>
      <c r="P12" s="45"/>
    </row>
    <row r="13" spans="1:16">
      <c r="B13" s="40">
        <v>3</v>
      </c>
      <c r="C13" s="139"/>
      <c r="D13" s="42"/>
      <c r="E13" s="483"/>
      <c r="F13" s="484"/>
      <c r="G13" s="140"/>
      <c r="I13" s="485"/>
      <c r="M13" s="165"/>
      <c r="N13" s="140"/>
      <c r="O13" s="289"/>
      <c r="P13" s="45"/>
    </row>
    <row r="14" spans="1:16">
      <c r="B14" s="40">
        <v>4</v>
      </c>
      <c r="C14" s="139"/>
      <c r="D14" s="42"/>
      <c r="E14" s="483"/>
      <c r="F14" s="484"/>
      <c r="G14" s="140"/>
      <c r="I14" s="124"/>
      <c r="M14" s="165"/>
      <c r="N14" s="140"/>
      <c r="O14" s="289"/>
      <c r="P14" s="45"/>
    </row>
    <row r="15" spans="1:16">
      <c r="B15" s="40">
        <v>5</v>
      </c>
      <c r="C15" s="300" t="s">
        <v>173</v>
      </c>
      <c r="D15" s="42"/>
      <c r="E15" s="486">
        <v>503</v>
      </c>
      <c r="F15" s="484"/>
      <c r="G15" s="140">
        <v>2058587</v>
      </c>
      <c r="H15" s="141"/>
      <c r="I15" s="124">
        <v>1680445</v>
      </c>
      <c r="J15" s="141"/>
      <c r="K15" s="141"/>
      <c r="M15" s="165">
        <f>+M12</f>
        <v>3.9747000000000005E-2</v>
      </c>
      <c r="N15" s="140">
        <f>+G15*M15</f>
        <v>81822.657489000005</v>
      </c>
      <c r="O15" s="289"/>
      <c r="P15" s="45"/>
    </row>
    <row r="16" spans="1:16">
      <c r="B16" s="40">
        <v>6</v>
      </c>
      <c r="C16" s="301" t="s">
        <v>174</v>
      </c>
      <c r="D16" s="142"/>
      <c r="E16" s="487">
        <v>503</v>
      </c>
      <c r="F16" s="488"/>
      <c r="G16" s="489">
        <v>-2376801</v>
      </c>
      <c r="H16" s="141"/>
      <c r="I16" s="489">
        <v>-1990523</v>
      </c>
      <c r="J16" s="141"/>
      <c r="K16" s="141"/>
      <c r="M16" s="165">
        <f>M12</f>
        <v>3.9747000000000005E-2</v>
      </c>
      <c r="N16" s="140">
        <f>+G16*M16</f>
        <v>-94470.709347000011</v>
      </c>
      <c r="O16" s="289"/>
      <c r="P16" s="45"/>
    </row>
    <row r="17" spans="2:16" s="150" customFormat="1">
      <c r="B17" s="40">
        <v>7</v>
      </c>
      <c r="C17" s="143" t="s">
        <v>126</v>
      </c>
      <c r="D17" s="167"/>
      <c r="E17" s="490"/>
      <c r="F17" s="491">
        <f>SUM(F12:F16)</f>
        <v>190130</v>
      </c>
      <c r="G17" s="145">
        <f>SUM(G12:G16)</f>
        <v>126100238</v>
      </c>
      <c r="H17" s="146"/>
      <c r="I17" s="492">
        <f>SUM(I12:I16)</f>
        <v>109651123</v>
      </c>
      <c r="J17" s="146"/>
      <c r="K17" s="146"/>
      <c r="M17" s="147"/>
      <c r="N17" s="148">
        <f>SUM(N12:N16)</f>
        <v>5012106.1597859999</v>
      </c>
      <c r="O17" s="149">
        <f>+N17/I17</f>
        <v>4.570957435416325E-2</v>
      </c>
      <c r="P17" s="54"/>
    </row>
    <row r="18" spans="2:16">
      <c r="B18" s="131">
        <v>8</v>
      </c>
      <c r="C18" s="101" t="s">
        <v>62</v>
      </c>
      <c r="D18" s="42"/>
      <c r="E18" s="486"/>
      <c r="F18" s="141"/>
      <c r="G18" s="140"/>
      <c r="H18" s="141"/>
      <c r="I18" s="493"/>
      <c r="K18" s="141"/>
      <c r="M18" s="164"/>
      <c r="N18" s="43"/>
      <c r="O18" s="151"/>
      <c r="P18" s="45"/>
    </row>
    <row r="19" spans="2:16">
      <c r="B19" s="40">
        <v>9</v>
      </c>
      <c r="C19" s="57" t="s">
        <v>118</v>
      </c>
      <c r="D19" s="42"/>
      <c r="E19" s="483" t="s">
        <v>63</v>
      </c>
      <c r="F19" s="141">
        <v>26357</v>
      </c>
      <c r="G19" s="140">
        <v>91522752</v>
      </c>
      <c r="H19" s="141"/>
      <c r="I19" s="124">
        <v>71429920</v>
      </c>
      <c r="K19" s="141"/>
      <c r="M19" s="165">
        <f>'DMA Proposed Rate 594'!$F$13</f>
        <v>3.1260000000000003E-2</v>
      </c>
      <c r="N19" s="43">
        <f>+G19*M19</f>
        <v>2861001.2275200002</v>
      </c>
      <c r="O19" s="398">
        <f>+N19/I19</f>
        <v>4.0053260979712707E-2</v>
      </c>
      <c r="P19" s="45"/>
    </row>
    <row r="20" spans="2:16">
      <c r="B20" s="40">
        <v>10</v>
      </c>
      <c r="C20" s="57" t="s">
        <v>119</v>
      </c>
      <c r="D20" s="42"/>
      <c r="E20" s="483" t="s">
        <v>65</v>
      </c>
      <c r="F20" s="141">
        <v>38</v>
      </c>
      <c r="G20" s="140">
        <v>10892484</v>
      </c>
      <c r="I20" s="124">
        <v>6456962</v>
      </c>
      <c r="M20" s="165">
        <f>+'DMA Proposed Rate 594'!F14</f>
        <v>3.1139000000000003E-2</v>
      </c>
      <c r="N20" s="43">
        <f>+G20*M20</f>
        <v>339181.05927600001</v>
      </c>
      <c r="O20" s="398">
        <f>+N20/I20</f>
        <v>5.2529511444546213E-2</v>
      </c>
      <c r="P20" s="45"/>
    </row>
    <row r="21" spans="2:16">
      <c r="B21" s="40">
        <v>11</v>
      </c>
      <c r="C21" s="57"/>
      <c r="D21" s="42"/>
      <c r="E21" s="483"/>
      <c r="F21" s="141"/>
      <c r="G21" s="140"/>
      <c r="H21" s="141"/>
      <c r="I21" s="124"/>
      <c r="K21" s="141"/>
      <c r="M21" s="165"/>
      <c r="N21" s="43"/>
      <c r="O21" s="398"/>
      <c r="P21" s="45"/>
    </row>
    <row r="22" spans="2:16">
      <c r="B22" s="40">
        <v>12</v>
      </c>
      <c r="C22" s="57"/>
      <c r="D22" s="42"/>
      <c r="E22" s="483"/>
      <c r="F22" s="141"/>
      <c r="G22" s="140"/>
      <c r="I22" s="124"/>
      <c r="M22" s="165"/>
      <c r="N22" s="43"/>
      <c r="O22" s="289"/>
      <c r="P22" s="45"/>
    </row>
    <row r="23" spans="2:16">
      <c r="B23" s="40">
        <v>13</v>
      </c>
      <c r="C23" s="152" t="s">
        <v>173</v>
      </c>
      <c r="D23" s="42"/>
      <c r="E23" s="486">
        <v>504</v>
      </c>
      <c r="F23" s="45"/>
      <c r="G23" s="140">
        <v>2184086</v>
      </c>
      <c r="H23" s="141"/>
      <c r="I23" s="140">
        <v>1647694</v>
      </c>
      <c r="J23" s="141"/>
      <c r="K23" s="141"/>
      <c r="M23" s="165">
        <f>M19</f>
        <v>3.1260000000000003E-2</v>
      </c>
      <c r="N23" s="43">
        <f>+G23*M23</f>
        <v>68274.528360000011</v>
      </c>
      <c r="O23" s="289"/>
      <c r="P23" s="45"/>
    </row>
    <row r="24" spans="2:16">
      <c r="B24" s="40">
        <v>14</v>
      </c>
      <c r="C24" s="152" t="s">
        <v>174</v>
      </c>
      <c r="D24" s="42"/>
      <c r="E24" s="486">
        <v>504</v>
      </c>
      <c r="F24" s="45"/>
      <c r="G24" s="140">
        <v>-2469575</v>
      </c>
      <c r="H24" s="141"/>
      <c r="I24" s="140">
        <v>-1881693</v>
      </c>
      <c r="J24" s="141"/>
      <c r="K24" s="141"/>
      <c r="M24" s="165">
        <f>M19</f>
        <v>3.1260000000000003E-2</v>
      </c>
      <c r="N24" s="43">
        <f>+G24*M24</f>
        <v>-77198.914500000014</v>
      </c>
      <c r="O24" s="289"/>
      <c r="P24" s="45"/>
    </row>
    <row r="25" spans="2:16">
      <c r="B25" s="40">
        <v>15</v>
      </c>
      <c r="C25" s="57" t="s">
        <v>120</v>
      </c>
      <c r="D25" s="42"/>
      <c r="E25" s="486"/>
      <c r="F25" s="141"/>
      <c r="G25" s="140">
        <v>0</v>
      </c>
      <c r="H25" s="141"/>
      <c r="I25" s="489"/>
      <c r="K25" s="141"/>
      <c r="M25" s="165">
        <v>0</v>
      </c>
      <c r="N25" s="43"/>
      <c r="O25" s="84"/>
      <c r="P25" s="45"/>
    </row>
    <row r="26" spans="2:16" s="150" customFormat="1">
      <c r="B26" s="40">
        <v>16</v>
      </c>
      <c r="C26" s="143" t="s">
        <v>125</v>
      </c>
      <c r="D26" s="144"/>
      <c r="E26" s="490"/>
      <c r="F26" s="491">
        <f>SUM(F19:F25)</f>
        <v>26395</v>
      </c>
      <c r="G26" s="145">
        <f>SUM(G19:G25)</f>
        <v>102129747</v>
      </c>
      <c r="H26" s="146"/>
      <c r="I26" s="492">
        <f>SUM(I19:I25)</f>
        <v>77652883</v>
      </c>
      <c r="J26" s="146"/>
      <c r="K26" s="146"/>
      <c r="M26" s="153"/>
      <c r="N26" s="148">
        <f>SUM(N19:N25)</f>
        <v>3191257.9006560002</v>
      </c>
      <c r="O26" s="149">
        <f>N26/I26</f>
        <v>4.1096450992759666E-2</v>
      </c>
      <c r="P26" s="54"/>
    </row>
    <row r="27" spans="2:16">
      <c r="B27" s="131">
        <v>17</v>
      </c>
      <c r="C27" s="101" t="s">
        <v>66</v>
      </c>
      <c r="D27" s="42"/>
      <c r="E27" s="486"/>
      <c r="F27" s="141"/>
      <c r="G27" s="140"/>
      <c r="H27" s="141"/>
      <c r="I27" s="493"/>
      <c r="K27" s="141"/>
      <c r="M27" s="165"/>
      <c r="N27" s="43"/>
      <c r="O27" s="84"/>
      <c r="P27" s="45"/>
    </row>
    <row r="28" spans="2:16">
      <c r="B28" s="40">
        <v>18</v>
      </c>
      <c r="C28" s="57" t="s">
        <v>118</v>
      </c>
      <c r="D28" s="42"/>
      <c r="E28" s="483" t="s">
        <v>67</v>
      </c>
      <c r="F28" s="141">
        <v>477</v>
      </c>
      <c r="G28" s="140">
        <v>12769822</v>
      </c>
      <c r="H28" s="141"/>
      <c r="I28" s="493">
        <v>8775211</v>
      </c>
      <c r="K28" s="141"/>
      <c r="M28" s="165">
        <f>+'DMA Proposed Rate 594'!F15</f>
        <v>-9.0559999999999998E-3</v>
      </c>
      <c r="N28" s="43">
        <f>+G28*M28</f>
        <v>-115643.508032</v>
      </c>
      <c r="O28" s="84">
        <f>+N28/I28</f>
        <v>-1.3178430471016593E-2</v>
      </c>
      <c r="P28" s="45"/>
    </row>
    <row r="29" spans="2:16">
      <c r="B29" s="40">
        <v>19</v>
      </c>
      <c r="C29" s="57" t="s">
        <v>119</v>
      </c>
      <c r="D29" s="42"/>
      <c r="E29" s="483" t="s">
        <v>65</v>
      </c>
      <c r="F29" s="141">
        <v>48</v>
      </c>
      <c r="G29" s="140">
        <v>3631916</v>
      </c>
      <c r="I29" s="493">
        <v>2160241</v>
      </c>
      <c r="M29" s="165">
        <f>+M20</f>
        <v>3.1139000000000003E-2</v>
      </c>
      <c r="N29" s="43">
        <f>+G29*M29</f>
        <v>113094.23232400001</v>
      </c>
      <c r="O29" s="84">
        <f>+N29/I29</f>
        <v>5.2352599697904081E-2</v>
      </c>
      <c r="P29" s="45"/>
    </row>
    <row r="30" spans="2:16">
      <c r="B30" s="40">
        <v>20</v>
      </c>
      <c r="C30" s="155" t="s">
        <v>173</v>
      </c>
      <c r="D30" s="42"/>
      <c r="E30" s="483">
        <v>511</v>
      </c>
      <c r="F30" s="141"/>
      <c r="G30" s="140"/>
      <c r="I30" s="493">
        <v>0</v>
      </c>
      <c r="M30" s="165"/>
      <c r="N30" s="43"/>
      <c r="O30" s="84"/>
      <c r="P30" s="45"/>
    </row>
    <row r="31" spans="2:16">
      <c r="B31" s="40">
        <v>21</v>
      </c>
      <c r="C31" s="156" t="s">
        <v>174</v>
      </c>
      <c r="D31" s="42"/>
      <c r="E31" s="483">
        <v>511</v>
      </c>
      <c r="F31" s="141"/>
      <c r="G31" s="494">
        <v>0</v>
      </c>
      <c r="I31" s="493">
        <v>0</v>
      </c>
      <c r="M31" s="165"/>
      <c r="N31" s="43"/>
      <c r="O31" s="84"/>
      <c r="P31" s="45"/>
    </row>
    <row r="32" spans="2:16" s="150" customFormat="1">
      <c r="B32" s="40">
        <v>22</v>
      </c>
      <c r="C32" s="143" t="s">
        <v>124</v>
      </c>
      <c r="D32" s="144"/>
      <c r="E32" s="490"/>
      <c r="F32" s="145">
        <f>SUM(F28:F31)</f>
        <v>525</v>
      </c>
      <c r="G32" s="145">
        <f>SUM(G28:G31)</f>
        <v>16401738</v>
      </c>
      <c r="H32" s="146"/>
      <c r="I32" s="145">
        <f>SUM(I28:I31)</f>
        <v>10935452</v>
      </c>
      <c r="J32" s="146"/>
      <c r="K32" s="146"/>
      <c r="M32" s="153"/>
      <c r="N32" s="145">
        <f>SUM(N28:N31)</f>
        <v>-2549.2757079999865</v>
      </c>
      <c r="O32" s="149">
        <f>+N32/I32</f>
        <v>-2.3312028693464032E-4</v>
      </c>
      <c r="P32" s="54"/>
    </row>
    <row r="33" spans="2:16">
      <c r="B33" s="131">
        <v>23</v>
      </c>
      <c r="C33" s="101" t="s">
        <v>8</v>
      </c>
      <c r="D33" s="42"/>
      <c r="E33" s="486"/>
      <c r="F33" s="141"/>
      <c r="G33" s="140"/>
      <c r="H33" s="141"/>
      <c r="I33" s="493"/>
      <c r="K33" s="141"/>
      <c r="M33" s="165"/>
      <c r="N33" s="43"/>
      <c r="O33" s="84"/>
      <c r="P33" s="45"/>
    </row>
    <row r="34" spans="2:16">
      <c r="B34" s="40">
        <v>24</v>
      </c>
      <c r="C34" s="57" t="s">
        <v>115</v>
      </c>
      <c r="D34" s="42"/>
      <c r="E34" s="483" t="s">
        <v>68</v>
      </c>
      <c r="F34" s="141">
        <v>8</v>
      </c>
      <c r="G34" s="140">
        <v>2230943</v>
      </c>
      <c r="H34" s="141"/>
      <c r="I34" s="493">
        <v>1217815</v>
      </c>
      <c r="K34" s="141"/>
      <c r="M34" s="165">
        <f>+'DMA Proposed Rate 594'!F16</f>
        <v>1.1551000000000002E-2</v>
      </c>
      <c r="N34" s="43">
        <f>+G34*M34</f>
        <v>25769.622593000004</v>
      </c>
      <c r="O34" s="84">
        <f>+N34/I34</f>
        <v>2.1160539649289919E-2</v>
      </c>
      <c r="P34" s="45"/>
    </row>
    <row r="35" spans="2:16">
      <c r="B35" s="40">
        <v>25</v>
      </c>
      <c r="C35" s="57"/>
      <c r="D35" s="42"/>
      <c r="E35" s="483"/>
      <c r="F35" s="141"/>
      <c r="G35" s="140"/>
      <c r="I35" s="493"/>
      <c r="M35" s="165"/>
      <c r="N35" s="43"/>
      <c r="O35" s="84"/>
      <c r="P35" s="45"/>
    </row>
    <row r="36" spans="2:16">
      <c r="B36" s="40">
        <v>26</v>
      </c>
      <c r="C36" s="57" t="s">
        <v>173</v>
      </c>
      <c r="D36" s="42"/>
      <c r="E36" s="483"/>
      <c r="F36" s="141"/>
      <c r="G36" s="140">
        <v>120191</v>
      </c>
      <c r="I36" s="493">
        <v>74150</v>
      </c>
      <c r="M36" s="165"/>
      <c r="N36" s="43"/>
      <c r="O36" s="84"/>
      <c r="P36" s="45"/>
    </row>
    <row r="37" spans="2:16">
      <c r="B37" s="40">
        <v>27</v>
      </c>
      <c r="C37" s="57" t="s">
        <v>174</v>
      </c>
      <c r="D37" s="42"/>
      <c r="E37" s="483"/>
      <c r="F37" s="141"/>
      <c r="G37" s="140">
        <v>-115400</v>
      </c>
      <c r="I37" s="493">
        <v>-68015</v>
      </c>
      <c r="M37" s="165"/>
      <c r="N37" s="43"/>
      <c r="O37" s="84"/>
      <c r="P37" s="45"/>
    </row>
    <row r="38" spans="2:16">
      <c r="B38" s="40"/>
      <c r="C38" s="57"/>
      <c r="D38" s="42"/>
      <c r="E38" s="483"/>
      <c r="F38" s="141"/>
      <c r="G38" s="140"/>
      <c r="I38" s="493"/>
      <c r="M38" s="165"/>
      <c r="N38" s="43"/>
      <c r="O38" s="84"/>
      <c r="P38" s="45"/>
    </row>
    <row r="39" spans="2:16">
      <c r="B39" s="40"/>
      <c r="C39" s="57"/>
      <c r="D39" s="42"/>
      <c r="E39" s="483"/>
      <c r="F39" s="141"/>
      <c r="G39" s="140"/>
      <c r="I39" s="493"/>
      <c r="M39" s="165"/>
      <c r="N39" s="43"/>
      <c r="O39" s="84"/>
      <c r="P39" s="45"/>
    </row>
    <row r="40" spans="2:16" s="150" customFormat="1">
      <c r="B40" s="157">
        <v>28</v>
      </c>
      <c r="C40" s="135" t="s">
        <v>121</v>
      </c>
      <c r="D40" s="144"/>
      <c r="E40" s="490"/>
      <c r="F40" s="491">
        <f>SUM(F34:F35)</f>
        <v>8</v>
      </c>
      <c r="G40" s="145">
        <f>SUM(G34:G37)</f>
        <v>2235734</v>
      </c>
      <c r="H40" s="146"/>
      <c r="I40" s="492">
        <f>+I35+I34+I36+I37</f>
        <v>1223950</v>
      </c>
      <c r="J40" s="146"/>
      <c r="K40" s="146"/>
      <c r="M40" s="158"/>
      <c r="N40" s="148">
        <f>SUM(N34:N35)</f>
        <v>25769.622593000004</v>
      </c>
      <c r="O40" s="149">
        <f>N40/I40</f>
        <v>2.1054473297928838E-2</v>
      </c>
      <c r="P40" s="54"/>
    </row>
    <row r="41" spans="2:16" s="150" customFormat="1">
      <c r="B41" s="132">
        <v>29</v>
      </c>
      <c r="C41" s="159" t="s">
        <v>122</v>
      </c>
      <c r="D41" s="54"/>
      <c r="E41" s="495"/>
      <c r="F41" s="146">
        <f>+F40+F32+F26+F17</f>
        <v>217058</v>
      </c>
      <c r="G41" s="145">
        <f>G17+G26+G32+G40</f>
        <v>246867457</v>
      </c>
      <c r="H41" s="146"/>
      <c r="I41" s="492">
        <f>I17+I26+I32+I40</f>
        <v>199463408</v>
      </c>
      <c r="J41" s="146"/>
      <c r="K41" s="146"/>
      <c r="M41" s="305"/>
      <c r="N41" s="97">
        <f>N17+N26+N32+N40</f>
        <v>8226584.4073270001</v>
      </c>
      <c r="O41" s="149">
        <f>N41/I41</f>
        <v>4.124357690372462E-2</v>
      </c>
      <c r="P41" s="54"/>
    </row>
    <row r="42" spans="2:16" s="45" customFormat="1">
      <c r="B42" s="134"/>
      <c r="C42" s="135" t="s">
        <v>72</v>
      </c>
      <c r="D42" s="136"/>
      <c r="E42" s="134"/>
      <c r="F42" s="290"/>
      <c r="G42" s="290"/>
      <c r="H42" s="141"/>
      <c r="I42" s="160"/>
      <c r="K42" s="141"/>
      <c r="M42" s="161"/>
      <c r="N42" s="161"/>
      <c r="O42" s="162"/>
    </row>
    <row r="43" spans="2:16">
      <c r="B43" s="127">
        <v>30</v>
      </c>
      <c r="C43" s="156" t="s">
        <v>5</v>
      </c>
      <c r="D43" s="42"/>
      <c r="E43" s="483" t="s">
        <v>31</v>
      </c>
      <c r="F43" s="141"/>
      <c r="G43" s="140">
        <v>0</v>
      </c>
      <c r="H43" s="496"/>
      <c r="I43" s="497">
        <v>0</v>
      </c>
      <c r="J43" s="156"/>
      <c r="K43" s="156"/>
      <c r="M43" s="165"/>
      <c r="N43" s="43"/>
      <c r="O43" s="163">
        <v>0</v>
      </c>
      <c r="P43" s="45"/>
    </row>
    <row r="44" spans="2:16">
      <c r="B44" s="40">
        <v>31</v>
      </c>
      <c r="C44" s="154" t="s">
        <v>117</v>
      </c>
      <c r="D44" s="42"/>
      <c r="E44" s="486"/>
      <c r="F44" s="141"/>
      <c r="G44" s="140"/>
      <c r="H44" s="496"/>
      <c r="I44" s="493"/>
      <c r="K44" s="141"/>
      <c r="M44" s="164"/>
      <c r="N44" s="43"/>
      <c r="O44" s="163"/>
      <c r="P44" s="45"/>
    </row>
    <row r="45" spans="2:16">
      <c r="B45" s="40">
        <v>32</v>
      </c>
      <c r="C45" s="57" t="s">
        <v>115</v>
      </c>
      <c r="D45" s="42"/>
      <c r="E45" s="483" t="s">
        <v>73</v>
      </c>
      <c r="F45" s="141">
        <v>193</v>
      </c>
      <c r="G45" s="140">
        <v>540320074</v>
      </c>
      <c r="H45" s="141"/>
      <c r="I45" s="493">
        <v>19318813</v>
      </c>
      <c r="J45" s="156"/>
      <c r="K45" s="141"/>
      <c r="M45" s="165"/>
      <c r="N45" s="43"/>
      <c r="O45" s="163"/>
      <c r="P45" s="45"/>
    </row>
    <row r="46" spans="2:16">
      <c r="B46" s="40">
        <v>33</v>
      </c>
      <c r="C46" s="57" t="s">
        <v>116</v>
      </c>
      <c r="D46" s="42"/>
      <c r="E46" s="483" t="s">
        <v>155</v>
      </c>
      <c r="F46" s="498">
        <v>7</v>
      </c>
      <c r="G46" s="489">
        <v>192416786</v>
      </c>
      <c r="I46" s="489">
        <v>3825626</v>
      </c>
      <c r="M46" s="98"/>
      <c r="N46" s="43"/>
      <c r="O46" s="163"/>
      <c r="P46" s="45"/>
    </row>
    <row r="47" spans="2:16" s="150" customFormat="1">
      <c r="B47" s="40">
        <v>34</v>
      </c>
      <c r="C47" s="166" t="s">
        <v>123</v>
      </c>
      <c r="D47" s="144"/>
      <c r="E47" s="495"/>
      <c r="F47" s="499">
        <f>SUM(F43:F46)</f>
        <v>200</v>
      </c>
      <c r="G47" s="500">
        <f>SUM(G43:G46)</f>
        <v>732736860</v>
      </c>
      <c r="H47" s="54"/>
      <c r="I47" s="501">
        <f>SUM(I43:I46)</f>
        <v>23144439</v>
      </c>
      <c r="J47" s="54"/>
      <c r="K47" s="54"/>
      <c r="M47" s="303"/>
      <c r="N47" s="168"/>
      <c r="O47" s="169"/>
      <c r="P47" s="54"/>
    </row>
    <row r="48" spans="2:16" s="150" customFormat="1">
      <c r="B48" s="132">
        <v>35</v>
      </c>
      <c r="C48" s="166" t="s">
        <v>74</v>
      </c>
      <c r="D48" s="170"/>
      <c r="E48" s="495"/>
      <c r="F48" s="499">
        <f>+F47+F41</f>
        <v>217258</v>
      </c>
      <c r="G48" s="500">
        <f>G41+G47</f>
        <v>979604317</v>
      </c>
      <c r="H48" s="146"/>
      <c r="I48" s="492">
        <f>I41+I47</f>
        <v>222607847</v>
      </c>
      <c r="J48" s="146"/>
      <c r="K48" s="146"/>
      <c r="M48" s="304"/>
      <c r="N48" s="171">
        <f>N41+SUM(N43:N47)</f>
        <v>8226584.4073270001</v>
      </c>
      <c r="O48" s="149">
        <f>N48/I48</f>
        <v>3.695550052791715E-2</v>
      </c>
      <c r="P48" s="54"/>
    </row>
    <row r="49" spans="2:16" s="45" customFormat="1" hidden="1" outlineLevel="1">
      <c r="B49" s="134"/>
      <c r="C49" s="135"/>
      <c r="D49" s="172"/>
      <c r="E49" s="112"/>
      <c r="F49" s="293"/>
      <c r="G49" s="293"/>
      <c r="H49" s="141"/>
      <c r="I49" s="160"/>
      <c r="K49" s="141"/>
      <c r="M49" s="99"/>
    </row>
    <row r="50" spans="2:16" collapsed="1">
      <c r="I50" s="46"/>
      <c r="K50" s="141"/>
      <c r="P50" s="45"/>
    </row>
    <row r="51" spans="2:16">
      <c r="B51" s="55"/>
      <c r="C51" s="47"/>
      <c r="D51" s="47"/>
      <c r="E51" s="83"/>
      <c r="F51" s="47"/>
      <c r="G51" s="47"/>
      <c r="H51" s="156"/>
      <c r="I51" s="47"/>
    </row>
    <row r="52" spans="2:16">
      <c r="B52" s="56"/>
      <c r="C52" s="48"/>
      <c r="D52" s="48"/>
      <c r="E52" s="50"/>
      <c r="F52" s="48"/>
      <c r="G52" s="48"/>
      <c r="H52" s="173"/>
      <c r="I52" s="48"/>
    </row>
    <row r="53" spans="2:16" ht="9" customHeight="1">
      <c r="B53" s="50"/>
      <c r="C53" s="48"/>
      <c r="D53" s="48"/>
      <c r="E53" s="50"/>
      <c r="F53" s="48"/>
      <c r="G53" s="48"/>
      <c r="H53" s="173"/>
      <c r="I53" s="48"/>
    </row>
    <row r="54" spans="2:16">
      <c r="B54" s="51"/>
      <c r="C54" s="49"/>
      <c r="D54" s="47"/>
      <c r="E54" s="83"/>
      <c r="F54" s="47"/>
      <c r="G54" s="47"/>
      <c r="H54" s="156"/>
      <c r="I54" s="47"/>
    </row>
    <row r="55" spans="2:16">
      <c r="B55" s="51"/>
      <c r="C55" s="49"/>
      <c r="D55" s="49"/>
      <c r="E55" s="51"/>
      <c r="F55" s="291"/>
      <c r="G55" s="291"/>
      <c r="H55" s="174"/>
      <c r="I55" s="291"/>
      <c r="J55" s="54"/>
    </row>
    <row r="56" spans="2:16">
      <c r="B56" s="52"/>
      <c r="F56" s="85"/>
      <c r="G56" s="85"/>
      <c r="H56" s="85"/>
      <c r="I56" s="85"/>
      <c r="J56" s="85"/>
    </row>
    <row r="57" spans="2:16">
      <c r="F57" s="86" t="s">
        <v>133</v>
      </c>
      <c r="G57" s="86" t="s">
        <v>134</v>
      </c>
      <c r="H57" s="86"/>
      <c r="I57" s="86" t="s">
        <v>135</v>
      </c>
      <c r="J57" s="86"/>
    </row>
    <row r="58" spans="2:16">
      <c r="F58" s="5"/>
      <c r="G58" s="5"/>
      <c r="H58" s="1"/>
      <c r="I58" s="5"/>
      <c r="J58" s="1"/>
      <c r="K58" s="1"/>
    </row>
    <row r="59" spans="2:16">
      <c r="E59" s="53">
        <v>503</v>
      </c>
      <c r="F59" s="5">
        <f>F12</f>
        <v>190130</v>
      </c>
      <c r="G59" s="5">
        <f>G12</f>
        <v>126418452</v>
      </c>
      <c r="H59" s="1"/>
      <c r="I59" s="5">
        <f>I12</f>
        <v>109961201</v>
      </c>
      <c r="J59" s="1"/>
      <c r="K59" s="1"/>
    </row>
    <row r="60" spans="2:16">
      <c r="E60" s="53">
        <v>504</v>
      </c>
      <c r="F60" s="5">
        <f>F19</f>
        <v>26357</v>
      </c>
      <c r="G60" s="5">
        <f>G19</f>
        <v>91522752</v>
      </c>
      <c r="H60" s="1"/>
      <c r="I60" s="5">
        <f>I19</f>
        <v>71429920</v>
      </c>
      <c r="J60" s="1"/>
      <c r="K60" s="1"/>
    </row>
    <row r="61" spans="2:16">
      <c r="F61" s="5"/>
      <c r="G61" s="5"/>
      <c r="H61" s="1"/>
      <c r="I61" s="5"/>
      <c r="J61" s="1"/>
      <c r="K61" s="1"/>
    </row>
    <row r="62" spans="2:16">
      <c r="F62" s="5"/>
      <c r="G62" s="5"/>
      <c r="H62" s="1"/>
      <c r="I62" s="5"/>
      <c r="J62" s="1"/>
      <c r="K62" s="1"/>
    </row>
    <row r="63" spans="2:16">
      <c r="E63" s="53">
        <v>511</v>
      </c>
      <c r="F63" s="5">
        <f>F20+F29</f>
        <v>86</v>
      </c>
      <c r="G63" s="5">
        <f>G20+G29</f>
        <v>14524400</v>
      </c>
      <c r="H63" s="1"/>
      <c r="I63" s="5">
        <f>I20+I29</f>
        <v>8617203</v>
      </c>
      <c r="J63" s="1"/>
      <c r="K63" s="1"/>
    </row>
    <row r="64" spans="2:16">
      <c r="E64" s="53">
        <v>505</v>
      </c>
      <c r="F64" s="5">
        <f>F28</f>
        <v>477</v>
      </c>
      <c r="G64" s="5">
        <f>G28</f>
        <v>12769822</v>
      </c>
      <c r="H64" s="1"/>
      <c r="I64" s="5">
        <f>I28</f>
        <v>8775211</v>
      </c>
      <c r="J64" s="1"/>
      <c r="K64" s="1"/>
    </row>
    <row r="65" spans="2:11">
      <c r="E65" s="53">
        <v>570</v>
      </c>
      <c r="F65" s="5">
        <f>F34</f>
        <v>8</v>
      </c>
      <c r="G65" s="5">
        <f>G34</f>
        <v>2230943</v>
      </c>
      <c r="H65" s="1"/>
      <c r="I65" s="5">
        <f>I34</f>
        <v>1217815</v>
      </c>
      <c r="J65" s="1"/>
      <c r="K65" s="1"/>
    </row>
    <row r="66" spans="2:11">
      <c r="F66" s="5"/>
      <c r="G66" s="5"/>
      <c r="H66" s="1"/>
      <c r="I66" s="5"/>
      <c r="J66" s="1"/>
      <c r="K66" s="1"/>
    </row>
    <row r="67" spans="2:11">
      <c r="F67" s="5"/>
      <c r="G67" s="5"/>
      <c r="H67" s="1"/>
      <c r="I67" s="5"/>
      <c r="J67" s="1"/>
      <c r="K67" s="1"/>
    </row>
    <row r="68" spans="2:11">
      <c r="E68" s="53">
        <v>663</v>
      </c>
      <c r="F68" s="5">
        <f>F45</f>
        <v>193</v>
      </c>
      <c r="G68" s="5">
        <f>G45</f>
        <v>540320074</v>
      </c>
      <c r="H68" s="1"/>
      <c r="I68" s="5">
        <f>I45</f>
        <v>19318813</v>
      </c>
      <c r="J68" s="1"/>
      <c r="K68" s="1"/>
    </row>
    <row r="69" spans="2:11">
      <c r="E69" s="53" t="s">
        <v>155</v>
      </c>
      <c r="F69" s="6">
        <f>F46</f>
        <v>7</v>
      </c>
      <c r="G69" s="6">
        <f>G46</f>
        <v>192416786</v>
      </c>
      <c r="H69" s="6"/>
      <c r="I69" s="6">
        <f>I46</f>
        <v>3825626</v>
      </c>
      <c r="J69" s="6"/>
      <c r="K69" s="1"/>
    </row>
    <row r="70" spans="2:11" s="150" customFormat="1">
      <c r="B70" s="175"/>
      <c r="E70" s="175"/>
      <c r="F70" s="78">
        <f>SUM(F58:F69)</f>
        <v>217258</v>
      </c>
      <c r="G70" s="78">
        <f>SUM(G58:G69)</f>
        <v>980203229</v>
      </c>
      <c r="H70" s="61"/>
      <c r="I70" s="78">
        <f>SUM(I58:I69)</f>
        <v>223145789</v>
      </c>
      <c r="J70" s="61"/>
      <c r="K70" s="61"/>
    </row>
    <row r="76" spans="2:11">
      <c r="F76" s="86" t="str">
        <f t="shared" ref="E76:J89" si="0">F57</f>
        <v>BILLS</v>
      </c>
      <c r="G76" s="86" t="str">
        <f t="shared" si="0"/>
        <v xml:space="preserve">THERMS </v>
      </c>
      <c r="H76" s="86"/>
      <c r="I76" s="86" t="str">
        <f t="shared" si="0"/>
        <v>REVS</v>
      </c>
      <c r="J76" s="86">
        <f t="shared" si="0"/>
        <v>0</v>
      </c>
    </row>
    <row r="77" spans="2:11">
      <c r="E77" s="53">
        <f t="shared" si="0"/>
        <v>0</v>
      </c>
      <c r="F77" s="5">
        <f t="shared" si="0"/>
        <v>0</v>
      </c>
      <c r="G77" s="5">
        <f t="shared" si="0"/>
        <v>0</v>
      </c>
      <c r="H77" s="1"/>
      <c r="I77" s="5">
        <f t="shared" si="0"/>
        <v>0</v>
      </c>
      <c r="J77" s="1">
        <f t="shared" si="0"/>
        <v>0</v>
      </c>
    </row>
    <row r="78" spans="2:11">
      <c r="E78" s="53">
        <f t="shared" si="0"/>
        <v>503</v>
      </c>
      <c r="F78" s="5">
        <f t="shared" si="0"/>
        <v>190130</v>
      </c>
      <c r="G78" s="5">
        <f>G59+G15+G16</f>
        <v>126100238</v>
      </c>
      <c r="H78" s="1"/>
      <c r="I78" s="5">
        <f>I59+I15+I16</f>
        <v>109651123</v>
      </c>
      <c r="J78" s="1">
        <f t="shared" si="0"/>
        <v>0</v>
      </c>
    </row>
    <row r="79" spans="2:11">
      <c r="E79" s="53">
        <f t="shared" si="0"/>
        <v>504</v>
      </c>
      <c r="F79" s="5">
        <f t="shared" si="0"/>
        <v>26357</v>
      </c>
      <c r="G79" s="5">
        <f>G60+G23+G24+G25</f>
        <v>91237263</v>
      </c>
      <c r="H79" s="1"/>
      <c r="I79" s="5">
        <f>I60+I23+I24+I25</f>
        <v>71195921</v>
      </c>
      <c r="J79" s="1">
        <f t="shared" si="0"/>
        <v>0</v>
      </c>
    </row>
    <row r="80" spans="2:11">
      <c r="E80" s="53">
        <f t="shared" si="0"/>
        <v>0</v>
      </c>
      <c r="F80" s="5">
        <f t="shared" si="0"/>
        <v>0</v>
      </c>
      <c r="G80" s="5">
        <f t="shared" si="0"/>
        <v>0</v>
      </c>
      <c r="H80" s="1"/>
      <c r="I80" s="5">
        <f t="shared" si="0"/>
        <v>0</v>
      </c>
      <c r="J80" s="1">
        <f t="shared" si="0"/>
        <v>0</v>
      </c>
    </row>
    <row r="81" spans="5:10">
      <c r="E81" s="53">
        <f t="shared" si="0"/>
        <v>0</v>
      </c>
      <c r="F81" s="5">
        <f t="shared" si="0"/>
        <v>0</v>
      </c>
      <c r="G81" s="5">
        <f t="shared" si="0"/>
        <v>0</v>
      </c>
      <c r="H81" s="1"/>
      <c r="I81" s="5">
        <f t="shared" si="0"/>
        <v>0</v>
      </c>
      <c r="J81" s="1">
        <f t="shared" si="0"/>
        <v>0</v>
      </c>
    </row>
    <row r="82" spans="5:10">
      <c r="E82" s="53">
        <f t="shared" si="0"/>
        <v>511</v>
      </c>
      <c r="F82" s="5">
        <f t="shared" si="0"/>
        <v>86</v>
      </c>
      <c r="G82" s="5">
        <f t="shared" si="0"/>
        <v>14524400</v>
      </c>
      <c r="H82" s="1"/>
      <c r="I82" s="5">
        <f t="shared" si="0"/>
        <v>8617203</v>
      </c>
      <c r="J82" s="1">
        <f t="shared" si="0"/>
        <v>0</v>
      </c>
    </row>
    <row r="83" spans="5:10">
      <c r="E83" s="53">
        <f t="shared" si="0"/>
        <v>505</v>
      </c>
      <c r="F83" s="5">
        <f t="shared" si="0"/>
        <v>477</v>
      </c>
      <c r="G83" s="5">
        <f t="shared" si="0"/>
        <v>12769822</v>
      </c>
      <c r="H83" s="1"/>
      <c r="I83" s="5">
        <f t="shared" si="0"/>
        <v>8775211</v>
      </c>
      <c r="J83" s="1">
        <f t="shared" si="0"/>
        <v>0</v>
      </c>
    </row>
    <row r="84" spans="5:10">
      <c r="E84" s="53">
        <f t="shared" si="0"/>
        <v>570</v>
      </c>
      <c r="F84" s="5">
        <f t="shared" si="0"/>
        <v>8</v>
      </c>
      <c r="G84" s="5">
        <f t="shared" si="0"/>
        <v>2230943</v>
      </c>
      <c r="H84" s="1"/>
      <c r="I84" s="5">
        <f t="shared" si="0"/>
        <v>1217815</v>
      </c>
      <c r="J84" s="1">
        <f t="shared" si="0"/>
        <v>0</v>
      </c>
    </row>
    <row r="85" spans="5:10">
      <c r="E85" s="53">
        <f t="shared" si="0"/>
        <v>0</v>
      </c>
      <c r="F85" s="5">
        <f t="shared" si="0"/>
        <v>0</v>
      </c>
      <c r="G85" s="5">
        <f t="shared" si="0"/>
        <v>0</v>
      </c>
      <c r="H85" s="1"/>
      <c r="I85" s="5">
        <f t="shared" si="0"/>
        <v>0</v>
      </c>
      <c r="J85" s="1">
        <f t="shared" si="0"/>
        <v>0</v>
      </c>
    </row>
    <row r="86" spans="5:10">
      <c r="E86" s="53">
        <f t="shared" si="0"/>
        <v>0</v>
      </c>
      <c r="F86" s="5">
        <f t="shared" si="0"/>
        <v>0</v>
      </c>
      <c r="G86" s="5">
        <f t="shared" si="0"/>
        <v>0</v>
      </c>
      <c r="H86" s="1"/>
      <c r="I86" s="5">
        <f t="shared" si="0"/>
        <v>0</v>
      </c>
      <c r="J86" s="1">
        <f t="shared" si="0"/>
        <v>0</v>
      </c>
    </row>
    <row r="87" spans="5:10">
      <c r="E87" s="53">
        <f t="shared" si="0"/>
        <v>663</v>
      </c>
      <c r="F87" s="5">
        <f t="shared" si="0"/>
        <v>193</v>
      </c>
      <c r="G87" s="5">
        <f t="shared" si="0"/>
        <v>540320074</v>
      </c>
      <c r="H87" s="1"/>
      <c r="I87" s="5">
        <f t="shared" si="0"/>
        <v>19318813</v>
      </c>
      <c r="J87" s="1">
        <f t="shared" si="0"/>
        <v>0</v>
      </c>
    </row>
    <row r="88" spans="5:10">
      <c r="E88" s="53" t="str">
        <f t="shared" si="0"/>
        <v>9xx</v>
      </c>
      <c r="F88" s="6">
        <f t="shared" si="0"/>
        <v>7</v>
      </c>
      <c r="G88" s="6">
        <f t="shared" si="0"/>
        <v>192416786</v>
      </c>
      <c r="H88" s="6"/>
      <c r="I88" s="6">
        <f t="shared" si="0"/>
        <v>3825626</v>
      </c>
      <c r="J88" s="6">
        <f t="shared" si="0"/>
        <v>0</v>
      </c>
    </row>
    <row r="89" spans="5:10">
      <c r="F89" s="78">
        <f>SUM(F77:F88)</f>
        <v>217258</v>
      </c>
      <c r="G89" s="78">
        <f>SUM(G77:G88)</f>
        <v>979599526</v>
      </c>
      <c r="H89" s="61"/>
      <c r="I89" s="78">
        <f>SUM(I77:I88)</f>
        <v>222601712</v>
      </c>
      <c r="J89" s="61">
        <f t="shared" si="0"/>
        <v>0</v>
      </c>
    </row>
    <row r="90" spans="5:10">
      <c r="F90" s="150"/>
      <c r="G90" s="150"/>
      <c r="H90" s="54"/>
      <c r="I90" s="150"/>
      <c r="J90" s="54"/>
    </row>
  </sheetData>
  <mergeCells count="4">
    <mergeCell ref="C1:O1"/>
    <mergeCell ref="C2:O2"/>
    <mergeCell ref="C3:O3"/>
    <mergeCell ref="C4:O4"/>
  </mergeCells>
  <phoneticPr fontId="19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zoomScaleNormal="100" workbookViewId="0">
      <selection activeCell="D9" sqref="D9:D20"/>
    </sheetView>
  </sheetViews>
  <sheetFormatPr defaultColWidth="10.6640625" defaultRowHeight="15"/>
  <cols>
    <col min="1" max="1" width="7.83203125" style="193" customWidth="1"/>
    <col min="2" max="2" width="26" style="193" customWidth="1"/>
    <col min="3" max="3" width="14.1640625" style="193" customWidth="1"/>
    <col min="4" max="4" width="16.1640625" style="193" customWidth="1"/>
    <col min="5" max="5" width="16" style="193" customWidth="1"/>
    <col min="6" max="6" width="19.33203125" style="193" customWidth="1"/>
    <col min="7" max="7" width="24" style="193" customWidth="1"/>
    <col min="8" max="8" width="16.1640625" style="193" customWidth="1"/>
    <col min="9" max="9" width="18" style="193" customWidth="1"/>
    <col min="10" max="10" width="16.1640625" style="193" customWidth="1"/>
    <col min="11" max="12" width="13.83203125" style="193" customWidth="1"/>
    <col min="13" max="13" width="14.83203125" style="193" customWidth="1"/>
    <col min="14" max="14" width="13.33203125" style="193" customWidth="1"/>
    <col min="15" max="15" width="19.6640625" style="193" customWidth="1"/>
    <col min="16" max="17" width="13.33203125" style="193" customWidth="1"/>
    <col min="18" max="18" width="16" style="193" customWidth="1"/>
    <col min="19" max="19" width="14.1640625" style="193" customWidth="1"/>
    <col min="20" max="20" width="17" style="193" customWidth="1"/>
    <col min="21" max="21" width="14.1640625" style="193" customWidth="1"/>
    <col min="22" max="16384" width="10.6640625" style="193"/>
  </cols>
  <sheetData>
    <row r="1" spans="2:15" ht="15.75" customHeight="1">
      <c r="G1" s="445" t="str">
        <f>+'DMA Summary of Def. Accts.'!N1</f>
        <v>CNGC Advice W19-09-03</v>
      </c>
    </row>
    <row r="2" spans="2:15" ht="15.75" customHeight="1">
      <c r="G2" s="329" t="s">
        <v>192</v>
      </c>
    </row>
    <row r="3" spans="2:15" ht="15.75" customHeight="1">
      <c r="G3" s="329" t="s">
        <v>274</v>
      </c>
    </row>
    <row r="4" spans="2:15" s="194" customFormat="1" ht="15.75" customHeight="1">
      <c r="B4" s="378"/>
      <c r="C4" s="574" t="s">
        <v>34</v>
      </c>
      <c r="D4" s="574"/>
      <c r="E4" s="574"/>
      <c r="F4" s="574"/>
      <c r="G4" s="379"/>
      <c r="H4" s="195"/>
      <c r="I4" s="195"/>
      <c r="J4" s="195"/>
      <c r="K4" s="195"/>
      <c r="L4" s="195"/>
      <c r="M4" s="195"/>
      <c r="N4" s="195"/>
      <c r="O4" s="195"/>
    </row>
    <row r="5" spans="2:15" s="194" customFormat="1" ht="15.75" customHeight="1">
      <c r="B5" s="378"/>
      <c r="C5" s="574" t="s">
        <v>87</v>
      </c>
      <c r="D5" s="574"/>
      <c r="E5" s="574"/>
      <c r="F5" s="574"/>
      <c r="G5" s="379"/>
      <c r="H5" s="195"/>
      <c r="I5" s="195"/>
      <c r="J5" s="195"/>
      <c r="K5" s="195"/>
      <c r="L5" s="195"/>
      <c r="M5" s="195"/>
      <c r="N5" s="195"/>
      <c r="O5" s="195"/>
    </row>
    <row r="6" spans="2:15" s="194" customFormat="1" ht="15.75" customHeight="1">
      <c r="B6" s="378"/>
      <c r="C6" s="574" t="s">
        <v>181</v>
      </c>
      <c r="D6" s="574"/>
      <c r="E6" s="574"/>
      <c r="F6" s="574"/>
      <c r="G6" s="379"/>
      <c r="H6" s="195"/>
      <c r="I6" s="195"/>
      <c r="J6" s="195"/>
      <c r="K6" s="195"/>
      <c r="L6" s="195"/>
      <c r="M6" s="195"/>
      <c r="N6" s="195"/>
      <c r="O6" s="195"/>
    </row>
    <row r="7" spans="2:15" s="194" customFormat="1" ht="15.75" customHeight="1">
      <c r="B7" s="378"/>
      <c r="C7" s="574" t="s">
        <v>36</v>
      </c>
      <c r="D7" s="574"/>
      <c r="E7" s="574"/>
      <c r="F7" s="574"/>
      <c r="G7" s="379"/>
      <c r="H7" s="195"/>
      <c r="I7" s="195"/>
      <c r="J7" s="195"/>
      <c r="K7" s="195"/>
      <c r="L7" s="195"/>
      <c r="M7" s="195"/>
      <c r="N7" s="195"/>
      <c r="O7" s="195"/>
    </row>
    <row r="8" spans="2:15" ht="15.75">
      <c r="B8" s="380"/>
      <c r="C8" s="380"/>
      <c r="D8" s="380"/>
      <c r="E8" s="380"/>
      <c r="F8" s="381"/>
      <c r="G8" s="374"/>
    </row>
    <row r="9" spans="2:15" s="200" customFormat="1" ht="63">
      <c r="B9" s="382" t="s">
        <v>0</v>
      </c>
      <c r="C9" s="383" t="s">
        <v>136</v>
      </c>
      <c r="D9" s="382" t="s">
        <v>180</v>
      </c>
      <c r="E9" s="407" t="s">
        <v>206</v>
      </c>
      <c r="F9" s="382" t="s">
        <v>182</v>
      </c>
      <c r="G9" s="382" t="s">
        <v>183</v>
      </c>
      <c r="H9" s="199"/>
      <c r="I9" s="199"/>
      <c r="J9" s="199"/>
      <c r="K9" s="199"/>
    </row>
    <row r="10" spans="2:15" ht="15.75">
      <c r="B10" s="384" t="s">
        <v>9</v>
      </c>
      <c r="C10" s="385" t="s">
        <v>10</v>
      </c>
      <c r="D10" s="386" t="s">
        <v>11</v>
      </c>
      <c r="E10" s="387" t="s">
        <v>12</v>
      </c>
      <c r="F10" s="388" t="s">
        <v>13</v>
      </c>
      <c r="G10" s="388" t="s">
        <v>88</v>
      </c>
      <c r="H10" s="197"/>
      <c r="I10" s="197"/>
      <c r="J10" s="197"/>
      <c r="K10" s="197"/>
    </row>
    <row r="11" spans="2:15" ht="16.5" customHeight="1">
      <c r="B11" s="389" t="s">
        <v>89</v>
      </c>
      <c r="C11" s="373"/>
      <c r="D11" s="373"/>
      <c r="E11" s="373"/>
      <c r="F11" s="390"/>
      <c r="G11" s="373"/>
    </row>
    <row r="12" spans="2:15" ht="15.75">
      <c r="B12" s="394" t="s">
        <v>54</v>
      </c>
      <c r="C12" s="392">
        <v>503</v>
      </c>
      <c r="D12" s="566">
        <v>2.5850000000000001E-2</v>
      </c>
      <c r="E12" s="377">
        <f>+'DMA Summary of Def. Accts.'!G21</f>
        <v>1.3897E-2</v>
      </c>
      <c r="F12" s="376">
        <f t="shared" ref="F12:F16" si="0">+D12+E12</f>
        <v>3.9747000000000005E-2</v>
      </c>
      <c r="G12" s="375">
        <f t="shared" ref="G12:G16" si="1">+E12</f>
        <v>1.3897E-2</v>
      </c>
      <c r="H12" s="4"/>
      <c r="I12" s="89"/>
      <c r="J12" s="36"/>
      <c r="K12" s="36"/>
    </row>
    <row r="13" spans="2:15" ht="15.75">
      <c r="B13" s="394" t="s">
        <v>62</v>
      </c>
      <c r="C13" s="392">
        <v>504</v>
      </c>
      <c r="D13" s="566">
        <v>3.0450000000000001E-2</v>
      </c>
      <c r="E13" s="377">
        <f>+'DMA Summary of Def. Accts.'!H21</f>
        <v>8.0999999999999996E-4</v>
      </c>
      <c r="F13" s="376">
        <f t="shared" si="0"/>
        <v>3.1260000000000003E-2</v>
      </c>
      <c r="G13" s="375">
        <f t="shared" si="1"/>
        <v>8.0999999999999996E-4</v>
      </c>
      <c r="H13" s="4"/>
      <c r="I13" s="89"/>
      <c r="J13" s="36"/>
      <c r="K13" s="36"/>
    </row>
    <row r="14" spans="2:15" ht="15.75">
      <c r="B14" s="394" t="s">
        <v>138</v>
      </c>
      <c r="C14" s="393">
        <v>511</v>
      </c>
      <c r="D14" s="566">
        <v>5.0680000000000003E-2</v>
      </c>
      <c r="E14" s="377">
        <f>+'DMA Summary of Def. Accts.'!J21</f>
        <v>-1.9540999999999999E-2</v>
      </c>
      <c r="F14" s="376">
        <f t="shared" si="0"/>
        <v>3.1139000000000003E-2</v>
      </c>
      <c r="G14" s="375">
        <f t="shared" si="1"/>
        <v>-1.9540999999999999E-2</v>
      </c>
      <c r="H14" s="4"/>
      <c r="I14" s="89"/>
      <c r="J14" s="36"/>
      <c r="K14" s="36"/>
    </row>
    <row r="15" spans="2:15" ht="15.75">
      <c r="B15" s="394" t="s">
        <v>66</v>
      </c>
      <c r="C15" s="393">
        <v>505</v>
      </c>
      <c r="D15" s="566">
        <v>-3.2100000000000002E-3</v>
      </c>
      <c r="E15" s="377">
        <f>+'DMA Summary of Def. Accts.'!I21</f>
        <v>-5.8459999999999996E-3</v>
      </c>
      <c r="F15" s="376">
        <f t="shared" si="0"/>
        <v>-9.0559999999999998E-3</v>
      </c>
      <c r="G15" s="375">
        <f t="shared" si="1"/>
        <v>-5.8459999999999996E-3</v>
      </c>
      <c r="H15" s="4"/>
      <c r="I15" s="89"/>
      <c r="J15" s="36"/>
      <c r="K15" s="36"/>
    </row>
    <row r="16" spans="2:15" ht="15.75">
      <c r="B16" s="394" t="s">
        <v>90</v>
      </c>
      <c r="C16" s="393">
        <v>570</v>
      </c>
      <c r="D16" s="566">
        <v>-7.5100000000000002E-3</v>
      </c>
      <c r="E16" s="377">
        <f>+'DMA Summary of Def. Accts.'!K21</f>
        <v>1.9061000000000002E-2</v>
      </c>
      <c r="F16" s="376">
        <f t="shared" si="0"/>
        <v>1.1551000000000002E-2</v>
      </c>
      <c r="G16" s="375">
        <f t="shared" si="1"/>
        <v>1.9061000000000002E-2</v>
      </c>
      <c r="H16" s="4"/>
      <c r="I16" s="89"/>
      <c r="J16" s="36"/>
      <c r="K16" s="36"/>
    </row>
    <row r="17" spans="2:22" ht="15.75">
      <c r="B17" s="395"/>
      <c r="C17" s="396"/>
      <c r="D17" s="396"/>
      <c r="E17" s="396"/>
      <c r="F17" s="397"/>
      <c r="G17" s="396"/>
      <c r="H17" s="89"/>
      <c r="I17" s="89"/>
      <c r="J17" s="36"/>
      <c r="K17" s="36"/>
    </row>
    <row r="18" spans="2:22" s="196" customFormat="1">
      <c r="B18" s="211"/>
      <c r="G18" s="89"/>
      <c r="H18" s="89"/>
      <c r="I18" s="89"/>
      <c r="J18" s="89"/>
      <c r="K18" s="89"/>
    </row>
    <row r="19" spans="2:22">
      <c r="B19" s="212"/>
      <c r="G19" s="5"/>
      <c r="Q19" s="36"/>
      <c r="R19" s="36"/>
      <c r="S19" s="36"/>
      <c r="T19" s="36"/>
      <c r="U19" s="36"/>
      <c r="V19" s="36"/>
    </row>
    <row r="20" spans="2:22">
      <c r="B20" s="212"/>
      <c r="F20" s="213"/>
      <c r="G20" s="5"/>
      <c r="Q20" s="36"/>
      <c r="R20" s="36"/>
      <c r="S20" s="36"/>
      <c r="T20" s="36"/>
      <c r="U20" s="36"/>
    </row>
    <row r="21" spans="2:22">
      <c r="B21" s="212"/>
      <c r="F21" s="213"/>
      <c r="G21" s="5"/>
      <c r="Q21" s="36"/>
      <c r="R21" s="36"/>
      <c r="S21" s="36"/>
      <c r="T21" s="36"/>
      <c r="U21" s="36"/>
    </row>
    <row r="22" spans="2:22">
      <c r="B22" s="214"/>
      <c r="F22" s="213"/>
      <c r="G22" s="5"/>
    </row>
    <row r="23" spans="2:22">
      <c r="B23" s="214"/>
      <c r="F23" s="213"/>
      <c r="G23" s="91"/>
      <c r="H23" s="91"/>
      <c r="I23" s="91"/>
    </row>
    <row r="24" spans="2:22">
      <c r="F24" s="215"/>
      <c r="K24" s="91"/>
    </row>
    <row r="25" spans="2:22">
      <c r="F25" s="216"/>
      <c r="K25" s="91"/>
    </row>
    <row r="26" spans="2:22">
      <c r="K26" s="91"/>
    </row>
    <row r="27" spans="2:22">
      <c r="K27" s="91"/>
    </row>
  </sheetData>
  <mergeCells count="4">
    <mergeCell ref="C7:F7"/>
    <mergeCell ref="C6:F6"/>
    <mergeCell ref="C5:F5"/>
    <mergeCell ref="C4:F4"/>
  </mergeCells>
  <phoneticPr fontId="21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R24"/>
  <sheetViews>
    <sheetView zoomScaleNormal="100" workbookViewId="0">
      <selection activeCell="P12" sqref="P12"/>
    </sheetView>
  </sheetViews>
  <sheetFormatPr defaultRowHeight="15" outlineLevelCol="1"/>
  <cols>
    <col min="1" max="1" width="5.5" style="68" bestFit="1" customWidth="1"/>
    <col min="2" max="2" width="9.33203125" style="185"/>
    <col min="3" max="3" width="19.5" style="185" customWidth="1"/>
    <col min="4" max="4" width="13.5" style="185" customWidth="1"/>
    <col min="5" max="5" width="11" style="185" customWidth="1"/>
    <col min="6" max="6" width="17.1640625" style="185" customWidth="1"/>
    <col min="7" max="7" width="1.33203125" style="16" customWidth="1"/>
    <col min="8" max="8" width="15.33203125" style="185" customWidth="1"/>
    <col min="9" max="10" width="1.33203125" style="16" customWidth="1"/>
    <col min="11" max="11" width="15.33203125" style="9" customWidth="1"/>
    <col min="12" max="12" width="16.1640625" style="185" customWidth="1"/>
    <col min="13" max="13" width="11.33203125" style="185" hidden="1" customWidth="1" outlineLevel="1"/>
    <col min="14" max="14" width="12.83203125" style="185" bestFit="1" customWidth="1" collapsed="1"/>
    <col min="15" max="15" width="9.33203125" style="185"/>
    <col min="16" max="16" width="14.5" style="185" bestFit="1" customWidth="1"/>
    <col min="17" max="251" width="9.33203125" style="185"/>
    <col min="252" max="252" width="5" style="185" customWidth="1"/>
    <col min="253" max="253" width="9.33203125" style="185"/>
    <col min="254" max="254" width="21.6640625" style="185" customWidth="1"/>
    <col min="255" max="255" width="13.5" style="185" customWidth="1"/>
    <col min="256" max="256" width="10.5" style="185" customWidth="1"/>
    <col min="257" max="257" width="15.1640625" style="185" customWidth="1"/>
    <col min="258" max="258" width="3.6640625" style="185" customWidth="1"/>
    <col min="259" max="259" width="13.1640625" style="185" customWidth="1"/>
    <col min="260" max="260" width="3.83203125" style="185" customWidth="1"/>
    <col min="261" max="261" width="15" style="185" customWidth="1"/>
    <col min="262" max="262" width="3.6640625" style="185" customWidth="1"/>
    <col min="263" max="264" width="13" style="185" customWidth="1"/>
    <col min="265" max="265" width="0" style="185" hidden="1" customWidth="1"/>
    <col min="266" max="267" width="9.33203125" style="185"/>
    <col min="268" max="268" width="15.83203125" style="185" customWidth="1"/>
    <col min="269" max="507" width="9.33203125" style="185"/>
    <col min="508" max="508" width="5" style="185" customWidth="1"/>
    <col min="509" max="509" width="9.33203125" style="185"/>
    <col min="510" max="510" width="21.6640625" style="185" customWidth="1"/>
    <col min="511" max="511" width="13.5" style="185" customWidth="1"/>
    <col min="512" max="512" width="10.5" style="185" customWidth="1"/>
    <col min="513" max="513" width="15.1640625" style="185" customWidth="1"/>
    <col min="514" max="514" width="3.6640625" style="185" customWidth="1"/>
    <col min="515" max="515" width="13.1640625" style="185" customWidth="1"/>
    <col min="516" max="516" width="3.83203125" style="185" customWidth="1"/>
    <col min="517" max="517" width="15" style="185" customWidth="1"/>
    <col min="518" max="518" width="3.6640625" style="185" customWidth="1"/>
    <col min="519" max="520" width="13" style="185" customWidth="1"/>
    <col min="521" max="521" width="0" style="185" hidden="1" customWidth="1"/>
    <col min="522" max="523" width="9.33203125" style="185"/>
    <col min="524" max="524" width="15.83203125" style="185" customWidth="1"/>
    <col min="525" max="763" width="9.33203125" style="185"/>
    <col min="764" max="764" width="5" style="185" customWidth="1"/>
    <col min="765" max="765" width="9.33203125" style="185"/>
    <col min="766" max="766" width="21.6640625" style="185" customWidth="1"/>
    <col min="767" max="767" width="13.5" style="185" customWidth="1"/>
    <col min="768" max="768" width="10.5" style="185" customWidth="1"/>
    <col min="769" max="769" width="15.1640625" style="185" customWidth="1"/>
    <col min="770" max="770" width="3.6640625" style="185" customWidth="1"/>
    <col min="771" max="771" width="13.1640625" style="185" customWidth="1"/>
    <col min="772" max="772" width="3.83203125" style="185" customWidth="1"/>
    <col min="773" max="773" width="15" style="185" customWidth="1"/>
    <col min="774" max="774" width="3.6640625" style="185" customWidth="1"/>
    <col min="775" max="776" width="13" style="185" customWidth="1"/>
    <col min="777" max="777" width="0" style="185" hidden="1" customWidth="1"/>
    <col min="778" max="779" width="9.33203125" style="185"/>
    <col min="780" max="780" width="15.83203125" style="185" customWidth="1"/>
    <col min="781" max="1019" width="9.33203125" style="185"/>
    <col min="1020" max="1020" width="5" style="185" customWidth="1"/>
    <col min="1021" max="1021" width="9.33203125" style="185"/>
    <col min="1022" max="1022" width="21.6640625" style="185" customWidth="1"/>
    <col min="1023" max="1023" width="13.5" style="185" customWidth="1"/>
    <col min="1024" max="1024" width="10.5" style="185" customWidth="1"/>
    <col min="1025" max="1025" width="15.1640625" style="185" customWidth="1"/>
    <col min="1026" max="1026" width="3.6640625" style="185" customWidth="1"/>
    <col min="1027" max="1027" width="13.1640625" style="185" customWidth="1"/>
    <col min="1028" max="1028" width="3.83203125" style="185" customWidth="1"/>
    <col min="1029" max="1029" width="15" style="185" customWidth="1"/>
    <col min="1030" max="1030" width="3.6640625" style="185" customWidth="1"/>
    <col min="1031" max="1032" width="13" style="185" customWidth="1"/>
    <col min="1033" max="1033" width="0" style="185" hidden="1" customWidth="1"/>
    <col min="1034" max="1035" width="9.33203125" style="185"/>
    <col min="1036" max="1036" width="15.83203125" style="185" customWidth="1"/>
    <col min="1037" max="1275" width="9.33203125" style="185"/>
    <col min="1276" max="1276" width="5" style="185" customWidth="1"/>
    <col min="1277" max="1277" width="9.33203125" style="185"/>
    <col min="1278" max="1278" width="21.6640625" style="185" customWidth="1"/>
    <col min="1279" max="1279" width="13.5" style="185" customWidth="1"/>
    <col min="1280" max="1280" width="10.5" style="185" customWidth="1"/>
    <col min="1281" max="1281" width="15.1640625" style="185" customWidth="1"/>
    <col min="1282" max="1282" width="3.6640625" style="185" customWidth="1"/>
    <col min="1283" max="1283" width="13.1640625" style="185" customWidth="1"/>
    <col min="1284" max="1284" width="3.83203125" style="185" customWidth="1"/>
    <col min="1285" max="1285" width="15" style="185" customWidth="1"/>
    <col min="1286" max="1286" width="3.6640625" style="185" customWidth="1"/>
    <col min="1287" max="1288" width="13" style="185" customWidth="1"/>
    <col min="1289" max="1289" width="0" style="185" hidden="1" customWidth="1"/>
    <col min="1290" max="1291" width="9.33203125" style="185"/>
    <col min="1292" max="1292" width="15.83203125" style="185" customWidth="1"/>
    <col min="1293" max="1531" width="9.33203125" style="185"/>
    <col min="1532" max="1532" width="5" style="185" customWidth="1"/>
    <col min="1533" max="1533" width="9.33203125" style="185"/>
    <col min="1534" max="1534" width="21.6640625" style="185" customWidth="1"/>
    <col min="1535" max="1535" width="13.5" style="185" customWidth="1"/>
    <col min="1536" max="1536" width="10.5" style="185" customWidth="1"/>
    <col min="1537" max="1537" width="15.1640625" style="185" customWidth="1"/>
    <col min="1538" max="1538" width="3.6640625" style="185" customWidth="1"/>
    <col min="1539" max="1539" width="13.1640625" style="185" customWidth="1"/>
    <col min="1540" max="1540" width="3.83203125" style="185" customWidth="1"/>
    <col min="1541" max="1541" width="15" style="185" customWidth="1"/>
    <col min="1542" max="1542" width="3.6640625" style="185" customWidth="1"/>
    <col min="1543" max="1544" width="13" style="185" customWidth="1"/>
    <col min="1545" max="1545" width="0" style="185" hidden="1" customWidth="1"/>
    <col min="1546" max="1547" width="9.33203125" style="185"/>
    <col min="1548" max="1548" width="15.83203125" style="185" customWidth="1"/>
    <col min="1549" max="1787" width="9.33203125" style="185"/>
    <col min="1788" max="1788" width="5" style="185" customWidth="1"/>
    <col min="1789" max="1789" width="9.33203125" style="185"/>
    <col min="1790" max="1790" width="21.6640625" style="185" customWidth="1"/>
    <col min="1791" max="1791" width="13.5" style="185" customWidth="1"/>
    <col min="1792" max="1792" width="10.5" style="185" customWidth="1"/>
    <col min="1793" max="1793" width="15.1640625" style="185" customWidth="1"/>
    <col min="1794" max="1794" width="3.6640625" style="185" customWidth="1"/>
    <col min="1795" max="1795" width="13.1640625" style="185" customWidth="1"/>
    <col min="1796" max="1796" width="3.83203125" style="185" customWidth="1"/>
    <col min="1797" max="1797" width="15" style="185" customWidth="1"/>
    <col min="1798" max="1798" width="3.6640625" style="185" customWidth="1"/>
    <col min="1799" max="1800" width="13" style="185" customWidth="1"/>
    <col min="1801" max="1801" width="0" style="185" hidden="1" customWidth="1"/>
    <col min="1802" max="1803" width="9.33203125" style="185"/>
    <col min="1804" max="1804" width="15.83203125" style="185" customWidth="1"/>
    <col min="1805" max="2043" width="9.33203125" style="185"/>
    <col min="2044" max="2044" width="5" style="185" customWidth="1"/>
    <col min="2045" max="2045" width="9.33203125" style="185"/>
    <col min="2046" max="2046" width="21.6640625" style="185" customWidth="1"/>
    <col min="2047" max="2047" width="13.5" style="185" customWidth="1"/>
    <col min="2048" max="2048" width="10.5" style="185" customWidth="1"/>
    <col min="2049" max="2049" width="15.1640625" style="185" customWidth="1"/>
    <col min="2050" max="2050" width="3.6640625" style="185" customWidth="1"/>
    <col min="2051" max="2051" width="13.1640625" style="185" customWidth="1"/>
    <col min="2052" max="2052" width="3.83203125" style="185" customWidth="1"/>
    <col min="2053" max="2053" width="15" style="185" customWidth="1"/>
    <col min="2054" max="2054" width="3.6640625" style="185" customWidth="1"/>
    <col min="2055" max="2056" width="13" style="185" customWidth="1"/>
    <col min="2057" max="2057" width="0" style="185" hidden="1" customWidth="1"/>
    <col min="2058" max="2059" width="9.33203125" style="185"/>
    <col min="2060" max="2060" width="15.83203125" style="185" customWidth="1"/>
    <col min="2061" max="2299" width="9.33203125" style="185"/>
    <col min="2300" max="2300" width="5" style="185" customWidth="1"/>
    <col min="2301" max="2301" width="9.33203125" style="185"/>
    <col min="2302" max="2302" width="21.6640625" style="185" customWidth="1"/>
    <col min="2303" max="2303" width="13.5" style="185" customWidth="1"/>
    <col min="2304" max="2304" width="10.5" style="185" customWidth="1"/>
    <col min="2305" max="2305" width="15.1640625" style="185" customWidth="1"/>
    <col min="2306" max="2306" width="3.6640625" style="185" customWidth="1"/>
    <col min="2307" max="2307" width="13.1640625" style="185" customWidth="1"/>
    <col min="2308" max="2308" width="3.83203125" style="185" customWidth="1"/>
    <col min="2309" max="2309" width="15" style="185" customWidth="1"/>
    <col min="2310" max="2310" width="3.6640625" style="185" customWidth="1"/>
    <col min="2311" max="2312" width="13" style="185" customWidth="1"/>
    <col min="2313" max="2313" width="0" style="185" hidden="1" customWidth="1"/>
    <col min="2314" max="2315" width="9.33203125" style="185"/>
    <col min="2316" max="2316" width="15.83203125" style="185" customWidth="1"/>
    <col min="2317" max="2555" width="9.33203125" style="185"/>
    <col min="2556" max="2556" width="5" style="185" customWidth="1"/>
    <col min="2557" max="2557" width="9.33203125" style="185"/>
    <col min="2558" max="2558" width="21.6640625" style="185" customWidth="1"/>
    <col min="2559" max="2559" width="13.5" style="185" customWidth="1"/>
    <col min="2560" max="2560" width="10.5" style="185" customWidth="1"/>
    <col min="2561" max="2561" width="15.1640625" style="185" customWidth="1"/>
    <col min="2562" max="2562" width="3.6640625" style="185" customWidth="1"/>
    <col min="2563" max="2563" width="13.1640625" style="185" customWidth="1"/>
    <col min="2564" max="2564" width="3.83203125" style="185" customWidth="1"/>
    <col min="2565" max="2565" width="15" style="185" customWidth="1"/>
    <col min="2566" max="2566" width="3.6640625" style="185" customWidth="1"/>
    <col min="2567" max="2568" width="13" style="185" customWidth="1"/>
    <col min="2569" max="2569" width="0" style="185" hidden="1" customWidth="1"/>
    <col min="2570" max="2571" width="9.33203125" style="185"/>
    <col min="2572" max="2572" width="15.83203125" style="185" customWidth="1"/>
    <col min="2573" max="2811" width="9.33203125" style="185"/>
    <col min="2812" max="2812" width="5" style="185" customWidth="1"/>
    <col min="2813" max="2813" width="9.33203125" style="185"/>
    <col min="2814" max="2814" width="21.6640625" style="185" customWidth="1"/>
    <col min="2815" max="2815" width="13.5" style="185" customWidth="1"/>
    <col min="2816" max="2816" width="10.5" style="185" customWidth="1"/>
    <col min="2817" max="2817" width="15.1640625" style="185" customWidth="1"/>
    <col min="2818" max="2818" width="3.6640625" style="185" customWidth="1"/>
    <col min="2819" max="2819" width="13.1640625" style="185" customWidth="1"/>
    <col min="2820" max="2820" width="3.83203125" style="185" customWidth="1"/>
    <col min="2821" max="2821" width="15" style="185" customWidth="1"/>
    <col min="2822" max="2822" width="3.6640625" style="185" customWidth="1"/>
    <col min="2823" max="2824" width="13" style="185" customWidth="1"/>
    <col min="2825" max="2825" width="0" style="185" hidden="1" customWidth="1"/>
    <col min="2826" max="2827" width="9.33203125" style="185"/>
    <col min="2828" max="2828" width="15.83203125" style="185" customWidth="1"/>
    <col min="2829" max="3067" width="9.33203125" style="185"/>
    <col min="3068" max="3068" width="5" style="185" customWidth="1"/>
    <col min="3069" max="3069" width="9.33203125" style="185"/>
    <col min="3070" max="3070" width="21.6640625" style="185" customWidth="1"/>
    <col min="3071" max="3071" width="13.5" style="185" customWidth="1"/>
    <col min="3072" max="3072" width="10.5" style="185" customWidth="1"/>
    <col min="3073" max="3073" width="15.1640625" style="185" customWidth="1"/>
    <col min="3074" max="3074" width="3.6640625" style="185" customWidth="1"/>
    <col min="3075" max="3075" width="13.1640625" style="185" customWidth="1"/>
    <col min="3076" max="3076" width="3.83203125" style="185" customWidth="1"/>
    <col min="3077" max="3077" width="15" style="185" customWidth="1"/>
    <col min="3078" max="3078" width="3.6640625" style="185" customWidth="1"/>
    <col min="3079" max="3080" width="13" style="185" customWidth="1"/>
    <col min="3081" max="3081" width="0" style="185" hidden="1" customWidth="1"/>
    <col min="3082" max="3083" width="9.33203125" style="185"/>
    <col min="3084" max="3084" width="15.83203125" style="185" customWidth="1"/>
    <col min="3085" max="3323" width="9.33203125" style="185"/>
    <col min="3324" max="3324" width="5" style="185" customWidth="1"/>
    <col min="3325" max="3325" width="9.33203125" style="185"/>
    <col min="3326" max="3326" width="21.6640625" style="185" customWidth="1"/>
    <col min="3327" max="3327" width="13.5" style="185" customWidth="1"/>
    <col min="3328" max="3328" width="10.5" style="185" customWidth="1"/>
    <col min="3329" max="3329" width="15.1640625" style="185" customWidth="1"/>
    <col min="3330" max="3330" width="3.6640625" style="185" customWidth="1"/>
    <col min="3331" max="3331" width="13.1640625" style="185" customWidth="1"/>
    <col min="3332" max="3332" width="3.83203125" style="185" customWidth="1"/>
    <col min="3333" max="3333" width="15" style="185" customWidth="1"/>
    <col min="3334" max="3334" width="3.6640625" style="185" customWidth="1"/>
    <col min="3335" max="3336" width="13" style="185" customWidth="1"/>
    <col min="3337" max="3337" width="0" style="185" hidden="1" customWidth="1"/>
    <col min="3338" max="3339" width="9.33203125" style="185"/>
    <col min="3340" max="3340" width="15.83203125" style="185" customWidth="1"/>
    <col min="3341" max="3579" width="9.33203125" style="185"/>
    <col min="3580" max="3580" width="5" style="185" customWidth="1"/>
    <col min="3581" max="3581" width="9.33203125" style="185"/>
    <col min="3582" max="3582" width="21.6640625" style="185" customWidth="1"/>
    <col min="3583" max="3583" width="13.5" style="185" customWidth="1"/>
    <col min="3584" max="3584" width="10.5" style="185" customWidth="1"/>
    <col min="3585" max="3585" width="15.1640625" style="185" customWidth="1"/>
    <col min="3586" max="3586" width="3.6640625" style="185" customWidth="1"/>
    <col min="3587" max="3587" width="13.1640625" style="185" customWidth="1"/>
    <col min="3588" max="3588" width="3.83203125" style="185" customWidth="1"/>
    <col min="3589" max="3589" width="15" style="185" customWidth="1"/>
    <col min="3590" max="3590" width="3.6640625" style="185" customWidth="1"/>
    <col min="3591" max="3592" width="13" style="185" customWidth="1"/>
    <col min="3593" max="3593" width="0" style="185" hidden="1" customWidth="1"/>
    <col min="3594" max="3595" width="9.33203125" style="185"/>
    <col min="3596" max="3596" width="15.83203125" style="185" customWidth="1"/>
    <col min="3597" max="3835" width="9.33203125" style="185"/>
    <col min="3836" max="3836" width="5" style="185" customWidth="1"/>
    <col min="3837" max="3837" width="9.33203125" style="185"/>
    <col min="3838" max="3838" width="21.6640625" style="185" customWidth="1"/>
    <col min="3839" max="3839" width="13.5" style="185" customWidth="1"/>
    <col min="3840" max="3840" width="10.5" style="185" customWidth="1"/>
    <col min="3841" max="3841" width="15.1640625" style="185" customWidth="1"/>
    <col min="3842" max="3842" width="3.6640625" style="185" customWidth="1"/>
    <col min="3843" max="3843" width="13.1640625" style="185" customWidth="1"/>
    <col min="3844" max="3844" width="3.83203125" style="185" customWidth="1"/>
    <col min="3845" max="3845" width="15" style="185" customWidth="1"/>
    <col min="3846" max="3846" width="3.6640625" style="185" customWidth="1"/>
    <col min="3847" max="3848" width="13" style="185" customWidth="1"/>
    <col min="3849" max="3849" width="0" style="185" hidden="1" customWidth="1"/>
    <col min="3850" max="3851" width="9.33203125" style="185"/>
    <col min="3852" max="3852" width="15.83203125" style="185" customWidth="1"/>
    <col min="3853" max="4091" width="9.33203125" style="185"/>
    <col min="4092" max="4092" width="5" style="185" customWidth="1"/>
    <col min="4093" max="4093" width="9.33203125" style="185"/>
    <col min="4094" max="4094" width="21.6640625" style="185" customWidth="1"/>
    <col min="4095" max="4095" width="13.5" style="185" customWidth="1"/>
    <col min="4096" max="4096" width="10.5" style="185" customWidth="1"/>
    <col min="4097" max="4097" width="15.1640625" style="185" customWidth="1"/>
    <col min="4098" max="4098" width="3.6640625" style="185" customWidth="1"/>
    <col min="4099" max="4099" width="13.1640625" style="185" customWidth="1"/>
    <col min="4100" max="4100" width="3.83203125" style="185" customWidth="1"/>
    <col min="4101" max="4101" width="15" style="185" customWidth="1"/>
    <col min="4102" max="4102" width="3.6640625" style="185" customWidth="1"/>
    <col min="4103" max="4104" width="13" style="185" customWidth="1"/>
    <col min="4105" max="4105" width="0" style="185" hidden="1" customWidth="1"/>
    <col min="4106" max="4107" width="9.33203125" style="185"/>
    <col min="4108" max="4108" width="15.83203125" style="185" customWidth="1"/>
    <col min="4109" max="4347" width="9.33203125" style="185"/>
    <col min="4348" max="4348" width="5" style="185" customWidth="1"/>
    <col min="4349" max="4349" width="9.33203125" style="185"/>
    <col min="4350" max="4350" width="21.6640625" style="185" customWidth="1"/>
    <col min="4351" max="4351" width="13.5" style="185" customWidth="1"/>
    <col min="4352" max="4352" width="10.5" style="185" customWidth="1"/>
    <col min="4353" max="4353" width="15.1640625" style="185" customWidth="1"/>
    <col min="4354" max="4354" width="3.6640625" style="185" customWidth="1"/>
    <col min="4355" max="4355" width="13.1640625" style="185" customWidth="1"/>
    <col min="4356" max="4356" width="3.83203125" style="185" customWidth="1"/>
    <col min="4357" max="4357" width="15" style="185" customWidth="1"/>
    <col min="4358" max="4358" width="3.6640625" style="185" customWidth="1"/>
    <col min="4359" max="4360" width="13" style="185" customWidth="1"/>
    <col min="4361" max="4361" width="0" style="185" hidden="1" customWidth="1"/>
    <col min="4362" max="4363" width="9.33203125" style="185"/>
    <col min="4364" max="4364" width="15.83203125" style="185" customWidth="1"/>
    <col min="4365" max="4603" width="9.33203125" style="185"/>
    <col min="4604" max="4604" width="5" style="185" customWidth="1"/>
    <col min="4605" max="4605" width="9.33203125" style="185"/>
    <col min="4606" max="4606" width="21.6640625" style="185" customWidth="1"/>
    <col min="4607" max="4607" width="13.5" style="185" customWidth="1"/>
    <col min="4608" max="4608" width="10.5" style="185" customWidth="1"/>
    <col min="4609" max="4609" width="15.1640625" style="185" customWidth="1"/>
    <col min="4610" max="4610" width="3.6640625" style="185" customWidth="1"/>
    <col min="4611" max="4611" width="13.1640625" style="185" customWidth="1"/>
    <col min="4612" max="4612" width="3.83203125" style="185" customWidth="1"/>
    <col min="4613" max="4613" width="15" style="185" customWidth="1"/>
    <col min="4614" max="4614" width="3.6640625" style="185" customWidth="1"/>
    <col min="4615" max="4616" width="13" style="185" customWidth="1"/>
    <col min="4617" max="4617" width="0" style="185" hidden="1" customWidth="1"/>
    <col min="4618" max="4619" width="9.33203125" style="185"/>
    <col min="4620" max="4620" width="15.83203125" style="185" customWidth="1"/>
    <col min="4621" max="4859" width="9.33203125" style="185"/>
    <col min="4860" max="4860" width="5" style="185" customWidth="1"/>
    <col min="4861" max="4861" width="9.33203125" style="185"/>
    <col min="4862" max="4862" width="21.6640625" style="185" customWidth="1"/>
    <col min="4863" max="4863" width="13.5" style="185" customWidth="1"/>
    <col min="4864" max="4864" width="10.5" style="185" customWidth="1"/>
    <col min="4865" max="4865" width="15.1640625" style="185" customWidth="1"/>
    <col min="4866" max="4866" width="3.6640625" style="185" customWidth="1"/>
    <col min="4867" max="4867" width="13.1640625" style="185" customWidth="1"/>
    <col min="4868" max="4868" width="3.83203125" style="185" customWidth="1"/>
    <col min="4869" max="4869" width="15" style="185" customWidth="1"/>
    <col min="4870" max="4870" width="3.6640625" style="185" customWidth="1"/>
    <col min="4871" max="4872" width="13" style="185" customWidth="1"/>
    <col min="4873" max="4873" width="0" style="185" hidden="1" customWidth="1"/>
    <col min="4874" max="4875" width="9.33203125" style="185"/>
    <col min="4876" max="4876" width="15.83203125" style="185" customWidth="1"/>
    <col min="4877" max="5115" width="9.33203125" style="185"/>
    <col min="5116" max="5116" width="5" style="185" customWidth="1"/>
    <col min="5117" max="5117" width="9.33203125" style="185"/>
    <col min="5118" max="5118" width="21.6640625" style="185" customWidth="1"/>
    <col min="5119" max="5119" width="13.5" style="185" customWidth="1"/>
    <col min="5120" max="5120" width="10.5" style="185" customWidth="1"/>
    <col min="5121" max="5121" width="15.1640625" style="185" customWidth="1"/>
    <col min="5122" max="5122" width="3.6640625" style="185" customWidth="1"/>
    <col min="5123" max="5123" width="13.1640625" style="185" customWidth="1"/>
    <col min="5124" max="5124" width="3.83203125" style="185" customWidth="1"/>
    <col min="5125" max="5125" width="15" style="185" customWidth="1"/>
    <col min="5126" max="5126" width="3.6640625" style="185" customWidth="1"/>
    <col min="5127" max="5128" width="13" style="185" customWidth="1"/>
    <col min="5129" max="5129" width="0" style="185" hidden="1" customWidth="1"/>
    <col min="5130" max="5131" width="9.33203125" style="185"/>
    <col min="5132" max="5132" width="15.83203125" style="185" customWidth="1"/>
    <col min="5133" max="5371" width="9.33203125" style="185"/>
    <col min="5372" max="5372" width="5" style="185" customWidth="1"/>
    <col min="5373" max="5373" width="9.33203125" style="185"/>
    <col min="5374" max="5374" width="21.6640625" style="185" customWidth="1"/>
    <col min="5375" max="5375" width="13.5" style="185" customWidth="1"/>
    <col min="5376" max="5376" width="10.5" style="185" customWidth="1"/>
    <col min="5377" max="5377" width="15.1640625" style="185" customWidth="1"/>
    <col min="5378" max="5378" width="3.6640625" style="185" customWidth="1"/>
    <col min="5379" max="5379" width="13.1640625" style="185" customWidth="1"/>
    <col min="5380" max="5380" width="3.83203125" style="185" customWidth="1"/>
    <col min="5381" max="5381" width="15" style="185" customWidth="1"/>
    <col min="5382" max="5382" width="3.6640625" style="185" customWidth="1"/>
    <col min="5383" max="5384" width="13" style="185" customWidth="1"/>
    <col min="5385" max="5385" width="0" style="185" hidden="1" customWidth="1"/>
    <col min="5386" max="5387" width="9.33203125" style="185"/>
    <col min="5388" max="5388" width="15.83203125" style="185" customWidth="1"/>
    <col min="5389" max="5627" width="9.33203125" style="185"/>
    <col min="5628" max="5628" width="5" style="185" customWidth="1"/>
    <col min="5629" max="5629" width="9.33203125" style="185"/>
    <col min="5630" max="5630" width="21.6640625" style="185" customWidth="1"/>
    <col min="5631" max="5631" width="13.5" style="185" customWidth="1"/>
    <col min="5632" max="5632" width="10.5" style="185" customWidth="1"/>
    <col min="5633" max="5633" width="15.1640625" style="185" customWidth="1"/>
    <col min="5634" max="5634" width="3.6640625" style="185" customWidth="1"/>
    <col min="5635" max="5635" width="13.1640625" style="185" customWidth="1"/>
    <col min="5636" max="5636" width="3.83203125" style="185" customWidth="1"/>
    <col min="5637" max="5637" width="15" style="185" customWidth="1"/>
    <col min="5638" max="5638" width="3.6640625" style="185" customWidth="1"/>
    <col min="5639" max="5640" width="13" style="185" customWidth="1"/>
    <col min="5641" max="5641" width="0" style="185" hidden="1" customWidth="1"/>
    <col min="5642" max="5643" width="9.33203125" style="185"/>
    <col min="5644" max="5644" width="15.83203125" style="185" customWidth="1"/>
    <col min="5645" max="5883" width="9.33203125" style="185"/>
    <col min="5884" max="5884" width="5" style="185" customWidth="1"/>
    <col min="5885" max="5885" width="9.33203125" style="185"/>
    <col min="5886" max="5886" width="21.6640625" style="185" customWidth="1"/>
    <col min="5887" max="5887" width="13.5" style="185" customWidth="1"/>
    <col min="5888" max="5888" width="10.5" style="185" customWidth="1"/>
    <col min="5889" max="5889" width="15.1640625" style="185" customWidth="1"/>
    <col min="5890" max="5890" width="3.6640625" style="185" customWidth="1"/>
    <col min="5891" max="5891" width="13.1640625" style="185" customWidth="1"/>
    <col min="5892" max="5892" width="3.83203125" style="185" customWidth="1"/>
    <col min="5893" max="5893" width="15" style="185" customWidth="1"/>
    <col min="5894" max="5894" width="3.6640625" style="185" customWidth="1"/>
    <col min="5895" max="5896" width="13" style="185" customWidth="1"/>
    <col min="5897" max="5897" width="0" style="185" hidden="1" customWidth="1"/>
    <col min="5898" max="5899" width="9.33203125" style="185"/>
    <col min="5900" max="5900" width="15.83203125" style="185" customWidth="1"/>
    <col min="5901" max="6139" width="9.33203125" style="185"/>
    <col min="6140" max="6140" width="5" style="185" customWidth="1"/>
    <col min="6141" max="6141" width="9.33203125" style="185"/>
    <col min="6142" max="6142" width="21.6640625" style="185" customWidth="1"/>
    <col min="6143" max="6143" width="13.5" style="185" customWidth="1"/>
    <col min="6144" max="6144" width="10.5" style="185" customWidth="1"/>
    <col min="6145" max="6145" width="15.1640625" style="185" customWidth="1"/>
    <col min="6146" max="6146" width="3.6640625" style="185" customWidth="1"/>
    <col min="6147" max="6147" width="13.1640625" style="185" customWidth="1"/>
    <col min="6148" max="6148" width="3.83203125" style="185" customWidth="1"/>
    <col min="6149" max="6149" width="15" style="185" customWidth="1"/>
    <col min="6150" max="6150" width="3.6640625" style="185" customWidth="1"/>
    <col min="6151" max="6152" width="13" style="185" customWidth="1"/>
    <col min="6153" max="6153" width="0" style="185" hidden="1" customWidth="1"/>
    <col min="6154" max="6155" width="9.33203125" style="185"/>
    <col min="6156" max="6156" width="15.83203125" style="185" customWidth="1"/>
    <col min="6157" max="6395" width="9.33203125" style="185"/>
    <col min="6396" max="6396" width="5" style="185" customWidth="1"/>
    <col min="6397" max="6397" width="9.33203125" style="185"/>
    <col min="6398" max="6398" width="21.6640625" style="185" customWidth="1"/>
    <col min="6399" max="6399" width="13.5" style="185" customWidth="1"/>
    <col min="6400" max="6400" width="10.5" style="185" customWidth="1"/>
    <col min="6401" max="6401" width="15.1640625" style="185" customWidth="1"/>
    <col min="6402" max="6402" width="3.6640625" style="185" customWidth="1"/>
    <col min="6403" max="6403" width="13.1640625" style="185" customWidth="1"/>
    <col min="6404" max="6404" width="3.83203125" style="185" customWidth="1"/>
    <col min="6405" max="6405" width="15" style="185" customWidth="1"/>
    <col min="6406" max="6406" width="3.6640625" style="185" customWidth="1"/>
    <col min="6407" max="6408" width="13" style="185" customWidth="1"/>
    <col min="6409" max="6409" width="0" style="185" hidden="1" customWidth="1"/>
    <col min="6410" max="6411" width="9.33203125" style="185"/>
    <col min="6412" max="6412" width="15.83203125" style="185" customWidth="1"/>
    <col min="6413" max="6651" width="9.33203125" style="185"/>
    <col min="6652" max="6652" width="5" style="185" customWidth="1"/>
    <col min="6653" max="6653" width="9.33203125" style="185"/>
    <col min="6654" max="6654" width="21.6640625" style="185" customWidth="1"/>
    <col min="6655" max="6655" width="13.5" style="185" customWidth="1"/>
    <col min="6656" max="6656" width="10.5" style="185" customWidth="1"/>
    <col min="6657" max="6657" width="15.1640625" style="185" customWidth="1"/>
    <col min="6658" max="6658" width="3.6640625" style="185" customWidth="1"/>
    <col min="6659" max="6659" width="13.1640625" style="185" customWidth="1"/>
    <col min="6660" max="6660" width="3.83203125" style="185" customWidth="1"/>
    <col min="6661" max="6661" width="15" style="185" customWidth="1"/>
    <col min="6662" max="6662" width="3.6640625" style="185" customWidth="1"/>
    <col min="6663" max="6664" width="13" style="185" customWidth="1"/>
    <col min="6665" max="6665" width="0" style="185" hidden="1" customWidth="1"/>
    <col min="6666" max="6667" width="9.33203125" style="185"/>
    <col min="6668" max="6668" width="15.83203125" style="185" customWidth="1"/>
    <col min="6669" max="6907" width="9.33203125" style="185"/>
    <col min="6908" max="6908" width="5" style="185" customWidth="1"/>
    <col min="6909" max="6909" width="9.33203125" style="185"/>
    <col min="6910" max="6910" width="21.6640625" style="185" customWidth="1"/>
    <col min="6911" max="6911" width="13.5" style="185" customWidth="1"/>
    <col min="6912" max="6912" width="10.5" style="185" customWidth="1"/>
    <col min="6913" max="6913" width="15.1640625" style="185" customWidth="1"/>
    <col min="6914" max="6914" width="3.6640625" style="185" customWidth="1"/>
    <col min="6915" max="6915" width="13.1640625" style="185" customWidth="1"/>
    <col min="6916" max="6916" width="3.83203125" style="185" customWidth="1"/>
    <col min="6917" max="6917" width="15" style="185" customWidth="1"/>
    <col min="6918" max="6918" width="3.6640625" style="185" customWidth="1"/>
    <col min="6919" max="6920" width="13" style="185" customWidth="1"/>
    <col min="6921" max="6921" width="0" style="185" hidden="1" customWidth="1"/>
    <col min="6922" max="6923" width="9.33203125" style="185"/>
    <col min="6924" max="6924" width="15.83203125" style="185" customWidth="1"/>
    <col min="6925" max="7163" width="9.33203125" style="185"/>
    <col min="7164" max="7164" width="5" style="185" customWidth="1"/>
    <col min="7165" max="7165" width="9.33203125" style="185"/>
    <col min="7166" max="7166" width="21.6640625" style="185" customWidth="1"/>
    <col min="7167" max="7167" width="13.5" style="185" customWidth="1"/>
    <col min="7168" max="7168" width="10.5" style="185" customWidth="1"/>
    <col min="7169" max="7169" width="15.1640625" style="185" customWidth="1"/>
    <col min="7170" max="7170" width="3.6640625" style="185" customWidth="1"/>
    <col min="7171" max="7171" width="13.1640625" style="185" customWidth="1"/>
    <col min="7172" max="7172" width="3.83203125" style="185" customWidth="1"/>
    <col min="7173" max="7173" width="15" style="185" customWidth="1"/>
    <col min="7174" max="7174" width="3.6640625" style="185" customWidth="1"/>
    <col min="7175" max="7176" width="13" style="185" customWidth="1"/>
    <col min="7177" max="7177" width="0" style="185" hidden="1" customWidth="1"/>
    <col min="7178" max="7179" width="9.33203125" style="185"/>
    <col min="7180" max="7180" width="15.83203125" style="185" customWidth="1"/>
    <col min="7181" max="7419" width="9.33203125" style="185"/>
    <col min="7420" max="7420" width="5" style="185" customWidth="1"/>
    <col min="7421" max="7421" width="9.33203125" style="185"/>
    <col min="7422" max="7422" width="21.6640625" style="185" customWidth="1"/>
    <col min="7423" max="7423" width="13.5" style="185" customWidth="1"/>
    <col min="7424" max="7424" width="10.5" style="185" customWidth="1"/>
    <col min="7425" max="7425" width="15.1640625" style="185" customWidth="1"/>
    <col min="7426" max="7426" width="3.6640625" style="185" customWidth="1"/>
    <col min="7427" max="7427" width="13.1640625" style="185" customWidth="1"/>
    <col min="7428" max="7428" width="3.83203125" style="185" customWidth="1"/>
    <col min="7429" max="7429" width="15" style="185" customWidth="1"/>
    <col min="7430" max="7430" width="3.6640625" style="185" customWidth="1"/>
    <col min="7431" max="7432" width="13" style="185" customWidth="1"/>
    <col min="7433" max="7433" width="0" style="185" hidden="1" customWidth="1"/>
    <col min="7434" max="7435" width="9.33203125" style="185"/>
    <col min="7436" max="7436" width="15.83203125" style="185" customWidth="1"/>
    <col min="7437" max="7675" width="9.33203125" style="185"/>
    <col min="7676" max="7676" width="5" style="185" customWidth="1"/>
    <col min="7677" max="7677" width="9.33203125" style="185"/>
    <col min="7678" max="7678" width="21.6640625" style="185" customWidth="1"/>
    <col min="7679" max="7679" width="13.5" style="185" customWidth="1"/>
    <col min="7680" max="7680" width="10.5" style="185" customWidth="1"/>
    <col min="7681" max="7681" width="15.1640625" style="185" customWidth="1"/>
    <col min="7682" max="7682" width="3.6640625" style="185" customWidth="1"/>
    <col min="7683" max="7683" width="13.1640625" style="185" customWidth="1"/>
    <col min="7684" max="7684" width="3.83203125" style="185" customWidth="1"/>
    <col min="7685" max="7685" width="15" style="185" customWidth="1"/>
    <col min="7686" max="7686" width="3.6640625" style="185" customWidth="1"/>
    <col min="7687" max="7688" width="13" style="185" customWidth="1"/>
    <col min="7689" max="7689" width="0" style="185" hidden="1" customWidth="1"/>
    <col min="7690" max="7691" width="9.33203125" style="185"/>
    <col min="7692" max="7692" width="15.83203125" style="185" customWidth="1"/>
    <col min="7693" max="7931" width="9.33203125" style="185"/>
    <col min="7932" max="7932" width="5" style="185" customWidth="1"/>
    <col min="7933" max="7933" width="9.33203125" style="185"/>
    <col min="7934" max="7934" width="21.6640625" style="185" customWidth="1"/>
    <col min="7935" max="7935" width="13.5" style="185" customWidth="1"/>
    <col min="7936" max="7936" width="10.5" style="185" customWidth="1"/>
    <col min="7937" max="7937" width="15.1640625" style="185" customWidth="1"/>
    <col min="7938" max="7938" width="3.6640625" style="185" customWidth="1"/>
    <col min="7939" max="7939" width="13.1640625" style="185" customWidth="1"/>
    <col min="7940" max="7940" width="3.83203125" style="185" customWidth="1"/>
    <col min="7941" max="7941" width="15" style="185" customWidth="1"/>
    <col min="7942" max="7942" width="3.6640625" style="185" customWidth="1"/>
    <col min="7943" max="7944" width="13" style="185" customWidth="1"/>
    <col min="7945" max="7945" width="0" style="185" hidden="1" customWidth="1"/>
    <col min="7946" max="7947" width="9.33203125" style="185"/>
    <col min="7948" max="7948" width="15.83203125" style="185" customWidth="1"/>
    <col min="7949" max="8187" width="9.33203125" style="185"/>
    <col min="8188" max="8188" width="5" style="185" customWidth="1"/>
    <col min="8189" max="8189" width="9.33203125" style="185"/>
    <col min="8190" max="8190" width="21.6640625" style="185" customWidth="1"/>
    <col min="8191" max="8191" width="13.5" style="185" customWidth="1"/>
    <col min="8192" max="8192" width="10.5" style="185" customWidth="1"/>
    <col min="8193" max="8193" width="15.1640625" style="185" customWidth="1"/>
    <col min="8194" max="8194" width="3.6640625" style="185" customWidth="1"/>
    <col min="8195" max="8195" width="13.1640625" style="185" customWidth="1"/>
    <col min="8196" max="8196" width="3.83203125" style="185" customWidth="1"/>
    <col min="8197" max="8197" width="15" style="185" customWidth="1"/>
    <col min="8198" max="8198" width="3.6640625" style="185" customWidth="1"/>
    <col min="8199" max="8200" width="13" style="185" customWidth="1"/>
    <col min="8201" max="8201" width="0" style="185" hidden="1" customWidth="1"/>
    <col min="8202" max="8203" width="9.33203125" style="185"/>
    <col min="8204" max="8204" width="15.83203125" style="185" customWidth="1"/>
    <col min="8205" max="8443" width="9.33203125" style="185"/>
    <col min="8444" max="8444" width="5" style="185" customWidth="1"/>
    <col min="8445" max="8445" width="9.33203125" style="185"/>
    <col min="8446" max="8446" width="21.6640625" style="185" customWidth="1"/>
    <col min="8447" max="8447" width="13.5" style="185" customWidth="1"/>
    <col min="8448" max="8448" width="10.5" style="185" customWidth="1"/>
    <col min="8449" max="8449" width="15.1640625" style="185" customWidth="1"/>
    <col min="8450" max="8450" width="3.6640625" style="185" customWidth="1"/>
    <col min="8451" max="8451" width="13.1640625" style="185" customWidth="1"/>
    <col min="8452" max="8452" width="3.83203125" style="185" customWidth="1"/>
    <col min="8453" max="8453" width="15" style="185" customWidth="1"/>
    <col min="8454" max="8454" width="3.6640625" style="185" customWidth="1"/>
    <col min="8455" max="8456" width="13" style="185" customWidth="1"/>
    <col min="8457" max="8457" width="0" style="185" hidden="1" customWidth="1"/>
    <col min="8458" max="8459" width="9.33203125" style="185"/>
    <col min="8460" max="8460" width="15.83203125" style="185" customWidth="1"/>
    <col min="8461" max="8699" width="9.33203125" style="185"/>
    <col min="8700" max="8700" width="5" style="185" customWidth="1"/>
    <col min="8701" max="8701" width="9.33203125" style="185"/>
    <col min="8702" max="8702" width="21.6640625" style="185" customWidth="1"/>
    <col min="8703" max="8703" width="13.5" style="185" customWidth="1"/>
    <col min="8704" max="8704" width="10.5" style="185" customWidth="1"/>
    <col min="8705" max="8705" width="15.1640625" style="185" customWidth="1"/>
    <col min="8706" max="8706" width="3.6640625" style="185" customWidth="1"/>
    <col min="8707" max="8707" width="13.1640625" style="185" customWidth="1"/>
    <col min="8708" max="8708" width="3.83203125" style="185" customWidth="1"/>
    <col min="8709" max="8709" width="15" style="185" customWidth="1"/>
    <col min="8710" max="8710" width="3.6640625" style="185" customWidth="1"/>
    <col min="8711" max="8712" width="13" style="185" customWidth="1"/>
    <col min="8713" max="8713" width="0" style="185" hidden="1" customWidth="1"/>
    <col min="8714" max="8715" width="9.33203125" style="185"/>
    <col min="8716" max="8716" width="15.83203125" style="185" customWidth="1"/>
    <col min="8717" max="8955" width="9.33203125" style="185"/>
    <col min="8956" max="8956" width="5" style="185" customWidth="1"/>
    <col min="8957" max="8957" width="9.33203125" style="185"/>
    <col min="8958" max="8958" width="21.6640625" style="185" customWidth="1"/>
    <col min="8959" max="8959" width="13.5" style="185" customWidth="1"/>
    <col min="8960" max="8960" width="10.5" style="185" customWidth="1"/>
    <col min="8961" max="8961" width="15.1640625" style="185" customWidth="1"/>
    <col min="8962" max="8962" width="3.6640625" style="185" customWidth="1"/>
    <col min="8963" max="8963" width="13.1640625" style="185" customWidth="1"/>
    <col min="8964" max="8964" width="3.83203125" style="185" customWidth="1"/>
    <col min="8965" max="8965" width="15" style="185" customWidth="1"/>
    <col min="8966" max="8966" width="3.6640625" style="185" customWidth="1"/>
    <col min="8967" max="8968" width="13" style="185" customWidth="1"/>
    <col min="8969" max="8969" width="0" style="185" hidden="1" customWidth="1"/>
    <col min="8970" max="8971" width="9.33203125" style="185"/>
    <col min="8972" max="8972" width="15.83203125" style="185" customWidth="1"/>
    <col min="8973" max="9211" width="9.33203125" style="185"/>
    <col min="9212" max="9212" width="5" style="185" customWidth="1"/>
    <col min="9213" max="9213" width="9.33203125" style="185"/>
    <col min="9214" max="9214" width="21.6640625" style="185" customWidth="1"/>
    <col min="9215" max="9215" width="13.5" style="185" customWidth="1"/>
    <col min="9216" max="9216" width="10.5" style="185" customWidth="1"/>
    <col min="9217" max="9217" width="15.1640625" style="185" customWidth="1"/>
    <col min="9218" max="9218" width="3.6640625" style="185" customWidth="1"/>
    <col min="9219" max="9219" width="13.1640625" style="185" customWidth="1"/>
    <col min="9220" max="9220" width="3.83203125" style="185" customWidth="1"/>
    <col min="9221" max="9221" width="15" style="185" customWidth="1"/>
    <col min="9222" max="9222" width="3.6640625" style="185" customWidth="1"/>
    <col min="9223" max="9224" width="13" style="185" customWidth="1"/>
    <col min="9225" max="9225" width="0" style="185" hidden="1" customWidth="1"/>
    <col min="9226" max="9227" width="9.33203125" style="185"/>
    <col min="9228" max="9228" width="15.83203125" style="185" customWidth="1"/>
    <col min="9229" max="9467" width="9.33203125" style="185"/>
    <col min="9468" max="9468" width="5" style="185" customWidth="1"/>
    <col min="9469" max="9469" width="9.33203125" style="185"/>
    <col min="9470" max="9470" width="21.6640625" style="185" customWidth="1"/>
    <col min="9471" max="9471" width="13.5" style="185" customWidth="1"/>
    <col min="9472" max="9472" width="10.5" style="185" customWidth="1"/>
    <col min="9473" max="9473" width="15.1640625" style="185" customWidth="1"/>
    <col min="9474" max="9474" width="3.6640625" style="185" customWidth="1"/>
    <col min="9475" max="9475" width="13.1640625" style="185" customWidth="1"/>
    <col min="9476" max="9476" width="3.83203125" style="185" customWidth="1"/>
    <col min="9477" max="9477" width="15" style="185" customWidth="1"/>
    <col min="9478" max="9478" width="3.6640625" style="185" customWidth="1"/>
    <col min="9479" max="9480" width="13" style="185" customWidth="1"/>
    <col min="9481" max="9481" width="0" style="185" hidden="1" customWidth="1"/>
    <col min="9482" max="9483" width="9.33203125" style="185"/>
    <col min="9484" max="9484" width="15.83203125" style="185" customWidth="1"/>
    <col min="9485" max="9723" width="9.33203125" style="185"/>
    <col min="9724" max="9724" width="5" style="185" customWidth="1"/>
    <col min="9725" max="9725" width="9.33203125" style="185"/>
    <col min="9726" max="9726" width="21.6640625" style="185" customWidth="1"/>
    <col min="9727" max="9727" width="13.5" style="185" customWidth="1"/>
    <col min="9728" max="9728" width="10.5" style="185" customWidth="1"/>
    <col min="9729" max="9729" width="15.1640625" style="185" customWidth="1"/>
    <col min="9730" max="9730" width="3.6640625" style="185" customWidth="1"/>
    <col min="9731" max="9731" width="13.1640625" style="185" customWidth="1"/>
    <col min="9732" max="9732" width="3.83203125" style="185" customWidth="1"/>
    <col min="9733" max="9733" width="15" style="185" customWidth="1"/>
    <col min="9734" max="9734" width="3.6640625" style="185" customWidth="1"/>
    <col min="9735" max="9736" width="13" style="185" customWidth="1"/>
    <col min="9737" max="9737" width="0" style="185" hidden="1" customWidth="1"/>
    <col min="9738" max="9739" width="9.33203125" style="185"/>
    <col min="9740" max="9740" width="15.83203125" style="185" customWidth="1"/>
    <col min="9741" max="9979" width="9.33203125" style="185"/>
    <col min="9980" max="9980" width="5" style="185" customWidth="1"/>
    <col min="9981" max="9981" width="9.33203125" style="185"/>
    <col min="9982" max="9982" width="21.6640625" style="185" customWidth="1"/>
    <col min="9983" max="9983" width="13.5" style="185" customWidth="1"/>
    <col min="9984" max="9984" width="10.5" style="185" customWidth="1"/>
    <col min="9985" max="9985" width="15.1640625" style="185" customWidth="1"/>
    <col min="9986" max="9986" width="3.6640625" style="185" customWidth="1"/>
    <col min="9987" max="9987" width="13.1640625" style="185" customWidth="1"/>
    <col min="9988" max="9988" width="3.83203125" style="185" customWidth="1"/>
    <col min="9989" max="9989" width="15" style="185" customWidth="1"/>
    <col min="9990" max="9990" width="3.6640625" style="185" customWidth="1"/>
    <col min="9991" max="9992" width="13" style="185" customWidth="1"/>
    <col min="9993" max="9993" width="0" style="185" hidden="1" customWidth="1"/>
    <col min="9994" max="9995" width="9.33203125" style="185"/>
    <col min="9996" max="9996" width="15.83203125" style="185" customWidth="1"/>
    <col min="9997" max="10235" width="9.33203125" style="185"/>
    <col min="10236" max="10236" width="5" style="185" customWidth="1"/>
    <col min="10237" max="10237" width="9.33203125" style="185"/>
    <col min="10238" max="10238" width="21.6640625" style="185" customWidth="1"/>
    <col min="10239" max="10239" width="13.5" style="185" customWidth="1"/>
    <col min="10240" max="10240" width="10.5" style="185" customWidth="1"/>
    <col min="10241" max="10241" width="15.1640625" style="185" customWidth="1"/>
    <col min="10242" max="10242" width="3.6640625" style="185" customWidth="1"/>
    <col min="10243" max="10243" width="13.1640625" style="185" customWidth="1"/>
    <col min="10244" max="10244" width="3.83203125" style="185" customWidth="1"/>
    <col min="10245" max="10245" width="15" style="185" customWidth="1"/>
    <col min="10246" max="10246" width="3.6640625" style="185" customWidth="1"/>
    <col min="10247" max="10248" width="13" style="185" customWidth="1"/>
    <col min="10249" max="10249" width="0" style="185" hidden="1" customWidth="1"/>
    <col min="10250" max="10251" width="9.33203125" style="185"/>
    <col min="10252" max="10252" width="15.83203125" style="185" customWidth="1"/>
    <col min="10253" max="10491" width="9.33203125" style="185"/>
    <col min="10492" max="10492" width="5" style="185" customWidth="1"/>
    <col min="10493" max="10493" width="9.33203125" style="185"/>
    <col min="10494" max="10494" width="21.6640625" style="185" customWidth="1"/>
    <col min="10495" max="10495" width="13.5" style="185" customWidth="1"/>
    <col min="10496" max="10496" width="10.5" style="185" customWidth="1"/>
    <col min="10497" max="10497" width="15.1640625" style="185" customWidth="1"/>
    <col min="10498" max="10498" width="3.6640625" style="185" customWidth="1"/>
    <col min="10499" max="10499" width="13.1640625" style="185" customWidth="1"/>
    <col min="10500" max="10500" width="3.83203125" style="185" customWidth="1"/>
    <col min="10501" max="10501" width="15" style="185" customWidth="1"/>
    <col min="10502" max="10502" width="3.6640625" style="185" customWidth="1"/>
    <col min="10503" max="10504" width="13" style="185" customWidth="1"/>
    <col min="10505" max="10505" width="0" style="185" hidden="1" customWidth="1"/>
    <col min="10506" max="10507" width="9.33203125" style="185"/>
    <col min="10508" max="10508" width="15.83203125" style="185" customWidth="1"/>
    <col min="10509" max="10747" width="9.33203125" style="185"/>
    <col min="10748" max="10748" width="5" style="185" customWidth="1"/>
    <col min="10749" max="10749" width="9.33203125" style="185"/>
    <col min="10750" max="10750" width="21.6640625" style="185" customWidth="1"/>
    <col min="10751" max="10751" width="13.5" style="185" customWidth="1"/>
    <col min="10752" max="10752" width="10.5" style="185" customWidth="1"/>
    <col min="10753" max="10753" width="15.1640625" style="185" customWidth="1"/>
    <col min="10754" max="10754" width="3.6640625" style="185" customWidth="1"/>
    <col min="10755" max="10755" width="13.1640625" style="185" customWidth="1"/>
    <col min="10756" max="10756" width="3.83203125" style="185" customWidth="1"/>
    <col min="10757" max="10757" width="15" style="185" customWidth="1"/>
    <col min="10758" max="10758" width="3.6640625" style="185" customWidth="1"/>
    <col min="10759" max="10760" width="13" style="185" customWidth="1"/>
    <col min="10761" max="10761" width="0" style="185" hidden="1" customWidth="1"/>
    <col min="10762" max="10763" width="9.33203125" style="185"/>
    <col min="10764" max="10764" width="15.83203125" style="185" customWidth="1"/>
    <col min="10765" max="11003" width="9.33203125" style="185"/>
    <col min="11004" max="11004" width="5" style="185" customWidth="1"/>
    <col min="11005" max="11005" width="9.33203125" style="185"/>
    <col min="11006" max="11006" width="21.6640625" style="185" customWidth="1"/>
    <col min="11007" max="11007" width="13.5" style="185" customWidth="1"/>
    <col min="11008" max="11008" width="10.5" style="185" customWidth="1"/>
    <col min="11009" max="11009" width="15.1640625" style="185" customWidth="1"/>
    <col min="11010" max="11010" width="3.6640625" style="185" customWidth="1"/>
    <col min="11011" max="11011" width="13.1640625" style="185" customWidth="1"/>
    <col min="11012" max="11012" width="3.83203125" style="185" customWidth="1"/>
    <col min="11013" max="11013" width="15" style="185" customWidth="1"/>
    <col min="11014" max="11014" width="3.6640625" style="185" customWidth="1"/>
    <col min="11015" max="11016" width="13" style="185" customWidth="1"/>
    <col min="11017" max="11017" width="0" style="185" hidden="1" customWidth="1"/>
    <col min="11018" max="11019" width="9.33203125" style="185"/>
    <col min="11020" max="11020" width="15.83203125" style="185" customWidth="1"/>
    <col min="11021" max="11259" width="9.33203125" style="185"/>
    <col min="11260" max="11260" width="5" style="185" customWidth="1"/>
    <col min="11261" max="11261" width="9.33203125" style="185"/>
    <col min="11262" max="11262" width="21.6640625" style="185" customWidth="1"/>
    <col min="11263" max="11263" width="13.5" style="185" customWidth="1"/>
    <col min="11264" max="11264" width="10.5" style="185" customWidth="1"/>
    <col min="11265" max="11265" width="15.1640625" style="185" customWidth="1"/>
    <col min="11266" max="11266" width="3.6640625" style="185" customWidth="1"/>
    <col min="11267" max="11267" width="13.1640625" style="185" customWidth="1"/>
    <col min="11268" max="11268" width="3.83203125" style="185" customWidth="1"/>
    <col min="11269" max="11269" width="15" style="185" customWidth="1"/>
    <col min="11270" max="11270" width="3.6640625" style="185" customWidth="1"/>
    <col min="11271" max="11272" width="13" style="185" customWidth="1"/>
    <col min="11273" max="11273" width="0" style="185" hidden="1" customWidth="1"/>
    <col min="11274" max="11275" width="9.33203125" style="185"/>
    <col min="11276" max="11276" width="15.83203125" style="185" customWidth="1"/>
    <col min="11277" max="11515" width="9.33203125" style="185"/>
    <col min="11516" max="11516" width="5" style="185" customWidth="1"/>
    <col min="11517" max="11517" width="9.33203125" style="185"/>
    <col min="11518" max="11518" width="21.6640625" style="185" customWidth="1"/>
    <col min="11519" max="11519" width="13.5" style="185" customWidth="1"/>
    <col min="11520" max="11520" width="10.5" style="185" customWidth="1"/>
    <col min="11521" max="11521" width="15.1640625" style="185" customWidth="1"/>
    <col min="11522" max="11522" width="3.6640625" style="185" customWidth="1"/>
    <col min="11523" max="11523" width="13.1640625" style="185" customWidth="1"/>
    <col min="11524" max="11524" width="3.83203125" style="185" customWidth="1"/>
    <col min="11525" max="11525" width="15" style="185" customWidth="1"/>
    <col min="11526" max="11526" width="3.6640625" style="185" customWidth="1"/>
    <col min="11527" max="11528" width="13" style="185" customWidth="1"/>
    <col min="11529" max="11529" width="0" style="185" hidden="1" customWidth="1"/>
    <col min="11530" max="11531" width="9.33203125" style="185"/>
    <col min="11532" max="11532" width="15.83203125" style="185" customWidth="1"/>
    <col min="11533" max="11771" width="9.33203125" style="185"/>
    <col min="11772" max="11772" width="5" style="185" customWidth="1"/>
    <col min="11773" max="11773" width="9.33203125" style="185"/>
    <col min="11774" max="11774" width="21.6640625" style="185" customWidth="1"/>
    <col min="11775" max="11775" width="13.5" style="185" customWidth="1"/>
    <col min="11776" max="11776" width="10.5" style="185" customWidth="1"/>
    <col min="11777" max="11777" width="15.1640625" style="185" customWidth="1"/>
    <col min="11778" max="11778" width="3.6640625" style="185" customWidth="1"/>
    <col min="11779" max="11779" width="13.1640625" style="185" customWidth="1"/>
    <col min="11780" max="11780" width="3.83203125" style="185" customWidth="1"/>
    <col min="11781" max="11781" width="15" style="185" customWidth="1"/>
    <col min="11782" max="11782" width="3.6640625" style="185" customWidth="1"/>
    <col min="11783" max="11784" width="13" style="185" customWidth="1"/>
    <col min="11785" max="11785" width="0" style="185" hidden="1" customWidth="1"/>
    <col min="11786" max="11787" width="9.33203125" style="185"/>
    <col min="11788" max="11788" width="15.83203125" style="185" customWidth="1"/>
    <col min="11789" max="12027" width="9.33203125" style="185"/>
    <col min="12028" max="12028" width="5" style="185" customWidth="1"/>
    <col min="12029" max="12029" width="9.33203125" style="185"/>
    <col min="12030" max="12030" width="21.6640625" style="185" customWidth="1"/>
    <col min="12031" max="12031" width="13.5" style="185" customWidth="1"/>
    <col min="12032" max="12032" width="10.5" style="185" customWidth="1"/>
    <col min="12033" max="12033" width="15.1640625" style="185" customWidth="1"/>
    <col min="12034" max="12034" width="3.6640625" style="185" customWidth="1"/>
    <col min="12035" max="12035" width="13.1640625" style="185" customWidth="1"/>
    <col min="12036" max="12036" width="3.83203125" style="185" customWidth="1"/>
    <col min="12037" max="12037" width="15" style="185" customWidth="1"/>
    <col min="12038" max="12038" width="3.6640625" style="185" customWidth="1"/>
    <col min="12039" max="12040" width="13" style="185" customWidth="1"/>
    <col min="12041" max="12041" width="0" style="185" hidden="1" customWidth="1"/>
    <col min="12042" max="12043" width="9.33203125" style="185"/>
    <col min="12044" max="12044" width="15.83203125" style="185" customWidth="1"/>
    <col min="12045" max="12283" width="9.33203125" style="185"/>
    <col min="12284" max="12284" width="5" style="185" customWidth="1"/>
    <col min="12285" max="12285" width="9.33203125" style="185"/>
    <col min="12286" max="12286" width="21.6640625" style="185" customWidth="1"/>
    <col min="12287" max="12287" width="13.5" style="185" customWidth="1"/>
    <col min="12288" max="12288" width="10.5" style="185" customWidth="1"/>
    <col min="12289" max="12289" width="15.1640625" style="185" customWidth="1"/>
    <col min="12290" max="12290" width="3.6640625" style="185" customWidth="1"/>
    <col min="12291" max="12291" width="13.1640625" style="185" customWidth="1"/>
    <col min="12292" max="12292" width="3.83203125" style="185" customWidth="1"/>
    <col min="12293" max="12293" width="15" style="185" customWidth="1"/>
    <col min="12294" max="12294" width="3.6640625" style="185" customWidth="1"/>
    <col min="12295" max="12296" width="13" style="185" customWidth="1"/>
    <col min="12297" max="12297" width="0" style="185" hidden="1" customWidth="1"/>
    <col min="12298" max="12299" width="9.33203125" style="185"/>
    <col min="12300" max="12300" width="15.83203125" style="185" customWidth="1"/>
    <col min="12301" max="12539" width="9.33203125" style="185"/>
    <col min="12540" max="12540" width="5" style="185" customWidth="1"/>
    <col min="12541" max="12541" width="9.33203125" style="185"/>
    <col min="12542" max="12542" width="21.6640625" style="185" customWidth="1"/>
    <col min="12543" max="12543" width="13.5" style="185" customWidth="1"/>
    <col min="12544" max="12544" width="10.5" style="185" customWidth="1"/>
    <col min="12545" max="12545" width="15.1640625" style="185" customWidth="1"/>
    <col min="12546" max="12546" width="3.6640625" style="185" customWidth="1"/>
    <col min="12547" max="12547" width="13.1640625" style="185" customWidth="1"/>
    <col min="12548" max="12548" width="3.83203125" style="185" customWidth="1"/>
    <col min="12549" max="12549" width="15" style="185" customWidth="1"/>
    <col min="12550" max="12550" width="3.6640625" style="185" customWidth="1"/>
    <col min="12551" max="12552" width="13" style="185" customWidth="1"/>
    <col min="12553" max="12553" width="0" style="185" hidden="1" customWidth="1"/>
    <col min="12554" max="12555" width="9.33203125" style="185"/>
    <col min="12556" max="12556" width="15.83203125" style="185" customWidth="1"/>
    <col min="12557" max="12795" width="9.33203125" style="185"/>
    <col min="12796" max="12796" width="5" style="185" customWidth="1"/>
    <col min="12797" max="12797" width="9.33203125" style="185"/>
    <col min="12798" max="12798" width="21.6640625" style="185" customWidth="1"/>
    <col min="12799" max="12799" width="13.5" style="185" customWidth="1"/>
    <col min="12800" max="12800" width="10.5" style="185" customWidth="1"/>
    <col min="12801" max="12801" width="15.1640625" style="185" customWidth="1"/>
    <col min="12802" max="12802" width="3.6640625" style="185" customWidth="1"/>
    <col min="12803" max="12803" width="13.1640625" style="185" customWidth="1"/>
    <col min="12804" max="12804" width="3.83203125" style="185" customWidth="1"/>
    <col min="12805" max="12805" width="15" style="185" customWidth="1"/>
    <col min="12806" max="12806" width="3.6640625" style="185" customWidth="1"/>
    <col min="12807" max="12808" width="13" style="185" customWidth="1"/>
    <col min="12809" max="12809" width="0" style="185" hidden="1" customWidth="1"/>
    <col min="12810" max="12811" width="9.33203125" style="185"/>
    <col min="12812" max="12812" width="15.83203125" style="185" customWidth="1"/>
    <col min="12813" max="13051" width="9.33203125" style="185"/>
    <col min="13052" max="13052" width="5" style="185" customWidth="1"/>
    <col min="13053" max="13053" width="9.33203125" style="185"/>
    <col min="13054" max="13054" width="21.6640625" style="185" customWidth="1"/>
    <col min="13055" max="13055" width="13.5" style="185" customWidth="1"/>
    <col min="13056" max="13056" width="10.5" style="185" customWidth="1"/>
    <col min="13057" max="13057" width="15.1640625" style="185" customWidth="1"/>
    <col min="13058" max="13058" width="3.6640625" style="185" customWidth="1"/>
    <col min="13059" max="13059" width="13.1640625" style="185" customWidth="1"/>
    <col min="13060" max="13060" width="3.83203125" style="185" customWidth="1"/>
    <col min="13061" max="13061" width="15" style="185" customWidth="1"/>
    <col min="13062" max="13062" width="3.6640625" style="185" customWidth="1"/>
    <col min="13063" max="13064" width="13" style="185" customWidth="1"/>
    <col min="13065" max="13065" width="0" style="185" hidden="1" customWidth="1"/>
    <col min="13066" max="13067" width="9.33203125" style="185"/>
    <col min="13068" max="13068" width="15.83203125" style="185" customWidth="1"/>
    <col min="13069" max="13307" width="9.33203125" style="185"/>
    <col min="13308" max="13308" width="5" style="185" customWidth="1"/>
    <col min="13309" max="13309" width="9.33203125" style="185"/>
    <col min="13310" max="13310" width="21.6640625" style="185" customWidth="1"/>
    <col min="13311" max="13311" width="13.5" style="185" customWidth="1"/>
    <col min="13312" max="13312" width="10.5" style="185" customWidth="1"/>
    <col min="13313" max="13313" width="15.1640625" style="185" customWidth="1"/>
    <col min="13314" max="13314" width="3.6640625" style="185" customWidth="1"/>
    <col min="13315" max="13315" width="13.1640625" style="185" customWidth="1"/>
    <col min="13316" max="13316" width="3.83203125" style="185" customWidth="1"/>
    <col min="13317" max="13317" width="15" style="185" customWidth="1"/>
    <col min="13318" max="13318" width="3.6640625" style="185" customWidth="1"/>
    <col min="13319" max="13320" width="13" style="185" customWidth="1"/>
    <col min="13321" max="13321" width="0" style="185" hidden="1" customWidth="1"/>
    <col min="13322" max="13323" width="9.33203125" style="185"/>
    <col min="13324" max="13324" width="15.83203125" style="185" customWidth="1"/>
    <col min="13325" max="13563" width="9.33203125" style="185"/>
    <col min="13564" max="13564" width="5" style="185" customWidth="1"/>
    <col min="13565" max="13565" width="9.33203125" style="185"/>
    <col min="13566" max="13566" width="21.6640625" style="185" customWidth="1"/>
    <col min="13567" max="13567" width="13.5" style="185" customWidth="1"/>
    <col min="13568" max="13568" width="10.5" style="185" customWidth="1"/>
    <col min="13569" max="13569" width="15.1640625" style="185" customWidth="1"/>
    <col min="13570" max="13570" width="3.6640625" style="185" customWidth="1"/>
    <col min="13571" max="13571" width="13.1640625" style="185" customWidth="1"/>
    <col min="13572" max="13572" width="3.83203125" style="185" customWidth="1"/>
    <col min="13573" max="13573" width="15" style="185" customWidth="1"/>
    <col min="13574" max="13574" width="3.6640625" style="185" customWidth="1"/>
    <col min="13575" max="13576" width="13" style="185" customWidth="1"/>
    <col min="13577" max="13577" width="0" style="185" hidden="1" customWidth="1"/>
    <col min="13578" max="13579" width="9.33203125" style="185"/>
    <col min="13580" max="13580" width="15.83203125" style="185" customWidth="1"/>
    <col min="13581" max="13819" width="9.33203125" style="185"/>
    <col min="13820" max="13820" width="5" style="185" customWidth="1"/>
    <col min="13821" max="13821" width="9.33203125" style="185"/>
    <col min="13822" max="13822" width="21.6640625" style="185" customWidth="1"/>
    <col min="13823" max="13823" width="13.5" style="185" customWidth="1"/>
    <col min="13824" max="13824" width="10.5" style="185" customWidth="1"/>
    <col min="13825" max="13825" width="15.1640625" style="185" customWidth="1"/>
    <col min="13826" max="13826" width="3.6640625" style="185" customWidth="1"/>
    <col min="13827" max="13827" width="13.1640625" style="185" customWidth="1"/>
    <col min="13828" max="13828" width="3.83203125" style="185" customWidth="1"/>
    <col min="13829" max="13829" width="15" style="185" customWidth="1"/>
    <col min="13830" max="13830" width="3.6640625" style="185" customWidth="1"/>
    <col min="13831" max="13832" width="13" style="185" customWidth="1"/>
    <col min="13833" max="13833" width="0" style="185" hidden="1" customWidth="1"/>
    <col min="13834" max="13835" width="9.33203125" style="185"/>
    <col min="13836" max="13836" width="15.83203125" style="185" customWidth="1"/>
    <col min="13837" max="14075" width="9.33203125" style="185"/>
    <col min="14076" max="14076" width="5" style="185" customWidth="1"/>
    <col min="14077" max="14077" width="9.33203125" style="185"/>
    <col min="14078" max="14078" width="21.6640625" style="185" customWidth="1"/>
    <col min="14079" max="14079" width="13.5" style="185" customWidth="1"/>
    <col min="14080" max="14080" width="10.5" style="185" customWidth="1"/>
    <col min="14081" max="14081" width="15.1640625" style="185" customWidth="1"/>
    <col min="14082" max="14082" width="3.6640625" style="185" customWidth="1"/>
    <col min="14083" max="14083" width="13.1640625" style="185" customWidth="1"/>
    <col min="14084" max="14084" width="3.83203125" style="185" customWidth="1"/>
    <col min="14085" max="14085" width="15" style="185" customWidth="1"/>
    <col min="14086" max="14086" width="3.6640625" style="185" customWidth="1"/>
    <col min="14087" max="14088" width="13" style="185" customWidth="1"/>
    <col min="14089" max="14089" width="0" style="185" hidden="1" customWidth="1"/>
    <col min="14090" max="14091" width="9.33203125" style="185"/>
    <col min="14092" max="14092" width="15.83203125" style="185" customWidth="1"/>
    <col min="14093" max="14331" width="9.33203125" style="185"/>
    <col min="14332" max="14332" width="5" style="185" customWidth="1"/>
    <col min="14333" max="14333" width="9.33203125" style="185"/>
    <col min="14334" max="14334" width="21.6640625" style="185" customWidth="1"/>
    <col min="14335" max="14335" width="13.5" style="185" customWidth="1"/>
    <col min="14336" max="14336" width="10.5" style="185" customWidth="1"/>
    <col min="14337" max="14337" width="15.1640625" style="185" customWidth="1"/>
    <col min="14338" max="14338" width="3.6640625" style="185" customWidth="1"/>
    <col min="14339" max="14339" width="13.1640625" style="185" customWidth="1"/>
    <col min="14340" max="14340" width="3.83203125" style="185" customWidth="1"/>
    <col min="14341" max="14341" width="15" style="185" customWidth="1"/>
    <col min="14342" max="14342" width="3.6640625" style="185" customWidth="1"/>
    <col min="14343" max="14344" width="13" style="185" customWidth="1"/>
    <col min="14345" max="14345" width="0" style="185" hidden="1" customWidth="1"/>
    <col min="14346" max="14347" width="9.33203125" style="185"/>
    <col min="14348" max="14348" width="15.83203125" style="185" customWidth="1"/>
    <col min="14349" max="14587" width="9.33203125" style="185"/>
    <col min="14588" max="14588" width="5" style="185" customWidth="1"/>
    <col min="14589" max="14589" width="9.33203125" style="185"/>
    <col min="14590" max="14590" width="21.6640625" style="185" customWidth="1"/>
    <col min="14591" max="14591" width="13.5" style="185" customWidth="1"/>
    <col min="14592" max="14592" width="10.5" style="185" customWidth="1"/>
    <col min="14593" max="14593" width="15.1640625" style="185" customWidth="1"/>
    <col min="14594" max="14594" width="3.6640625" style="185" customWidth="1"/>
    <col min="14595" max="14595" width="13.1640625" style="185" customWidth="1"/>
    <col min="14596" max="14596" width="3.83203125" style="185" customWidth="1"/>
    <col min="14597" max="14597" width="15" style="185" customWidth="1"/>
    <col min="14598" max="14598" width="3.6640625" style="185" customWidth="1"/>
    <col min="14599" max="14600" width="13" style="185" customWidth="1"/>
    <col min="14601" max="14601" width="0" style="185" hidden="1" customWidth="1"/>
    <col min="14602" max="14603" width="9.33203125" style="185"/>
    <col min="14604" max="14604" width="15.83203125" style="185" customWidth="1"/>
    <col min="14605" max="14843" width="9.33203125" style="185"/>
    <col min="14844" max="14844" width="5" style="185" customWidth="1"/>
    <col min="14845" max="14845" width="9.33203125" style="185"/>
    <col min="14846" max="14846" width="21.6640625" style="185" customWidth="1"/>
    <col min="14847" max="14847" width="13.5" style="185" customWidth="1"/>
    <col min="14848" max="14848" width="10.5" style="185" customWidth="1"/>
    <col min="14849" max="14849" width="15.1640625" style="185" customWidth="1"/>
    <col min="14850" max="14850" width="3.6640625" style="185" customWidth="1"/>
    <col min="14851" max="14851" width="13.1640625" style="185" customWidth="1"/>
    <col min="14852" max="14852" width="3.83203125" style="185" customWidth="1"/>
    <col min="14853" max="14853" width="15" style="185" customWidth="1"/>
    <col min="14854" max="14854" width="3.6640625" style="185" customWidth="1"/>
    <col min="14855" max="14856" width="13" style="185" customWidth="1"/>
    <col min="14857" max="14857" width="0" style="185" hidden="1" customWidth="1"/>
    <col min="14858" max="14859" width="9.33203125" style="185"/>
    <col min="14860" max="14860" width="15.83203125" style="185" customWidth="1"/>
    <col min="14861" max="15099" width="9.33203125" style="185"/>
    <col min="15100" max="15100" width="5" style="185" customWidth="1"/>
    <col min="15101" max="15101" width="9.33203125" style="185"/>
    <col min="15102" max="15102" width="21.6640625" style="185" customWidth="1"/>
    <col min="15103" max="15103" width="13.5" style="185" customWidth="1"/>
    <col min="15104" max="15104" width="10.5" style="185" customWidth="1"/>
    <col min="15105" max="15105" width="15.1640625" style="185" customWidth="1"/>
    <col min="15106" max="15106" width="3.6640625" style="185" customWidth="1"/>
    <col min="15107" max="15107" width="13.1640625" style="185" customWidth="1"/>
    <col min="15108" max="15108" width="3.83203125" style="185" customWidth="1"/>
    <col min="15109" max="15109" width="15" style="185" customWidth="1"/>
    <col min="15110" max="15110" width="3.6640625" style="185" customWidth="1"/>
    <col min="15111" max="15112" width="13" style="185" customWidth="1"/>
    <col min="15113" max="15113" width="0" style="185" hidden="1" customWidth="1"/>
    <col min="15114" max="15115" width="9.33203125" style="185"/>
    <col min="15116" max="15116" width="15.83203125" style="185" customWidth="1"/>
    <col min="15117" max="15355" width="9.33203125" style="185"/>
    <col min="15356" max="15356" width="5" style="185" customWidth="1"/>
    <col min="15357" max="15357" width="9.33203125" style="185"/>
    <col min="15358" max="15358" width="21.6640625" style="185" customWidth="1"/>
    <col min="15359" max="15359" width="13.5" style="185" customWidth="1"/>
    <col min="15360" max="15360" width="10.5" style="185" customWidth="1"/>
    <col min="15361" max="15361" width="15.1640625" style="185" customWidth="1"/>
    <col min="15362" max="15362" width="3.6640625" style="185" customWidth="1"/>
    <col min="15363" max="15363" width="13.1640625" style="185" customWidth="1"/>
    <col min="15364" max="15364" width="3.83203125" style="185" customWidth="1"/>
    <col min="15365" max="15365" width="15" style="185" customWidth="1"/>
    <col min="15366" max="15366" width="3.6640625" style="185" customWidth="1"/>
    <col min="15367" max="15368" width="13" style="185" customWidth="1"/>
    <col min="15369" max="15369" width="0" style="185" hidden="1" customWidth="1"/>
    <col min="15370" max="15371" width="9.33203125" style="185"/>
    <col min="15372" max="15372" width="15.83203125" style="185" customWidth="1"/>
    <col min="15373" max="15611" width="9.33203125" style="185"/>
    <col min="15612" max="15612" width="5" style="185" customWidth="1"/>
    <col min="15613" max="15613" width="9.33203125" style="185"/>
    <col min="15614" max="15614" width="21.6640625" style="185" customWidth="1"/>
    <col min="15615" max="15615" width="13.5" style="185" customWidth="1"/>
    <col min="15616" max="15616" width="10.5" style="185" customWidth="1"/>
    <col min="15617" max="15617" width="15.1640625" style="185" customWidth="1"/>
    <col min="15618" max="15618" width="3.6640625" style="185" customWidth="1"/>
    <col min="15619" max="15619" width="13.1640625" style="185" customWidth="1"/>
    <col min="15620" max="15620" width="3.83203125" style="185" customWidth="1"/>
    <col min="15621" max="15621" width="15" style="185" customWidth="1"/>
    <col min="15622" max="15622" width="3.6640625" style="185" customWidth="1"/>
    <col min="15623" max="15624" width="13" style="185" customWidth="1"/>
    <col min="15625" max="15625" width="0" style="185" hidden="1" customWidth="1"/>
    <col min="15626" max="15627" width="9.33203125" style="185"/>
    <col min="15628" max="15628" width="15.83203125" style="185" customWidth="1"/>
    <col min="15629" max="15867" width="9.33203125" style="185"/>
    <col min="15868" max="15868" width="5" style="185" customWidth="1"/>
    <col min="15869" max="15869" width="9.33203125" style="185"/>
    <col min="15870" max="15870" width="21.6640625" style="185" customWidth="1"/>
    <col min="15871" max="15871" width="13.5" style="185" customWidth="1"/>
    <col min="15872" max="15872" width="10.5" style="185" customWidth="1"/>
    <col min="15873" max="15873" width="15.1640625" style="185" customWidth="1"/>
    <col min="15874" max="15874" width="3.6640625" style="185" customWidth="1"/>
    <col min="15875" max="15875" width="13.1640625" style="185" customWidth="1"/>
    <col min="15876" max="15876" width="3.83203125" style="185" customWidth="1"/>
    <col min="15877" max="15877" width="15" style="185" customWidth="1"/>
    <col min="15878" max="15878" width="3.6640625" style="185" customWidth="1"/>
    <col min="15879" max="15880" width="13" style="185" customWidth="1"/>
    <col min="15881" max="15881" width="0" style="185" hidden="1" customWidth="1"/>
    <col min="15882" max="15883" width="9.33203125" style="185"/>
    <col min="15884" max="15884" width="15.83203125" style="185" customWidth="1"/>
    <col min="15885" max="16123" width="9.33203125" style="185"/>
    <col min="16124" max="16124" width="5" style="185" customWidth="1"/>
    <col min="16125" max="16125" width="9.33203125" style="185"/>
    <col min="16126" max="16126" width="21.6640625" style="185" customWidth="1"/>
    <col min="16127" max="16127" width="13.5" style="185" customWidth="1"/>
    <col min="16128" max="16128" width="10.5" style="185" customWidth="1"/>
    <col min="16129" max="16129" width="15.1640625" style="185" customWidth="1"/>
    <col min="16130" max="16130" width="3.6640625" style="185" customWidth="1"/>
    <col min="16131" max="16131" width="13.1640625" style="185" customWidth="1"/>
    <col min="16132" max="16132" width="3.83203125" style="185" customWidth="1"/>
    <col min="16133" max="16133" width="15" style="185" customWidth="1"/>
    <col min="16134" max="16134" width="3.6640625" style="185" customWidth="1"/>
    <col min="16135" max="16136" width="13" style="185" customWidth="1"/>
    <col min="16137" max="16137" width="0" style="185" hidden="1" customWidth="1"/>
    <col min="16138" max="16139" width="9.33203125" style="185"/>
    <col min="16140" max="16140" width="15.83203125" style="185" customWidth="1"/>
    <col min="16141" max="16384" width="9.33203125" style="185"/>
  </cols>
  <sheetData>
    <row r="1" spans="1:18">
      <c r="L1" s="445" t="str">
        <f>+'DMA Proposed Rate 594'!G1</f>
        <v>CNGC Advice W19-09-03</v>
      </c>
    </row>
    <row r="2" spans="1:18">
      <c r="A2" s="185"/>
      <c r="B2" s="10"/>
      <c r="C2" s="575" t="s">
        <v>34</v>
      </c>
      <c r="D2" s="575"/>
      <c r="E2" s="575"/>
      <c r="F2" s="575"/>
      <c r="G2" s="575"/>
      <c r="H2" s="575"/>
      <c r="I2" s="575"/>
      <c r="J2" s="575"/>
      <c r="K2" s="575"/>
      <c r="L2" s="446" t="s">
        <v>192</v>
      </c>
    </row>
    <row r="3" spans="1:18">
      <c r="A3" s="185"/>
      <c r="B3" s="10"/>
      <c r="C3" s="576" t="s">
        <v>195</v>
      </c>
      <c r="D3" s="576"/>
      <c r="E3" s="576"/>
      <c r="F3" s="576"/>
      <c r="G3" s="576"/>
      <c r="H3" s="576"/>
      <c r="I3" s="576"/>
      <c r="J3" s="576"/>
      <c r="K3" s="576"/>
      <c r="L3" s="446" t="s">
        <v>275</v>
      </c>
    </row>
    <row r="4" spans="1:18">
      <c r="A4" s="185"/>
      <c r="B4" s="10"/>
      <c r="C4" s="576" t="s">
        <v>292</v>
      </c>
      <c r="D4" s="576"/>
      <c r="E4" s="576"/>
      <c r="F4" s="576"/>
      <c r="G4" s="576"/>
      <c r="H4" s="576"/>
      <c r="I4" s="576"/>
      <c r="J4" s="576"/>
      <c r="K4" s="576"/>
      <c r="L4" s="74"/>
      <c r="M4" s="11" t="s">
        <v>37</v>
      </c>
    </row>
    <row r="5" spans="1:18">
      <c r="A5" s="185"/>
      <c r="B5" s="10"/>
      <c r="C5" s="575" t="s">
        <v>36</v>
      </c>
      <c r="D5" s="575"/>
      <c r="E5" s="575"/>
      <c r="F5" s="575"/>
      <c r="G5" s="575"/>
      <c r="H5" s="575"/>
      <c r="I5" s="575"/>
      <c r="J5" s="575"/>
      <c r="K5" s="575"/>
      <c r="L5" s="10" t="s">
        <v>127</v>
      </c>
      <c r="M5" s="11" t="s">
        <v>37</v>
      </c>
    </row>
    <row r="7" spans="1:18">
      <c r="A7" s="69"/>
      <c r="B7" s="12"/>
      <c r="C7" s="13"/>
      <c r="D7" s="13"/>
      <c r="E7" s="14"/>
      <c r="F7" s="65"/>
      <c r="G7" s="20"/>
      <c r="H7" s="65"/>
      <c r="K7" s="364" t="s">
        <v>38</v>
      </c>
      <c r="L7" s="13"/>
      <c r="M7" s="13"/>
      <c r="N7" s="294"/>
    </row>
    <row r="8" spans="1:18">
      <c r="A8" s="66" t="s">
        <v>3</v>
      </c>
      <c r="B8" s="16"/>
      <c r="C8" s="17"/>
      <c r="D8" s="18" t="s">
        <v>33</v>
      </c>
      <c r="E8" s="19" t="s">
        <v>39</v>
      </c>
      <c r="F8" s="66" t="s">
        <v>220</v>
      </c>
      <c r="G8" s="20"/>
      <c r="H8" s="66" t="s">
        <v>41</v>
      </c>
      <c r="K8" s="365" t="s">
        <v>184</v>
      </c>
      <c r="L8" s="22" t="s">
        <v>42</v>
      </c>
      <c r="M8" s="18" t="s">
        <v>43</v>
      </c>
      <c r="N8" s="70" t="s">
        <v>175</v>
      </c>
    </row>
    <row r="9" spans="1:18">
      <c r="A9" s="66" t="s">
        <v>6</v>
      </c>
      <c r="B9" s="23" t="s">
        <v>0</v>
      </c>
      <c r="C9" s="22"/>
      <c r="D9" s="18" t="s">
        <v>44</v>
      </c>
      <c r="E9" s="19" t="s">
        <v>45</v>
      </c>
      <c r="F9" s="66" t="s">
        <v>46</v>
      </c>
      <c r="G9" s="20"/>
      <c r="H9" s="66" t="s">
        <v>47</v>
      </c>
      <c r="K9" s="365" t="s">
        <v>48</v>
      </c>
      <c r="L9" s="22" t="s">
        <v>48</v>
      </c>
      <c r="M9" s="22" t="s">
        <v>48</v>
      </c>
      <c r="N9" s="70" t="s">
        <v>48</v>
      </c>
    </row>
    <row r="10" spans="1:18" s="68" customFormat="1">
      <c r="A10" s="70"/>
      <c r="B10" s="577" t="s">
        <v>9</v>
      </c>
      <c r="C10" s="578"/>
      <c r="D10" s="18" t="s">
        <v>10</v>
      </c>
      <c r="E10" s="19" t="s">
        <v>11</v>
      </c>
      <c r="F10" s="67" t="s">
        <v>12</v>
      </c>
      <c r="G10" s="72"/>
      <c r="H10" s="67" t="s">
        <v>49</v>
      </c>
      <c r="I10" s="258"/>
      <c r="J10" s="258"/>
      <c r="K10" s="366" t="s">
        <v>88</v>
      </c>
      <c r="L10" s="18" t="s">
        <v>50</v>
      </c>
      <c r="M10" s="18" t="s">
        <v>52</v>
      </c>
      <c r="N10" s="295" t="s">
        <v>51</v>
      </c>
    </row>
    <row r="11" spans="1:18">
      <c r="A11" s="71"/>
      <c r="B11" s="25" t="s">
        <v>53</v>
      </c>
      <c r="C11" s="26"/>
      <c r="D11" s="26"/>
      <c r="E11" s="26"/>
      <c r="F11" s="26"/>
      <c r="H11" s="368"/>
      <c r="K11" s="367"/>
      <c r="L11" s="26"/>
      <c r="M11" s="29"/>
    </row>
    <row r="12" spans="1:18" ht="15.75">
      <c r="A12" s="66">
        <v>1</v>
      </c>
      <c r="B12" s="399" t="s">
        <v>110</v>
      </c>
      <c r="C12" s="31"/>
      <c r="D12" s="18" t="s">
        <v>57</v>
      </c>
      <c r="E12" s="63">
        <f>+'Bills-Therms-Revs'!F59</f>
        <v>190130</v>
      </c>
      <c r="F12" s="413">
        <f>+'DMA Summary of Def. Accts.'!G10</f>
        <v>126254321.86672723</v>
      </c>
      <c r="G12" s="95"/>
      <c r="H12" s="122">
        <f>+'Bills-Therms-Revs'!I12+'Bills-Therms-Revs'!I15+'Bills-Therms-Revs'!I16</f>
        <v>109651123</v>
      </c>
      <c r="J12" s="238"/>
      <c r="K12" s="248">
        <f>+'DMA Proposed Rate 594'!F12</f>
        <v>3.9747000000000005E-2</v>
      </c>
      <c r="L12" s="32">
        <f>F12*K12</f>
        <v>5018230.5312368078</v>
      </c>
      <c r="M12" s="44" t="e">
        <f>L12/#REF!</f>
        <v>#REF!</v>
      </c>
      <c r="N12" s="297">
        <f t="shared" ref="N12:N16" si="0">+L12/H12</f>
        <v>4.5765427602933055E-2</v>
      </c>
      <c r="R12" s="8"/>
    </row>
    <row r="13" spans="1:18" ht="15.75">
      <c r="A13" s="66">
        <v>2</v>
      </c>
      <c r="B13" s="399" t="s">
        <v>111</v>
      </c>
      <c r="C13" s="20"/>
      <c r="D13" s="18" t="s">
        <v>63</v>
      </c>
      <c r="E13" s="63">
        <f>+'Bills-Therms-Revs'!F60</f>
        <v>26357</v>
      </c>
      <c r="F13" s="413">
        <f>+'DMA Summary of Def. Accts.'!H10</f>
        <v>91432235.805835694</v>
      </c>
      <c r="G13" s="20"/>
      <c r="H13" s="122">
        <f>+'Bills-Therms-Revs'!I19+'Bills-Therms-Revs'!I23+'Bills-Therms-Revs'!I24</f>
        <v>71195921</v>
      </c>
      <c r="K13" s="248">
        <f>+'DMA Proposed Rate 594'!F13</f>
        <v>3.1260000000000003E-2</v>
      </c>
      <c r="L13" s="32">
        <f>ROUND(F13*K13,0)</f>
        <v>2858172</v>
      </c>
      <c r="M13" s="44" t="e">
        <f>ROUND(L13/#REF!,4)</f>
        <v>#REF!</v>
      </c>
      <c r="N13" s="297">
        <f t="shared" si="0"/>
        <v>4.0145165057981338E-2</v>
      </c>
      <c r="R13" s="8"/>
    </row>
    <row r="14" spans="1:18" ht="15.75">
      <c r="A14" s="66">
        <v>3</v>
      </c>
      <c r="B14" s="399" t="s">
        <v>112</v>
      </c>
      <c r="C14" s="31"/>
      <c r="D14" s="18" t="s">
        <v>67</v>
      </c>
      <c r="E14" s="63">
        <f>+'Bills-Therms-Revs'!F64</f>
        <v>477</v>
      </c>
      <c r="F14" s="413">
        <f>+'DMA Summary of Def. Accts.'!I10</f>
        <v>13193653.109642731</v>
      </c>
      <c r="G14" s="20"/>
      <c r="H14" s="122">
        <f>+'Bills-Therms-Revs'!I28</f>
        <v>8775211</v>
      </c>
      <c r="K14" s="248">
        <f>+'DMA Proposed Rate 594'!F15</f>
        <v>-9.0559999999999998E-3</v>
      </c>
      <c r="L14" s="32">
        <f t="shared" ref="L14:L16" si="1">F14*K14</f>
        <v>-119481.72256092457</v>
      </c>
      <c r="M14" s="44" t="e">
        <f>L14/#REF!</f>
        <v>#REF!</v>
      </c>
      <c r="N14" s="297">
        <f t="shared" si="0"/>
        <v>-1.3615823318769722E-2</v>
      </c>
      <c r="R14" s="8"/>
    </row>
    <row r="15" spans="1:18" ht="15.75">
      <c r="A15" s="66">
        <v>4</v>
      </c>
      <c r="B15" s="399" t="s">
        <v>64</v>
      </c>
      <c r="C15" s="20"/>
      <c r="D15" s="18" t="s">
        <v>65</v>
      </c>
      <c r="E15" s="63">
        <f>+'Bills-Therms-Revs'!F63</f>
        <v>86</v>
      </c>
      <c r="F15" s="413">
        <f>+'DMA Summary of Def. Accts.'!J10</f>
        <v>14916789.141241657</v>
      </c>
      <c r="G15" s="95"/>
      <c r="H15" s="122">
        <f>+'Bills-Therms-Revs'!I29+'Bills-Therms-Revs'!I20+'Bills-Therms-Revs'!I31</f>
        <v>8617203</v>
      </c>
      <c r="I15" s="238"/>
      <c r="J15" s="238"/>
      <c r="K15" s="248">
        <f>+'DMA Proposed Rate 594'!F14</f>
        <v>3.1139000000000003E-2</v>
      </c>
      <c r="L15" s="32">
        <f t="shared" si="1"/>
        <v>464493.89706912398</v>
      </c>
      <c r="M15" s="44" t="e">
        <f>L15/#REF!</f>
        <v>#REF!</v>
      </c>
      <c r="N15" s="297">
        <f t="shared" si="0"/>
        <v>5.3903093273899194E-2</v>
      </c>
    </row>
    <row r="16" spans="1:18" ht="15.75">
      <c r="A16" s="66">
        <v>5</v>
      </c>
      <c r="B16" s="399" t="s">
        <v>113</v>
      </c>
      <c r="C16" s="20"/>
      <c r="D16" s="18" t="s">
        <v>68</v>
      </c>
      <c r="E16" s="63">
        <f>+'Bills-Therms-Revs'!F65</f>
        <v>8</v>
      </c>
      <c r="F16" s="413">
        <f>+'DMA Summary of Def. Accts.'!K10</f>
        <v>2384124.076552704</v>
      </c>
      <c r="G16" s="95"/>
      <c r="H16" s="122">
        <f>+'Bills-Therms-Revs'!I40</f>
        <v>1223950</v>
      </c>
      <c r="J16" s="238"/>
      <c r="K16" s="248">
        <f>+'DMA Proposed Rate 594'!F16</f>
        <v>1.1551000000000002E-2</v>
      </c>
      <c r="L16" s="32">
        <f t="shared" si="1"/>
        <v>27539.017208260288</v>
      </c>
      <c r="M16" s="44" t="e">
        <f>L16/#REF!</f>
        <v>#REF!</v>
      </c>
      <c r="N16" s="297">
        <f t="shared" si="0"/>
        <v>2.2500116187965429E-2</v>
      </c>
      <c r="R16" s="8"/>
    </row>
    <row r="17" spans="1:17" s="60" customFormat="1">
      <c r="A17" s="67">
        <v>6</v>
      </c>
      <c r="B17" s="25"/>
      <c r="C17" s="62"/>
      <c r="D17" s="58"/>
      <c r="E17" s="219">
        <f>SUM(E12:E16)</f>
        <v>217058</v>
      </c>
      <c r="F17" s="219">
        <f>SUM(F12:F16)</f>
        <v>248181124.00000006</v>
      </c>
      <c r="G17" s="64"/>
      <c r="H17" s="220">
        <f>SUM(H12:H16)</f>
        <v>199463408</v>
      </c>
      <c r="I17" s="363"/>
      <c r="J17" s="363"/>
      <c r="K17" s="96"/>
      <c r="L17" s="59">
        <f>SUM(L12:L16)</f>
        <v>8248953.7229532674</v>
      </c>
      <c r="M17" s="75" t="e">
        <f>L17/#REF!</f>
        <v>#REF!</v>
      </c>
      <c r="N17" s="298">
        <f>+L17/H17</f>
        <v>4.1355724369019443E-2</v>
      </c>
      <c r="P17" s="185"/>
      <c r="Q17" s="185"/>
    </row>
    <row r="18" spans="1:17">
      <c r="A18" s="234"/>
      <c r="B18" s="235"/>
      <c r="C18" s="236"/>
      <c r="D18" s="236"/>
      <c r="E18" s="237"/>
      <c r="F18" s="237"/>
      <c r="G18" s="238"/>
      <c r="H18" s="6"/>
      <c r="J18" s="238"/>
      <c r="K18" s="239"/>
      <c r="L18" s="240"/>
      <c r="M18" s="241"/>
      <c r="N18" s="218"/>
    </row>
    <row r="19" spans="1:17">
      <c r="A19" s="242">
        <v>7</v>
      </c>
      <c r="B19" s="243"/>
      <c r="C19" s="12"/>
      <c r="D19" s="65" t="s">
        <v>31</v>
      </c>
      <c r="E19" s="244"/>
      <c r="F19" s="123">
        <v>0</v>
      </c>
      <c r="H19" s="244">
        <v>0</v>
      </c>
      <c r="K19" s="245">
        <v>0</v>
      </c>
      <c r="L19" s="246">
        <f>+F19*K19</f>
        <v>0</v>
      </c>
      <c r="M19" s="37"/>
      <c r="N19" s="296"/>
    </row>
    <row r="20" spans="1:17">
      <c r="A20" s="242">
        <v>8</v>
      </c>
      <c r="B20" s="247" t="s">
        <v>159</v>
      </c>
      <c r="C20" s="16"/>
      <c r="D20" s="66" t="s">
        <v>73</v>
      </c>
      <c r="E20" s="122">
        <v>196</v>
      </c>
      <c r="F20" s="122">
        <f>+'Bills-Therms-Revs'!G45</f>
        <v>540320074</v>
      </c>
      <c r="G20" s="238"/>
      <c r="H20" s="122">
        <f>+'Bills-Therms-Revs'!I45</f>
        <v>19318813</v>
      </c>
      <c r="I20" s="30"/>
      <c r="J20" s="238"/>
      <c r="K20" s="248">
        <v>0</v>
      </c>
      <c r="L20" s="249">
        <f>F20*K20</f>
        <v>0</v>
      </c>
      <c r="M20" s="37"/>
      <c r="N20" s="297">
        <f>+L20/H20</f>
        <v>0</v>
      </c>
    </row>
    <row r="21" spans="1:17">
      <c r="A21" s="242">
        <v>9</v>
      </c>
      <c r="B21" s="247" t="s">
        <v>160</v>
      </c>
      <c r="C21" s="16"/>
      <c r="D21" s="67" t="s">
        <v>155</v>
      </c>
      <c r="E21" s="250">
        <v>11</v>
      </c>
      <c r="F21" s="122">
        <f>+'Bills-Therms-Revs'!G46</f>
        <v>192416786</v>
      </c>
      <c r="H21" s="122">
        <f>+'Bills-Therms-Revs'!I46</f>
        <v>3825626</v>
      </c>
      <c r="K21" s="248">
        <v>0</v>
      </c>
      <c r="L21" s="249">
        <v>0</v>
      </c>
      <c r="M21" s="241"/>
      <c r="N21" s="306"/>
    </row>
    <row r="22" spans="1:17">
      <c r="A22" s="252">
        <v>10</v>
      </c>
      <c r="B22" s="253" t="s">
        <v>161</v>
      </c>
      <c r="C22" s="62"/>
      <c r="D22" s="58"/>
      <c r="E22" s="308">
        <f>SUM(E19:E21)</f>
        <v>207</v>
      </c>
      <c r="F22" s="308">
        <f>SUM(F19:F21)</f>
        <v>732736860</v>
      </c>
      <c r="H22" s="308">
        <f>SUM(H19:H21)</f>
        <v>23144439</v>
      </c>
      <c r="I22" s="255"/>
      <c r="J22" s="255"/>
      <c r="K22" s="256"/>
      <c r="L22" s="257">
        <f>+L20+L19</f>
        <v>0</v>
      </c>
      <c r="M22" s="76"/>
      <c r="N22" s="369"/>
    </row>
    <row r="23" spans="1:17">
      <c r="A23" s="258"/>
      <c r="B23" s="259"/>
      <c r="C23" s="255"/>
      <c r="D23" s="255"/>
      <c r="E23" s="260"/>
      <c r="F23" s="61"/>
      <c r="G23" s="255"/>
      <c r="H23" s="260"/>
      <c r="I23" s="255"/>
      <c r="J23" s="255"/>
      <c r="K23" s="261"/>
      <c r="L23" s="262"/>
      <c r="M23" s="263"/>
      <c r="N23" s="255"/>
    </row>
    <row r="24" spans="1:17">
      <c r="A24" s="71">
        <v>11</v>
      </c>
      <c r="B24" s="253" t="s">
        <v>162</v>
      </c>
      <c r="C24" s="62"/>
      <c r="D24" s="62"/>
      <c r="E24" s="254">
        <f>+E22+E17</f>
        <v>217265</v>
      </c>
      <c r="F24" s="254">
        <f>+F22+F17</f>
        <v>980917984</v>
      </c>
      <c r="G24" s="61"/>
      <c r="H24" s="254">
        <f>+H22+H17</f>
        <v>222607847</v>
      </c>
      <c r="I24" s="61"/>
      <c r="J24" s="255"/>
      <c r="K24" s="256"/>
      <c r="L24" s="257">
        <f>+L22+L17</f>
        <v>8248953.7229532674</v>
      </c>
      <c r="M24" s="60"/>
      <c r="N24" s="307">
        <f>+L24/H24</f>
        <v>3.7055988071046153E-2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scale="92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zoomScaleNormal="100" workbookViewId="0">
      <selection activeCell="N18" sqref="N18"/>
    </sheetView>
  </sheetViews>
  <sheetFormatPr defaultColWidth="12" defaultRowHeight="15"/>
  <cols>
    <col min="1" max="1" width="5.33203125" style="53" customWidth="1"/>
    <col min="2" max="2" width="26.5" style="39" customWidth="1"/>
    <col min="3" max="3" width="18.83203125" style="39" customWidth="1"/>
    <col min="4" max="4" width="1.83203125" style="39" customWidth="1"/>
    <col min="5" max="5" width="20" style="39" customWidth="1"/>
    <col min="6" max="6" width="1.83203125" style="39" customWidth="1"/>
    <col min="7" max="7" width="19.6640625" style="39" customWidth="1"/>
    <col min="8" max="8" width="12.6640625" style="39" customWidth="1"/>
    <col min="9" max="9" width="12.33203125" style="39" customWidth="1"/>
    <col min="10" max="10" width="5.83203125" style="39" customWidth="1"/>
    <col min="11" max="16384" width="12" style="39"/>
  </cols>
  <sheetData>
    <row r="1" spans="1:17" ht="15" customHeight="1">
      <c r="H1" s="445" t="str">
        <f>+'DMA Amount of Change'!L1</f>
        <v>CNGC Advice W19-09-03</v>
      </c>
    </row>
    <row r="2" spans="1:17" ht="15" customHeight="1">
      <c r="A2" s="39"/>
      <c r="B2" s="108"/>
      <c r="H2" s="446" t="s">
        <v>192</v>
      </c>
    </row>
    <row r="3" spans="1:17" ht="15" customHeight="1">
      <c r="A3" s="39"/>
      <c r="B3" s="108"/>
      <c r="H3" s="446" t="s">
        <v>276</v>
      </c>
    </row>
    <row r="4" spans="1:17" ht="15" customHeight="1">
      <c r="A4" s="39"/>
      <c r="B4" s="108"/>
      <c r="C4" s="579" t="s">
        <v>34</v>
      </c>
      <c r="D4" s="579"/>
      <c r="E4" s="579"/>
      <c r="F4" s="579"/>
      <c r="G4" s="579"/>
      <c r="H4" s="108"/>
    </row>
    <row r="5" spans="1:17" ht="15" customHeight="1">
      <c r="A5" s="39"/>
      <c r="B5" s="108"/>
      <c r="C5" s="579" t="s">
        <v>196</v>
      </c>
      <c r="D5" s="579"/>
      <c r="E5" s="579"/>
      <c r="F5" s="579"/>
      <c r="G5" s="579"/>
      <c r="H5" s="108"/>
      <c r="I5" s="110"/>
    </row>
    <row r="6" spans="1:17">
      <c r="C6" s="579" t="s">
        <v>285</v>
      </c>
      <c r="D6" s="579"/>
      <c r="E6" s="579"/>
      <c r="F6" s="579"/>
      <c r="G6" s="579"/>
    </row>
    <row r="7" spans="1:17">
      <c r="C7" s="579" t="s">
        <v>36</v>
      </c>
      <c r="D7" s="579"/>
      <c r="E7" s="579"/>
      <c r="F7" s="579"/>
      <c r="G7" s="579"/>
    </row>
    <row r="8" spans="1:17">
      <c r="G8" s="83" t="s">
        <v>38</v>
      </c>
    </row>
    <row r="9" spans="1:17">
      <c r="A9" s="83" t="s">
        <v>3</v>
      </c>
      <c r="E9" s="111" t="s">
        <v>76</v>
      </c>
      <c r="G9" s="83" t="s">
        <v>33</v>
      </c>
      <c r="H9" s="83" t="s">
        <v>42</v>
      </c>
      <c r="I9" s="83" t="s">
        <v>43</v>
      </c>
    </row>
    <row r="10" spans="1:17" s="53" customFormat="1">
      <c r="A10" s="83" t="s">
        <v>6</v>
      </c>
      <c r="B10" s="83" t="s">
        <v>0</v>
      </c>
      <c r="C10" s="83" t="s">
        <v>77</v>
      </c>
      <c r="E10" s="50" t="s">
        <v>296</v>
      </c>
      <c r="G10" s="83" t="s">
        <v>48</v>
      </c>
      <c r="H10" s="83" t="s">
        <v>48</v>
      </c>
      <c r="I10" s="83" t="s">
        <v>48</v>
      </c>
    </row>
    <row r="11" spans="1:17" s="53" customFormat="1">
      <c r="A11" s="112"/>
      <c r="B11" s="113" t="s">
        <v>9</v>
      </c>
      <c r="C11" s="113" t="s">
        <v>10</v>
      </c>
      <c r="D11" s="112"/>
      <c r="E11" s="113" t="s">
        <v>11</v>
      </c>
      <c r="F11" s="112"/>
      <c r="G11" s="113" t="s">
        <v>12</v>
      </c>
      <c r="H11" s="113" t="s">
        <v>13</v>
      </c>
      <c r="I11" s="113" t="s">
        <v>88</v>
      </c>
    </row>
    <row r="12" spans="1:17" ht="15.75">
      <c r="B12" s="402"/>
      <c r="F12" s="404"/>
      <c r="H12" s="46"/>
      <c r="I12" s="115"/>
    </row>
    <row r="13" spans="1:17" ht="15.75">
      <c r="A13" s="53">
        <v>1</v>
      </c>
      <c r="B13" s="403" t="s">
        <v>95</v>
      </c>
      <c r="C13" s="77">
        <f>+'DMA Amount of Change'!F12</f>
        <v>126254321.86672723</v>
      </c>
      <c r="D13" s="5"/>
      <c r="E13" s="77">
        <f>+'DMA Amount of Change'!H12</f>
        <v>109651123</v>
      </c>
      <c r="F13" s="405"/>
      <c r="G13" s="114">
        <f>+'DMA Amount of Change'!K12</f>
        <v>3.9747000000000005E-2</v>
      </c>
      <c r="H13" s="46">
        <f>+G13*C13</f>
        <v>5018230.5312368078</v>
      </c>
      <c r="I13" s="115">
        <f t="shared" ref="I13:I19" si="0">+H13/E13</f>
        <v>4.5765427602933055E-2</v>
      </c>
    </row>
    <row r="14" spans="1:17" ht="15.75">
      <c r="A14" s="83"/>
      <c r="B14" s="370"/>
      <c r="C14" s="77"/>
      <c r="D14" s="5"/>
      <c r="E14" s="77"/>
      <c r="F14" s="337">
        <v>0</v>
      </c>
      <c r="G14" s="114"/>
      <c r="H14" s="46"/>
      <c r="I14" s="115"/>
      <c r="Q14" s="185"/>
    </row>
    <row r="15" spans="1:17" ht="15.75">
      <c r="A15" s="53">
        <v>2</v>
      </c>
      <c r="B15" s="401" t="s">
        <v>96</v>
      </c>
      <c r="C15" s="77">
        <f>+'DMA Amount of Change'!F13</f>
        <v>91432235.805835694</v>
      </c>
      <c r="D15" s="5"/>
      <c r="E15" s="77">
        <f>+'DMA Amount of Change'!H13</f>
        <v>71195921</v>
      </c>
      <c r="F15" s="337"/>
      <c r="G15" s="114">
        <f>+'DMA Amount of Change'!K13</f>
        <v>3.1260000000000003E-2</v>
      </c>
      <c r="H15" s="46">
        <f>+G15*C15</f>
        <v>2858171.6912904242</v>
      </c>
      <c r="I15" s="115">
        <f t="shared" si="0"/>
        <v>4.0145160721924283E-2</v>
      </c>
      <c r="Q15" s="185"/>
    </row>
    <row r="16" spans="1:17" ht="15.75">
      <c r="A16" s="83"/>
      <c r="B16" s="370"/>
      <c r="C16" s="77"/>
      <c r="D16" s="5"/>
      <c r="E16" s="77"/>
      <c r="F16" s="337">
        <v>0</v>
      </c>
      <c r="G16" s="114"/>
      <c r="H16" s="46"/>
      <c r="I16" s="115"/>
      <c r="Q16" s="185"/>
    </row>
    <row r="17" spans="1:17" ht="15.75">
      <c r="A17" s="53">
        <v>3</v>
      </c>
      <c r="B17" s="401" t="s">
        <v>97</v>
      </c>
      <c r="C17" s="77">
        <f>+'DMA Amount of Change'!F14</f>
        <v>13193653.109642731</v>
      </c>
      <c r="D17" s="5"/>
      <c r="E17" s="77">
        <f>+'DMA Amount of Change'!H14</f>
        <v>8775211</v>
      </c>
      <c r="G17" s="114">
        <f>+'DMA Amount of Change'!K14</f>
        <v>-9.0559999999999998E-3</v>
      </c>
      <c r="H17" s="46">
        <f>+G17*C17</f>
        <v>-119481.72256092457</v>
      </c>
      <c r="I17" s="115">
        <f t="shared" si="0"/>
        <v>-1.3615823318769722E-2</v>
      </c>
      <c r="Q17" s="185"/>
    </row>
    <row r="18" spans="1:17" ht="15.75">
      <c r="A18" s="83"/>
      <c r="B18" s="370"/>
      <c r="C18" s="77"/>
      <c r="D18" s="5"/>
      <c r="E18" s="77"/>
      <c r="G18" s="114"/>
      <c r="H18" s="46"/>
      <c r="I18" s="115"/>
      <c r="Q18" s="185"/>
    </row>
    <row r="19" spans="1:17" ht="15.75">
      <c r="A19" s="53">
        <v>4</v>
      </c>
      <c r="B19" s="370" t="s">
        <v>98</v>
      </c>
      <c r="C19" s="77">
        <f>+'DMA Amount of Change'!F15</f>
        <v>14916789.141241657</v>
      </c>
      <c r="D19" s="5"/>
      <c r="E19" s="77">
        <f>+'DMA Amount of Change'!H15</f>
        <v>8617203</v>
      </c>
      <c r="G19" s="114">
        <f>+'DMA Amount of Change'!K15</f>
        <v>3.1139000000000003E-2</v>
      </c>
      <c r="H19" s="46">
        <f>+G19*C19</f>
        <v>464493.89706912398</v>
      </c>
      <c r="I19" s="115">
        <f t="shared" si="0"/>
        <v>5.3903093273899194E-2</v>
      </c>
      <c r="Q19" s="185"/>
    </row>
    <row r="20" spans="1:17">
      <c r="H20" s="46"/>
      <c r="I20" s="115"/>
      <c r="Q20" s="185"/>
    </row>
    <row r="21" spans="1:17" ht="15.75">
      <c r="A21" s="83">
        <v>5</v>
      </c>
      <c r="B21" s="401" t="s">
        <v>99</v>
      </c>
      <c r="C21" s="77">
        <f>+'DMA Amount of Change'!F16</f>
        <v>2384124.076552704</v>
      </c>
      <c r="D21" s="5"/>
      <c r="E21" s="77">
        <f>+'DMA Amount of Change'!H16</f>
        <v>1223950</v>
      </c>
      <c r="G21" s="114">
        <f>+'DMA Amount of Change'!K16</f>
        <v>1.1551000000000002E-2</v>
      </c>
      <c r="H21" s="46">
        <f>+G21*C21</f>
        <v>27539.017208260288</v>
      </c>
      <c r="I21" s="115">
        <f>+H21/E21</f>
        <v>2.2500116187965429E-2</v>
      </c>
      <c r="Q21" s="185"/>
    </row>
    <row r="22" spans="1:17" ht="15.75">
      <c r="B22" s="370"/>
      <c r="C22" s="5"/>
      <c r="D22" s="5"/>
      <c r="E22" s="5"/>
      <c r="G22" s="36"/>
      <c r="I22" s="115"/>
    </row>
    <row r="23" spans="1:17">
      <c r="C23" s="5"/>
      <c r="D23" s="5"/>
      <c r="E23" s="5"/>
      <c r="G23" s="36"/>
      <c r="H23" s="46"/>
      <c r="I23" s="115"/>
    </row>
    <row r="24" spans="1:17">
      <c r="H24" s="46"/>
      <c r="I24" s="115"/>
    </row>
    <row r="25" spans="1:17">
      <c r="H25" s="46"/>
      <c r="I25" s="115"/>
    </row>
    <row r="26" spans="1:17">
      <c r="H26" s="46"/>
      <c r="I26" s="115"/>
    </row>
    <row r="57" spans="5:9">
      <c r="G57" s="49"/>
    </row>
    <row r="58" spans="5:9">
      <c r="H58" s="49"/>
    </row>
    <row r="59" spans="5:9">
      <c r="E59" s="5"/>
      <c r="G59" s="5"/>
      <c r="H59" s="5"/>
      <c r="I59" s="5"/>
    </row>
    <row r="60" spans="5:9">
      <c r="E60" s="5"/>
      <c r="G60" s="5"/>
      <c r="H60" s="5"/>
      <c r="I60" s="5"/>
    </row>
    <row r="61" spans="5:9">
      <c r="E61" s="5"/>
      <c r="G61" s="5"/>
      <c r="H61" s="5"/>
      <c r="I61" s="5"/>
    </row>
    <row r="62" spans="5:9">
      <c r="E62" s="5"/>
      <c r="G62" s="5"/>
      <c r="H62" s="5"/>
      <c r="I62" s="5"/>
    </row>
    <row r="63" spans="5:9">
      <c r="E63" s="5"/>
      <c r="G63" s="5"/>
      <c r="H63" s="5"/>
      <c r="I63" s="5"/>
    </row>
    <row r="64" spans="5:9">
      <c r="E64" s="5"/>
      <c r="G64" s="5"/>
      <c r="H64" s="5"/>
      <c r="I64" s="5"/>
    </row>
    <row r="65" spans="2:9">
      <c r="E65" s="5"/>
      <c r="G65" s="5"/>
      <c r="H65" s="5"/>
      <c r="I65" s="5"/>
    </row>
    <row r="69" spans="2:9">
      <c r="B69" s="49"/>
    </row>
  </sheetData>
  <mergeCells count="4">
    <mergeCell ref="C7:G7"/>
    <mergeCell ref="C6:G6"/>
    <mergeCell ref="C5:G5"/>
    <mergeCell ref="C4:G4"/>
  </mergeCells>
  <phoneticPr fontId="19" type="noConversion"/>
  <printOptions horizontalCentered="1"/>
  <pageMargins left="0.2" right="0.2" top="1" bottom="0.43" header="0.24" footer="0.17"/>
  <pageSetup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O26"/>
  <sheetViews>
    <sheetView zoomScaleNormal="100" workbookViewId="0">
      <selection activeCell="M13" sqref="M13"/>
    </sheetView>
  </sheetViews>
  <sheetFormatPr defaultColWidth="12" defaultRowHeight="15"/>
  <cols>
    <col min="1" max="1" width="7" style="53" customWidth="1"/>
    <col min="2" max="2" width="27" style="39" bestFit="1" customWidth="1"/>
    <col min="3" max="3" width="16.1640625" style="39" customWidth="1"/>
    <col min="4" max="4" width="1.83203125" style="39" customWidth="1"/>
    <col min="5" max="5" width="19" style="39" bestFit="1" customWidth="1"/>
    <col min="6" max="6" width="1.83203125" style="39" customWidth="1"/>
    <col min="7" max="7" width="16.33203125" style="39" customWidth="1"/>
    <col min="8" max="8" width="9" style="39" customWidth="1"/>
    <col min="9" max="9" width="12.1640625" style="39" bestFit="1" customWidth="1"/>
    <col min="10" max="10" width="1.83203125" style="39" customWidth="1"/>
    <col min="11" max="16384" width="12" style="39"/>
  </cols>
  <sheetData>
    <row r="1" spans="1:15">
      <c r="J1" s="445" t="str">
        <f>+'DMA Cost by Class'!H1</f>
        <v>CNGC Advice W19-09-03</v>
      </c>
      <c r="K1" s="445"/>
    </row>
    <row r="2" spans="1:15">
      <c r="A2" s="39"/>
      <c r="B2" s="38"/>
      <c r="C2" s="579" t="s">
        <v>34</v>
      </c>
      <c r="D2" s="579"/>
      <c r="E2" s="579"/>
      <c r="F2" s="579"/>
      <c r="G2" s="579"/>
      <c r="H2" s="579"/>
      <c r="I2" s="38"/>
      <c r="J2" s="446" t="s">
        <v>192</v>
      </c>
      <c r="K2" s="446"/>
    </row>
    <row r="3" spans="1:15">
      <c r="A3" s="39"/>
      <c r="B3" s="38"/>
      <c r="C3" s="579" t="s">
        <v>197</v>
      </c>
      <c r="D3" s="579"/>
      <c r="E3" s="579"/>
      <c r="F3" s="579"/>
      <c r="G3" s="579"/>
      <c r="H3" s="579"/>
      <c r="I3" s="38"/>
      <c r="J3" s="446" t="s">
        <v>277</v>
      </c>
      <c r="K3" s="446"/>
    </row>
    <row r="4" spans="1:15">
      <c r="A4" s="39"/>
      <c r="B4" s="38"/>
      <c r="C4" s="580" t="s">
        <v>285</v>
      </c>
      <c r="D4" s="579"/>
      <c r="E4" s="579"/>
      <c r="F4" s="579"/>
      <c r="G4" s="579"/>
      <c r="H4" s="579"/>
      <c r="I4" s="38"/>
    </row>
    <row r="5" spans="1:15">
      <c r="A5" s="39"/>
      <c r="B5" s="38"/>
      <c r="C5" s="579" t="s">
        <v>36</v>
      </c>
      <c r="D5" s="579"/>
      <c r="E5" s="579"/>
      <c r="F5" s="579"/>
      <c r="G5" s="579"/>
      <c r="H5" s="579"/>
      <c r="I5" s="38"/>
      <c r="J5" s="47"/>
    </row>
    <row r="6" spans="1:15">
      <c r="C6" s="38"/>
      <c r="D6" s="38"/>
      <c r="E6" s="38"/>
      <c r="F6" s="38"/>
      <c r="G6" s="38"/>
      <c r="H6" s="38"/>
      <c r="I6" s="38"/>
      <c r="J6" s="47"/>
    </row>
    <row r="7" spans="1:15" s="53" customFormat="1">
      <c r="C7" s="83" t="s">
        <v>78</v>
      </c>
      <c r="G7" s="83" t="s">
        <v>79</v>
      </c>
    </row>
    <row r="8" spans="1:15" s="53" customFormat="1">
      <c r="A8" s="83" t="s">
        <v>3</v>
      </c>
      <c r="C8" s="83" t="s">
        <v>80</v>
      </c>
      <c r="E8" s="83" t="s">
        <v>81</v>
      </c>
      <c r="G8" s="83" t="s">
        <v>82</v>
      </c>
      <c r="I8" s="83" t="s">
        <v>2</v>
      </c>
      <c r="K8" s="83" t="s">
        <v>43</v>
      </c>
    </row>
    <row r="9" spans="1:15" s="53" customFormat="1">
      <c r="A9" s="83" t="s">
        <v>6</v>
      </c>
      <c r="B9" s="83" t="s">
        <v>0</v>
      </c>
      <c r="C9" s="83" t="s">
        <v>83</v>
      </c>
      <c r="E9" s="50" t="s">
        <v>296</v>
      </c>
      <c r="G9" s="83" t="s">
        <v>84</v>
      </c>
      <c r="I9" s="83" t="s">
        <v>85</v>
      </c>
      <c r="K9" s="83" t="s">
        <v>48</v>
      </c>
    </row>
    <row r="10" spans="1:15" s="53" customFormat="1">
      <c r="A10" s="112"/>
      <c r="B10" s="113" t="s">
        <v>9</v>
      </c>
      <c r="C10" s="113" t="s">
        <v>10</v>
      </c>
      <c r="D10" s="112"/>
      <c r="E10" s="113" t="s">
        <v>11</v>
      </c>
      <c r="F10" s="112"/>
      <c r="G10" s="113" t="s">
        <v>12</v>
      </c>
      <c r="H10" s="112"/>
      <c r="I10" s="113" t="s">
        <v>13</v>
      </c>
      <c r="J10" s="112"/>
      <c r="K10" s="113" t="s">
        <v>88</v>
      </c>
    </row>
    <row r="11" spans="1:15" ht="9" customHeight="1"/>
    <row r="12" spans="1:15">
      <c r="C12" s="116"/>
      <c r="G12" s="90"/>
      <c r="I12" s="90"/>
      <c r="K12" s="117"/>
    </row>
    <row r="13" spans="1:15" ht="15.75">
      <c r="A13" s="83">
        <v>1</v>
      </c>
      <c r="B13" s="401" t="s">
        <v>95</v>
      </c>
      <c r="C13" s="116">
        <f>+'DMA Amount of Change'!F12/'DMA Amount of Change'!E12/12</f>
        <v>55.336840524346165</v>
      </c>
      <c r="E13" s="90">
        <f>'DMA Amount of Change'!H12/'DMA Amount of Change'!E12/12</f>
        <v>48.059714844229383</v>
      </c>
      <c r="F13" s="370"/>
      <c r="G13" s="90">
        <f>+C13*'DMA Amount of Change'!K12</f>
        <v>2.1994734003211871</v>
      </c>
      <c r="I13" s="90">
        <f>E13+G13</f>
        <v>50.259188244550572</v>
      </c>
      <c r="K13" s="117">
        <f>G13/E13</f>
        <v>4.5765427602933062E-2</v>
      </c>
      <c r="O13" s="185"/>
    </row>
    <row r="14" spans="1:15" ht="15.75">
      <c r="B14" s="370"/>
      <c r="C14" s="46"/>
      <c r="E14" s="90"/>
      <c r="F14" s="371">
        <v>0</v>
      </c>
      <c r="G14" s="91"/>
      <c r="I14" s="91"/>
      <c r="O14" s="185"/>
    </row>
    <row r="15" spans="1:15" ht="15.75">
      <c r="A15" s="83">
        <v>2</v>
      </c>
      <c r="B15" s="401" t="s">
        <v>96</v>
      </c>
      <c r="C15" s="46">
        <f>'DMA Amount of Change'!F13/'DMA Amount of Change'!E13/12</f>
        <v>289.08270986150325</v>
      </c>
      <c r="E15" s="90">
        <f>+'DMA Amount of Change'!H13/'DMA Amount of Change'!E13/12</f>
        <v>225.10124128947402</v>
      </c>
      <c r="F15" s="371"/>
      <c r="G15" s="90">
        <f>+C15*'DMA Amount of Change'!K13</f>
        <v>9.0367255102705926</v>
      </c>
      <c r="I15" s="90">
        <f>E15+G15</f>
        <v>234.13796679974462</v>
      </c>
      <c r="K15" s="117">
        <f>G15/E15</f>
        <v>4.0145160721924283E-2</v>
      </c>
      <c r="O15" s="185"/>
    </row>
    <row r="16" spans="1:15" ht="15.75">
      <c r="B16" s="370"/>
      <c r="C16" s="46"/>
      <c r="E16" s="118"/>
      <c r="F16" s="371">
        <v>0</v>
      </c>
      <c r="G16" s="119"/>
      <c r="I16" s="91"/>
      <c r="N16" s="53"/>
      <c r="O16" s="185"/>
    </row>
    <row r="17" spans="1:15" ht="15.75">
      <c r="A17" s="83">
        <v>3</v>
      </c>
      <c r="B17" s="401" t="s">
        <v>97</v>
      </c>
      <c r="C17" s="120" t="s">
        <v>86</v>
      </c>
      <c r="E17" s="114">
        <f>+'DMA Amount of Change'!H14/'DMA Amount of Change'!F14</f>
        <v>0.66510851293994822</v>
      </c>
      <c r="F17" s="372"/>
      <c r="G17" s="114">
        <f>+'DMA Amount of Change'!K14</f>
        <v>-9.0559999999999998E-3</v>
      </c>
      <c r="I17" s="114">
        <f>E17+G17</f>
        <v>0.65605251293994826</v>
      </c>
      <c r="K17" s="117">
        <f>G17/E17</f>
        <v>-1.3615823318769722E-2</v>
      </c>
      <c r="O17" s="185"/>
    </row>
    <row r="18" spans="1:15" ht="15.75">
      <c r="B18" s="370"/>
      <c r="C18" s="46"/>
      <c r="E18" s="114"/>
      <c r="G18" s="114"/>
      <c r="I18" s="114"/>
      <c r="K18" s="117"/>
      <c r="O18" s="185"/>
    </row>
    <row r="19" spans="1:15" ht="15.75">
      <c r="A19" s="53">
        <v>4</v>
      </c>
      <c r="B19" s="401" t="s">
        <v>98</v>
      </c>
      <c r="C19" s="120" t="s">
        <v>86</v>
      </c>
      <c r="E19" s="114">
        <f>'DMA Amount of Change'!H15/'DMA Amount of Change'!F15</f>
        <v>0.57768484346107163</v>
      </c>
      <c r="G19" s="114">
        <f>+'DMA Amount of Change'!K15</f>
        <v>3.1139000000000003E-2</v>
      </c>
      <c r="I19" s="114">
        <f>E19+G19</f>
        <v>0.60882384346107166</v>
      </c>
      <c r="K19" s="117">
        <f>G19/E19</f>
        <v>5.3903093273899201E-2</v>
      </c>
      <c r="O19" s="185"/>
    </row>
    <row r="20" spans="1:15" ht="15.75">
      <c r="B20" s="370"/>
      <c r="C20" s="46"/>
      <c r="E20" s="114"/>
      <c r="G20" s="114"/>
      <c r="I20" s="114"/>
      <c r="O20" s="185"/>
    </row>
    <row r="21" spans="1:15" ht="15.75">
      <c r="A21" s="83">
        <v>5</v>
      </c>
      <c r="B21" s="401" t="s">
        <v>99</v>
      </c>
      <c r="C21" s="120" t="s">
        <v>86</v>
      </c>
      <c r="E21" s="114">
        <f>'DMA Amount of Change'!H16/'DMA Amount of Change'!F16</f>
        <v>0.51337512675504537</v>
      </c>
      <c r="G21" s="114">
        <f>+'DMA Amount of Change'!K16</f>
        <v>1.1551000000000002E-2</v>
      </c>
      <c r="I21" s="114">
        <f>E21+G21</f>
        <v>0.52492612675504535</v>
      </c>
      <c r="K21" s="117">
        <f>G21/E21</f>
        <v>2.2500116187965432E-2</v>
      </c>
      <c r="O21" s="185"/>
    </row>
    <row r="22" spans="1:15" ht="15.75">
      <c r="B22" s="370"/>
      <c r="E22" s="36"/>
      <c r="G22" s="36"/>
      <c r="I22" s="114"/>
      <c r="K22" s="117"/>
    </row>
    <row r="23" spans="1:15">
      <c r="E23" s="36"/>
      <c r="G23" s="36"/>
      <c r="I23" s="114"/>
      <c r="K23" s="117"/>
    </row>
    <row r="24" spans="1:15">
      <c r="B24" s="414"/>
      <c r="C24" s="414"/>
      <c r="D24" s="414"/>
      <c r="E24" s="414"/>
      <c r="F24" s="414"/>
      <c r="G24" s="414"/>
      <c r="H24" s="414"/>
      <c r="I24" s="414"/>
      <c r="J24" s="414"/>
      <c r="K24" s="414"/>
    </row>
    <row r="25" spans="1:15">
      <c r="B25" s="414"/>
      <c r="C25" s="414"/>
      <c r="D25" s="414"/>
      <c r="E25" s="414"/>
      <c r="F25" s="414"/>
      <c r="G25" s="414"/>
      <c r="H25" s="414"/>
      <c r="I25" s="414"/>
      <c r="J25" s="414"/>
      <c r="K25" s="414"/>
    </row>
    <row r="26" spans="1:15">
      <c r="B26" s="414"/>
      <c r="C26" s="414"/>
      <c r="D26" s="414"/>
      <c r="E26" s="414"/>
      <c r="F26" s="414"/>
      <c r="G26" s="414"/>
      <c r="H26" s="414"/>
      <c r="I26" s="414"/>
      <c r="J26" s="414"/>
      <c r="K26" s="414"/>
    </row>
  </sheetData>
  <mergeCells count="4">
    <mergeCell ref="C5:H5"/>
    <mergeCell ref="C4:H4"/>
    <mergeCell ref="C3:H3"/>
    <mergeCell ref="C2:H2"/>
  </mergeCells>
  <phoneticPr fontId="19" type="noConversion"/>
  <printOptions horizontalCentered="1"/>
  <pageMargins left="0.2" right="0.2" top="1" bottom="1" header="0.5" footer="0.5"/>
  <pageSetup scale="96" orientation="portrait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93" customWidth="1"/>
    <col min="2" max="2" width="26" style="193" customWidth="1"/>
    <col min="3" max="3" width="14.1640625" style="193" customWidth="1"/>
    <col min="4" max="4" width="16.1640625" style="193" customWidth="1"/>
    <col min="5" max="5" width="16" style="193" customWidth="1"/>
    <col min="6" max="6" width="16.5" style="193" customWidth="1"/>
    <col min="7" max="7" width="21.83203125" style="193" customWidth="1"/>
    <col min="8" max="8" width="16.1640625" style="193" customWidth="1"/>
    <col min="9" max="9" width="18" style="193" customWidth="1"/>
    <col min="10" max="10" width="16.1640625" style="193" customWidth="1"/>
    <col min="11" max="12" width="13.83203125" style="193" customWidth="1"/>
    <col min="13" max="13" width="14.83203125" style="193" customWidth="1"/>
    <col min="14" max="14" width="13.33203125" style="193" customWidth="1"/>
    <col min="15" max="15" width="19.6640625" style="193" customWidth="1"/>
    <col min="16" max="17" width="13.33203125" style="193" customWidth="1"/>
    <col min="18" max="18" width="16" style="193" customWidth="1"/>
    <col min="19" max="19" width="14.1640625" style="193" customWidth="1"/>
    <col min="20" max="20" width="17" style="193" customWidth="1"/>
    <col min="21" max="21" width="14.1640625" style="193" customWidth="1"/>
    <col min="22" max="16384" width="10.6640625" style="193"/>
  </cols>
  <sheetData>
    <row r="1" spans="2:15">
      <c r="C1" s="579" t="s">
        <v>34</v>
      </c>
      <c r="D1" s="579"/>
      <c r="E1" s="579"/>
      <c r="F1" s="579"/>
      <c r="G1" s="270" t="s">
        <v>146</v>
      </c>
    </row>
    <row r="2" spans="2:15">
      <c r="C2" s="579" t="s">
        <v>87</v>
      </c>
      <c r="D2" s="579"/>
      <c r="E2" s="579"/>
      <c r="F2" s="579"/>
      <c r="G2" s="270" t="s">
        <v>35</v>
      </c>
    </row>
    <row r="3" spans="2:15">
      <c r="C3" s="579" t="s">
        <v>169</v>
      </c>
      <c r="D3" s="579"/>
      <c r="E3" s="579"/>
      <c r="F3" s="579"/>
      <c r="G3" s="271" t="s">
        <v>142</v>
      </c>
    </row>
    <row r="4" spans="2:15" s="194" customFormat="1">
      <c r="C4" s="579" t="s">
        <v>36</v>
      </c>
      <c r="D4" s="579"/>
      <c r="E4" s="579"/>
      <c r="F4" s="579"/>
      <c r="G4" s="195"/>
      <c r="H4" s="195"/>
      <c r="I4" s="195"/>
      <c r="J4" s="195"/>
      <c r="K4" s="195"/>
      <c r="L4" s="195"/>
      <c r="M4" s="195"/>
      <c r="N4" s="195"/>
      <c r="O4" s="195"/>
    </row>
    <row r="5" spans="2:15">
      <c r="B5" s="196"/>
      <c r="C5" s="196"/>
      <c r="D5" s="196"/>
      <c r="E5" s="196"/>
      <c r="F5" s="197"/>
    </row>
    <row r="6" spans="2:15" s="200" customFormat="1" ht="60">
      <c r="B6" s="177" t="s">
        <v>0</v>
      </c>
      <c r="C6" s="198" t="s">
        <v>136</v>
      </c>
      <c r="D6" s="177" t="s">
        <v>147</v>
      </c>
      <c r="E6" s="176" t="s">
        <v>148</v>
      </c>
      <c r="F6" s="177" t="s">
        <v>149</v>
      </c>
      <c r="G6" s="177" t="s">
        <v>150</v>
      </c>
      <c r="H6" s="199"/>
      <c r="I6" s="199"/>
      <c r="J6" s="199"/>
      <c r="K6" s="199"/>
    </row>
    <row r="7" spans="2:15">
      <c r="B7" s="201" t="s">
        <v>9</v>
      </c>
      <c r="C7" s="202" t="s">
        <v>10</v>
      </c>
      <c r="D7" s="203" t="s">
        <v>11</v>
      </c>
      <c r="E7" s="178" t="s">
        <v>12</v>
      </c>
      <c r="F7" s="179" t="s">
        <v>88</v>
      </c>
      <c r="G7" s="179" t="s">
        <v>50</v>
      </c>
      <c r="H7" s="197"/>
      <c r="I7" s="197"/>
      <c r="J7" s="197"/>
      <c r="K7" s="197"/>
    </row>
    <row r="8" spans="2:15">
      <c r="B8" s="204" t="s">
        <v>89</v>
      </c>
      <c r="C8" s="107"/>
      <c r="D8" s="107"/>
      <c r="E8" s="107"/>
      <c r="F8" s="180"/>
      <c r="G8" s="107"/>
    </row>
    <row r="9" spans="2:15">
      <c r="B9" s="205" t="s">
        <v>91</v>
      </c>
      <c r="C9" s="206">
        <v>502</v>
      </c>
      <c r="D9" s="7">
        <v>-3.8400000000000001E-3</v>
      </c>
      <c r="E9" s="7">
        <v>7.9900000000000006E-3</v>
      </c>
      <c r="F9" s="87">
        <f t="shared" ref="F9:F17" si="0">SUM(D9:E9)</f>
        <v>4.1500000000000009E-3</v>
      </c>
      <c r="G9" s="181">
        <f t="shared" ref="G9:G17" si="1">+E9</f>
        <v>7.9900000000000006E-3</v>
      </c>
      <c r="H9" s="4"/>
      <c r="I9" s="196"/>
    </row>
    <row r="10" spans="2:15">
      <c r="B10" s="207" t="s">
        <v>54</v>
      </c>
      <c r="C10" s="208">
        <v>503</v>
      </c>
      <c r="D10" s="7">
        <f>+D9</f>
        <v>-3.8400000000000001E-3</v>
      </c>
      <c r="E10" s="7">
        <v>7.9900000000000006E-3</v>
      </c>
      <c r="F10" s="87">
        <f t="shared" si="0"/>
        <v>4.1500000000000009E-3</v>
      </c>
      <c r="G10" s="88">
        <f t="shared" si="1"/>
        <v>7.9900000000000006E-3</v>
      </c>
      <c r="H10" s="4"/>
      <c r="I10" s="89"/>
      <c r="J10" s="36"/>
      <c r="K10" s="36"/>
    </row>
    <row r="11" spans="2:15">
      <c r="B11" s="207" t="s">
        <v>62</v>
      </c>
      <c r="C11" s="208">
        <v>504</v>
      </c>
      <c r="D11" s="7">
        <v>-3.7200000000000002E-3</v>
      </c>
      <c r="E11" s="7">
        <v>8.1300000000000001E-3</v>
      </c>
      <c r="F11" s="87">
        <f t="shared" si="0"/>
        <v>4.4099999999999999E-3</v>
      </c>
      <c r="G11" s="88">
        <f t="shared" si="1"/>
        <v>8.1300000000000001E-3</v>
      </c>
      <c r="H11" s="4"/>
      <c r="I11" s="89"/>
      <c r="J11" s="36"/>
      <c r="K11" s="36"/>
    </row>
    <row r="12" spans="2:15">
      <c r="B12" s="207" t="s">
        <v>93</v>
      </c>
      <c r="C12" s="208">
        <v>512</v>
      </c>
      <c r="D12" s="7">
        <v>-2.7299999999999998E-3</v>
      </c>
      <c r="E12" s="7">
        <v>5.0899999999999999E-3</v>
      </c>
      <c r="F12" s="87">
        <f t="shared" si="0"/>
        <v>2.3600000000000001E-3</v>
      </c>
      <c r="G12" s="88">
        <f t="shared" si="1"/>
        <v>5.0899999999999999E-3</v>
      </c>
      <c r="H12" s="4"/>
      <c r="I12" s="89"/>
      <c r="J12" s="36"/>
      <c r="K12" s="36"/>
    </row>
    <row r="13" spans="2:15">
      <c r="B13" s="207" t="s">
        <v>94</v>
      </c>
      <c r="C13" s="208">
        <v>541</v>
      </c>
      <c r="D13" s="7">
        <v>-3.7200000000000002E-3</v>
      </c>
      <c r="E13" s="7">
        <v>8.1300000000000001E-3</v>
      </c>
      <c r="F13" s="87">
        <f t="shared" si="0"/>
        <v>4.4099999999999999E-3</v>
      </c>
      <c r="G13" s="88">
        <f t="shared" si="1"/>
        <v>8.1300000000000001E-3</v>
      </c>
      <c r="H13" s="4"/>
      <c r="I13" s="89"/>
      <c r="J13" s="36"/>
      <c r="K13" s="36"/>
    </row>
    <row r="14" spans="2:15">
      <c r="B14" s="207" t="s">
        <v>138</v>
      </c>
      <c r="C14" s="209">
        <v>511</v>
      </c>
      <c r="D14" s="7">
        <v>-2.16E-3</v>
      </c>
      <c r="E14" s="7">
        <v>4.79E-3</v>
      </c>
      <c r="F14" s="87">
        <f t="shared" si="0"/>
        <v>2.63E-3</v>
      </c>
      <c r="G14" s="88">
        <f t="shared" si="1"/>
        <v>4.79E-3</v>
      </c>
      <c r="H14" s="4"/>
      <c r="I14" s="89"/>
      <c r="J14" s="36"/>
      <c r="K14" s="36"/>
    </row>
    <row r="15" spans="2:15">
      <c r="B15" s="207" t="s">
        <v>66</v>
      </c>
      <c r="C15" s="209">
        <v>505</v>
      </c>
      <c r="D15" s="7">
        <v>-5.2199999999999998E-3</v>
      </c>
      <c r="E15" s="7">
        <v>6.1000000000000004E-3</v>
      </c>
      <c r="F15" s="87">
        <f t="shared" si="0"/>
        <v>8.8000000000000057E-4</v>
      </c>
      <c r="G15" s="88">
        <f t="shared" si="1"/>
        <v>6.1000000000000004E-3</v>
      </c>
      <c r="H15" s="4"/>
      <c r="I15" s="89"/>
      <c r="J15" s="36"/>
      <c r="K15" s="36"/>
    </row>
    <row r="16" spans="2:15">
      <c r="B16" s="207" t="s">
        <v>90</v>
      </c>
      <c r="C16" s="209">
        <v>570</v>
      </c>
      <c r="D16" s="7">
        <v>-5.5000000000000003E-4</v>
      </c>
      <c r="E16" s="7">
        <v>1.16E-3</v>
      </c>
      <c r="F16" s="87">
        <f t="shared" si="0"/>
        <v>6.0999999999999997E-4</v>
      </c>
      <c r="G16" s="88">
        <f t="shared" si="1"/>
        <v>1.16E-3</v>
      </c>
      <c r="H16" s="4"/>
      <c r="I16" s="89"/>
      <c r="J16" s="36"/>
      <c r="K16" s="36"/>
    </row>
    <row r="17" spans="2:22">
      <c r="B17" s="207" t="s">
        <v>92</v>
      </c>
      <c r="C17" s="209">
        <v>577</v>
      </c>
      <c r="D17" s="7">
        <v>-1E-3</v>
      </c>
      <c r="E17" s="7">
        <v>2.31E-3</v>
      </c>
      <c r="F17" s="87">
        <f t="shared" si="0"/>
        <v>1.31E-3</v>
      </c>
      <c r="G17" s="88">
        <f t="shared" si="1"/>
        <v>2.31E-3</v>
      </c>
      <c r="H17" s="4"/>
      <c r="I17" s="89"/>
      <c r="J17" s="36"/>
      <c r="K17" s="36"/>
    </row>
    <row r="18" spans="2:22">
      <c r="B18" s="210"/>
      <c r="C18" s="106"/>
      <c r="D18" s="106"/>
      <c r="E18" s="106"/>
      <c r="F18" s="182"/>
      <c r="G18" s="106"/>
      <c r="H18" s="89"/>
      <c r="I18" s="89"/>
      <c r="J18" s="36"/>
      <c r="K18" s="36"/>
    </row>
    <row r="19" spans="2:22">
      <c r="B19" s="204" t="s">
        <v>151</v>
      </c>
      <c r="C19" s="107"/>
      <c r="D19" s="107"/>
      <c r="E19" s="107"/>
      <c r="F19" s="107"/>
      <c r="G19" s="222"/>
      <c r="H19" s="36"/>
      <c r="I19" s="36"/>
      <c r="J19" s="36"/>
      <c r="K19" s="36"/>
    </row>
    <row r="20" spans="2:22">
      <c r="B20" s="223" t="s">
        <v>152</v>
      </c>
      <c r="C20" s="213">
        <v>663</v>
      </c>
      <c r="D20" s="224">
        <v>-2.9E-4</v>
      </c>
      <c r="E20" s="7">
        <v>6.6E-4</v>
      </c>
      <c r="F20" s="225">
        <f>SUM(D20:E20)</f>
        <v>3.6999999999999999E-4</v>
      </c>
      <c r="G20" s="88">
        <f>+E20</f>
        <v>6.6E-4</v>
      </c>
      <c r="H20" s="36"/>
      <c r="I20" s="36"/>
      <c r="J20" s="36"/>
      <c r="K20" s="36"/>
    </row>
    <row r="21" spans="2:22">
      <c r="B21" s="223" t="s">
        <v>153</v>
      </c>
      <c r="C21" s="213" t="s">
        <v>31</v>
      </c>
      <c r="D21" s="7">
        <v>0</v>
      </c>
      <c r="E21" s="7">
        <v>0</v>
      </c>
      <c r="F21" s="87">
        <f>SUM(D21:E21)</f>
        <v>0</v>
      </c>
      <c r="G21" s="88">
        <f>+E21</f>
        <v>0</v>
      </c>
      <c r="H21" s="36"/>
      <c r="I21" s="36"/>
      <c r="J21" s="36"/>
      <c r="K21" s="36"/>
    </row>
    <row r="22" spans="2:22">
      <c r="B22" s="226" t="s">
        <v>154</v>
      </c>
      <c r="C22" s="227" t="s">
        <v>155</v>
      </c>
      <c r="D22" s="228">
        <v>0</v>
      </c>
      <c r="E22" s="229">
        <v>0</v>
      </c>
      <c r="F22" s="230">
        <f>SUM(E22:E22)</f>
        <v>0</v>
      </c>
      <c r="G22" s="231">
        <f>+E22</f>
        <v>0</v>
      </c>
      <c r="H22" s="36"/>
      <c r="I22" s="36"/>
      <c r="J22" s="36"/>
      <c r="K22" s="36"/>
    </row>
    <row r="23" spans="2:22" s="196" customFormat="1">
      <c r="B23" s="211"/>
      <c r="G23" s="89"/>
      <c r="H23" s="89"/>
      <c r="I23" s="89"/>
      <c r="J23" s="89"/>
      <c r="K23" s="89"/>
    </row>
    <row r="24" spans="2:22">
      <c r="B24" s="212" t="s">
        <v>156</v>
      </c>
      <c r="G24" s="5"/>
      <c r="Q24" s="36"/>
      <c r="R24" s="36"/>
      <c r="S24" s="36"/>
      <c r="T24" s="36"/>
      <c r="U24" s="36"/>
      <c r="V24" s="36"/>
    </row>
    <row r="25" spans="2:22">
      <c r="B25" s="212" t="s">
        <v>139</v>
      </c>
      <c r="F25" s="213"/>
      <c r="G25" s="5"/>
      <c r="Q25" s="36"/>
      <c r="R25" s="36"/>
      <c r="S25" s="36"/>
      <c r="T25" s="36"/>
      <c r="U25" s="36"/>
    </row>
    <row r="26" spans="2:22">
      <c r="B26" s="212" t="s">
        <v>140</v>
      </c>
      <c r="F26" s="213"/>
      <c r="G26" s="5"/>
      <c r="Q26" s="36"/>
      <c r="R26" s="36"/>
      <c r="S26" s="36"/>
      <c r="T26" s="36"/>
      <c r="U26" s="36"/>
    </row>
    <row r="27" spans="2:22">
      <c r="B27" s="214"/>
      <c r="F27" s="213"/>
      <c r="G27" s="5"/>
    </row>
    <row r="28" spans="2:22">
      <c r="B28" s="214"/>
      <c r="F28" s="213"/>
      <c r="G28" s="91"/>
      <c r="H28" s="91"/>
      <c r="I28" s="91"/>
    </row>
    <row r="29" spans="2:22">
      <c r="F29" s="215"/>
      <c r="K29" s="91"/>
    </row>
    <row r="30" spans="2:22">
      <c r="F30" s="216"/>
      <c r="K30" s="91"/>
    </row>
    <row r="31" spans="2:22">
      <c r="K31" s="91"/>
    </row>
    <row r="32" spans="2:22">
      <c r="K32" s="91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8" bestFit="1" customWidth="1"/>
    <col min="2" max="2" width="9.33203125" style="185"/>
    <col min="3" max="3" width="19.5" style="185" customWidth="1"/>
    <col min="4" max="4" width="13.5" style="185" customWidth="1"/>
    <col min="5" max="5" width="11" style="185" customWidth="1"/>
    <col min="6" max="6" width="17.1640625" style="185" customWidth="1"/>
    <col min="7" max="7" width="1.33203125" style="16" customWidth="1"/>
    <col min="8" max="8" width="15.33203125" style="185" customWidth="1"/>
    <col min="9" max="10" width="1.33203125" style="16" customWidth="1"/>
    <col min="11" max="11" width="15.33203125" style="9" customWidth="1"/>
    <col min="12" max="12" width="16.1640625" style="185" customWidth="1"/>
    <col min="13" max="13" width="11.33203125" style="185" hidden="1" customWidth="1" outlineLevel="1"/>
    <col min="14" max="14" width="9.33203125" style="185" collapsed="1"/>
    <col min="15" max="251" width="9.33203125" style="185"/>
    <col min="252" max="252" width="5" style="185" customWidth="1"/>
    <col min="253" max="253" width="9.33203125" style="185"/>
    <col min="254" max="254" width="21.6640625" style="185" customWidth="1"/>
    <col min="255" max="255" width="13.5" style="185" customWidth="1"/>
    <col min="256" max="256" width="10.5" style="185" customWidth="1"/>
    <col min="257" max="257" width="15.1640625" style="185" customWidth="1"/>
    <col min="258" max="258" width="3.6640625" style="185" customWidth="1"/>
    <col min="259" max="259" width="13.1640625" style="185" customWidth="1"/>
    <col min="260" max="260" width="3.83203125" style="185" customWidth="1"/>
    <col min="261" max="261" width="15" style="185" customWidth="1"/>
    <col min="262" max="262" width="3.6640625" style="185" customWidth="1"/>
    <col min="263" max="264" width="13" style="185" customWidth="1"/>
    <col min="265" max="265" width="0" style="185" hidden="1" customWidth="1"/>
    <col min="266" max="267" width="9.33203125" style="185"/>
    <col min="268" max="268" width="15.83203125" style="185" customWidth="1"/>
    <col min="269" max="507" width="9.33203125" style="185"/>
    <col min="508" max="508" width="5" style="185" customWidth="1"/>
    <col min="509" max="509" width="9.33203125" style="185"/>
    <col min="510" max="510" width="21.6640625" style="185" customWidth="1"/>
    <col min="511" max="511" width="13.5" style="185" customWidth="1"/>
    <col min="512" max="512" width="10.5" style="185" customWidth="1"/>
    <col min="513" max="513" width="15.1640625" style="185" customWidth="1"/>
    <col min="514" max="514" width="3.6640625" style="185" customWidth="1"/>
    <col min="515" max="515" width="13.1640625" style="185" customWidth="1"/>
    <col min="516" max="516" width="3.83203125" style="185" customWidth="1"/>
    <col min="517" max="517" width="15" style="185" customWidth="1"/>
    <col min="518" max="518" width="3.6640625" style="185" customWidth="1"/>
    <col min="519" max="520" width="13" style="185" customWidth="1"/>
    <col min="521" max="521" width="0" style="185" hidden="1" customWidth="1"/>
    <col min="522" max="523" width="9.33203125" style="185"/>
    <col min="524" max="524" width="15.83203125" style="185" customWidth="1"/>
    <col min="525" max="763" width="9.33203125" style="185"/>
    <col min="764" max="764" width="5" style="185" customWidth="1"/>
    <col min="765" max="765" width="9.33203125" style="185"/>
    <col min="766" max="766" width="21.6640625" style="185" customWidth="1"/>
    <col min="767" max="767" width="13.5" style="185" customWidth="1"/>
    <col min="768" max="768" width="10.5" style="185" customWidth="1"/>
    <col min="769" max="769" width="15.1640625" style="185" customWidth="1"/>
    <col min="770" max="770" width="3.6640625" style="185" customWidth="1"/>
    <col min="771" max="771" width="13.1640625" style="185" customWidth="1"/>
    <col min="772" max="772" width="3.83203125" style="185" customWidth="1"/>
    <col min="773" max="773" width="15" style="185" customWidth="1"/>
    <col min="774" max="774" width="3.6640625" style="185" customWidth="1"/>
    <col min="775" max="776" width="13" style="185" customWidth="1"/>
    <col min="777" max="777" width="0" style="185" hidden="1" customWidth="1"/>
    <col min="778" max="779" width="9.33203125" style="185"/>
    <col min="780" max="780" width="15.83203125" style="185" customWidth="1"/>
    <col min="781" max="1019" width="9.33203125" style="185"/>
    <col min="1020" max="1020" width="5" style="185" customWidth="1"/>
    <col min="1021" max="1021" width="9.33203125" style="185"/>
    <col min="1022" max="1022" width="21.6640625" style="185" customWidth="1"/>
    <col min="1023" max="1023" width="13.5" style="185" customWidth="1"/>
    <col min="1024" max="1024" width="10.5" style="185" customWidth="1"/>
    <col min="1025" max="1025" width="15.1640625" style="185" customWidth="1"/>
    <col min="1026" max="1026" width="3.6640625" style="185" customWidth="1"/>
    <col min="1027" max="1027" width="13.1640625" style="185" customWidth="1"/>
    <col min="1028" max="1028" width="3.83203125" style="185" customWidth="1"/>
    <col min="1029" max="1029" width="15" style="185" customWidth="1"/>
    <col min="1030" max="1030" width="3.6640625" style="185" customWidth="1"/>
    <col min="1031" max="1032" width="13" style="185" customWidth="1"/>
    <col min="1033" max="1033" width="0" style="185" hidden="1" customWidth="1"/>
    <col min="1034" max="1035" width="9.33203125" style="185"/>
    <col min="1036" max="1036" width="15.83203125" style="185" customWidth="1"/>
    <col min="1037" max="1275" width="9.33203125" style="185"/>
    <col min="1276" max="1276" width="5" style="185" customWidth="1"/>
    <col min="1277" max="1277" width="9.33203125" style="185"/>
    <col min="1278" max="1278" width="21.6640625" style="185" customWidth="1"/>
    <col min="1279" max="1279" width="13.5" style="185" customWidth="1"/>
    <col min="1280" max="1280" width="10.5" style="185" customWidth="1"/>
    <col min="1281" max="1281" width="15.1640625" style="185" customWidth="1"/>
    <col min="1282" max="1282" width="3.6640625" style="185" customWidth="1"/>
    <col min="1283" max="1283" width="13.1640625" style="185" customWidth="1"/>
    <col min="1284" max="1284" width="3.83203125" style="185" customWidth="1"/>
    <col min="1285" max="1285" width="15" style="185" customWidth="1"/>
    <col min="1286" max="1286" width="3.6640625" style="185" customWidth="1"/>
    <col min="1287" max="1288" width="13" style="185" customWidth="1"/>
    <col min="1289" max="1289" width="0" style="185" hidden="1" customWidth="1"/>
    <col min="1290" max="1291" width="9.33203125" style="185"/>
    <col min="1292" max="1292" width="15.83203125" style="185" customWidth="1"/>
    <col min="1293" max="1531" width="9.33203125" style="185"/>
    <col min="1532" max="1532" width="5" style="185" customWidth="1"/>
    <col min="1533" max="1533" width="9.33203125" style="185"/>
    <col min="1534" max="1534" width="21.6640625" style="185" customWidth="1"/>
    <col min="1535" max="1535" width="13.5" style="185" customWidth="1"/>
    <col min="1536" max="1536" width="10.5" style="185" customWidth="1"/>
    <col min="1537" max="1537" width="15.1640625" style="185" customWidth="1"/>
    <col min="1538" max="1538" width="3.6640625" style="185" customWidth="1"/>
    <col min="1539" max="1539" width="13.1640625" style="185" customWidth="1"/>
    <col min="1540" max="1540" width="3.83203125" style="185" customWidth="1"/>
    <col min="1541" max="1541" width="15" style="185" customWidth="1"/>
    <col min="1542" max="1542" width="3.6640625" style="185" customWidth="1"/>
    <col min="1543" max="1544" width="13" style="185" customWidth="1"/>
    <col min="1545" max="1545" width="0" style="185" hidden="1" customWidth="1"/>
    <col min="1546" max="1547" width="9.33203125" style="185"/>
    <col min="1548" max="1548" width="15.83203125" style="185" customWidth="1"/>
    <col min="1549" max="1787" width="9.33203125" style="185"/>
    <col min="1788" max="1788" width="5" style="185" customWidth="1"/>
    <col min="1789" max="1789" width="9.33203125" style="185"/>
    <col min="1790" max="1790" width="21.6640625" style="185" customWidth="1"/>
    <col min="1791" max="1791" width="13.5" style="185" customWidth="1"/>
    <col min="1792" max="1792" width="10.5" style="185" customWidth="1"/>
    <col min="1793" max="1793" width="15.1640625" style="185" customWidth="1"/>
    <col min="1794" max="1794" width="3.6640625" style="185" customWidth="1"/>
    <col min="1795" max="1795" width="13.1640625" style="185" customWidth="1"/>
    <col min="1796" max="1796" width="3.83203125" style="185" customWidth="1"/>
    <col min="1797" max="1797" width="15" style="185" customWidth="1"/>
    <col min="1798" max="1798" width="3.6640625" style="185" customWidth="1"/>
    <col min="1799" max="1800" width="13" style="185" customWidth="1"/>
    <col min="1801" max="1801" width="0" style="185" hidden="1" customWidth="1"/>
    <col min="1802" max="1803" width="9.33203125" style="185"/>
    <col min="1804" max="1804" width="15.83203125" style="185" customWidth="1"/>
    <col min="1805" max="2043" width="9.33203125" style="185"/>
    <col min="2044" max="2044" width="5" style="185" customWidth="1"/>
    <col min="2045" max="2045" width="9.33203125" style="185"/>
    <col min="2046" max="2046" width="21.6640625" style="185" customWidth="1"/>
    <col min="2047" max="2047" width="13.5" style="185" customWidth="1"/>
    <col min="2048" max="2048" width="10.5" style="185" customWidth="1"/>
    <col min="2049" max="2049" width="15.1640625" style="185" customWidth="1"/>
    <col min="2050" max="2050" width="3.6640625" style="185" customWidth="1"/>
    <col min="2051" max="2051" width="13.1640625" style="185" customWidth="1"/>
    <col min="2052" max="2052" width="3.83203125" style="185" customWidth="1"/>
    <col min="2053" max="2053" width="15" style="185" customWidth="1"/>
    <col min="2054" max="2054" width="3.6640625" style="185" customWidth="1"/>
    <col min="2055" max="2056" width="13" style="185" customWidth="1"/>
    <col min="2057" max="2057" width="0" style="185" hidden="1" customWidth="1"/>
    <col min="2058" max="2059" width="9.33203125" style="185"/>
    <col min="2060" max="2060" width="15.83203125" style="185" customWidth="1"/>
    <col min="2061" max="2299" width="9.33203125" style="185"/>
    <col min="2300" max="2300" width="5" style="185" customWidth="1"/>
    <col min="2301" max="2301" width="9.33203125" style="185"/>
    <col min="2302" max="2302" width="21.6640625" style="185" customWidth="1"/>
    <col min="2303" max="2303" width="13.5" style="185" customWidth="1"/>
    <col min="2304" max="2304" width="10.5" style="185" customWidth="1"/>
    <col min="2305" max="2305" width="15.1640625" style="185" customWidth="1"/>
    <col min="2306" max="2306" width="3.6640625" style="185" customWidth="1"/>
    <col min="2307" max="2307" width="13.1640625" style="185" customWidth="1"/>
    <col min="2308" max="2308" width="3.83203125" style="185" customWidth="1"/>
    <col min="2309" max="2309" width="15" style="185" customWidth="1"/>
    <col min="2310" max="2310" width="3.6640625" style="185" customWidth="1"/>
    <col min="2311" max="2312" width="13" style="185" customWidth="1"/>
    <col min="2313" max="2313" width="0" style="185" hidden="1" customWidth="1"/>
    <col min="2314" max="2315" width="9.33203125" style="185"/>
    <col min="2316" max="2316" width="15.83203125" style="185" customWidth="1"/>
    <col min="2317" max="2555" width="9.33203125" style="185"/>
    <col min="2556" max="2556" width="5" style="185" customWidth="1"/>
    <col min="2557" max="2557" width="9.33203125" style="185"/>
    <col min="2558" max="2558" width="21.6640625" style="185" customWidth="1"/>
    <col min="2559" max="2559" width="13.5" style="185" customWidth="1"/>
    <col min="2560" max="2560" width="10.5" style="185" customWidth="1"/>
    <col min="2561" max="2561" width="15.1640625" style="185" customWidth="1"/>
    <col min="2562" max="2562" width="3.6640625" style="185" customWidth="1"/>
    <col min="2563" max="2563" width="13.1640625" style="185" customWidth="1"/>
    <col min="2564" max="2564" width="3.83203125" style="185" customWidth="1"/>
    <col min="2565" max="2565" width="15" style="185" customWidth="1"/>
    <col min="2566" max="2566" width="3.6640625" style="185" customWidth="1"/>
    <col min="2567" max="2568" width="13" style="185" customWidth="1"/>
    <col min="2569" max="2569" width="0" style="185" hidden="1" customWidth="1"/>
    <col min="2570" max="2571" width="9.33203125" style="185"/>
    <col min="2572" max="2572" width="15.83203125" style="185" customWidth="1"/>
    <col min="2573" max="2811" width="9.33203125" style="185"/>
    <col min="2812" max="2812" width="5" style="185" customWidth="1"/>
    <col min="2813" max="2813" width="9.33203125" style="185"/>
    <col min="2814" max="2814" width="21.6640625" style="185" customWidth="1"/>
    <col min="2815" max="2815" width="13.5" style="185" customWidth="1"/>
    <col min="2816" max="2816" width="10.5" style="185" customWidth="1"/>
    <col min="2817" max="2817" width="15.1640625" style="185" customWidth="1"/>
    <col min="2818" max="2818" width="3.6640625" style="185" customWidth="1"/>
    <col min="2819" max="2819" width="13.1640625" style="185" customWidth="1"/>
    <col min="2820" max="2820" width="3.83203125" style="185" customWidth="1"/>
    <col min="2821" max="2821" width="15" style="185" customWidth="1"/>
    <col min="2822" max="2822" width="3.6640625" style="185" customWidth="1"/>
    <col min="2823" max="2824" width="13" style="185" customWidth="1"/>
    <col min="2825" max="2825" width="0" style="185" hidden="1" customWidth="1"/>
    <col min="2826" max="2827" width="9.33203125" style="185"/>
    <col min="2828" max="2828" width="15.83203125" style="185" customWidth="1"/>
    <col min="2829" max="3067" width="9.33203125" style="185"/>
    <col min="3068" max="3068" width="5" style="185" customWidth="1"/>
    <col min="3069" max="3069" width="9.33203125" style="185"/>
    <col min="3070" max="3070" width="21.6640625" style="185" customWidth="1"/>
    <col min="3071" max="3071" width="13.5" style="185" customWidth="1"/>
    <col min="3072" max="3072" width="10.5" style="185" customWidth="1"/>
    <col min="3073" max="3073" width="15.1640625" style="185" customWidth="1"/>
    <col min="3074" max="3074" width="3.6640625" style="185" customWidth="1"/>
    <col min="3075" max="3075" width="13.1640625" style="185" customWidth="1"/>
    <col min="3076" max="3076" width="3.83203125" style="185" customWidth="1"/>
    <col min="3077" max="3077" width="15" style="185" customWidth="1"/>
    <col min="3078" max="3078" width="3.6640625" style="185" customWidth="1"/>
    <col min="3079" max="3080" width="13" style="185" customWidth="1"/>
    <col min="3081" max="3081" width="0" style="185" hidden="1" customWidth="1"/>
    <col min="3082" max="3083" width="9.33203125" style="185"/>
    <col min="3084" max="3084" width="15.83203125" style="185" customWidth="1"/>
    <col min="3085" max="3323" width="9.33203125" style="185"/>
    <col min="3324" max="3324" width="5" style="185" customWidth="1"/>
    <col min="3325" max="3325" width="9.33203125" style="185"/>
    <col min="3326" max="3326" width="21.6640625" style="185" customWidth="1"/>
    <col min="3327" max="3327" width="13.5" style="185" customWidth="1"/>
    <col min="3328" max="3328" width="10.5" style="185" customWidth="1"/>
    <col min="3329" max="3329" width="15.1640625" style="185" customWidth="1"/>
    <col min="3330" max="3330" width="3.6640625" style="185" customWidth="1"/>
    <col min="3331" max="3331" width="13.1640625" style="185" customWidth="1"/>
    <col min="3332" max="3332" width="3.83203125" style="185" customWidth="1"/>
    <col min="3333" max="3333" width="15" style="185" customWidth="1"/>
    <col min="3334" max="3334" width="3.6640625" style="185" customWidth="1"/>
    <col min="3335" max="3336" width="13" style="185" customWidth="1"/>
    <col min="3337" max="3337" width="0" style="185" hidden="1" customWidth="1"/>
    <col min="3338" max="3339" width="9.33203125" style="185"/>
    <col min="3340" max="3340" width="15.83203125" style="185" customWidth="1"/>
    <col min="3341" max="3579" width="9.33203125" style="185"/>
    <col min="3580" max="3580" width="5" style="185" customWidth="1"/>
    <col min="3581" max="3581" width="9.33203125" style="185"/>
    <col min="3582" max="3582" width="21.6640625" style="185" customWidth="1"/>
    <col min="3583" max="3583" width="13.5" style="185" customWidth="1"/>
    <col min="3584" max="3584" width="10.5" style="185" customWidth="1"/>
    <col min="3585" max="3585" width="15.1640625" style="185" customWidth="1"/>
    <col min="3586" max="3586" width="3.6640625" style="185" customWidth="1"/>
    <col min="3587" max="3587" width="13.1640625" style="185" customWidth="1"/>
    <col min="3588" max="3588" width="3.83203125" style="185" customWidth="1"/>
    <col min="3589" max="3589" width="15" style="185" customWidth="1"/>
    <col min="3590" max="3590" width="3.6640625" style="185" customWidth="1"/>
    <col min="3591" max="3592" width="13" style="185" customWidth="1"/>
    <col min="3593" max="3593" width="0" style="185" hidden="1" customWidth="1"/>
    <col min="3594" max="3595" width="9.33203125" style="185"/>
    <col min="3596" max="3596" width="15.83203125" style="185" customWidth="1"/>
    <col min="3597" max="3835" width="9.33203125" style="185"/>
    <col min="3836" max="3836" width="5" style="185" customWidth="1"/>
    <col min="3837" max="3837" width="9.33203125" style="185"/>
    <col min="3838" max="3838" width="21.6640625" style="185" customWidth="1"/>
    <col min="3839" max="3839" width="13.5" style="185" customWidth="1"/>
    <col min="3840" max="3840" width="10.5" style="185" customWidth="1"/>
    <col min="3841" max="3841" width="15.1640625" style="185" customWidth="1"/>
    <col min="3842" max="3842" width="3.6640625" style="185" customWidth="1"/>
    <col min="3843" max="3843" width="13.1640625" style="185" customWidth="1"/>
    <col min="3844" max="3844" width="3.83203125" style="185" customWidth="1"/>
    <col min="3845" max="3845" width="15" style="185" customWidth="1"/>
    <col min="3846" max="3846" width="3.6640625" style="185" customWidth="1"/>
    <col min="3847" max="3848" width="13" style="185" customWidth="1"/>
    <col min="3849" max="3849" width="0" style="185" hidden="1" customWidth="1"/>
    <col min="3850" max="3851" width="9.33203125" style="185"/>
    <col min="3852" max="3852" width="15.83203125" style="185" customWidth="1"/>
    <col min="3853" max="4091" width="9.33203125" style="185"/>
    <col min="4092" max="4092" width="5" style="185" customWidth="1"/>
    <col min="4093" max="4093" width="9.33203125" style="185"/>
    <col min="4094" max="4094" width="21.6640625" style="185" customWidth="1"/>
    <col min="4095" max="4095" width="13.5" style="185" customWidth="1"/>
    <col min="4096" max="4096" width="10.5" style="185" customWidth="1"/>
    <col min="4097" max="4097" width="15.1640625" style="185" customWidth="1"/>
    <col min="4098" max="4098" width="3.6640625" style="185" customWidth="1"/>
    <col min="4099" max="4099" width="13.1640625" style="185" customWidth="1"/>
    <col min="4100" max="4100" width="3.83203125" style="185" customWidth="1"/>
    <col min="4101" max="4101" width="15" style="185" customWidth="1"/>
    <col min="4102" max="4102" width="3.6640625" style="185" customWidth="1"/>
    <col min="4103" max="4104" width="13" style="185" customWidth="1"/>
    <col min="4105" max="4105" width="0" style="185" hidden="1" customWidth="1"/>
    <col min="4106" max="4107" width="9.33203125" style="185"/>
    <col min="4108" max="4108" width="15.83203125" style="185" customWidth="1"/>
    <col min="4109" max="4347" width="9.33203125" style="185"/>
    <col min="4348" max="4348" width="5" style="185" customWidth="1"/>
    <col min="4349" max="4349" width="9.33203125" style="185"/>
    <col min="4350" max="4350" width="21.6640625" style="185" customWidth="1"/>
    <col min="4351" max="4351" width="13.5" style="185" customWidth="1"/>
    <col min="4352" max="4352" width="10.5" style="185" customWidth="1"/>
    <col min="4353" max="4353" width="15.1640625" style="185" customWidth="1"/>
    <col min="4354" max="4354" width="3.6640625" style="185" customWidth="1"/>
    <col min="4355" max="4355" width="13.1640625" style="185" customWidth="1"/>
    <col min="4356" max="4356" width="3.83203125" style="185" customWidth="1"/>
    <col min="4357" max="4357" width="15" style="185" customWidth="1"/>
    <col min="4358" max="4358" width="3.6640625" style="185" customWidth="1"/>
    <col min="4359" max="4360" width="13" style="185" customWidth="1"/>
    <col min="4361" max="4361" width="0" style="185" hidden="1" customWidth="1"/>
    <col min="4362" max="4363" width="9.33203125" style="185"/>
    <col min="4364" max="4364" width="15.83203125" style="185" customWidth="1"/>
    <col min="4365" max="4603" width="9.33203125" style="185"/>
    <col min="4604" max="4604" width="5" style="185" customWidth="1"/>
    <col min="4605" max="4605" width="9.33203125" style="185"/>
    <col min="4606" max="4606" width="21.6640625" style="185" customWidth="1"/>
    <col min="4607" max="4607" width="13.5" style="185" customWidth="1"/>
    <col min="4608" max="4608" width="10.5" style="185" customWidth="1"/>
    <col min="4609" max="4609" width="15.1640625" style="185" customWidth="1"/>
    <col min="4610" max="4610" width="3.6640625" style="185" customWidth="1"/>
    <col min="4611" max="4611" width="13.1640625" style="185" customWidth="1"/>
    <col min="4612" max="4612" width="3.83203125" style="185" customWidth="1"/>
    <col min="4613" max="4613" width="15" style="185" customWidth="1"/>
    <col min="4614" max="4614" width="3.6640625" style="185" customWidth="1"/>
    <col min="4615" max="4616" width="13" style="185" customWidth="1"/>
    <col min="4617" max="4617" width="0" style="185" hidden="1" customWidth="1"/>
    <col min="4618" max="4619" width="9.33203125" style="185"/>
    <col min="4620" max="4620" width="15.83203125" style="185" customWidth="1"/>
    <col min="4621" max="4859" width="9.33203125" style="185"/>
    <col min="4860" max="4860" width="5" style="185" customWidth="1"/>
    <col min="4861" max="4861" width="9.33203125" style="185"/>
    <col min="4862" max="4862" width="21.6640625" style="185" customWidth="1"/>
    <col min="4863" max="4863" width="13.5" style="185" customWidth="1"/>
    <col min="4864" max="4864" width="10.5" style="185" customWidth="1"/>
    <col min="4865" max="4865" width="15.1640625" style="185" customWidth="1"/>
    <col min="4866" max="4866" width="3.6640625" style="185" customWidth="1"/>
    <col min="4867" max="4867" width="13.1640625" style="185" customWidth="1"/>
    <col min="4868" max="4868" width="3.83203125" style="185" customWidth="1"/>
    <col min="4869" max="4869" width="15" style="185" customWidth="1"/>
    <col min="4870" max="4870" width="3.6640625" style="185" customWidth="1"/>
    <col min="4871" max="4872" width="13" style="185" customWidth="1"/>
    <col min="4873" max="4873" width="0" style="185" hidden="1" customWidth="1"/>
    <col min="4874" max="4875" width="9.33203125" style="185"/>
    <col min="4876" max="4876" width="15.83203125" style="185" customWidth="1"/>
    <col min="4877" max="5115" width="9.33203125" style="185"/>
    <col min="5116" max="5116" width="5" style="185" customWidth="1"/>
    <col min="5117" max="5117" width="9.33203125" style="185"/>
    <col min="5118" max="5118" width="21.6640625" style="185" customWidth="1"/>
    <col min="5119" max="5119" width="13.5" style="185" customWidth="1"/>
    <col min="5120" max="5120" width="10.5" style="185" customWidth="1"/>
    <col min="5121" max="5121" width="15.1640625" style="185" customWidth="1"/>
    <col min="5122" max="5122" width="3.6640625" style="185" customWidth="1"/>
    <col min="5123" max="5123" width="13.1640625" style="185" customWidth="1"/>
    <col min="5124" max="5124" width="3.83203125" style="185" customWidth="1"/>
    <col min="5125" max="5125" width="15" style="185" customWidth="1"/>
    <col min="5126" max="5126" width="3.6640625" style="185" customWidth="1"/>
    <col min="5127" max="5128" width="13" style="185" customWidth="1"/>
    <col min="5129" max="5129" width="0" style="185" hidden="1" customWidth="1"/>
    <col min="5130" max="5131" width="9.33203125" style="185"/>
    <col min="5132" max="5132" width="15.83203125" style="185" customWidth="1"/>
    <col min="5133" max="5371" width="9.33203125" style="185"/>
    <col min="5372" max="5372" width="5" style="185" customWidth="1"/>
    <col min="5373" max="5373" width="9.33203125" style="185"/>
    <col min="5374" max="5374" width="21.6640625" style="185" customWidth="1"/>
    <col min="5375" max="5375" width="13.5" style="185" customWidth="1"/>
    <col min="5376" max="5376" width="10.5" style="185" customWidth="1"/>
    <col min="5377" max="5377" width="15.1640625" style="185" customWidth="1"/>
    <col min="5378" max="5378" width="3.6640625" style="185" customWidth="1"/>
    <col min="5379" max="5379" width="13.1640625" style="185" customWidth="1"/>
    <col min="5380" max="5380" width="3.83203125" style="185" customWidth="1"/>
    <col min="5381" max="5381" width="15" style="185" customWidth="1"/>
    <col min="5382" max="5382" width="3.6640625" style="185" customWidth="1"/>
    <col min="5383" max="5384" width="13" style="185" customWidth="1"/>
    <col min="5385" max="5385" width="0" style="185" hidden="1" customWidth="1"/>
    <col min="5386" max="5387" width="9.33203125" style="185"/>
    <col min="5388" max="5388" width="15.83203125" style="185" customWidth="1"/>
    <col min="5389" max="5627" width="9.33203125" style="185"/>
    <col min="5628" max="5628" width="5" style="185" customWidth="1"/>
    <col min="5629" max="5629" width="9.33203125" style="185"/>
    <col min="5630" max="5630" width="21.6640625" style="185" customWidth="1"/>
    <col min="5631" max="5631" width="13.5" style="185" customWidth="1"/>
    <col min="5632" max="5632" width="10.5" style="185" customWidth="1"/>
    <col min="5633" max="5633" width="15.1640625" style="185" customWidth="1"/>
    <col min="5634" max="5634" width="3.6640625" style="185" customWidth="1"/>
    <col min="5635" max="5635" width="13.1640625" style="185" customWidth="1"/>
    <col min="5636" max="5636" width="3.83203125" style="185" customWidth="1"/>
    <col min="5637" max="5637" width="15" style="185" customWidth="1"/>
    <col min="5638" max="5638" width="3.6640625" style="185" customWidth="1"/>
    <col min="5639" max="5640" width="13" style="185" customWidth="1"/>
    <col min="5641" max="5641" width="0" style="185" hidden="1" customWidth="1"/>
    <col min="5642" max="5643" width="9.33203125" style="185"/>
    <col min="5644" max="5644" width="15.83203125" style="185" customWidth="1"/>
    <col min="5645" max="5883" width="9.33203125" style="185"/>
    <col min="5884" max="5884" width="5" style="185" customWidth="1"/>
    <col min="5885" max="5885" width="9.33203125" style="185"/>
    <col min="5886" max="5886" width="21.6640625" style="185" customWidth="1"/>
    <col min="5887" max="5887" width="13.5" style="185" customWidth="1"/>
    <col min="5888" max="5888" width="10.5" style="185" customWidth="1"/>
    <col min="5889" max="5889" width="15.1640625" style="185" customWidth="1"/>
    <col min="5890" max="5890" width="3.6640625" style="185" customWidth="1"/>
    <col min="5891" max="5891" width="13.1640625" style="185" customWidth="1"/>
    <col min="5892" max="5892" width="3.83203125" style="185" customWidth="1"/>
    <col min="5893" max="5893" width="15" style="185" customWidth="1"/>
    <col min="5894" max="5894" width="3.6640625" style="185" customWidth="1"/>
    <col min="5895" max="5896" width="13" style="185" customWidth="1"/>
    <col min="5897" max="5897" width="0" style="185" hidden="1" customWidth="1"/>
    <col min="5898" max="5899" width="9.33203125" style="185"/>
    <col min="5900" max="5900" width="15.83203125" style="185" customWidth="1"/>
    <col min="5901" max="6139" width="9.33203125" style="185"/>
    <col min="6140" max="6140" width="5" style="185" customWidth="1"/>
    <col min="6141" max="6141" width="9.33203125" style="185"/>
    <col min="6142" max="6142" width="21.6640625" style="185" customWidth="1"/>
    <col min="6143" max="6143" width="13.5" style="185" customWidth="1"/>
    <col min="6144" max="6144" width="10.5" style="185" customWidth="1"/>
    <col min="6145" max="6145" width="15.1640625" style="185" customWidth="1"/>
    <col min="6146" max="6146" width="3.6640625" style="185" customWidth="1"/>
    <col min="6147" max="6147" width="13.1640625" style="185" customWidth="1"/>
    <col min="6148" max="6148" width="3.83203125" style="185" customWidth="1"/>
    <col min="6149" max="6149" width="15" style="185" customWidth="1"/>
    <col min="6150" max="6150" width="3.6640625" style="185" customWidth="1"/>
    <col min="6151" max="6152" width="13" style="185" customWidth="1"/>
    <col min="6153" max="6153" width="0" style="185" hidden="1" customWidth="1"/>
    <col min="6154" max="6155" width="9.33203125" style="185"/>
    <col min="6156" max="6156" width="15.83203125" style="185" customWidth="1"/>
    <col min="6157" max="6395" width="9.33203125" style="185"/>
    <col min="6396" max="6396" width="5" style="185" customWidth="1"/>
    <col min="6397" max="6397" width="9.33203125" style="185"/>
    <col min="6398" max="6398" width="21.6640625" style="185" customWidth="1"/>
    <col min="6399" max="6399" width="13.5" style="185" customWidth="1"/>
    <col min="6400" max="6400" width="10.5" style="185" customWidth="1"/>
    <col min="6401" max="6401" width="15.1640625" style="185" customWidth="1"/>
    <col min="6402" max="6402" width="3.6640625" style="185" customWidth="1"/>
    <col min="6403" max="6403" width="13.1640625" style="185" customWidth="1"/>
    <col min="6404" max="6404" width="3.83203125" style="185" customWidth="1"/>
    <col min="6405" max="6405" width="15" style="185" customWidth="1"/>
    <col min="6406" max="6406" width="3.6640625" style="185" customWidth="1"/>
    <col min="6407" max="6408" width="13" style="185" customWidth="1"/>
    <col min="6409" max="6409" width="0" style="185" hidden="1" customWidth="1"/>
    <col min="6410" max="6411" width="9.33203125" style="185"/>
    <col min="6412" max="6412" width="15.83203125" style="185" customWidth="1"/>
    <col min="6413" max="6651" width="9.33203125" style="185"/>
    <col min="6652" max="6652" width="5" style="185" customWidth="1"/>
    <col min="6653" max="6653" width="9.33203125" style="185"/>
    <col min="6654" max="6654" width="21.6640625" style="185" customWidth="1"/>
    <col min="6655" max="6655" width="13.5" style="185" customWidth="1"/>
    <col min="6656" max="6656" width="10.5" style="185" customWidth="1"/>
    <col min="6657" max="6657" width="15.1640625" style="185" customWidth="1"/>
    <col min="6658" max="6658" width="3.6640625" style="185" customWidth="1"/>
    <col min="6659" max="6659" width="13.1640625" style="185" customWidth="1"/>
    <col min="6660" max="6660" width="3.83203125" style="185" customWidth="1"/>
    <col min="6661" max="6661" width="15" style="185" customWidth="1"/>
    <col min="6662" max="6662" width="3.6640625" style="185" customWidth="1"/>
    <col min="6663" max="6664" width="13" style="185" customWidth="1"/>
    <col min="6665" max="6665" width="0" style="185" hidden="1" customWidth="1"/>
    <col min="6666" max="6667" width="9.33203125" style="185"/>
    <col min="6668" max="6668" width="15.83203125" style="185" customWidth="1"/>
    <col min="6669" max="6907" width="9.33203125" style="185"/>
    <col min="6908" max="6908" width="5" style="185" customWidth="1"/>
    <col min="6909" max="6909" width="9.33203125" style="185"/>
    <col min="6910" max="6910" width="21.6640625" style="185" customWidth="1"/>
    <col min="6911" max="6911" width="13.5" style="185" customWidth="1"/>
    <col min="6912" max="6912" width="10.5" style="185" customWidth="1"/>
    <col min="6913" max="6913" width="15.1640625" style="185" customWidth="1"/>
    <col min="6914" max="6914" width="3.6640625" style="185" customWidth="1"/>
    <col min="6915" max="6915" width="13.1640625" style="185" customWidth="1"/>
    <col min="6916" max="6916" width="3.83203125" style="185" customWidth="1"/>
    <col min="6917" max="6917" width="15" style="185" customWidth="1"/>
    <col min="6918" max="6918" width="3.6640625" style="185" customWidth="1"/>
    <col min="6919" max="6920" width="13" style="185" customWidth="1"/>
    <col min="6921" max="6921" width="0" style="185" hidden="1" customWidth="1"/>
    <col min="6922" max="6923" width="9.33203125" style="185"/>
    <col min="6924" max="6924" width="15.83203125" style="185" customWidth="1"/>
    <col min="6925" max="7163" width="9.33203125" style="185"/>
    <col min="7164" max="7164" width="5" style="185" customWidth="1"/>
    <col min="7165" max="7165" width="9.33203125" style="185"/>
    <col min="7166" max="7166" width="21.6640625" style="185" customWidth="1"/>
    <col min="7167" max="7167" width="13.5" style="185" customWidth="1"/>
    <col min="7168" max="7168" width="10.5" style="185" customWidth="1"/>
    <col min="7169" max="7169" width="15.1640625" style="185" customWidth="1"/>
    <col min="7170" max="7170" width="3.6640625" style="185" customWidth="1"/>
    <col min="7171" max="7171" width="13.1640625" style="185" customWidth="1"/>
    <col min="7172" max="7172" width="3.83203125" style="185" customWidth="1"/>
    <col min="7173" max="7173" width="15" style="185" customWidth="1"/>
    <col min="7174" max="7174" width="3.6640625" style="185" customWidth="1"/>
    <col min="7175" max="7176" width="13" style="185" customWidth="1"/>
    <col min="7177" max="7177" width="0" style="185" hidden="1" customWidth="1"/>
    <col min="7178" max="7179" width="9.33203125" style="185"/>
    <col min="7180" max="7180" width="15.83203125" style="185" customWidth="1"/>
    <col min="7181" max="7419" width="9.33203125" style="185"/>
    <col min="7420" max="7420" width="5" style="185" customWidth="1"/>
    <col min="7421" max="7421" width="9.33203125" style="185"/>
    <col min="7422" max="7422" width="21.6640625" style="185" customWidth="1"/>
    <col min="7423" max="7423" width="13.5" style="185" customWidth="1"/>
    <col min="7424" max="7424" width="10.5" style="185" customWidth="1"/>
    <col min="7425" max="7425" width="15.1640625" style="185" customWidth="1"/>
    <col min="7426" max="7426" width="3.6640625" style="185" customWidth="1"/>
    <col min="7427" max="7427" width="13.1640625" style="185" customWidth="1"/>
    <col min="7428" max="7428" width="3.83203125" style="185" customWidth="1"/>
    <col min="7429" max="7429" width="15" style="185" customWidth="1"/>
    <col min="7430" max="7430" width="3.6640625" style="185" customWidth="1"/>
    <col min="7431" max="7432" width="13" style="185" customWidth="1"/>
    <col min="7433" max="7433" width="0" style="185" hidden="1" customWidth="1"/>
    <col min="7434" max="7435" width="9.33203125" style="185"/>
    <col min="7436" max="7436" width="15.83203125" style="185" customWidth="1"/>
    <col min="7437" max="7675" width="9.33203125" style="185"/>
    <col min="7676" max="7676" width="5" style="185" customWidth="1"/>
    <col min="7677" max="7677" width="9.33203125" style="185"/>
    <col min="7678" max="7678" width="21.6640625" style="185" customWidth="1"/>
    <col min="7679" max="7679" width="13.5" style="185" customWidth="1"/>
    <col min="7680" max="7680" width="10.5" style="185" customWidth="1"/>
    <col min="7681" max="7681" width="15.1640625" style="185" customWidth="1"/>
    <col min="7682" max="7682" width="3.6640625" style="185" customWidth="1"/>
    <col min="7683" max="7683" width="13.1640625" style="185" customWidth="1"/>
    <col min="7684" max="7684" width="3.83203125" style="185" customWidth="1"/>
    <col min="7685" max="7685" width="15" style="185" customWidth="1"/>
    <col min="7686" max="7686" width="3.6640625" style="185" customWidth="1"/>
    <col min="7687" max="7688" width="13" style="185" customWidth="1"/>
    <col min="7689" max="7689" width="0" style="185" hidden="1" customWidth="1"/>
    <col min="7690" max="7691" width="9.33203125" style="185"/>
    <col min="7692" max="7692" width="15.83203125" style="185" customWidth="1"/>
    <col min="7693" max="7931" width="9.33203125" style="185"/>
    <col min="7932" max="7932" width="5" style="185" customWidth="1"/>
    <col min="7933" max="7933" width="9.33203125" style="185"/>
    <col min="7934" max="7934" width="21.6640625" style="185" customWidth="1"/>
    <col min="7935" max="7935" width="13.5" style="185" customWidth="1"/>
    <col min="7936" max="7936" width="10.5" style="185" customWidth="1"/>
    <col min="7937" max="7937" width="15.1640625" style="185" customWidth="1"/>
    <col min="7938" max="7938" width="3.6640625" style="185" customWidth="1"/>
    <col min="7939" max="7939" width="13.1640625" style="185" customWidth="1"/>
    <col min="7940" max="7940" width="3.83203125" style="185" customWidth="1"/>
    <col min="7941" max="7941" width="15" style="185" customWidth="1"/>
    <col min="7942" max="7942" width="3.6640625" style="185" customWidth="1"/>
    <col min="7943" max="7944" width="13" style="185" customWidth="1"/>
    <col min="7945" max="7945" width="0" style="185" hidden="1" customWidth="1"/>
    <col min="7946" max="7947" width="9.33203125" style="185"/>
    <col min="7948" max="7948" width="15.83203125" style="185" customWidth="1"/>
    <col min="7949" max="8187" width="9.33203125" style="185"/>
    <col min="8188" max="8188" width="5" style="185" customWidth="1"/>
    <col min="8189" max="8189" width="9.33203125" style="185"/>
    <col min="8190" max="8190" width="21.6640625" style="185" customWidth="1"/>
    <col min="8191" max="8191" width="13.5" style="185" customWidth="1"/>
    <col min="8192" max="8192" width="10.5" style="185" customWidth="1"/>
    <col min="8193" max="8193" width="15.1640625" style="185" customWidth="1"/>
    <col min="8194" max="8194" width="3.6640625" style="185" customWidth="1"/>
    <col min="8195" max="8195" width="13.1640625" style="185" customWidth="1"/>
    <col min="8196" max="8196" width="3.83203125" style="185" customWidth="1"/>
    <col min="8197" max="8197" width="15" style="185" customWidth="1"/>
    <col min="8198" max="8198" width="3.6640625" style="185" customWidth="1"/>
    <col min="8199" max="8200" width="13" style="185" customWidth="1"/>
    <col min="8201" max="8201" width="0" style="185" hidden="1" customWidth="1"/>
    <col min="8202" max="8203" width="9.33203125" style="185"/>
    <col min="8204" max="8204" width="15.83203125" style="185" customWidth="1"/>
    <col min="8205" max="8443" width="9.33203125" style="185"/>
    <col min="8444" max="8444" width="5" style="185" customWidth="1"/>
    <col min="8445" max="8445" width="9.33203125" style="185"/>
    <col min="8446" max="8446" width="21.6640625" style="185" customWidth="1"/>
    <col min="8447" max="8447" width="13.5" style="185" customWidth="1"/>
    <col min="8448" max="8448" width="10.5" style="185" customWidth="1"/>
    <col min="8449" max="8449" width="15.1640625" style="185" customWidth="1"/>
    <col min="8450" max="8450" width="3.6640625" style="185" customWidth="1"/>
    <col min="8451" max="8451" width="13.1640625" style="185" customWidth="1"/>
    <col min="8452" max="8452" width="3.83203125" style="185" customWidth="1"/>
    <col min="8453" max="8453" width="15" style="185" customWidth="1"/>
    <col min="8454" max="8454" width="3.6640625" style="185" customWidth="1"/>
    <col min="8455" max="8456" width="13" style="185" customWidth="1"/>
    <col min="8457" max="8457" width="0" style="185" hidden="1" customWidth="1"/>
    <col min="8458" max="8459" width="9.33203125" style="185"/>
    <col min="8460" max="8460" width="15.83203125" style="185" customWidth="1"/>
    <col min="8461" max="8699" width="9.33203125" style="185"/>
    <col min="8700" max="8700" width="5" style="185" customWidth="1"/>
    <col min="8701" max="8701" width="9.33203125" style="185"/>
    <col min="8702" max="8702" width="21.6640625" style="185" customWidth="1"/>
    <col min="8703" max="8703" width="13.5" style="185" customWidth="1"/>
    <col min="8704" max="8704" width="10.5" style="185" customWidth="1"/>
    <col min="8705" max="8705" width="15.1640625" style="185" customWidth="1"/>
    <col min="8706" max="8706" width="3.6640625" style="185" customWidth="1"/>
    <col min="8707" max="8707" width="13.1640625" style="185" customWidth="1"/>
    <col min="8708" max="8708" width="3.83203125" style="185" customWidth="1"/>
    <col min="8709" max="8709" width="15" style="185" customWidth="1"/>
    <col min="8710" max="8710" width="3.6640625" style="185" customWidth="1"/>
    <col min="8711" max="8712" width="13" style="185" customWidth="1"/>
    <col min="8713" max="8713" width="0" style="185" hidden="1" customWidth="1"/>
    <col min="8714" max="8715" width="9.33203125" style="185"/>
    <col min="8716" max="8716" width="15.83203125" style="185" customWidth="1"/>
    <col min="8717" max="8955" width="9.33203125" style="185"/>
    <col min="8956" max="8956" width="5" style="185" customWidth="1"/>
    <col min="8957" max="8957" width="9.33203125" style="185"/>
    <col min="8958" max="8958" width="21.6640625" style="185" customWidth="1"/>
    <col min="8959" max="8959" width="13.5" style="185" customWidth="1"/>
    <col min="8960" max="8960" width="10.5" style="185" customWidth="1"/>
    <col min="8961" max="8961" width="15.1640625" style="185" customWidth="1"/>
    <col min="8962" max="8962" width="3.6640625" style="185" customWidth="1"/>
    <col min="8963" max="8963" width="13.1640625" style="185" customWidth="1"/>
    <col min="8964" max="8964" width="3.83203125" style="185" customWidth="1"/>
    <col min="8965" max="8965" width="15" style="185" customWidth="1"/>
    <col min="8966" max="8966" width="3.6640625" style="185" customWidth="1"/>
    <col min="8967" max="8968" width="13" style="185" customWidth="1"/>
    <col min="8969" max="8969" width="0" style="185" hidden="1" customWidth="1"/>
    <col min="8970" max="8971" width="9.33203125" style="185"/>
    <col min="8972" max="8972" width="15.83203125" style="185" customWidth="1"/>
    <col min="8973" max="9211" width="9.33203125" style="185"/>
    <col min="9212" max="9212" width="5" style="185" customWidth="1"/>
    <col min="9213" max="9213" width="9.33203125" style="185"/>
    <col min="9214" max="9214" width="21.6640625" style="185" customWidth="1"/>
    <col min="9215" max="9215" width="13.5" style="185" customWidth="1"/>
    <col min="9216" max="9216" width="10.5" style="185" customWidth="1"/>
    <col min="9217" max="9217" width="15.1640625" style="185" customWidth="1"/>
    <col min="9218" max="9218" width="3.6640625" style="185" customWidth="1"/>
    <col min="9219" max="9219" width="13.1640625" style="185" customWidth="1"/>
    <col min="9220" max="9220" width="3.83203125" style="185" customWidth="1"/>
    <col min="9221" max="9221" width="15" style="185" customWidth="1"/>
    <col min="9222" max="9222" width="3.6640625" style="185" customWidth="1"/>
    <col min="9223" max="9224" width="13" style="185" customWidth="1"/>
    <col min="9225" max="9225" width="0" style="185" hidden="1" customWidth="1"/>
    <col min="9226" max="9227" width="9.33203125" style="185"/>
    <col min="9228" max="9228" width="15.83203125" style="185" customWidth="1"/>
    <col min="9229" max="9467" width="9.33203125" style="185"/>
    <col min="9468" max="9468" width="5" style="185" customWidth="1"/>
    <col min="9469" max="9469" width="9.33203125" style="185"/>
    <col min="9470" max="9470" width="21.6640625" style="185" customWidth="1"/>
    <col min="9471" max="9471" width="13.5" style="185" customWidth="1"/>
    <col min="9472" max="9472" width="10.5" style="185" customWidth="1"/>
    <col min="9473" max="9473" width="15.1640625" style="185" customWidth="1"/>
    <col min="9474" max="9474" width="3.6640625" style="185" customWidth="1"/>
    <col min="9475" max="9475" width="13.1640625" style="185" customWidth="1"/>
    <col min="9476" max="9476" width="3.83203125" style="185" customWidth="1"/>
    <col min="9477" max="9477" width="15" style="185" customWidth="1"/>
    <col min="9478" max="9478" width="3.6640625" style="185" customWidth="1"/>
    <col min="9479" max="9480" width="13" style="185" customWidth="1"/>
    <col min="9481" max="9481" width="0" style="185" hidden="1" customWidth="1"/>
    <col min="9482" max="9483" width="9.33203125" style="185"/>
    <col min="9484" max="9484" width="15.83203125" style="185" customWidth="1"/>
    <col min="9485" max="9723" width="9.33203125" style="185"/>
    <col min="9724" max="9724" width="5" style="185" customWidth="1"/>
    <col min="9725" max="9725" width="9.33203125" style="185"/>
    <col min="9726" max="9726" width="21.6640625" style="185" customWidth="1"/>
    <col min="9727" max="9727" width="13.5" style="185" customWidth="1"/>
    <col min="9728" max="9728" width="10.5" style="185" customWidth="1"/>
    <col min="9729" max="9729" width="15.1640625" style="185" customWidth="1"/>
    <col min="9730" max="9730" width="3.6640625" style="185" customWidth="1"/>
    <col min="9731" max="9731" width="13.1640625" style="185" customWidth="1"/>
    <col min="9732" max="9732" width="3.83203125" style="185" customWidth="1"/>
    <col min="9733" max="9733" width="15" style="185" customWidth="1"/>
    <col min="9734" max="9734" width="3.6640625" style="185" customWidth="1"/>
    <col min="9735" max="9736" width="13" style="185" customWidth="1"/>
    <col min="9737" max="9737" width="0" style="185" hidden="1" customWidth="1"/>
    <col min="9738" max="9739" width="9.33203125" style="185"/>
    <col min="9740" max="9740" width="15.83203125" style="185" customWidth="1"/>
    <col min="9741" max="9979" width="9.33203125" style="185"/>
    <col min="9980" max="9980" width="5" style="185" customWidth="1"/>
    <col min="9981" max="9981" width="9.33203125" style="185"/>
    <col min="9982" max="9982" width="21.6640625" style="185" customWidth="1"/>
    <col min="9983" max="9983" width="13.5" style="185" customWidth="1"/>
    <col min="9984" max="9984" width="10.5" style="185" customWidth="1"/>
    <col min="9985" max="9985" width="15.1640625" style="185" customWidth="1"/>
    <col min="9986" max="9986" width="3.6640625" style="185" customWidth="1"/>
    <col min="9987" max="9987" width="13.1640625" style="185" customWidth="1"/>
    <col min="9988" max="9988" width="3.83203125" style="185" customWidth="1"/>
    <col min="9989" max="9989" width="15" style="185" customWidth="1"/>
    <col min="9990" max="9990" width="3.6640625" style="185" customWidth="1"/>
    <col min="9991" max="9992" width="13" style="185" customWidth="1"/>
    <col min="9993" max="9993" width="0" style="185" hidden="1" customWidth="1"/>
    <col min="9994" max="9995" width="9.33203125" style="185"/>
    <col min="9996" max="9996" width="15.83203125" style="185" customWidth="1"/>
    <col min="9997" max="10235" width="9.33203125" style="185"/>
    <col min="10236" max="10236" width="5" style="185" customWidth="1"/>
    <col min="10237" max="10237" width="9.33203125" style="185"/>
    <col min="10238" max="10238" width="21.6640625" style="185" customWidth="1"/>
    <col min="10239" max="10239" width="13.5" style="185" customWidth="1"/>
    <col min="10240" max="10240" width="10.5" style="185" customWidth="1"/>
    <col min="10241" max="10241" width="15.1640625" style="185" customWidth="1"/>
    <col min="10242" max="10242" width="3.6640625" style="185" customWidth="1"/>
    <col min="10243" max="10243" width="13.1640625" style="185" customWidth="1"/>
    <col min="10244" max="10244" width="3.83203125" style="185" customWidth="1"/>
    <col min="10245" max="10245" width="15" style="185" customWidth="1"/>
    <col min="10246" max="10246" width="3.6640625" style="185" customWidth="1"/>
    <col min="10247" max="10248" width="13" style="185" customWidth="1"/>
    <col min="10249" max="10249" width="0" style="185" hidden="1" customWidth="1"/>
    <col min="10250" max="10251" width="9.33203125" style="185"/>
    <col min="10252" max="10252" width="15.83203125" style="185" customWidth="1"/>
    <col min="10253" max="10491" width="9.33203125" style="185"/>
    <col min="10492" max="10492" width="5" style="185" customWidth="1"/>
    <col min="10493" max="10493" width="9.33203125" style="185"/>
    <col min="10494" max="10494" width="21.6640625" style="185" customWidth="1"/>
    <col min="10495" max="10495" width="13.5" style="185" customWidth="1"/>
    <col min="10496" max="10496" width="10.5" style="185" customWidth="1"/>
    <col min="10497" max="10497" width="15.1640625" style="185" customWidth="1"/>
    <col min="10498" max="10498" width="3.6640625" style="185" customWidth="1"/>
    <col min="10499" max="10499" width="13.1640625" style="185" customWidth="1"/>
    <col min="10500" max="10500" width="3.83203125" style="185" customWidth="1"/>
    <col min="10501" max="10501" width="15" style="185" customWidth="1"/>
    <col min="10502" max="10502" width="3.6640625" style="185" customWidth="1"/>
    <col min="10503" max="10504" width="13" style="185" customWidth="1"/>
    <col min="10505" max="10505" width="0" style="185" hidden="1" customWidth="1"/>
    <col min="10506" max="10507" width="9.33203125" style="185"/>
    <col min="10508" max="10508" width="15.83203125" style="185" customWidth="1"/>
    <col min="10509" max="10747" width="9.33203125" style="185"/>
    <col min="10748" max="10748" width="5" style="185" customWidth="1"/>
    <col min="10749" max="10749" width="9.33203125" style="185"/>
    <col min="10750" max="10750" width="21.6640625" style="185" customWidth="1"/>
    <col min="10751" max="10751" width="13.5" style="185" customWidth="1"/>
    <col min="10752" max="10752" width="10.5" style="185" customWidth="1"/>
    <col min="10753" max="10753" width="15.1640625" style="185" customWidth="1"/>
    <col min="10754" max="10754" width="3.6640625" style="185" customWidth="1"/>
    <col min="10755" max="10755" width="13.1640625" style="185" customWidth="1"/>
    <col min="10756" max="10756" width="3.83203125" style="185" customWidth="1"/>
    <col min="10757" max="10757" width="15" style="185" customWidth="1"/>
    <col min="10758" max="10758" width="3.6640625" style="185" customWidth="1"/>
    <col min="10759" max="10760" width="13" style="185" customWidth="1"/>
    <col min="10761" max="10761" width="0" style="185" hidden="1" customWidth="1"/>
    <col min="10762" max="10763" width="9.33203125" style="185"/>
    <col min="10764" max="10764" width="15.83203125" style="185" customWidth="1"/>
    <col min="10765" max="11003" width="9.33203125" style="185"/>
    <col min="11004" max="11004" width="5" style="185" customWidth="1"/>
    <col min="11005" max="11005" width="9.33203125" style="185"/>
    <col min="11006" max="11006" width="21.6640625" style="185" customWidth="1"/>
    <col min="11007" max="11007" width="13.5" style="185" customWidth="1"/>
    <col min="11008" max="11008" width="10.5" style="185" customWidth="1"/>
    <col min="11009" max="11009" width="15.1640625" style="185" customWidth="1"/>
    <col min="11010" max="11010" width="3.6640625" style="185" customWidth="1"/>
    <col min="11011" max="11011" width="13.1640625" style="185" customWidth="1"/>
    <col min="11012" max="11012" width="3.83203125" style="185" customWidth="1"/>
    <col min="11013" max="11013" width="15" style="185" customWidth="1"/>
    <col min="11014" max="11014" width="3.6640625" style="185" customWidth="1"/>
    <col min="11015" max="11016" width="13" style="185" customWidth="1"/>
    <col min="11017" max="11017" width="0" style="185" hidden="1" customWidth="1"/>
    <col min="11018" max="11019" width="9.33203125" style="185"/>
    <col min="11020" max="11020" width="15.83203125" style="185" customWidth="1"/>
    <col min="11021" max="11259" width="9.33203125" style="185"/>
    <col min="11260" max="11260" width="5" style="185" customWidth="1"/>
    <col min="11261" max="11261" width="9.33203125" style="185"/>
    <col min="11262" max="11262" width="21.6640625" style="185" customWidth="1"/>
    <col min="11263" max="11263" width="13.5" style="185" customWidth="1"/>
    <col min="11264" max="11264" width="10.5" style="185" customWidth="1"/>
    <col min="11265" max="11265" width="15.1640625" style="185" customWidth="1"/>
    <col min="11266" max="11266" width="3.6640625" style="185" customWidth="1"/>
    <col min="11267" max="11267" width="13.1640625" style="185" customWidth="1"/>
    <col min="11268" max="11268" width="3.83203125" style="185" customWidth="1"/>
    <col min="11269" max="11269" width="15" style="185" customWidth="1"/>
    <col min="11270" max="11270" width="3.6640625" style="185" customWidth="1"/>
    <col min="11271" max="11272" width="13" style="185" customWidth="1"/>
    <col min="11273" max="11273" width="0" style="185" hidden="1" customWidth="1"/>
    <col min="11274" max="11275" width="9.33203125" style="185"/>
    <col min="11276" max="11276" width="15.83203125" style="185" customWidth="1"/>
    <col min="11277" max="11515" width="9.33203125" style="185"/>
    <col min="11516" max="11516" width="5" style="185" customWidth="1"/>
    <col min="11517" max="11517" width="9.33203125" style="185"/>
    <col min="11518" max="11518" width="21.6640625" style="185" customWidth="1"/>
    <col min="11519" max="11519" width="13.5" style="185" customWidth="1"/>
    <col min="11520" max="11520" width="10.5" style="185" customWidth="1"/>
    <col min="11521" max="11521" width="15.1640625" style="185" customWidth="1"/>
    <col min="11522" max="11522" width="3.6640625" style="185" customWidth="1"/>
    <col min="11523" max="11523" width="13.1640625" style="185" customWidth="1"/>
    <col min="11524" max="11524" width="3.83203125" style="185" customWidth="1"/>
    <col min="11525" max="11525" width="15" style="185" customWidth="1"/>
    <col min="11526" max="11526" width="3.6640625" style="185" customWidth="1"/>
    <col min="11527" max="11528" width="13" style="185" customWidth="1"/>
    <col min="11529" max="11529" width="0" style="185" hidden="1" customWidth="1"/>
    <col min="11530" max="11531" width="9.33203125" style="185"/>
    <col min="11532" max="11532" width="15.83203125" style="185" customWidth="1"/>
    <col min="11533" max="11771" width="9.33203125" style="185"/>
    <col min="11772" max="11772" width="5" style="185" customWidth="1"/>
    <col min="11773" max="11773" width="9.33203125" style="185"/>
    <col min="11774" max="11774" width="21.6640625" style="185" customWidth="1"/>
    <col min="11775" max="11775" width="13.5" style="185" customWidth="1"/>
    <col min="11776" max="11776" width="10.5" style="185" customWidth="1"/>
    <col min="11777" max="11777" width="15.1640625" style="185" customWidth="1"/>
    <col min="11778" max="11778" width="3.6640625" style="185" customWidth="1"/>
    <col min="11779" max="11779" width="13.1640625" style="185" customWidth="1"/>
    <col min="11780" max="11780" width="3.83203125" style="185" customWidth="1"/>
    <col min="11781" max="11781" width="15" style="185" customWidth="1"/>
    <col min="11782" max="11782" width="3.6640625" style="185" customWidth="1"/>
    <col min="11783" max="11784" width="13" style="185" customWidth="1"/>
    <col min="11785" max="11785" width="0" style="185" hidden="1" customWidth="1"/>
    <col min="11786" max="11787" width="9.33203125" style="185"/>
    <col min="11788" max="11788" width="15.83203125" style="185" customWidth="1"/>
    <col min="11789" max="12027" width="9.33203125" style="185"/>
    <col min="12028" max="12028" width="5" style="185" customWidth="1"/>
    <col min="12029" max="12029" width="9.33203125" style="185"/>
    <col min="12030" max="12030" width="21.6640625" style="185" customWidth="1"/>
    <col min="12031" max="12031" width="13.5" style="185" customWidth="1"/>
    <col min="12032" max="12032" width="10.5" style="185" customWidth="1"/>
    <col min="12033" max="12033" width="15.1640625" style="185" customWidth="1"/>
    <col min="12034" max="12034" width="3.6640625" style="185" customWidth="1"/>
    <col min="12035" max="12035" width="13.1640625" style="185" customWidth="1"/>
    <col min="12036" max="12036" width="3.83203125" style="185" customWidth="1"/>
    <col min="12037" max="12037" width="15" style="185" customWidth="1"/>
    <col min="12038" max="12038" width="3.6640625" style="185" customWidth="1"/>
    <col min="12039" max="12040" width="13" style="185" customWidth="1"/>
    <col min="12041" max="12041" width="0" style="185" hidden="1" customWidth="1"/>
    <col min="12042" max="12043" width="9.33203125" style="185"/>
    <col min="12044" max="12044" width="15.83203125" style="185" customWidth="1"/>
    <col min="12045" max="12283" width="9.33203125" style="185"/>
    <col min="12284" max="12284" width="5" style="185" customWidth="1"/>
    <col min="12285" max="12285" width="9.33203125" style="185"/>
    <col min="12286" max="12286" width="21.6640625" style="185" customWidth="1"/>
    <col min="12287" max="12287" width="13.5" style="185" customWidth="1"/>
    <col min="12288" max="12288" width="10.5" style="185" customWidth="1"/>
    <col min="12289" max="12289" width="15.1640625" style="185" customWidth="1"/>
    <col min="12290" max="12290" width="3.6640625" style="185" customWidth="1"/>
    <col min="12291" max="12291" width="13.1640625" style="185" customWidth="1"/>
    <col min="12292" max="12292" width="3.83203125" style="185" customWidth="1"/>
    <col min="12293" max="12293" width="15" style="185" customWidth="1"/>
    <col min="12294" max="12294" width="3.6640625" style="185" customWidth="1"/>
    <col min="12295" max="12296" width="13" style="185" customWidth="1"/>
    <col min="12297" max="12297" width="0" style="185" hidden="1" customWidth="1"/>
    <col min="12298" max="12299" width="9.33203125" style="185"/>
    <col min="12300" max="12300" width="15.83203125" style="185" customWidth="1"/>
    <col min="12301" max="12539" width="9.33203125" style="185"/>
    <col min="12540" max="12540" width="5" style="185" customWidth="1"/>
    <col min="12541" max="12541" width="9.33203125" style="185"/>
    <col min="12542" max="12542" width="21.6640625" style="185" customWidth="1"/>
    <col min="12543" max="12543" width="13.5" style="185" customWidth="1"/>
    <col min="12544" max="12544" width="10.5" style="185" customWidth="1"/>
    <col min="12545" max="12545" width="15.1640625" style="185" customWidth="1"/>
    <col min="12546" max="12546" width="3.6640625" style="185" customWidth="1"/>
    <col min="12547" max="12547" width="13.1640625" style="185" customWidth="1"/>
    <col min="12548" max="12548" width="3.83203125" style="185" customWidth="1"/>
    <col min="12549" max="12549" width="15" style="185" customWidth="1"/>
    <col min="12550" max="12550" width="3.6640625" style="185" customWidth="1"/>
    <col min="12551" max="12552" width="13" style="185" customWidth="1"/>
    <col min="12553" max="12553" width="0" style="185" hidden="1" customWidth="1"/>
    <col min="12554" max="12555" width="9.33203125" style="185"/>
    <col min="12556" max="12556" width="15.83203125" style="185" customWidth="1"/>
    <col min="12557" max="12795" width="9.33203125" style="185"/>
    <col min="12796" max="12796" width="5" style="185" customWidth="1"/>
    <col min="12797" max="12797" width="9.33203125" style="185"/>
    <col min="12798" max="12798" width="21.6640625" style="185" customWidth="1"/>
    <col min="12799" max="12799" width="13.5" style="185" customWidth="1"/>
    <col min="12800" max="12800" width="10.5" style="185" customWidth="1"/>
    <col min="12801" max="12801" width="15.1640625" style="185" customWidth="1"/>
    <col min="12802" max="12802" width="3.6640625" style="185" customWidth="1"/>
    <col min="12803" max="12803" width="13.1640625" style="185" customWidth="1"/>
    <col min="12804" max="12804" width="3.83203125" style="185" customWidth="1"/>
    <col min="12805" max="12805" width="15" style="185" customWidth="1"/>
    <col min="12806" max="12806" width="3.6640625" style="185" customWidth="1"/>
    <col min="12807" max="12808" width="13" style="185" customWidth="1"/>
    <col min="12809" max="12809" width="0" style="185" hidden="1" customWidth="1"/>
    <col min="12810" max="12811" width="9.33203125" style="185"/>
    <col min="12812" max="12812" width="15.83203125" style="185" customWidth="1"/>
    <col min="12813" max="13051" width="9.33203125" style="185"/>
    <col min="13052" max="13052" width="5" style="185" customWidth="1"/>
    <col min="13053" max="13053" width="9.33203125" style="185"/>
    <col min="13054" max="13054" width="21.6640625" style="185" customWidth="1"/>
    <col min="13055" max="13055" width="13.5" style="185" customWidth="1"/>
    <col min="13056" max="13056" width="10.5" style="185" customWidth="1"/>
    <col min="13057" max="13057" width="15.1640625" style="185" customWidth="1"/>
    <col min="13058" max="13058" width="3.6640625" style="185" customWidth="1"/>
    <col min="13059" max="13059" width="13.1640625" style="185" customWidth="1"/>
    <col min="13060" max="13060" width="3.83203125" style="185" customWidth="1"/>
    <col min="13061" max="13061" width="15" style="185" customWidth="1"/>
    <col min="13062" max="13062" width="3.6640625" style="185" customWidth="1"/>
    <col min="13063" max="13064" width="13" style="185" customWidth="1"/>
    <col min="13065" max="13065" width="0" style="185" hidden="1" customWidth="1"/>
    <col min="13066" max="13067" width="9.33203125" style="185"/>
    <col min="13068" max="13068" width="15.83203125" style="185" customWidth="1"/>
    <col min="13069" max="13307" width="9.33203125" style="185"/>
    <col min="13308" max="13308" width="5" style="185" customWidth="1"/>
    <col min="13309" max="13309" width="9.33203125" style="185"/>
    <col min="13310" max="13310" width="21.6640625" style="185" customWidth="1"/>
    <col min="13311" max="13311" width="13.5" style="185" customWidth="1"/>
    <col min="13312" max="13312" width="10.5" style="185" customWidth="1"/>
    <col min="13313" max="13313" width="15.1640625" style="185" customWidth="1"/>
    <col min="13314" max="13314" width="3.6640625" style="185" customWidth="1"/>
    <col min="13315" max="13315" width="13.1640625" style="185" customWidth="1"/>
    <col min="13316" max="13316" width="3.83203125" style="185" customWidth="1"/>
    <col min="13317" max="13317" width="15" style="185" customWidth="1"/>
    <col min="13318" max="13318" width="3.6640625" style="185" customWidth="1"/>
    <col min="13319" max="13320" width="13" style="185" customWidth="1"/>
    <col min="13321" max="13321" width="0" style="185" hidden="1" customWidth="1"/>
    <col min="13322" max="13323" width="9.33203125" style="185"/>
    <col min="13324" max="13324" width="15.83203125" style="185" customWidth="1"/>
    <col min="13325" max="13563" width="9.33203125" style="185"/>
    <col min="13564" max="13564" width="5" style="185" customWidth="1"/>
    <col min="13565" max="13565" width="9.33203125" style="185"/>
    <col min="13566" max="13566" width="21.6640625" style="185" customWidth="1"/>
    <col min="13567" max="13567" width="13.5" style="185" customWidth="1"/>
    <col min="13568" max="13568" width="10.5" style="185" customWidth="1"/>
    <col min="13569" max="13569" width="15.1640625" style="185" customWidth="1"/>
    <col min="13570" max="13570" width="3.6640625" style="185" customWidth="1"/>
    <col min="13571" max="13571" width="13.1640625" style="185" customWidth="1"/>
    <col min="13572" max="13572" width="3.83203125" style="185" customWidth="1"/>
    <col min="13573" max="13573" width="15" style="185" customWidth="1"/>
    <col min="13574" max="13574" width="3.6640625" style="185" customWidth="1"/>
    <col min="13575" max="13576" width="13" style="185" customWidth="1"/>
    <col min="13577" max="13577" width="0" style="185" hidden="1" customWidth="1"/>
    <col min="13578" max="13579" width="9.33203125" style="185"/>
    <col min="13580" max="13580" width="15.83203125" style="185" customWidth="1"/>
    <col min="13581" max="13819" width="9.33203125" style="185"/>
    <col min="13820" max="13820" width="5" style="185" customWidth="1"/>
    <col min="13821" max="13821" width="9.33203125" style="185"/>
    <col min="13822" max="13822" width="21.6640625" style="185" customWidth="1"/>
    <col min="13823" max="13823" width="13.5" style="185" customWidth="1"/>
    <col min="13824" max="13824" width="10.5" style="185" customWidth="1"/>
    <col min="13825" max="13825" width="15.1640625" style="185" customWidth="1"/>
    <col min="13826" max="13826" width="3.6640625" style="185" customWidth="1"/>
    <col min="13827" max="13827" width="13.1640625" style="185" customWidth="1"/>
    <col min="13828" max="13828" width="3.83203125" style="185" customWidth="1"/>
    <col min="13829" max="13829" width="15" style="185" customWidth="1"/>
    <col min="13830" max="13830" width="3.6640625" style="185" customWidth="1"/>
    <col min="13831" max="13832" width="13" style="185" customWidth="1"/>
    <col min="13833" max="13833" width="0" style="185" hidden="1" customWidth="1"/>
    <col min="13834" max="13835" width="9.33203125" style="185"/>
    <col min="13836" max="13836" width="15.83203125" style="185" customWidth="1"/>
    <col min="13837" max="14075" width="9.33203125" style="185"/>
    <col min="14076" max="14076" width="5" style="185" customWidth="1"/>
    <col min="14077" max="14077" width="9.33203125" style="185"/>
    <col min="14078" max="14078" width="21.6640625" style="185" customWidth="1"/>
    <col min="14079" max="14079" width="13.5" style="185" customWidth="1"/>
    <col min="14080" max="14080" width="10.5" style="185" customWidth="1"/>
    <col min="14081" max="14081" width="15.1640625" style="185" customWidth="1"/>
    <col min="14082" max="14082" width="3.6640625" style="185" customWidth="1"/>
    <col min="14083" max="14083" width="13.1640625" style="185" customWidth="1"/>
    <col min="14084" max="14084" width="3.83203125" style="185" customWidth="1"/>
    <col min="14085" max="14085" width="15" style="185" customWidth="1"/>
    <col min="14086" max="14086" width="3.6640625" style="185" customWidth="1"/>
    <col min="14087" max="14088" width="13" style="185" customWidth="1"/>
    <col min="14089" max="14089" width="0" style="185" hidden="1" customWidth="1"/>
    <col min="14090" max="14091" width="9.33203125" style="185"/>
    <col min="14092" max="14092" width="15.83203125" style="185" customWidth="1"/>
    <col min="14093" max="14331" width="9.33203125" style="185"/>
    <col min="14332" max="14332" width="5" style="185" customWidth="1"/>
    <col min="14333" max="14333" width="9.33203125" style="185"/>
    <col min="14334" max="14334" width="21.6640625" style="185" customWidth="1"/>
    <col min="14335" max="14335" width="13.5" style="185" customWidth="1"/>
    <col min="14336" max="14336" width="10.5" style="185" customWidth="1"/>
    <col min="14337" max="14337" width="15.1640625" style="185" customWidth="1"/>
    <col min="14338" max="14338" width="3.6640625" style="185" customWidth="1"/>
    <col min="14339" max="14339" width="13.1640625" style="185" customWidth="1"/>
    <col min="14340" max="14340" width="3.83203125" style="185" customWidth="1"/>
    <col min="14341" max="14341" width="15" style="185" customWidth="1"/>
    <col min="14342" max="14342" width="3.6640625" style="185" customWidth="1"/>
    <col min="14343" max="14344" width="13" style="185" customWidth="1"/>
    <col min="14345" max="14345" width="0" style="185" hidden="1" customWidth="1"/>
    <col min="14346" max="14347" width="9.33203125" style="185"/>
    <col min="14348" max="14348" width="15.83203125" style="185" customWidth="1"/>
    <col min="14349" max="14587" width="9.33203125" style="185"/>
    <col min="14588" max="14588" width="5" style="185" customWidth="1"/>
    <col min="14589" max="14589" width="9.33203125" style="185"/>
    <col min="14590" max="14590" width="21.6640625" style="185" customWidth="1"/>
    <col min="14591" max="14591" width="13.5" style="185" customWidth="1"/>
    <col min="14592" max="14592" width="10.5" style="185" customWidth="1"/>
    <col min="14593" max="14593" width="15.1640625" style="185" customWidth="1"/>
    <col min="14594" max="14594" width="3.6640625" style="185" customWidth="1"/>
    <col min="14595" max="14595" width="13.1640625" style="185" customWidth="1"/>
    <col min="14596" max="14596" width="3.83203125" style="185" customWidth="1"/>
    <col min="14597" max="14597" width="15" style="185" customWidth="1"/>
    <col min="14598" max="14598" width="3.6640625" style="185" customWidth="1"/>
    <col min="14599" max="14600" width="13" style="185" customWidth="1"/>
    <col min="14601" max="14601" width="0" style="185" hidden="1" customWidth="1"/>
    <col min="14602" max="14603" width="9.33203125" style="185"/>
    <col min="14604" max="14604" width="15.83203125" style="185" customWidth="1"/>
    <col min="14605" max="14843" width="9.33203125" style="185"/>
    <col min="14844" max="14844" width="5" style="185" customWidth="1"/>
    <col min="14845" max="14845" width="9.33203125" style="185"/>
    <col min="14846" max="14846" width="21.6640625" style="185" customWidth="1"/>
    <col min="14847" max="14847" width="13.5" style="185" customWidth="1"/>
    <col min="14848" max="14848" width="10.5" style="185" customWidth="1"/>
    <col min="14849" max="14849" width="15.1640625" style="185" customWidth="1"/>
    <col min="14850" max="14850" width="3.6640625" style="185" customWidth="1"/>
    <col min="14851" max="14851" width="13.1640625" style="185" customWidth="1"/>
    <col min="14852" max="14852" width="3.83203125" style="185" customWidth="1"/>
    <col min="14853" max="14853" width="15" style="185" customWidth="1"/>
    <col min="14854" max="14854" width="3.6640625" style="185" customWidth="1"/>
    <col min="14855" max="14856" width="13" style="185" customWidth="1"/>
    <col min="14857" max="14857" width="0" style="185" hidden="1" customWidth="1"/>
    <col min="14858" max="14859" width="9.33203125" style="185"/>
    <col min="14860" max="14860" width="15.83203125" style="185" customWidth="1"/>
    <col min="14861" max="15099" width="9.33203125" style="185"/>
    <col min="15100" max="15100" width="5" style="185" customWidth="1"/>
    <col min="15101" max="15101" width="9.33203125" style="185"/>
    <col min="15102" max="15102" width="21.6640625" style="185" customWidth="1"/>
    <col min="15103" max="15103" width="13.5" style="185" customWidth="1"/>
    <col min="15104" max="15104" width="10.5" style="185" customWidth="1"/>
    <col min="15105" max="15105" width="15.1640625" style="185" customWidth="1"/>
    <col min="15106" max="15106" width="3.6640625" style="185" customWidth="1"/>
    <col min="15107" max="15107" width="13.1640625" style="185" customWidth="1"/>
    <col min="15108" max="15108" width="3.83203125" style="185" customWidth="1"/>
    <col min="15109" max="15109" width="15" style="185" customWidth="1"/>
    <col min="15110" max="15110" width="3.6640625" style="185" customWidth="1"/>
    <col min="15111" max="15112" width="13" style="185" customWidth="1"/>
    <col min="15113" max="15113" width="0" style="185" hidden="1" customWidth="1"/>
    <col min="15114" max="15115" width="9.33203125" style="185"/>
    <col min="15116" max="15116" width="15.83203125" style="185" customWidth="1"/>
    <col min="15117" max="15355" width="9.33203125" style="185"/>
    <col min="15356" max="15356" width="5" style="185" customWidth="1"/>
    <col min="15357" max="15357" width="9.33203125" style="185"/>
    <col min="15358" max="15358" width="21.6640625" style="185" customWidth="1"/>
    <col min="15359" max="15359" width="13.5" style="185" customWidth="1"/>
    <col min="15360" max="15360" width="10.5" style="185" customWidth="1"/>
    <col min="15361" max="15361" width="15.1640625" style="185" customWidth="1"/>
    <col min="15362" max="15362" width="3.6640625" style="185" customWidth="1"/>
    <col min="15363" max="15363" width="13.1640625" style="185" customWidth="1"/>
    <col min="15364" max="15364" width="3.83203125" style="185" customWidth="1"/>
    <col min="15365" max="15365" width="15" style="185" customWidth="1"/>
    <col min="15366" max="15366" width="3.6640625" style="185" customWidth="1"/>
    <col min="15367" max="15368" width="13" style="185" customWidth="1"/>
    <col min="15369" max="15369" width="0" style="185" hidden="1" customWidth="1"/>
    <col min="15370" max="15371" width="9.33203125" style="185"/>
    <col min="15372" max="15372" width="15.83203125" style="185" customWidth="1"/>
    <col min="15373" max="15611" width="9.33203125" style="185"/>
    <col min="15612" max="15612" width="5" style="185" customWidth="1"/>
    <col min="15613" max="15613" width="9.33203125" style="185"/>
    <col min="15614" max="15614" width="21.6640625" style="185" customWidth="1"/>
    <col min="15615" max="15615" width="13.5" style="185" customWidth="1"/>
    <col min="15616" max="15616" width="10.5" style="185" customWidth="1"/>
    <col min="15617" max="15617" width="15.1640625" style="185" customWidth="1"/>
    <col min="15618" max="15618" width="3.6640625" style="185" customWidth="1"/>
    <col min="15619" max="15619" width="13.1640625" style="185" customWidth="1"/>
    <col min="15620" max="15620" width="3.83203125" style="185" customWidth="1"/>
    <col min="15621" max="15621" width="15" style="185" customWidth="1"/>
    <col min="15622" max="15622" width="3.6640625" style="185" customWidth="1"/>
    <col min="15623" max="15624" width="13" style="185" customWidth="1"/>
    <col min="15625" max="15625" width="0" style="185" hidden="1" customWidth="1"/>
    <col min="15626" max="15627" width="9.33203125" style="185"/>
    <col min="15628" max="15628" width="15.83203125" style="185" customWidth="1"/>
    <col min="15629" max="15867" width="9.33203125" style="185"/>
    <col min="15868" max="15868" width="5" style="185" customWidth="1"/>
    <col min="15869" max="15869" width="9.33203125" style="185"/>
    <col min="15870" max="15870" width="21.6640625" style="185" customWidth="1"/>
    <col min="15871" max="15871" width="13.5" style="185" customWidth="1"/>
    <col min="15872" max="15872" width="10.5" style="185" customWidth="1"/>
    <col min="15873" max="15873" width="15.1640625" style="185" customWidth="1"/>
    <col min="15874" max="15874" width="3.6640625" style="185" customWidth="1"/>
    <col min="15875" max="15875" width="13.1640625" style="185" customWidth="1"/>
    <col min="15876" max="15876" width="3.83203125" style="185" customWidth="1"/>
    <col min="15877" max="15877" width="15" style="185" customWidth="1"/>
    <col min="15878" max="15878" width="3.6640625" style="185" customWidth="1"/>
    <col min="15879" max="15880" width="13" style="185" customWidth="1"/>
    <col min="15881" max="15881" width="0" style="185" hidden="1" customWidth="1"/>
    <col min="15882" max="15883" width="9.33203125" style="185"/>
    <col min="15884" max="15884" width="15.83203125" style="185" customWidth="1"/>
    <col min="15885" max="16123" width="9.33203125" style="185"/>
    <col min="16124" max="16124" width="5" style="185" customWidth="1"/>
    <col min="16125" max="16125" width="9.33203125" style="185"/>
    <col min="16126" max="16126" width="21.6640625" style="185" customWidth="1"/>
    <col min="16127" max="16127" width="13.5" style="185" customWidth="1"/>
    <col min="16128" max="16128" width="10.5" style="185" customWidth="1"/>
    <col min="16129" max="16129" width="15.1640625" style="185" customWidth="1"/>
    <col min="16130" max="16130" width="3.6640625" style="185" customWidth="1"/>
    <col min="16131" max="16131" width="13.1640625" style="185" customWidth="1"/>
    <col min="16132" max="16132" width="3.83203125" style="185" customWidth="1"/>
    <col min="16133" max="16133" width="15" style="185" customWidth="1"/>
    <col min="16134" max="16134" width="3.6640625" style="185" customWidth="1"/>
    <col min="16135" max="16136" width="13" style="185" customWidth="1"/>
    <col min="16137" max="16137" width="0" style="185" hidden="1" customWidth="1"/>
    <col min="16138" max="16139" width="9.33203125" style="185"/>
    <col min="16140" max="16140" width="15.83203125" style="185" customWidth="1"/>
    <col min="16141" max="16384" width="9.33203125" style="185"/>
  </cols>
  <sheetData>
    <row r="2" spans="1:18">
      <c r="A2" s="185"/>
      <c r="B2" s="10"/>
      <c r="C2" s="10"/>
      <c r="D2" s="575" t="s">
        <v>34</v>
      </c>
      <c r="E2" s="575"/>
      <c r="F2" s="575"/>
      <c r="G2" s="575"/>
      <c r="H2" s="575"/>
      <c r="I2" s="575"/>
      <c r="J2" s="575"/>
      <c r="K2" s="232"/>
      <c r="L2" s="73" t="s">
        <v>170</v>
      </c>
    </row>
    <row r="3" spans="1:18">
      <c r="A3" s="185"/>
      <c r="B3" s="10"/>
      <c r="C3" s="10"/>
      <c r="D3" s="581" t="s">
        <v>171</v>
      </c>
      <c r="E3" s="582"/>
      <c r="F3" s="582"/>
      <c r="G3" s="582"/>
      <c r="H3" s="582"/>
      <c r="I3" s="582"/>
      <c r="J3" s="582"/>
      <c r="K3" s="232"/>
      <c r="L3" s="73"/>
    </row>
    <row r="4" spans="1:18">
      <c r="A4" s="185"/>
      <c r="B4" s="10"/>
      <c r="C4" s="10"/>
      <c r="D4" s="581" t="s">
        <v>145</v>
      </c>
      <c r="E4" s="582"/>
      <c r="F4" s="582"/>
      <c r="G4" s="582"/>
      <c r="H4" s="582"/>
      <c r="I4" s="582"/>
      <c r="J4" s="582"/>
      <c r="K4" s="233"/>
      <c r="L4" s="74"/>
      <c r="M4" s="11" t="s">
        <v>37</v>
      </c>
    </row>
    <row r="5" spans="1:18">
      <c r="A5" s="185"/>
      <c r="B5" s="10"/>
      <c r="C5" s="10"/>
      <c r="D5" s="575" t="s">
        <v>36</v>
      </c>
      <c r="E5" s="575"/>
      <c r="F5" s="575"/>
      <c r="G5" s="575"/>
      <c r="H5" s="575"/>
      <c r="I5" s="575"/>
      <c r="J5" s="575"/>
      <c r="K5" s="232"/>
      <c r="L5" s="10" t="s">
        <v>127</v>
      </c>
      <c r="M5" s="11" t="s">
        <v>37</v>
      </c>
    </row>
    <row r="7" spans="1:18">
      <c r="A7" s="69"/>
      <c r="B7" s="12"/>
      <c r="C7" s="13"/>
      <c r="D7" s="13"/>
      <c r="E7" s="14"/>
      <c r="F7" s="65"/>
      <c r="G7" s="20"/>
      <c r="H7" s="65"/>
      <c r="I7" s="20"/>
      <c r="J7" s="20"/>
      <c r="K7" s="15" t="s">
        <v>38</v>
      </c>
      <c r="L7" s="13"/>
      <c r="M7" s="13"/>
    </row>
    <row r="8" spans="1:18">
      <c r="A8" s="66" t="s">
        <v>3</v>
      </c>
      <c r="B8" s="16"/>
      <c r="C8" s="17"/>
      <c r="D8" s="18" t="s">
        <v>33</v>
      </c>
      <c r="E8" s="19" t="s">
        <v>39</v>
      </c>
      <c r="F8" s="66" t="s">
        <v>40</v>
      </c>
      <c r="G8" s="20"/>
      <c r="H8" s="66" t="s">
        <v>41</v>
      </c>
      <c r="I8" s="20"/>
      <c r="J8" s="20"/>
      <c r="K8" s="21" t="s">
        <v>157</v>
      </c>
      <c r="L8" s="22" t="s">
        <v>42</v>
      </c>
      <c r="M8" s="18" t="s">
        <v>43</v>
      </c>
    </row>
    <row r="9" spans="1:18">
      <c r="A9" s="66" t="s">
        <v>6</v>
      </c>
      <c r="B9" s="23" t="s">
        <v>0</v>
      </c>
      <c r="C9" s="22"/>
      <c r="D9" s="18" t="s">
        <v>44</v>
      </c>
      <c r="E9" s="19" t="s">
        <v>45</v>
      </c>
      <c r="F9" s="66" t="s">
        <v>46</v>
      </c>
      <c r="G9" s="20"/>
      <c r="H9" s="66" t="s">
        <v>47</v>
      </c>
      <c r="I9" s="20"/>
      <c r="J9" s="20"/>
      <c r="K9" s="21" t="s">
        <v>48</v>
      </c>
      <c r="L9" s="22" t="s">
        <v>48</v>
      </c>
      <c r="M9" s="22" t="s">
        <v>48</v>
      </c>
    </row>
    <row r="10" spans="1:18" s="68" customFormat="1">
      <c r="A10" s="70"/>
      <c r="B10" s="577" t="s">
        <v>9</v>
      </c>
      <c r="C10" s="578"/>
      <c r="D10" s="18" t="s">
        <v>10</v>
      </c>
      <c r="E10" s="19" t="s">
        <v>11</v>
      </c>
      <c r="F10" s="67" t="s">
        <v>12</v>
      </c>
      <c r="G10" s="72"/>
      <c r="H10" s="67" t="s">
        <v>49</v>
      </c>
      <c r="I10" s="72"/>
      <c r="J10" s="72"/>
      <c r="K10" s="24" t="s">
        <v>50</v>
      </c>
      <c r="L10" s="18" t="s">
        <v>51</v>
      </c>
      <c r="M10" s="18" t="s">
        <v>52</v>
      </c>
    </row>
    <row r="11" spans="1:18">
      <c r="A11" s="71"/>
      <c r="B11" s="25" t="s">
        <v>53</v>
      </c>
      <c r="C11" s="26"/>
      <c r="D11" s="26"/>
      <c r="E11" s="26"/>
      <c r="F11" s="26"/>
      <c r="H11" s="27"/>
      <c r="K11" s="28"/>
      <c r="L11" s="26"/>
      <c r="M11" s="29"/>
    </row>
    <row r="12" spans="1:18">
      <c r="A12" s="66">
        <v>1</v>
      </c>
      <c r="B12" s="30" t="s">
        <v>55</v>
      </c>
      <c r="C12" s="20"/>
      <c r="D12" s="18" t="s">
        <v>56</v>
      </c>
      <c r="E12" s="63">
        <v>579</v>
      </c>
      <c r="F12" s="122">
        <v>411467</v>
      </c>
      <c r="G12" s="20"/>
      <c r="H12" s="123">
        <v>417001</v>
      </c>
      <c r="I12" s="20"/>
      <c r="J12" s="20"/>
      <c r="K12" s="94">
        <f>+'Ex-1'!F9</f>
        <v>4.1500000000000009E-3</v>
      </c>
      <c r="L12" s="32">
        <f>F12*K12</f>
        <v>1707.5880500000003</v>
      </c>
      <c r="M12" s="44" t="e">
        <f>L12/#REF!</f>
        <v>#REF!</v>
      </c>
      <c r="N12" s="218">
        <f>+L12/H12</f>
        <v>4.0949255517372871E-3</v>
      </c>
      <c r="R12" s="8"/>
    </row>
    <row r="13" spans="1:18">
      <c r="A13" s="66">
        <v>2</v>
      </c>
      <c r="B13" s="30" t="s">
        <v>110</v>
      </c>
      <c r="C13" s="31"/>
      <c r="D13" s="18" t="s">
        <v>57</v>
      </c>
      <c r="E13" s="63">
        <v>175146</v>
      </c>
      <c r="F13" s="122">
        <v>118476427</v>
      </c>
      <c r="G13" s="95"/>
      <c r="H13" s="122">
        <v>121197050</v>
      </c>
      <c r="I13" s="20"/>
      <c r="J13" s="95"/>
      <c r="K13" s="94">
        <f>+'Ex-1'!F10</f>
        <v>4.1500000000000009E-3</v>
      </c>
      <c r="L13" s="32">
        <f>F13*K13</f>
        <v>491677.17205000011</v>
      </c>
      <c r="M13" s="44" t="e">
        <f>L13/#REF!</f>
        <v>#REF!</v>
      </c>
      <c r="N13" s="218">
        <f t="shared" ref="N13:N24" si="0">+L13/H13</f>
        <v>4.0568410868911421E-3</v>
      </c>
      <c r="R13" s="8"/>
    </row>
    <row r="14" spans="1:18">
      <c r="A14" s="66">
        <v>3</v>
      </c>
      <c r="B14" s="30" t="s">
        <v>111</v>
      </c>
      <c r="C14" s="20"/>
      <c r="D14" s="18" t="s">
        <v>63</v>
      </c>
      <c r="E14" s="63">
        <v>24894</v>
      </c>
      <c r="F14" s="122">
        <v>80983340</v>
      </c>
      <c r="G14" s="20"/>
      <c r="H14" s="122">
        <v>77628809</v>
      </c>
      <c r="I14" s="20"/>
      <c r="J14" s="20"/>
      <c r="K14" s="94">
        <f>+'Ex-1'!F11</f>
        <v>4.4099999999999999E-3</v>
      </c>
      <c r="L14" s="32">
        <f>ROUND(F14*K14,0)</f>
        <v>357137</v>
      </c>
      <c r="M14" s="44" t="e">
        <f>ROUND(L14/#REF!,4)</f>
        <v>#REF!</v>
      </c>
      <c r="N14" s="218">
        <f t="shared" si="0"/>
        <v>4.6005729651217497E-3</v>
      </c>
      <c r="R14" s="8"/>
    </row>
    <row r="15" spans="1:18">
      <c r="A15" s="66">
        <v>4</v>
      </c>
      <c r="B15" s="30" t="s">
        <v>112</v>
      </c>
      <c r="C15" s="31"/>
      <c r="D15" s="18" t="s">
        <v>67</v>
      </c>
      <c r="E15" s="63">
        <v>387</v>
      </c>
      <c r="F15" s="122">
        <v>13450676</v>
      </c>
      <c r="G15" s="20"/>
      <c r="H15" s="122">
        <v>10594609</v>
      </c>
      <c r="I15" s="20"/>
      <c r="J15" s="20"/>
      <c r="K15" s="94">
        <f>+'Ex-1'!F15</f>
        <v>8.8000000000000057E-4</v>
      </c>
      <c r="L15" s="32">
        <f t="shared" ref="L15:L20" si="1">F15*K15</f>
        <v>11836.594880000008</v>
      </c>
      <c r="M15" s="44" t="e">
        <f>L15/#REF!</f>
        <v>#REF!</v>
      </c>
      <c r="N15" s="218">
        <f t="shared" si="0"/>
        <v>1.117228099687304E-3</v>
      </c>
      <c r="R15" s="8"/>
    </row>
    <row r="16" spans="1:18">
      <c r="A16" s="66">
        <v>5</v>
      </c>
      <c r="B16" s="30" t="s">
        <v>64</v>
      </c>
      <c r="C16" s="20"/>
      <c r="D16" s="18" t="s">
        <v>65</v>
      </c>
      <c r="E16" s="63">
        <v>81</v>
      </c>
      <c r="F16" s="122">
        <v>8608384</v>
      </c>
      <c r="G16" s="95"/>
      <c r="H16" s="122">
        <v>6795588</v>
      </c>
      <c r="I16" s="95"/>
      <c r="J16" s="95"/>
      <c r="K16" s="94">
        <f>+'Ex-1'!F14</f>
        <v>2.63E-3</v>
      </c>
      <c r="L16" s="32">
        <f t="shared" si="1"/>
        <v>22640.049920000001</v>
      </c>
      <c r="M16" s="44" t="e">
        <f>L16/#REF!</f>
        <v>#REF!</v>
      </c>
      <c r="N16" s="218">
        <f t="shared" si="0"/>
        <v>3.3315807138396265E-3</v>
      </c>
    </row>
    <row r="17" spans="1:18">
      <c r="A17" s="66">
        <v>6</v>
      </c>
      <c r="B17" s="30" t="s">
        <v>58</v>
      </c>
      <c r="C17" s="20"/>
      <c r="D17" s="18" t="s">
        <v>59</v>
      </c>
      <c r="E17" s="63">
        <v>1</v>
      </c>
      <c r="F17" s="122">
        <v>46067</v>
      </c>
      <c r="G17" s="95"/>
      <c r="H17" s="122">
        <v>40035</v>
      </c>
      <c r="I17" s="95"/>
      <c r="J17" s="95"/>
      <c r="K17" s="94">
        <f>+'Ex-1'!F12</f>
        <v>2.3600000000000001E-3</v>
      </c>
      <c r="L17" s="32">
        <f t="shared" si="1"/>
        <v>108.71812</v>
      </c>
      <c r="M17" s="44" t="e">
        <f>L17/#REF!</f>
        <v>#REF!</v>
      </c>
      <c r="N17" s="218">
        <f t="shared" si="0"/>
        <v>2.7155768702385413E-3</v>
      </c>
      <c r="R17" s="8"/>
    </row>
    <row r="18" spans="1:18">
      <c r="A18" s="66">
        <v>7</v>
      </c>
      <c r="B18" s="30" t="s">
        <v>60</v>
      </c>
      <c r="C18" s="20"/>
      <c r="D18" s="18" t="s">
        <v>61</v>
      </c>
      <c r="E18" s="63">
        <v>1</v>
      </c>
      <c r="F18" s="124">
        <v>555</v>
      </c>
      <c r="G18" s="20"/>
      <c r="H18" s="124">
        <v>583</v>
      </c>
      <c r="I18" s="20"/>
      <c r="J18" s="20"/>
      <c r="K18" s="94">
        <f>+'Ex-1'!F13</f>
        <v>4.4099999999999999E-3</v>
      </c>
      <c r="L18" s="32">
        <f t="shared" si="1"/>
        <v>2.4475500000000001</v>
      </c>
      <c r="M18" s="44" t="e">
        <f>L18/#REF!</f>
        <v>#REF!</v>
      </c>
      <c r="N18" s="218">
        <f t="shared" si="0"/>
        <v>4.1981989708404803E-3</v>
      </c>
      <c r="R18" s="8"/>
    </row>
    <row r="19" spans="1:18">
      <c r="A19" s="66">
        <v>8</v>
      </c>
      <c r="B19" s="30" t="s">
        <v>113</v>
      </c>
      <c r="C19" s="20"/>
      <c r="D19" s="18" t="s">
        <v>68</v>
      </c>
      <c r="E19" s="63">
        <v>10</v>
      </c>
      <c r="F19" s="122">
        <v>4238887</v>
      </c>
      <c r="G19" s="95"/>
      <c r="H19" s="122">
        <v>2870316</v>
      </c>
      <c r="I19" s="20"/>
      <c r="J19" s="95"/>
      <c r="K19" s="94">
        <f>+'Ex-1'!F16</f>
        <v>6.0999999999999997E-4</v>
      </c>
      <c r="L19" s="32">
        <f t="shared" si="1"/>
        <v>2585.7210700000001</v>
      </c>
      <c r="M19" s="44" t="e">
        <f>L19/#REF!</f>
        <v>#REF!</v>
      </c>
      <c r="N19" s="218">
        <f t="shared" si="0"/>
        <v>9.0084892046729352E-4</v>
      </c>
      <c r="R19" s="8"/>
    </row>
    <row r="20" spans="1:18">
      <c r="A20" s="66">
        <v>9</v>
      </c>
      <c r="B20" s="30" t="s">
        <v>69</v>
      </c>
      <c r="C20" s="20"/>
      <c r="D20" s="18" t="s">
        <v>70</v>
      </c>
      <c r="E20" s="63">
        <v>3</v>
      </c>
      <c r="F20" s="122">
        <v>412711</v>
      </c>
      <c r="G20" s="20"/>
      <c r="H20" s="122">
        <v>307005</v>
      </c>
      <c r="I20" s="20"/>
      <c r="J20" s="20"/>
      <c r="K20" s="94">
        <f>+'Ex-1'!F17</f>
        <v>1.31E-3</v>
      </c>
      <c r="L20" s="32">
        <f t="shared" si="1"/>
        <v>540.65140999999994</v>
      </c>
      <c r="M20" s="44" t="e">
        <f>L20/#REF!</f>
        <v>#REF!</v>
      </c>
      <c r="N20" s="218">
        <f t="shared" si="0"/>
        <v>1.7610508297910455E-3</v>
      </c>
      <c r="R20" s="8"/>
    </row>
    <row r="21" spans="1:18" s="60" customFormat="1">
      <c r="A21" s="67">
        <v>10</v>
      </c>
      <c r="B21" s="25" t="s">
        <v>71</v>
      </c>
      <c r="C21" s="62"/>
      <c r="D21" s="58"/>
      <c r="E21" s="219">
        <f>SUM(E12:E20)</f>
        <v>201102</v>
      </c>
      <c r="F21" s="220">
        <f>SUM(F12:F20)</f>
        <v>226628514</v>
      </c>
      <c r="G21" s="64"/>
      <c r="H21" s="220">
        <f>SUM(H12:H20)</f>
        <v>219850996</v>
      </c>
      <c r="I21" s="64"/>
      <c r="J21" s="64"/>
      <c r="K21" s="96"/>
      <c r="L21" s="59">
        <f>SUM(L12:L20)</f>
        <v>888235.94305000012</v>
      </c>
      <c r="M21" s="75" t="e">
        <f>L21/#REF!</f>
        <v>#REF!</v>
      </c>
      <c r="N21" s="218">
        <f t="shared" si="0"/>
        <v>4.040172476862466E-3</v>
      </c>
    </row>
    <row r="22" spans="1:18" s="16" customFormat="1">
      <c r="A22" s="234"/>
      <c r="B22" s="235" t="s">
        <v>72</v>
      </c>
      <c r="C22" s="236"/>
      <c r="D22" s="236"/>
      <c r="E22" s="237"/>
      <c r="F22" s="237"/>
      <c r="G22" s="238"/>
      <c r="H22" s="6"/>
      <c r="J22" s="238"/>
      <c r="K22" s="239"/>
      <c r="L22" s="240"/>
      <c r="M22" s="241"/>
      <c r="N22" s="218"/>
    </row>
    <row r="23" spans="1:18">
      <c r="A23" s="242">
        <v>11</v>
      </c>
      <c r="B23" s="243" t="s">
        <v>158</v>
      </c>
      <c r="C23" s="12"/>
      <c r="D23" s="65" t="s">
        <v>31</v>
      </c>
      <c r="E23" s="244"/>
      <c r="F23" s="123">
        <v>0</v>
      </c>
      <c r="H23" s="244">
        <v>0</v>
      </c>
      <c r="K23" s="245">
        <v>0</v>
      </c>
      <c r="L23" s="246">
        <f>+F23*K23</f>
        <v>0</v>
      </c>
      <c r="M23" s="44"/>
      <c r="N23" s="218"/>
    </row>
    <row r="24" spans="1:18">
      <c r="A24" s="242"/>
      <c r="B24" s="247" t="s">
        <v>159</v>
      </c>
      <c r="C24" s="16"/>
      <c r="D24" s="66" t="s">
        <v>73</v>
      </c>
      <c r="E24" s="122">
        <v>181</v>
      </c>
      <c r="F24" s="122">
        <v>448282732</v>
      </c>
      <c r="G24" s="238"/>
      <c r="H24" s="122">
        <v>14405303</v>
      </c>
      <c r="I24" s="30"/>
      <c r="J24" s="238"/>
      <c r="K24" s="248">
        <f>+'Ex-1'!F20</f>
        <v>3.6999999999999999E-4</v>
      </c>
      <c r="L24" s="249">
        <f>F24*K24</f>
        <v>165864.61084000001</v>
      </c>
      <c r="M24" s="44"/>
      <c r="N24" s="218">
        <f t="shared" si="0"/>
        <v>1.1514135512456768E-2</v>
      </c>
    </row>
    <row r="25" spans="1:18">
      <c r="A25" s="242">
        <v>12</v>
      </c>
      <c r="B25" s="247" t="s">
        <v>160</v>
      </c>
      <c r="C25" s="16"/>
      <c r="D25" s="67" t="s">
        <v>155</v>
      </c>
      <c r="E25" s="250">
        <v>13</v>
      </c>
      <c r="F25" s="250">
        <v>307148738</v>
      </c>
      <c r="H25" s="122">
        <v>5894906</v>
      </c>
      <c r="K25" s="248">
        <v>0</v>
      </c>
      <c r="L25" s="249">
        <v>0</v>
      </c>
      <c r="M25" s="251"/>
    </row>
    <row r="26" spans="1:18" s="60" customFormat="1">
      <c r="A26" s="252">
        <v>13</v>
      </c>
      <c r="B26" s="253" t="s">
        <v>161</v>
      </c>
      <c r="C26" s="62"/>
      <c r="D26" s="58"/>
      <c r="E26" s="254">
        <f>SUM(E23:E25)</f>
        <v>194</v>
      </c>
      <c r="F26" s="254">
        <f>SUM(F23:F25)</f>
        <v>755431470</v>
      </c>
      <c r="G26" s="255"/>
      <c r="H26" s="254">
        <f>SUM(H23:H25)</f>
        <v>20300209</v>
      </c>
      <c r="I26" s="255"/>
      <c r="J26" s="255"/>
      <c r="K26" s="256"/>
      <c r="L26" s="257">
        <f>+L24+L23</f>
        <v>165864.61084000001</v>
      </c>
      <c r="M26" s="76"/>
    </row>
    <row r="27" spans="1:18" s="255" customFormat="1">
      <c r="A27" s="258"/>
      <c r="B27" s="259"/>
      <c r="E27" s="260"/>
      <c r="F27" s="61"/>
      <c r="H27" s="260"/>
      <c r="K27" s="261"/>
      <c r="L27" s="262"/>
      <c r="M27" s="263"/>
    </row>
    <row r="28" spans="1:18" s="60" customFormat="1">
      <c r="A28" s="71">
        <v>14</v>
      </c>
      <c r="B28" s="253" t="s">
        <v>162</v>
      </c>
      <c r="C28" s="62"/>
      <c r="D28" s="62"/>
      <c r="E28" s="254">
        <f>+E26+E21</f>
        <v>201296</v>
      </c>
      <c r="F28" s="254">
        <f>+F26+F21</f>
        <v>982059984</v>
      </c>
      <c r="G28" s="61"/>
      <c r="H28" s="254">
        <f>+H26+H21</f>
        <v>240151205</v>
      </c>
      <c r="I28" s="61"/>
      <c r="J28" s="255"/>
      <c r="K28" s="256"/>
      <c r="L28" s="257">
        <f>+L24+L21</f>
        <v>1054100.5538900001</v>
      </c>
      <c r="N28" s="217">
        <f>+L28/H28</f>
        <v>4.389320277989028E-3</v>
      </c>
    </row>
    <row r="30" spans="1:18">
      <c r="B30" s="93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4B75FC76994441BC94E8B7CD8FA1B7" ma:contentTypeVersion="48" ma:contentTypeDescription="" ma:contentTypeScope="" ma:versionID="2910c712cb44508f1cf8ec22d905af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190767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96CCE8F-84A3-4153-BECA-347BA1F2D1B8}"/>
</file>

<file path=customXml/itemProps2.xml><?xml version="1.0" encoding="utf-8"?>
<ds:datastoreItem xmlns:ds="http://schemas.openxmlformats.org/officeDocument/2006/customXml" ds:itemID="{6D1CBDB0-4E7E-4B38-8F13-4C94683455A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0AD29D-6B64-4409-AD4E-759BDD2F5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Table of Content</vt:lpstr>
      <vt:lpstr>DMA Summary of Def. Accts.</vt:lpstr>
      <vt:lpstr>DMA Proposed Rate 594</vt:lpstr>
      <vt:lpstr>DMA Amount of Change</vt:lpstr>
      <vt:lpstr>DMA Cost by Class</vt:lpstr>
      <vt:lpstr>DMA Proposed Typical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12-31-2018</vt:lpstr>
      <vt:lpstr>Int calc thru 10-31-2019</vt:lpstr>
      <vt:lpstr>Amort Calc thru 10-31-2019</vt:lpstr>
      <vt:lpstr>EstimatedBalances</vt:lpstr>
      <vt:lpstr>Int during Amort</vt:lpstr>
      <vt:lpstr>Test Period Volumes</vt:lpstr>
      <vt:lpstr>Deferral RA 20477</vt:lpstr>
      <vt:lpstr>Amort 1862.20480</vt:lpstr>
      <vt:lpstr>Bills-Therms-Revs</vt:lpstr>
      <vt:lpstr>'Balances at 12-31-2018'!BalancesJuly</vt:lpstr>
      <vt:lpstr>'Amort 1862.20480'!Print_Area</vt:lpstr>
      <vt:lpstr>'Bills-Therms-Revs'!Print_Area</vt:lpstr>
      <vt:lpstr>'Deferral RA 20477'!Print_Area</vt:lpstr>
      <vt:lpstr>'DMA Proposed Rate 594'!Print_Area</vt:lpstr>
      <vt:lpstr>'Earnings Test and 3% Test'!Print_Area</vt:lpstr>
      <vt:lpstr>'Earnings Test and 3% Test'!Print_Titles</vt:lpstr>
      <vt:lpstr>'Int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2019-09-05T20:50:51Z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0x0101006E56B4D1795A2E4DB2F0B01679ED314A00584B75FC76994441BC94E8B7CD8FA1B7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