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25" yWindow="-75" windowWidth="29040" windowHeight="12705"/>
  </bookViews>
  <sheets>
    <sheet name="Rates" sheetId="4" r:id="rId1"/>
    <sheet name="Rev Requirement" sheetId="2" r:id="rId2"/>
    <sheet name="Allocation" sheetId="3" r:id="rId3"/>
    <sheet name="Forecasted Volume" sheetId="17" r:id="rId4"/>
    <sheet name="Rate Impacts--&gt;" sheetId="21" r:id="rId5"/>
    <sheet name="Rate Impacts" sheetId="22" r:id="rId6"/>
    <sheet name="Typical Res Bill" sheetId="23" r:id="rId7"/>
    <sheet name="Schedule 120 Revenue" sheetId="2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6">0</definedName>
    <definedName name="_Order1">0</definedName>
    <definedName name="_Order2" localSheetId="6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[18]INPUTS!$C$8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ffTax">[4]INPUTS!$F$31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[4]INPUTS!$F$30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3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ast_Row" localSheetId="3">IF('Forecasted Volume'!Values_Entered,Header_Row+'Forecasted Volume'!Number_of_Payments,Header_Row)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[18]INPUTS!$F$41</definedName>
    <definedName name="OthUnc">[4]INPUTS!$F$36</definedName>
    <definedName name="outlookdata">'[44]pivoted data'!$D$3:$Q$90</definedName>
    <definedName name="peak_new_table">'[45]2008 Extreme Peaks - 080403'!$E$5:$AD$8</definedName>
    <definedName name="peak_table">'[45]Peaks-F01'!$C$5:$E$243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2">Allocation!$A$1:$I$25</definedName>
    <definedName name="_xlnm.Print_Area" localSheetId="3">'Forecasted Volume'!$A$1:$N$30</definedName>
    <definedName name="_xlnm.Print_Area" localSheetId="5">'Rate Impacts'!$B$1:$U$43</definedName>
    <definedName name="_xlnm.Print_Area" localSheetId="0">Rates!$B$1:$H$25</definedName>
    <definedName name="_xlnm.Print_Area" localSheetId="1">'Rev Requirement'!$A$1:$E$12</definedName>
    <definedName name="_xlnm.Print_Area" localSheetId="6">'Typical Res Bill'!$B$1:$H$39</definedName>
    <definedName name="Prior_Month">[46]Sch_120!$I$21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[47]Sheet1!$A$1147:$B$1887</definedName>
    <definedName name="Prov_Cap_Tax">[28]Inputs!$E$111</definedName>
    <definedName name="PSE">'[48]4.04'!$A$6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[49]QTD!$B$11:$D$11,[49]QTD!$B$35:$D$35</definedName>
    <definedName name="RATE2">'[20]Transp Data'!$A$8:$I$112</definedName>
    <definedName name="Rates">[50]Codes!$A$1:$C$500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[46]Sch_194!$M$31</definedName>
    <definedName name="RESID">[4]EXTERNAL!$A$88:$IV$90</definedName>
    <definedName name="resource_lookup">'[51]#REF'!$B$3:$C$112</definedName>
    <definedName name="ResourceSupplier">[11]Variables!$D$28</definedName>
    <definedName name="ResRCF">[18]INPUTS!$F$39</definedName>
    <definedName name="ResUnc">[4]INPUTS!$F$34</definedName>
    <definedName name="RevClass">[50]Codes!$F$2:$G$10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[52]INPUTS!$F$25</definedName>
    <definedName name="ROR">[53]INPUTS!$F$29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[4]INPUTS!$F$29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'[57]Input Tab'!$B$11</definedName>
    <definedName name="WinterPeak">'[58]Load Data'!$D$9:$H$12,'[58]Load Data'!$D$20:$H$22</definedName>
    <definedName name="WUTC_Docket_No._UG_11____">'[6]MJS-6'!$F$2</definedName>
    <definedName name="WUTC_FILING_FEE">'[6]MJS-7'!$O$15</definedName>
    <definedName name="Years_evaluated">'[59]Revison Inputs'!$B$6</definedName>
    <definedName name="YEFactors">[8]Factors!$S$3:$AG$99</definedName>
    <definedName name="YTD_Format">[49]YTD!$B$13:$D$13,[49]YTD!$B$36:$D$36</definedName>
  </definedNames>
  <calcPr calcId="145621"/>
</workbook>
</file>

<file path=xl/calcChain.xml><?xml version="1.0" encoding="utf-8"?>
<calcChain xmlns="http://schemas.openxmlformats.org/spreadsheetml/2006/main">
  <c r="E13" i="24" l="1"/>
  <c r="E14" i="24"/>
  <c r="E12" i="24"/>
  <c r="G12" i="24" s="1"/>
  <c r="E9" i="24"/>
  <c r="E10" i="24"/>
  <c r="E11" i="24"/>
  <c r="E8" i="24"/>
  <c r="G8" i="24" s="1"/>
  <c r="C15" i="24"/>
  <c r="G14" i="24"/>
  <c r="H14" i="24" s="1"/>
  <c r="F14" i="24"/>
  <c r="K16" i="22" s="1"/>
  <c r="G13" i="24"/>
  <c r="H13" i="24" s="1"/>
  <c r="F13" i="24"/>
  <c r="K15" i="22" s="1"/>
  <c r="F12" i="24"/>
  <c r="G11" i="24"/>
  <c r="H11" i="24" s="1"/>
  <c r="F11" i="24"/>
  <c r="G10" i="24"/>
  <c r="H10" i="24" s="1"/>
  <c r="F10" i="24"/>
  <c r="K12" i="22" s="1"/>
  <c r="G9" i="24"/>
  <c r="H9" i="24" s="1"/>
  <c r="F9" i="24"/>
  <c r="K11" i="22" s="1"/>
  <c r="F8" i="24"/>
  <c r="K10" i="22" s="1"/>
  <c r="K23" i="22" s="1"/>
  <c r="K26" i="22" s="1"/>
  <c r="C7" i="24"/>
  <c r="D37" i="23"/>
  <c r="E33" i="23"/>
  <c r="E31" i="23"/>
  <c r="D31" i="23"/>
  <c r="H30" i="23"/>
  <c r="G30" i="23"/>
  <c r="E30" i="23"/>
  <c r="D30" i="23"/>
  <c r="G29" i="23"/>
  <c r="G28" i="23"/>
  <c r="H26" i="23"/>
  <c r="G26" i="23"/>
  <c r="E26" i="23"/>
  <c r="E24" i="23"/>
  <c r="H22" i="23"/>
  <c r="G22" i="23"/>
  <c r="E22" i="23"/>
  <c r="D22" i="23"/>
  <c r="G21" i="23"/>
  <c r="G20" i="23"/>
  <c r="G19" i="23"/>
  <c r="G18" i="23"/>
  <c r="G17" i="23"/>
  <c r="G16" i="23"/>
  <c r="G13" i="23"/>
  <c r="E13" i="23"/>
  <c r="D13" i="23"/>
  <c r="H12" i="23"/>
  <c r="G12" i="23"/>
  <c r="E12" i="23"/>
  <c r="H11" i="23"/>
  <c r="H13" i="23" s="1"/>
  <c r="G11" i="23"/>
  <c r="E11" i="23"/>
  <c r="T39" i="22"/>
  <c r="E39" i="22"/>
  <c r="T36" i="22"/>
  <c r="S36" i="22"/>
  <c r="U36" i="22" s="1"/>
  <c r="H36" i="22"/>
  <c r="E36" i="22"/>
  <c r="D36" i="22"/>
  <c r="E35" i="22"/>
  <c r="D35" i="22"/>
  <c r="E34" i="22"/>
  <c r="D34" i="22"/>
  <c r="E33" i="22"/>
  <c r="D33" i="22"/>
  <c r="H32" i="22"/>
  <c r="E32" i="22"/>
  <c r="D32" i="22"/>
  <c r="E31" i="22"/>
  <c r="E37" i="22" s="1"/>
  <c r="E40" i="22" s="1"/>
  <c r="D31" i="22"/>
  <c r="D37" i="22" s="1"/>
  <c r="D40" i="22" s="1"/>
  <c r="E30" i="22"/>
  <c r="D30" i="22"/>
  <c r="Q26" i="22"/>
  <c r="P26" i="22"/>
  <c r="M26" i="22"/>
  <c r="L26" i="22"/>
  <c r="I26" i="22"/>
  <c r="F25" i="22"/>
  <c r="H25" i="22" s="1"/>
  <c r="R23" i="22"/>
  <c r="R26" i="22" s="1"/>
  <c r="Q23" i="22"/>
  <c r="P23" i="22"/>
  <c r="O23" i="22"/>
  <c r="O26" i="22" s="1"/>
  <c r="N23" i="22"/>
  <c r="N26" i="22" s="1"/>
  <c r="M23" i="22"/>
  <c r="L23" i="22"/>
  <c r="J23" i="22"/>
  <c r="J26" i="22" s="1"/>
  <c r="I23" i="22"/>
  <c r="G23" i="22"/>
  <c r="E23" i="22"/>
  <c r="E26" i="22" s="1"/>
  <c r="D23" i="22"/>
  <c r="F23" i="22" s="1"/>
  <c r="U22" i="22"/>
  <c r="S22" i="22"/>
  <c r="H22" i="22"/>
  <c r="F22" i="22"/>
  <c r="S21" i="22"/>
  <c r="U21" i="22" s="1"/>
  <c r="H21" i="22"/>
  <c r="F21" i="22"/>
  <c r="H20" i="22"/>
  <c r="S20" i="22" s="1"/>
  <c r="U20" i="22" s="1"/>
  <c r="F20" i="22"/>
  <c r="F19" i="22"/>
  <c r="H19" i="22" s="1"/>
  <c r="S19" i="22" s="1"/>
  <c r="U19" i="22" s="1"/>
  <c r="S18" i="22"/>
  <c r="U18" i="22" s="1"/>
  <c r="H18" i="22"/>
  <c r="F18" i="22"/>
  <c r="S17" i="22"/>
  <c r="U17" i="22" s="1"/>
  <c r="H17" i="22"/>
  <c r="F17" i="22"/>
  <c r="T16" i="22"/>
  <c r="T35" i="22" s="1"/>
  <c r="H16" i="22"/>
  <c r="H35" i="22" s="1"/>
  <c r="F16" i="22"/>
  <c r="F15" i="22"/>
  <c r="H15" i="22" s="1"/>
  <c r="S14" i="22"/>
  <c r="S33" i="22" s="1"/>
  <c r="K14" i="22"/>
  <c r="H14" i="22"/>
  <c r="F14" i="22"/>
  <c r="K13" i="22"/>
  <c r="H13" i="22"/>
  <c r="S13" i="22" s="1"/>
  <c r="S32" i="22" s="1"/>
  <c r="F13" i="22"/>
  <c r="T12" i="22"/>
  <c r="T31" i="22" s="1"/>
  <c r="H12" i="22"/>
  <c r="H31" i="22" s="1"/>
  <c r="F12" i="22"/>
  <c r="H11" i="22"/>
  <c r="S11" i="22" s="1"/>
  <c r="F11" i="22"/>
  <c r="F10" i="22"/>
  <c r="H10" i="22" s="1"/>
  <c r="T13" i="22" l="1"/>
  <c r="T15" i="22"/>
  <c r="T34" i="22" s="1"/>
  <c r="H12" i="24"/>
  <c r="T14" i="22"/>
  <c r="T11" i="22"/>
  <c r="U11" i="22" s="1"/>
  <c r="H8" i="24"/>
  <c r="T10" i="22"/>
  <c r="G24" i="23"/>
  <c r="H24" i="23" s="1"/>
  <c r="H31" i="23" s="1"/>
  <c r="H33" i="23" s="1"/>
  <c r="H34" i="23" s="1"/>
  <c r="H35" i="23" s="1"/>
  <c r="S15" i="22"/>
  <c r="H34" i="22"/>
  <c r="H23" i="22"/>
  <c r="H26" i="22" s="1"/>
  <c r="S10" i="22"/>
  <c r="H30" i="22"/>
  <c r="U13" i="22"/>
  <c r="H33" i="22"/>
  <c r="H39" i="22"/>
  <c r="S25" i="22"/>
  <c r="F15" i="24"/>
  <c r="S12" i="22"/>
  <c r="S16" i="22"/>
  <c r="T32" i="22"/>
  <c r="U32" i="22" s="1"/>
  <c r="G15" i="24"/>
  <c r="H15" i="24" s="1"/>
  <c r="F12" i="3"/>
  <c r="E12" i="3"/>
  <c r="U14" i="22" l="1"/>
  <c r="T33" i="22"/>
  <c r="U33" i="22" s="1"/>
  <c r="T23" i="22"/>
  <c r="T26" i="22" s="1"/>
  <c r="U26" i="22" s="1"/>
  <c r="T30" i="22"/>
  <c r="T37" i="22" s="1"/>
  <c r="T40" i="22" s="1"/>
  <c r="G37" i="23"/>
  <c r="G31" i="23"/>
  <c r="S31" i="22"/>
  <c r="U31" i="22" s="1"/>
  <c r="U12" i="22"/>
  <c r="U10" i="22"/>
  <c r="S30" i="22"/>
  <c r="S23" i="22"/>
  <c r="S26" i="22" s="1"/>
  <c r="S35" i="22"/>
  <c r="U35" i="22" s="1"/>
  <c r="U16" i="22"/>
  <c r="H37" i="22"/>
  <c r="H40" i="22" s="1"/>
  <c r="U15" i="22"/>
  <c r="S34" i="22"/>
  <c r="U34" i="22" s="1"/>
  <c r="S39" i="22"/>
  <c r="U25" i="22"/>
  <c r="G11" i="4"/>
  <c r="G10" i="4"/>
  <c r="U23" i="22" l="1"/>
  <c r="S40" i="22"/>
  <c r="U40" i="22" s="1"/>
  <c r="U39" i="22"/>
  <c r="S37" i="22"/>
  <c r="U37" i="22" s="1"/>
  <c r="U30" i="22"/>
  <c r="D19" i="3"/>
  <c r="D13" i="3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M27" i="17" s="1"/>
  <c r="L24" i="17"/>
  <c r="L27" i="17" s="1"/>
  <c r="K24" i="17"/>
  <c r="J24" i="17"/>
  <c r="I24" i="17"/>
  <c r="I27" i="17" s="1"/>
  <c r="H24" i="17"/>
  <c r="H27" i="17" s="1"/>
  <c r="G24" i="17"/>
  <c r="F24" i="17"/>
  <c r="E24" i="17"/>
  <c r="E27" i="17" s="1"/>
  <c r="D24" i="17"/>
  <c r="D27" i="17" s="1"/>
  <c r="C24" i="17"/>
  <c r="B24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N20" i="17"/>
  <c r="N19" i="17"/>
  <c r="N18" i="17"/>
  <c r="N17" i="17"/>
  <c r="N16" i="17"/>
  <c r="N15" i="17"/>
  <c r="N14" i="17"/>
  <c r="N13" i="17"/>
  <c r="N12" i="17"/>
  <c r="D15" i="3" s="1"/>
  <c r="N11" i="17"/>
  <c r="N10" i="17"/>
  <c r="N9" i="17"/>
  <c r="N8" i="17"/>
  <c r="C7" i="17"/>
  <c r="D7" i="17" s="1"/>
  <c r="E7" i="17" s="1"/>
  <c r="F7" i="17" s="1"/>
  <c r="G7" i="17" s="1"/>
  <c r="H7" i="17" s="1"/>
  <c r="I7" i="17" s="1"/>
  <c r="J7" i="17" s="1"/>
  <c r="K7" i="17" s="1"/>
  <c r="L7" i="17" s="1"/>
  <c r="M7" i="17" s="1"/>
  <c r="D20" i="3" l="1"/>
  <c r="N25" i="17"/>
  <c r="H17" i="4" s="1"/>
  <c r="D18" i="3"/>
  <c r="D14" i="3"/>
  <c r="D11" i="3"/>
  <c r="N24" i="17"/>
  <c r="H16" i="4" s="1"/>
  <c r="B27" i="17"/>
  <c r="B28" i="17" s="1"/>
  <c r="F27" i="17"/>
  <c r="F28" i="17" s="1"/>
  <c r="J27" i="17"/>
  <c r="J28" i="17" s="1"/>
  <c r="C27" i="17"/>
  <c r="C28" i="17" s="1"/>
  <c r="G27" i="17"/>
  <c r="G28" i="17" s="1"/>
  <c r="K27" i="17"/>
  <c r="K28" i="17" s="1"/>
  <c r="D28" i="17"/>
  <c r="H28" i="17"/>
  <c r="L28" i="17"/>
  <c r="D12" i="3"/>
  <c r="N22" i="17"/>
  <c r="E28" i="17"/>
  <c r="I28" i="17"/>
  <c r="M28" i="17"/>
  <c r="N26" i="17"/>
  <c r="N27" i="17" l="1"/>
  <c r="N28" i="17" s="1"/>
  <c r="G12" i="3" l="1"/>
  <c r="H12" i="3" s="1"/>
  <c r="B10" i="4" l="1"/>
  <c r="B11" i="4" s="1"/>
  <c r="B12" i="4" s="1"/>
  <c r="B13" i="4" s="1"/>
  <c r="B15" i="4" s="1"/>
  <c r="B16" i="4" s="1"/>
  <c r="B17" i="4" s="1"/>
  <c r="B18" i="4" s="1"/>
  <c r="B21" i="4" s="1"/>
  <c r="B22" i="4" s="1"/>
  <c r="B23" i="4" s="1"/>
  <c r="B25" i="4" l="1"/>
  <c r="G13" i="3"/>
  <c r="G20" i="3"/>
  <c r="G19" i="3"/>
  <c r="G18" i="3"/>
  <c r="G15" i="3"/>
  <c r="G14" i="3"/>
  <c r="G11" i="3"/>
  <c r="C12" i="2" l="1"/>
  <c r="F12" i="4" s="1"/>
  <c r="E10" i="2"/>
  <c r="E8" i="2"/>
  <c r="H13" i="3"/>
  <c r="E12" i="2" l="1"/>
  <c r="H12" i="4" s="1"/>
  <c r="H11" i="3"/>
  <c r="H14" i="3"/>
  <c r="H18" i="3"/>
  <c r="H20" i="3"/>
  <c r="H15" i="3"/>
  <c r="H19" i="3"/>
  <c r="D16" i="3" l="1"/>
  <c r="H18" i="4"/>
  <c r="H21" i="3"/>
  <c r="H16" i="3"/>
  <c r="D21" i="3"/>
  <c r="D22" i="3" l="1"/>
  <c r="D23" i="3" s="1"/>
  <c r="H22" i="3"/>
  <c r="I16" i="3" l="1"/>
  <c r="E10" i="4" s="1"/>
  <c r="I21" i="3"/>
  <c r="I22" i="3" l="1"/>
  <c r="F10" i="4"/>
  <c r="E11" i="4"/>
  <c r="E12" i="4" s="1"/>
  <c r="H10" i="4" l="1"/>
  <c r="F11" i="4"/>
  <c r="H11" i="4" s="1"/>
  <c r="H23" i="4" s="1"/>
  <c r="F13" i="4" l="1"/>
  <c r="H22" i="4"/>
  <c r="H13" i="4"/>
  <c r="H25" i="4" l="1"/>
</calcChain>
</file>

<file path=xl/sharedStrings.xml><?xml version="1.0" encoding="utf-8"?>
<sst xmlns="http://schemas.openxmlformats.org/spreadsheetml/2006/main" count="280" uniqueCount="171">
  <si>
    <t>41T</t>
  </si>
  <si>
    <t>85T</t>
  </si>
  <si>
    <t>87T</t>
  </si>
  <si>
    <t>Total</t>
  </si>
  <si>
    <t>Schedule</t>
  </si>
  <si>
    <t>Gas Conservation Revenue Requirement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</si>
  <si>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</si>
  <si>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</si>
  <si>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</si>
  <si>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</si>
  <si>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</si>
  <si>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</si>
  <si>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</si>
  <si>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Current Rates</t>
  </si>
  <si>
    <t>Charges</t>
  </si>
  <si>
    <t>Rates</t>
  </si>
  <si>
    <t>Volume (therms)</t>
  </si>
  <si>
    <t>Customer charge ($/month)</t>
  </si>
  <si>
    <t>Volumetric charges ($/therm)</t>
  </si>
  <si>
    <t>Delivery charge (Schedule 23)</t>
  </si>
  <si>
    <t>Low income charge (Schedule 129)</t>
  </si>
  <si>
    <t>Subtotal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</si>
  <si>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</si>
  <si>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</si>
  <si>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</si>
  <si>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</si>
  <si>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</si>
  <si>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</si>
  <si>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</si>
  <si>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</si>
  <si>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</si>
  <si>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</si>
  <si>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</si>
  <si>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</si>
  <si>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</si>
  <si>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</si>
  <si>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</si>
  <si>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</si>
  <si>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</si>
  <si>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</si>
  <si>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</si>
  <si>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</si>
  <si>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</si>
  <si>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</si>
  <si>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</si>
  <si>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</si>
  <si>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</si>
  <si>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</si>
  <si>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</si>
  <si>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</si>
  <si>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</si>
  <si>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</si>
  <si>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</si>
  <si>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</si>
  <si>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</si>
  <si>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</si>
  <si>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</si>
  <si>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</si>
  <si>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</si>
  <si>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</si>
  <si>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A</t>
  </si>
  <si>
    <t>B</t>
  </si>
  <si>
    <t>D</t>
  </si>
  <si>
    <t>C</t>
  </si>
  <si>
    <t>Firm Schedules (line 2E / line 7E)</t>
  </si>
  <si>
    <t>Interruptible Schedules (line 3E / line 8E)</t>
  </si>
  <si>
    <t>Calculation of Schedule 120 Rates</t>
  </si>
  <si>
    <t>23,53</t>
  </si>
  <si>
    <t>Residential Gas Lights</t>
  </si>
  <si>
    <t>Large Volume</t>
  </si>
  <si>
    <t>Margin</t>
  </si>
  <si>
    <t>Margin Rate</t>
  </si>
  <si>
    <t>$/Therm</t>
  </si>
  <si>
    <t>Sched 120</t>
  </si>
  <si>
    <t>Revenue</t>
  </si>
  <si>
    <t>Change</t>
  </si>
  <si>
    <t>86T</t>
  </si>
  <si>
    <t>Contracts</t>
  </si>
  <si>
    <t>Large Volume Transportation</t>
  </si>
  <si>
    <t>Interruptible Transportation</t>
  </si>
  <si>
    <t>Limited Interruptible Transportation</t>
  </si>
  <si>
    <t>Non-exclusive Interruptible Transportation</t>
  </si>
  <si>
    <t>Rate</t>
  </si>
  <si>
    <t>Rate Class</t>
  </si>
  <si>
    <t>Proposed</t>
  </si>
  <si>
    <t>H</t>
  </si>
  <si>
    <t>$/mantle</t>
  </si>
  <si>
    <t>Proposed Rates</t>
  </si>
  <si>
    <t>Schedule 16 Gas Lights (line 11E * 19 therms/mantle)</t>
  </si>
  <si>
    <t>Volume (Therms)</t>
  </si>
  <si>
    <t>Basic charge</t>
  </si>
  <si>
    <t>Decoupling charge (Schedule 142)</t>
  </si>
  <si>
    <t>Residential (16,23,53)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</si>
  <si>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</si>
  <si>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</si>
  <si>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K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</si>
  <si>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</si>
  <si>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r>
      <t>Rates</t>
    </r>
    <r>
      <rPr>
        <vertAlign val="superscript"/>
        <sz val="11"/>
        <rFont val="Calibri"/>
        <family val="2"/>
      </rPr>
      <t xml:space="preserve"> (1)</t>
    </r>
  </si>
  <si>
    <t>Property tax charge (Schedule 140)</t>
  </si>
  <si>
    <t>31T</t>
  </si>
  <si>
    <t>CRM Charge (Schedule 149)</t>
  </si>
  <si>
    <t>J</t>
  </si>
  <si>
    <t>Decoupling</t>
  </si>
  <si>
    <t>Sched 149</t>
  </si>
  <si>
    <t>L</t>
  </si>
  <si>
    <t>N</t>
  </si>
  <si>
    <t>Total Transportation</t>
  </si>
  <si>
    <t>Total Delivered</t>
  </si>
  <si>
    <t>Residential Lights</t>
  </si>
  <si>
    <r>
      <t>Rentals</t>
    </r>
    <r>
      <rPr>
        <vertAlign val="superscript"/>
        <sz val="11"/>
        <rFont val="Calibri"/>
        <family val="2"/>
      </rPr>
      <t>(2)</t>
    </r>
  </si>
  <si>
    <t>Non exclusive interruptible (87,87T)</t>
  </si>
  <si>
    <t>Limited interruptible (86,86T)</t>
  </si>
  <si>
    <t>Interruptible (85,85T)</t>
  </si>
  <si>
    <t>Large volume (41,41T)</t>
  </si>
  <si>
    <t>Commercial &amp; industrial (31,31T)</t>
  </si>
  <si>
    <t>By Customer Class</t>
  </si>
  <si>
    <t>Commercial &amp; Industrial Transportation</t>
  </si>
  <si>
    <t xml:space="preserve">S </t>
  </si>
  <si>
    <t xml:space="preserve">R </t>
  </si>
  <si>
    <t>Q</t>
  </si>
  <si>
    <t>P</t>
  </si>
  <si>
    <t>O</t>
  </si>
  <si>
    <t>M</t>
  </si>
  <si>
    <t>I</t>
  </si>
  <si>
    <t xml:space="preserve">G=E*F </t>
  </si>
  <si>
    <t xml:space="preserve">F </t>
  </si>
  <si>
    <t>E=D/C</t>
  </si>
  <si>
    <t>Margin Revenue</t>
  </si>
  <si>
    <t>Sched 141 ERF</t>
  </si>
  <si>
    <t>Sched 140</t>
  </si>
  <si>
    <t>Sched 132</t>
  </si>
  <si>
    <t>Sched 129</t>
  </si>
  <si>
    <t>Sched 106</t>
  </si>
  <si>
    <t>Sched 101</t>
  </si>
  <si>
    <t>Total Forecasted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</si>
  <si>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</si>
  <si>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</si>
  <si>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</si>
  <si>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</si>
  <si>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</si>
  <si>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</si>
  <si>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</si>
  <si>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</si>
  <si>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</si>
  <si>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</si>
  <si>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</si>
  <si>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Rate Change Impacts by Rate Schedule</t>
  </si>
  <si>
    <t>Sched 142</t>
  </si>
  <si>
    <t>Rate Plan</t>
  </si>
  <si>
    <t>T= S/R</t>
  </si>
  <si>
    <t>Rentals</t>
  </si>
  <si>
    <t>Typical Residential Bill Impacts</t>
  </si>
  <si>
    <t>Schedule 120 Rate Change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</si>
  <si>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</si>
  <si>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Conservation Program Tracker (Schedule 120)</t>
  </si>
  <si>
    <t>Existing</t>
  </si>
  <si>
    <t>Proposed Effective May 1, 2019</t>
  </si>
  <si>
    <t>Estimated Under (Over) Collection from Prior Year</t>
  </si>
  <si>
    <t>May19 - Apr20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</si>
  <si>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Volumetric Schedule 101 rates effective November 1, 2018 (excluding revenue sensitive items)</t>
    </r>
  </si>
  <si>
    <t>May 2019 - April 2020</t>
  </si>
  <si>
    <t xml:space="preserve">Source: 2018 Load Forecast Calendar Month Therms (7-5-18)  </t>
  </si>
  <si>
    <t>2019 Gas Schedule 120 Conservation Filing</t>
  </si>
  <si>
    <t>UG-180283</t>
  </si>
  <si>
    <t>12ME Apr 2020</t>
  </si>
  <si>
    <t>May 19 - Apr 20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</si>
  <si>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</si>
  <si>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December 2018 count.</t>
    </r>
  </si>
  <si>
    <t>Proposed Rates Effective May 1, 2019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</si>
  <si>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January 1, 2019</t>
    </r>
  </si>
  <si>
    <t xml:space="preserve">2019 Conservation Costs (12 Months)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</si>
</sst>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_(&quot;$&quot;* #,##0.00000_);_(&quot;$&quot;* \(#,##0.00000\);_(&quot;$&quot;* &quot;-&quot;?????_);_(@_)"/>
    <numFmt numFmtId="166" formatCode="_(&quot;$&quot;* #,##0.00000_);_(&quot;$&quot;* \(#,##0.00000\);_(&quot;$&quot;* &quot;-&quot;??_);_(@_)"/>
    <numFmt numFmtId="167" formatCode="0.0%"/>
    <numFmt numFmtId="168" formatCode="0.000000"/>
    <numFmt numFmtId="169" formatCode="_(&quot;$&quot;* #,##0.000000_);_(&quot;$&quot;* \(#,##0.000000\);_(&quot;$&quot;* &quot;-&quot;_);_(@_)"/>
    <numFmt numFmtId="170" formatCode="_(&quot;$&quot;* #,##0.0000000_);_(&quot;$&quot;* \(#,##0.0000000\);_(&quot;$&quot;* &quot;-&quot;??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(&quot;$&quot;* #,##0.00_);_(&quot;$&quot;* \(#,##0.00\);_(&quot;$&quot;* &quot;-&quot;?????_);_(@_)"/>
    <numFmt numFmtId="174" formatCode="_(&quot;$&quot;* #,##0_);_(&quot;$&quot;* \(#,##0\);_(&quot;$&quot;* &quot;-&quot;???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8080"/>
      <name val="Calibri"/>
      <family val="2"/>
      <scheme val="minor"/>
    </font>
    <font>
      <sz val="11"/>
      <color indexed="2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43">
    <xf numFmtId="0" fontId="0" fillId="0" borderId="0" xfId="0"/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0" borderId="1" xfId="0" applyFill="1" applyBorder="1" applyAlignment="1">
      <alignment horizontal="center"/>
    </xf>
    <xf numFmtId="3" fontId="0" fillId="0" borderId="2" xfId="0" applyNumberFormat="1" applyBorder="1"/>
    <xf numFmtId="0" fontId="0" fillId="0" borderId="0" xfId="0" applyAlignment="1">
      <alignment horizontal="left"/>
    </xf>
    <xf numFmtId="42" fontId="0" fillId="0" borderId="0" xfId="0" applyNumberFormat="1"/>
    <xf numFmtId="0" fontId="0" fillId="0" borderId="1" xfId="0" applyBorder="1" applyAlignment="1">
      <alignment horizontal="center" wrapText="1"/>
    </xf>
    <xf numFmtId="42" fontId="0" fillId="0" borderId="1" xfId="0" applyNumberFormat="1" applyBorder="1"/>
    <xf numFmtId="42" fontId="0" fillId="0" borderId="3" xfId="0" applyNumberForma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3" fillId="0" borderId="0" xfId="0" applyFont="1" applyBorder="1"/>
    <xf numFmtId="44" fontId="3" fillId="0" borderId="0" xfId="0" applyNumberFormat="1" applyFont="1"/>
    <xf numFmtId="44" fontId="3" fillId="0" borderId="0" xfId="0" applyNumberFormat="1" applyFont="1" applyBorder="1"/>
    <xf numFmtId="44" fontId="2" fillId="0" borderId="0" xfId="0" applyNumberFormat="1" applyFont="1"/>
    <xf numFmtId="165" fontId="3" fillId="0" borderId="0" xfId="0" applyNumberFormat="1" applyFont="1" applyBorder="1"/>
    <xf numFmtId="165" fontId="2" fillId="0" borderId="0" xfId="0" applyNumberFormat="1" applyFont="1"/>
    <xf numFmtId="165" fontId="3" fillId="0" borderId="0" xfId="0" applyNumberFormat="1" applyFont="1" applyFill="1"/>
    <xf numFmtId="165" fontId="2" fillId="0" borderId="2" xfId="0" applyNumberFormat="1" applyFont="1" applyBorder="1"/>
    <xf numFmtId="164" fontId="2" fillId="0" borderId="2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 applyBorder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Continuous"/>
    </xf>
    <xf numFmtId="165" fontId="0" fillId="0" borderId="0" xfId="0" applyNumberFormat="1"/>
    <xf numFmtId="165" fontId="4" fillId="0" borderId="0" xfId="0" applyNumberFormat="1" applyFont="1"/>
    <xf numFmtId="42" fontId="0" fillId="0" borderId="2" xfId="0" applyNumberFormat="1" applyBorder="1"/>
    <xf numFmtId="167" fontId="0" fillId="0" borderId="0" xfId="0" applyNumberFormat="1" applyFont="1"/>
    <xf numFmtId="10" fontId="0" fillId="0" borderId="0" xfId="0" applyNumberFormat="1" applyFont="1"/>
    <xf numFmtId="10" fontId="0" fillId="0" borderId="0" xfId="0" applyNumberFormat="1"/>
    <xf numFmtId="10" fontId="0" fillId="0" borderId="2" xfId="0" applyNumberFormat="1" applyBorder="1"/>
    <xf numFmtId="44" fontId="0" fillId="0" borderId="0" xfId="0" applyNumberFormat="1"/>
    <xf numFmtId="166" fontId="0" fillId="0" borderId="0" xfId="0" applyNumberFormat="1"/>
    <xf numFmtId="39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applyBorder="1" applyAlignment="1">
      <alignment horizontal="centerContinuous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4" fontId="3" fillId="0" borderId="1" xfId="0" applyNumberFormat="1" applyFont="1" applyBorder="1"/>
    <xf numFmtId="164" fontId="2" fillId="0" borderId="1" xfId="0" applyNumberFormat="1" applyFont="1" applyBorder="1"/>
    <xf numFmtId="44" fontId="2" fillId="0" borderId="1" xfId="0" applyNumberFormat="1" applyFont="1" applyBorder="1"/>
    <xf numFmtId="166" fontId="0" fillId="0" borderId="1" xfId="0" applyNumberFormat="1" applyBorder="1"/>
    <xf numFmtId="166" fontId="4" fillId="0" borderId="0" xfId="0" applyNumberFormat="1" applyFont="1" applyFill="1"/>
    <xf numFmtId="0" fontId="0" fillId="0" borderId="0" xfId="0" quotePrefix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2" fontId="4" fillId="0" borderId="0" xfId="0" applyNumberFormat="1" applyFont="1"/>
    <xf numFmtId="42" fontId="4" fillId="0" borderId="1" xfId="0" applyNumberFormat="1" applyFont="1" applyBorder="1"/>
    <xf numFmtId="168" fontId="4" fillId="0" borderId="0" xfId="0" applyNumberFormat="1" applyFont="1"/>
    <xf numFmtId="172" fontId="0" fillId="0" borderId="0" xfId="0" applyNumberFormat="1"/>
    <xf numFmtId="0" fontId="0" fillId="0" borderId="0" xfId="0" quotePrefix="1"/>
    <xf numFmtId="44" fontId="7" fillId="0" borderId="0" xfId="0" applyNumberFormat="1" applyFont="1"/>
    <xf numFmtId="0" fontId="7" fillId="0" borderId="0" xfId="0" applyFont="1" applyFill="1"/>
    <xf numFmtId="0" fontId="7" fillId="0" borderId="0" xfId="0" applyFont="1" applyBorder="1"/>
    <xf numFmtId="172" fontId="7" fillId="0" borderId="2" xfId="0" applyNumberFormat="1" applyFont="1" applyFill="1" applyBorder="1"/>
    <xf numFmtId="172" fontId="7" fillId="0" borderId="0" xfId="0" applyNumberFormat="1" applyFont="1" applyFill="1" applyBorder="1"/>
    <xf numFmtId="171" fontId="7" fillId="0" borderId="2" xfId="0" applyNumberFormat="1" applyFont="1" applyFill="1" applyBorder="1"/>
    <xf numFmtId="0" fontId="7" fillId="0" borderId="0" xfId="0" applyFont="1" applyAlignment="1">
      <alignment horizontal="left"/>
    </xf>
    <xf numFmtId="172" fontId="7" fillId="0" borderId="0" xfId="0" applyNumberFormat="1" applyFont="1" applyFill="1"/>
    <xf numFmtId="0" fontId="7" fillId="0" borderId="0" xfId="0" applyFont="1" applyFill="1" applyBorder="1"/>
    <xf numFmtId="171" fontId="7" fillId="0" borderId="0" xfId="0" applyNumberFormat="1" applyFont="1" applyFill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textRotation="180"/>
    </xf>
    <xf numFmtId="42" fontId="7" fillId="0" borderId="0" xfId="0" applyNumberFormat="1" applyFont="1"/>
    <xf numFmtId="42" fontId="7" fillId="0" borderId="0" xfId="0" applyNumberFormat="1" applyFont="1" applyBorder="1"/>
    <xf numFmtId="3" fontId="7" fillId="0" borderId="0" xfId="0" applyNumberFormat="1" applyFont="1" applyBorder="1"/>
    <xf numFmtId="0" fontId="8" fillId="0" borderId="0" xfId="0" applyFont="1" applyAlignment="1">
      <alignment horizontal="left"/>
    </xf>
    <xf numFmtId="10" fontId="7" fillId="0" borderId="0" xfId="0" applyNumberFormat="1" applyFont="1"/>
    <xf numFmtId="42" fontId="7" fillId="0" borderId="2" xfId="0" applyNumberFormat="1" applyFont="1" applyFill="1" applyBorder="1"/>
    <xf numFmtId="42" fontId="7" fillId="0" borderId="0" xfId="0" applyNumberFormat="1" applyFont="1" applyFill="1" applyBorder="1"/>
    <xf numFmtId="37" fontId="7" fillId="0" borderId="0" xfId="0" applyNumberFormat="1" applyFont="1" applyFill="1"/>
    <xf numFmtId="37" fontId="7" fillId="0" borderId="0" xfId="0" applyNumberFormat="1" applyFont="1"/>
    <xf numFmtId="42" fontId="2" fillId="0" borderId="0" xfId="0" applyNumberFormat="1" applyFont="1"/>
    <xf numFmtId="42" fontId="9" fillId="0" borderId="0" xfId="0" applyNumberFormat="1" applyFont="1"/>
    <xf numFmtId="173" fontId="7" fillId="0" borderId="0" xfId="0" applyNumberFormat="1" applyFont="1" applyFill="1" applyBorder="1"/>
    <xf numFmtId="3" fontId="4" fillId="0" borderId="0" xfId="0" applyNumberFormat="1" applyFont="1"/>
    <xf numFmtId="167" fontId="7" fillId="0" borderId="0" xfId="0" applyNumberFormat="1" applyFont="1"/>
    <xf numFmtId="165" fontId="10" fillId="0" borderId="0" xfId="0" applyNumberFormat="1" applyFont="1"/>
    <xf numFmtId="42" fontId="2" fillId="0" borderId="2" xfId="0" applyNumberFormat="1" applyFont="1" applyBorder="1"/>
    <xf numFmtId="3" fontId="9" fillId="0" borderId="0" xfId="0" applyNumberFormat="1" applyFont="1"/>
    <xf numFmtId="0" fontId="7" fillId="0" borderId="0" xfId="0" applyFont="1"/>
    <xf numFmtId="165" fontId="7" fillId="0" borderId="0" xfId="0" applyNumberFormat="1" applyFont="1" applyFill="1" applyBorder="1"/>
    <xf numFmtId="165" fontId="7" fillId="0" borderId="0" xfId="0" applyNumberFormat="1" applyFont="1" applyFill="1"/>
    <xf numFmtId="3" fontId="7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167" fontId="0" fillId="0" borderId="2" xfId="0" applyNumberFormat="1" applyFont="1" applyBorder="1"/>
    <xf numFmtId="3" fontId="9" fillId="0" borderId="0" xfId="0" applyNumberFormat="1" applyFont="1" applyFill="1"/>
    <xf numFmtId="0" fontId="2" fillId="0" borderId="0" xfId="0" applyFont="1"/>
    <xf numFmtId="0" fontId="2" fillId="0" borderId="0" xfId="0" applyFont="1" applyBorder="1"/>
    <xf numFmtId="167" fontId="2" fillId="0" borderId="0" xfId="0" applyNumberFormat="1" applyFont="1"/>
    <xf numFmtId="167" fontId="2" fillId="0" borderId="0" xfId="0" applyNumberFormat="1" applyFont="1" applyBorder="1"/>
    <xf numFmtId="3" fontId="11" fillId="0" borderId="0" xfId="0" applyNumberFormat="1" applyFont="1" applyFill="1"/>
    <xf numFmtId="0" fontId="0" fillId="0" borderId="0" xfId="0" applyFont="1" applyAlignment="1">
      <alignment horizontal="centerContinuous"/>
    </xf>
    <xf numFmtId="166" fontId="9" fillId="0" borderId="0" xfId="0" applyNumberFormat="1" applyFont="1" applyFill="1"/>
    <xf numFmtId="10" fontId="9" fillId="0" borderId="0" xfId="0" applyNumberFormat="1" applyFont="1"/>
    <xf numFmtId="42" fontId="9" fillId="0" borderId="2" xfId="0" applyNumberFormat="1" applyFont="1" applyBorder="1"/>
    <xf numFmtId="0" fontId="9" fillId="0" borderId="0" xfId="0" applyFont="1"/>
    <xf numFmtId="42" fontId="0" fillId="0" borderId="0" xfId="0" applyNumberFormat="1" applyAlignment="1">
      <alignment horizontal="center"/>
    </xf>
    <xf numFmtId="43" fontId="0" fillId="0" borderId="0" xfId="0" applyNumberFormat="1" applyFont="1"/>
    <xf numFmtId="0" fontId="0" fillId="0" borderId="0" xfId="0" applyFont="1"/>
    <xf numFmtId="17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3" fontId="4" fillId="0" borderId="0" xfId="0" applyNumberFormat="1" applyFont="1" applyFill="1"/>
    <xf numFmtId="3" fontId="0" fillId="0" borderId="0" xfId="0" applyNumberFormat="1" applyFont="1"/>
    <xf numFmtId="3" fontId="0" fillId="0" borderId="2" xfId="0" applyNumberFormat="1" applyFont="1" applyBorder="1"/>
    <xf numFmtId="3" fontId="0" fillId="0" borderId="1" xfId="0" applyNumberFormat="1" applyFont="1" applyBorder="1"/>
    <xf numFmtId="0" fontId="12" fillId="0" borderId="0" xfId="0" applyFont="1" applyAlignment="1">
      <alignment horizontal="left"/>
    </xf>
    <xf numFmtId="171" fontId="12" fillId="0" borderId="0" xfId="0" applyNumberFormat="1" applyFont="1"/>
    <xf numFmtId="0" fontId="4" fillId="0" borderId="1" xfId="0" applyFont="1" applyFill="1" applyBorder="1" applyAlignment="1">
      <alignment horizontal="center"/>
    </xf>
    <xf numFmtId="10" fontId="0" fillId="0" borderId="2" xfId="0" applyNumberFormat="1" applyFont="1" applyBorder="1"/>
    <xf numFmtId="165" fontId="14" fillId="0" borderId="0" xfId="0" applyNumberFormat="1" applyFont="1"/>
    <xf numFmtId="165" fontId="14" fillId="0" borderId="0" xfId="0" applyNumberFormat="1" applyFont="1" applyFill="1"/>
    <xf numFmtId="165" fontId="15" fillId="0" borderId="0" xfId="0" applyNumberFormat="1" applyFont="1"/>
    <xf numFmtId="165" fontId="9" fillId="0" borderId="0" xfId="0" applyNumberFormat="1" applyFont="1" applyFill="1"/>
    <xf numFmtId="165" fontId="1" fillId="0" borderId="0" xfId="0" applyNumberFormat="1" applyFont="1"/>
    <xf numFmtId="165" fontId="0" fillId="0" borderId="0" xfId="0" applyNumberFormat="1" applyFont="1"/>
    <xf numFmtId="42" fontId="11" fillId="0" borderId="0" xfId="0" applyNumberFormat="1" applyFont="1" applyFill="1" applyBorder="1"/>
    <xf numFmtId="165" fontId="11" fillId="0" borderId="0" xfId="0" applyNumberFormat="1" applyFont="1" applyFill="1"/>
    <xf numFmtId="174" fontId="11" fillId="0" borderId="0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0" fontId="2" fillId="0" borderId="0" xfId="0" applyNumberFormat="1" applyFont="1"/>
    <xf numFmtId="0" fontId="9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16 2" xfId="2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tabSelected="1" zoomScaleNormal="100" workbookViewId="0">
      <selection activeCell="F28" sqref="F28"/>
    </sheetView>
  </sheetViews>
  <sheetFormatPr defaultRowHeight="15" x14ac:dyDescent="0.25"/>
  <cols>
    <col min="1" max="1" width="2.7109375" customWidth="1"/>
    <col min="2" max="2" width="4.7109375" customWidth="1"/>
    <col min="3" max="3" width="3.42578125" customWidth="1"/>
    <col min="4" max="4" width="28.5703125" customWidth="1"/>
    <col min="5" max="5" width="10" bestFit="1" customWidth="1"/>
    <col min="6" max="6" width="12.5703125" bestFit="1" customWidth="1"/>
    <col min="7" max="7" width="13" customWidth="1"/>
    <col min="8" max="8" width="15.28515625" bestFit="1" customWidth="1"/>
    <col min="10" max="10" width="12.28515625" bestFit="1" customWidth="1"/>
    <col min="11" max="11" width="12" bestFit="1" customWidth="1"/>
  </cols>
  <sheetData>
    <row r="1" spans="2:10" x14ac:dyDescent="0.25">
      <c r="B1" s="138" t="s">
        <v>12</v>
      </c>
      <c r="C1" s="138"/>
      <c r="D1" s="138"/>
      <c r="E1" s="138"/>
      <c r="F1" s="138"/>
      <c r="G1" s="138"/>
      <c r="H1" s="138"/>
    </row>
    <row r="2" spans="2:10" x14ac:dyDescent="0.25">
      <c r="B2" s="138" t="s">
        <v>162</v>
      </c>
      <c r="C2" s="138"/>
      <c r="D2" s="138"/>
      <c r="E2" s="138"/>
      <c r="F2" s="138"/>
      <c r="G2" s="138"/>
      <c r="H2" s="138"/>
    </row>
    <row r="3" spans="2:10" x14ac:dyDescent="0.25">
      <c r="B3" s="139" t="s">
        <v>66</v>
      </c>
      <c r="C3" s="139"/>
      <c r="D3" s="139"/>
      <c r="E3" s="139"/>
      <c r="F3" s="139"/>
      <c r="G3" s="139"/>
      <c r="H3" s="139"/>
    </row>
    <row r="4" spans="2:10" x14ac:dyDescent="0.25">
      <c r="B4" s="139" t="s">
        <v>156</v>
      </c>
      <c r="C4" s="139"/>
      <c r="D4" s="139"/>
      <c r="E4" s="139"/>
      <c r="F4" s="139"/>
      <c r="G4" s="139"/>
      <c r="H4" s="139"/>
    </row>
    <row r="6" spans="2:10" x14ac:dyDescent="0.25">
      <c r="B6" s="33" t="s">
        <v>59</v>
      </c>
      <c r="E6" s="31"/>
      <c r="F6" s="31"/>
      <c r="G6" s="31" t="s">
        <v>56</v>
      </c>
      <c r="H6" s="31" t="s">
        <v>54</v>
      </c>
    </row>
    <row r="7" spans="2:10" x14ac:dyDescent="0.25">
      <c r="B7" s="1" t="s">
        <v>141</v>
      </c>
      <c r="C7" s="34" t="s">
        <v>7</v>
      </c>
      <c r="D7" s="34"/>
      <c r="E7" s="1" t="s">
        <v>52</v>
      </c>
      <c r="F7" s="1" t="s">
        <v>53</v>
      </c>
      <c r="G7" s="1" t="s">
        <v>57</v>
      </c>
      <c r="H7" s="1" t="s">
        <v>55</v>
      </c>
      <c r="J7" s="32"/>
    </row>
    <row r="8" spans="2:10" x14ac:dyDescent="0.25">
      <c r="B8" s="30"/>
      <c r="C8" s="47"/>
      <c r="D8" s="47" t="s">
        <v>135</v>
      </c>
      <c r="E8" s="31" t="s">
        <v>136</v>
      </c>
      <c r="F8" s="31" t="s">
        <v>137</v>
      </c>
      <c r="G8" s="31" t="s">
        <v>138</v>
      </c>
      <c r="H8" s="31" t="s">
        <v>139</v>
      </c>
      <c r="J8" s="32"/>
    </row>
    <row r="9" spans="2:10" x14ac:dyDescent="0.25">
      <c r="B9" s="33">
        <v>1</v>
      </c>
      <c r="C9" t="s">
        <v>10</v>
      </c>
      <c r="F9" s="6"/>
      <c r="H9" s="6"/>
    </row>
    <row r="10" spans="2:10" x14ac:dyDescent="0.25">
      <c r="B10" s="33">
        <f>B9+1</f>
        <v>2</v>
      </c>
      <c r="D10" t="s">
        <v>49</v>
      </c>
      <c r="E10" s="108">
        <f>Allocation!I16</f>
        <v>0.95949301957824551</v>
      </c>
      <c r="F10" s="6">
        <f>F12*E10</f>
        <v>16379989.309817024</v>
      </c>
      <c r="G10" s="110">
        <f>'Rev Requirement'!$D$8</f>
        <v>0.954538</v>
      </c>
      <c r="H10" s="61">
        <f>F10/G10</f>
        <v>17160122.813148376</v>
      </c>
      <c r="J10" s="45"/>
    </row>
    <row r="11" spans="2:10" x14ac:dyDescent="0.25">
      <c r="B11" s="33">
        <f t="shared" ref="B11:B13" si="0">B10+1</f>
        <v>3</v>
      </c>
      <c r="D11" t="s">
        <v>50</v>
      </c>
      <c r="E11" s="40">
        <f>1-E10</f>
        <v>4.050698042175449E-2</v>
      </c>
      <c r="F11" s="6">
        <f>F12-F10</f>
        <v>691515.0946829766</v>
      </c>
      <c r="G11" s="110">
        <f>'Rev Requirement'!$D$8</f>
        <v>0.954538</v>
      </c>
      <c r="H11" s="6">
        <f>F11/G11</f>
        <v>724450.0425158313</v>
      </c>
    </row>
    <row r="12" spans="2:10" x14ac:dyDescent="0.25">
      <c r="B12" s="33">
        <f t="shared" si="0"/>
        <v>4</v>
      </c>
      <c r="D12" t="s">
        <v>3</v>
      </c>
      <c r="E12" s="41">
        <f>SUM(E10:E11)</f>
        <v>1</v>
      </c>
      <c r="F12" s="109">
        <f>'Rev Requirement'!C12</f>
        <v>17071504.4045</v>
      </c>
      <c r="H12" s="109">
        <f>'Rev Requirement'!E12</f>
        <v>17884572.855664205</v>
      </c>
    </row>
    <row r="13" spans="2:10" x14ac:dyDescent="0.25">
      <c r="B13" s="33">
        <f t="shared" si="0"/>
        <v>5</v>
      </c>
      <c r="D13" t="s">
        <v>46</v>
      </c>
      <c r="F13" s="6">
        <f>F12-SUM(F10:F11)</f>
        <v>0</v>
      </c>
      <c r="H13" s="6">
        <f>H12-SUM(H10:H11)</f>
        <v>0</v>
      </c>
    </row>
    <row r="14" spans="2:10" x14ac:dyDescent="0.25">
      <c r="B14" s="33"/>
    </row>
    <row r="15" spans="2:10" x14ac:dyDescent="0.25">
      <c r="B15" s="33">
        <f>B13+1</f>
        <v>6</v>
      </c>
      <c r="C15" t="s">
        <v>51</v>
      </c>
    </row>
    <row r="16" spans="2:10" x14ac:dyDescent="0.25">
      <c r="B16" s="33">
        <f t="shared" ref="B16:B18" si="1">B15+1</f>
        <v>7</v>
      </c>
      <c r="D16" t="s">
        <v>49</v>
      </c>
      <c r="H16" s="93">
        <f>'Forecasted Volume'!N24</f>
        <v>945272080</v>
      </c>
    </row>
    <row r="17" spans="2:11" x14ac:dyDescent="0.25">
      <c r="B17" s="33">
        <f t="shared" si="1"/>
        <v>8</v>
      </c>
      <c r="D17" t="s">
        <v>50</v>
      </c>
      <c r="H17" s="93">
        <f>'Forecasted Volume'!N25</f>
        <v>46956043</v>
      </c>
    </row>
    <row r="18" spans="2:11" x14ac:dyDescent="0.25">
      <c r="B18" s="33">
        <f t="shared" si="1"/>
        <v>9</v>
      </c>
      <c r="D18" t="s">
        <v>3</v>
      </c>
      <c r="H18" s="4">
        <f>SUM(H16:H17)</f>
        <v>992228123</v>
      </c>
    </row>
    <row r="19" spans="2:11" x14ac:dyDescent="0.25">
      <c r="B19" s="33"/>
    </row>
    <row r="20" spans="2:11" x14ac:dyDescent="0.25">
      <c r="B20" s="33"/>
    </row>
    <row r="21" spans="2:11" x14ac:dyDescent="0.25">
      <c r="B21" s="33">
        <f>B18+1</f>
        <v>10</v>
      </c>
      <c r="C21" t="s">
        <v>87</v>
      </c>
    </row>
    <row r="22" spans="2:11" x14ac:dyDescent="0.25">
      <c r="B22" s="33">
        <f t="shared" ref="B22:B23" si="2">B21+1</f>
        <v>11</v>
      </c>
      <c r="D22" t="s">
        <v>64</v>
      </c>
      <c r="G22" t="s">
        <v>58</v>
      </c>
      <c r="H22" s="43">
        <f>ROUND(H10/H16,5)</f>
        <v>1.8149999999999999E-2</v>
      </c>
      <c r="I22" s="42"/>
      <c r="K22" s="46"/>
    </row>
    <row r="23" spans="2:11" x14ac:dyDescent="0.25">
      <c r="B23" s="33">
        <f t="shared" si="2"/>
        <v>12</v>
      </c>
      <c r="D23" t="s">
        <v>65</v>
      </c>
      <c r="G23" t="s">
        <v>58</v>
      </c>
      <c r="H23" s="43">
        <f>ROUND(H11/H17,5)</f>
        <v>1.5429999999999999E-2</v>
      </c>
      <c r="K23" s="46"/>
    </row>
    <row r="24" spans="2:11" x14ac:dyDescent="0.25">
      <c r="B24" s="33"/>
      <c r="H24" s="42"/>
    </row>
    <row r="25" spans="2:11" x14ac:dyDescent="0.25">
      <c r="B25" s="33">
        <f>B23+1</f>
        <v>13</v>
      </c>
      <c r="D25" t="s">
        <v>88</v>
      </c>
      <c r="G25" t="s">
        <v>86</v>
      </c>
      <c r="H25" s="42">
        <f>ROUND(H22*19,2)</f>
        <v>0.34</v>
      </c>
    </row>
    <row r="27" spans="2:11" x14ac:dyDescent="0.25">
      <c r="H27" s="44"/>
    </row>
  </sheetData>
  <mergeCells count="4">
    <mergeCell ref="B1:H1"/>
    <mergeCell ref="B2:H2"/>
    <mergeCell ref="B3:H3"/>
    <mergeCell ref="B4:H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C15" sqref="C15"/>
    </sheetView>
  </sheetViews>
  <sheetFormatPr defaultRowHeight="15" x14ac:dyDescent="0.25"/>
  <cols>
    <col min="1" max="1" width="4.7109375" customWidth="1"/>
    <col min="2" max="2" width="52" customWidth="1"/>
    <col min="3" max="3" width="12.7109375" bestFit="1" customWidth="1"/>
    <col min="4" max="4" width="11.140625" customWidth="1"/>
    <col min="5" max="5" width="16.28515625" customWidth="1"/>
    <col min="7" max="7" width="11.5703125" bestFit="1" customWidth="1"/>
  </cols>
  <sheetData>
    <row r="1" spans="1:7" x14ac:dyDescent="0.25">
      <c r="A1" s="138" t="s">
        <v>12</v>
      </c>
      <c r="B1" s="138"/>
      <c r="C1" s="138"/>
      <c r="D1" s="138"/>
      <c r="E1" s="138"/>
    </row>
    <row r="2" spans="1:7" x14ac:dyDescent="0.25">
      <c r="A2" s="138" t="s">
        <v>162</v>
      </c>
      <c r="B2" s="138"/>
      <c r="C2" s="138"/>
      <c r="D2" s="138"/>
      <c r="E2" s="138"/>
    </row>
    <row r="3" spans="1:7" x14ac:dyDescent="0.25">
      <c r="A3" s="139" t="s">
        <v>5</v>
      </c>
      <c r="B3" s="139"/>
      <c r="C3" s="139"/>
      <c r="D3" s="139"/>
      <c r="E3" s="139"/>
    </row>
    <row r="4" spans="1:7" x14ac:dyDescent="0.25">
      <c r="A4" s="139" t="s">
        <v>156</v>
      </c>
      <c r="B4" s="139"/>
      <c r="C4" s="139"/>
      <c r="D4" s="139"/>
      <c r="E4" s="139"/>
    </row>
    <row r="6" spans="1:7" ht="30" x14ac:dyDescent="0.2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</row>
    <row r="7" spans="1:7" x14ac:dyDescent="0.25">
      <c r="B7" s="33" t="s">
        <v>135</v>
      </c>
      <c r="C7" s="111" t="s">
        <v>136</v>
      </c>
      <c r="D7" s="33" t="s">
        <v>137</v>
      </c>
      <c r="E7" s="111" t="s">
        <v>138</v>
      </c>
    </row>
    <row r="8" spans="1:7" x14ac:dyDescent="0.25">
      <c r="A8" s="32">
        <v>1</v>
      </c>
      <c r="B8" s="55" t="s">
        <v>170</v>
      </c>
      <c r="C8" s="58">
        <v>15910510.6305</v>
      </c>
      <c r="D8" s="60">
        <v>0.954538</v>
      </c>
      <c r="E8" s="6">
        <f>C8/D8</f>
        <v>16668284.165219195</v>
      </c>
    </row>
    <row r="9" spans="1:7" x14ac:dyDescent="0.25">
      <c r="A9" s="32"/>
      <c r="B9" s="55"/>
      <c r="C9" s="6"/>
      <c r="E9" s="6"/>
    </row>
    <row r="10" spans="1:7" x14ac:dyDescent="0.25">
      <c r="A10" s="32">
        <v>2</v>
      </c>
      <c r="B10" s="56" t="s">
        <v>157</v>
      </c>
      <c r="C10" s="59">
        <v>1160993.7739999993</v>
      </c>
      <c r="D10" s="60">
        <v>0.954538</v>
      </c>
      <c r="E10" s="8">
        <f>C10/D10</f>
        <v>1216288.6904450103</v>
      </c>
    </row>
    <row r="11" spans="1:7" x14ac:dyDescent="0.25">
      <c r="A11" s="32"/>
      <c r="B11" s="32"/>
      <c r="C11" s="6"/>
      <c r="E11" s="6"/>
    </row>
    <row r="12" spans="1:7" ht="15.75" thickBot="1" x14ac:dyDescent="0.3">
      <c r="A12" s="32">
        <v>3</v>
      </c>
      <c r="B12" s="57" t="s">
        <v>11</v>
      </c>
      <c r="C12" s="9">
        <f>SUM(C8:C10)</f>
        <v>17071504.4045</v>
      </c>
      <c r="E12" s="9">
        <f>SUM(E8:E10)</f>
        <v>17884572.855664205</v>
      </c>
    </row>
    <row r="13" spans="1:7" ht="15.75" thickTop="1" x14ac:dyDescent="0.25">
      <c r="C13" s="6"/>
      <c r="E13" s="6"/>
      <c r="G13" s="6"/>
    </row>
    <row r="14" spans="1:7" x14ac:dyDescent="0.25">
      <c r="C14" s="6"/>
      <c r="E14" s="6"/>
    </row>
    <row r="15" spans="1:7" x14ac:dyDescent="0.25">
      <c r="C15" s="6"/>
      <c r="E15" s="6"/>
    </row>
    <row r="16" spans="1:7" x14ac:dyDescent="0.25">
      <c r="C16" s="6"/>
      <c r="E16" s="6"/>
    </row>
    <row r="17" spans="3:3" x14ac:dyDescent="0.25">
      <c r="C17" s="6"/>
    </row>
    <row r="18" spans="3:3" x14ac:dyDescent="0.25">
      <c r="C18" s="6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D33" sqref="D33"/>
    </sheetView>
  </sheetViews>
  <sheetFormatPr defaultRowHeight="15" x14ac:dyDescent="0.25"/>
  <cols>
    <col min="1" max="1" width="4.7109375" customWidth="1"/>
    <col min="3" max="3" width="28.5703125" bestFit="1" customWidth="1"/>
    <col min="4" max="4" width="14.140625" customWidth="1"/>
    <col min="5" max="7" width="12.7109375" customWidth="1"/>
    <col min="8" max="8" width="13.7109375" bestFit="1" customWidth="1"/>
    <col min="9" max="9" width="10" customWidth="1"/>
  </cols>
  <sheetData>
    <row r="1" spans="1:9" x14ac:dyDescent="0.25">
      <c r="B1" s="138" t="s">
        <v>12</v>
      </c>
      <c r="C1" s="138"/>
      <c r="D1" s="138"/>
      <c r="E1" s="138"/>
      <c r="F1" s="138"/>
      <c r="G1" s="138"/>
      <c r="H1" s="138"/>
      <c r="I1" s="138"/>
    </row>
    <row r="2" spans="1:9" x14ac:dyDescent="0.25">
      <c r="B2" s="138" t="s">
        <v>162</v>
      </c>
      <c r="C2" s="138"/>
      <c r="D2" s="138"/>
      <c r="E2" s="138"/>
      <c r="F2" s="138"/>
      <c r="G2" s="138"/>
      <c r="H2" s="138"/>
      <c r="I2" s="138"/>
    </row>
    <row r="3" spans="1:9" x14ac:dyDescent="0.25">
      <c r="B3" s="139" t="s">
        <v>140</v>
      </c>
      <c r="C3" s="139"/>
      <c r="D3" s="139"/>
      <c r="E3" s="139"/>
      <c r="F3" s="139"/>
      <c r="G3" s="139"/>
      <c r="H3" s="139"/>
      <c r="I3" s="139"/>
    </row>
    <row r="4" spans="1:9" x14ac:dyDescent="0.25">
      <c r="B4" s="139" t="s">
        <v>156</v>
      </c>
      <c r="C4" s="139"/>
      <c r="D4" s="139"/>
      <c r="E4" s="139"/>
      <c r="F4" s="139"/>
      <c r="G4" s="139"/>
      <c r="H4" s="139"/>
      <c r="I4" s="139"/>
    </row>
    <row r="7" spans="1:9" x14ac:dyDescent="0.25">
      <c r="C7" s="31"/>
      <c r="D7" s="31" t="s">
        <v>31</v>
      </c>
      <c r="H7" s="33" t="s">
        <v>35</v>
      </c>
      <c r="I7" s="31" t="s">
        <v>47</v>
      </c>
    </row>
    <row r="8" spans="1:9" ht="17.25" x14ac:dyDescent="0.25">
      <c r="A8" s="33" t="s">
        <v>59</v>
      </c>
      <c r="C8" s="31"/>
      <c r="D8" s="31" t="s">
        <v>32</v>
      </c>
      <c r="E8" s="34" t="s">
        <v>96</v>
      </c>
      <c r="F8" s="34"/>
      <c r="G8" s="34"/>
      <c r="H8" s="33" t="s">
        <v>36</v>
      </c>
      <c r="I8" s="32" t="s">
        <v>48</v>
      </c>
    </row>
    <row r="9" spans="1:9" x14ac:dyDescent="0.25">
      <c r="A9" s="1" t="s">
        <v>141</v>
      </c>
      <c r="B9" s="1" t="s">
        <v>4</v>
      </c>
      <c r="C9" s="1" t="s">
        <v>7</v>
      </c>
      <c r="D9" s="3" t="s">
        <v>158</v>
      </c>
      <c r="E9" s="1" t="s">
        <v>33</v>
      </c>
      <c r="F9" s="1" t="s">
        <v>34</v>
      </c>
      <c r="G9" s="1" t="s">
        <v>3</v>
      </c>
      <c r="H9" s="3" t="s">
        <v>37</v>
      </c>
      <c r="I9" s="3" t="s">
        <v>37</v>
      </c>
    </row>
    <row r="10" spans="1:9" x14ac:dyDescent="0.25">
      <c r="B10" s="33" t="s">
        <v>135</v>
      </c>
      <c r="C10" s="33" t="s">
        <v>136</v>
      </c>
      <c r="D10" s="32" t="s">
        <v>137</v>
      </c>
      <c r="E10" s="33" t="s">
        <v>138</v>
      </c>
      <c r="F10" s="33" t="s">
        <v>139</v>
      </c>
      <c r="G10" s="33" t="s">
        <v>142</v>
      </c>
      <c r="H10" s="32" t="s">
        <v>143</v>
      </c>
      <c r="I10" s="32" t="s">
        <v>144</v>
      </c>
    </row>
    <row r="11" spans="1:9" x14ac:dyDescent="0.25">
      <c r="A11" s="33">
        <v>1</v>
      </c>
      <c r="B11" s="5">
        <v>23</v>
      </c>
      <c r="C11" t="s">
        <v>40</v>
      </c>
      <c r="D11" s="93">
        <f>'Forecasted Volume'!N9</f>
        <v>639424146</v>
      </c>
      <c r="E11" s="36">
        <v>0.13125000000000001</v>
      </c>
      <c r="F11" s="36">
        <v>0.18054999999999999</v>
      </c>
      <c r="G11" s="35">
        <f>SUM(E11:F11)</f>
        <v>0.31179999999999997</v>
      </c>
      <c r="H11" s="6">
        <f>D11*G11</f>
        <v>199372448.72279999</v>
      </c>
    </row>
    <row r="12" spans="1:9" x14ac:dyDescent="0.25">
      <c r="A12" s="33">
        <v>2</v>
      </c>
      <c r="B12" s="5">
        <v>16</v>
      </c>
      <c r="C12" s="5" t="s">
        <v>108</v>
      </c>
      <c r="D12" s="93">
        <f>'Forecasted Volume'!N8</f>
        <v>9714</v>
      </c>
      <c r="E12" s="36">
        <f>ROUND(2.49/19,5)</f>
        <v>0.13105</v>
      </c>
      <c r="F12" s="36">
        <f>ROUND(3.43/19,5)</f>
        <v>0.18053</v>
      </c>
      <c r="G12" s="35">
        <f>SUM(E12:F12)</f>
        <v>0.31157999999999997</v>
      </c>
      <c r="H12" s="6">
        <f>D12*G12</f>
        <v>3026.6881199999998</v>
      </c>
    </row>
    <row r="13" spans="1:9" x14ac:dyDescent="0.25">
      <c r="A13" s="33">
        <v>3</v>
      </c>
      <c r="B13" s="5">
        <v>53</v>
      </c>
      <c r="C13" t="s">
        <v>41</v>
      </c>
      <c r="D13" s="93">
        <f>'Forecasted Volume'!N10</f>
        <v>0</v>
      </c>
      <c r="E13" s="36">
        <v>0</v>
      </c>
      <c r="F13" s="36">
        <v>4.80769</v>
      </c>
      <c r="G13" s="35">
        <f>SUM(E13:F13)</f>
        <v>4.80769</v>
      </c>
      <c r="H13" s="6">
        <f>D13*G13</f>
        <v>0</v>
      </c>
    </row>
    <row r="14" spans="1:9" x14ac:dyDescent="0.25">
      <c r="A14" s="33">
        <v>4</v>
      </c>
      <c r="B14" s="5">
        <v>31</v>
      </c>
      <c r="C14" t="s">
        <v>42</v>
      </c>
      <c r="D14" s="93">
        <f>'Forecasted Volume'!N11</f>
        <v>238517600</v>
      </c>
      <c r="E14" s="36">
        <v>0.12368999999999999</v>
      </c>
      <c r="F14" s="36">
        <v>0.18054999999999999</v>
      </c>
      <c r="G14" s="35">
        <f>SUM(E14:F14)</f>
        <v>0.30423999999999995</v>
      </c>
      <c r="H14" s="6">
        <f>D14*G14</f>
        <v>72566594.623999983</v>
      </c>
    </row>
    <row r="15" spans="1:9" x14ac:dyDescent="0.25">
      <c r="A15" s="33">
        <v>5</v>
      </c>
      <c r="B15" s="5">
        <v>41</v>
      </c>
      <c r="C15" t="s">
        <v>69</v>
      </c>
      <c r="D15" s="93">
        <f>'Forecasted Volume'!N12</f>
        <v>67320620</v>
      </c>
      <c r="E15" s="36">
        <v>3.6229999999999998E-2</v>
      </c>
      <c r="F15" s="36">
        <v>0.18054999999999999</v>
      </c>
      <c r="G15" s="35">
        <f>SUM(E15:F15)</f>
        <v>0.21677999999999997</v>
      </c>
      <c r="H15" s="6">
        <f>D15*G15</f>
        <v>14593764.003599998</v>
      </c>
    </row>
    <row r="16" spans="1:9" x14ac:dyDescent="0.25">
      <c r="A16" s="33">
        <v>6</v>
      </c>
      <c r="B16" s="5" t="s">
        <v>38</v>
      </c>
      <c r="D16" s="4">
        <f>SUM(D11:D15)</f>
        <v>945272080</v>
      </c>
      <c r="E16" s="36"/>
      <c r="F16" s="36"/>
      <c r="G16" s="35"/>
      <c r="H16" s="37">
        <f>SUM(H11:H15)</f>
        <v>286535834.03851998</v>
      </c>
      <c r="I16" s="39">
        <f>H16/H$22</f>
        <v>0.95949301957824551</v>
      </c>
    </row>
    <row r="17" spans="1:9" x14ac:dyDescent="0.25">
      <c r="A17" s="33">
        <v>7</v>
      </c>
      <c r="B17" s="5"/>
      <c r="E17" s="36"/>
      <c r="F17" s="36"/>
      <c r="G17" s="35"/>
      <c r="H17" s="6"/>
    </row>
    <row r="18" spans="1:9" x14ac:dyDescent="0.25">
      <c r="A18" s="33">
        <v>8</v>
      </c>
      <c r="B18" s="5">
        <v>85</v>
      </c>
      <c r="C18" t="s">
        <v>43</v>
      </c>
      <c r="D18" s="93">
        <f>'Forecasted Volume'!N13</f>
        <v>15894957</v>
      </c>
      <c r="E18" s="36">
        <v>7.7369999999999994E-2</v>
      </c>
      <c r="F18" s="36">
        <v>0.18054999999999999</v>
      </c>
      <c r="G18" s="35">
        <f>SUM(E18:F18)</f>
        <v>0.25791999999999998</v>
      </c>
      <c r="H18" s="6">
        <f>D18*G18</f>
        <v>4099627.3094399995</v>
      </c>
    </row>
    <row r="19" spans="1:9" x14ac:dyDescent="0.25">
      <c r="A19" s="33">
        <v>9</v>
      </c>
      <c r="B19" s="5">
        <v>86</v>
      </c>
      <c r="C19" t="s">
        <v>44</v>
      </c>
      <c r="D19" s="93">
        <f>'Forecasted Volume'!N14</f>
        <v>9006058</v>
      </c>
      <c r="E19" s="36">
        <v>7.5230000000000005E-2</v>
      </c>
      <c r="F19" s="36">
        <v>0.18054999999999999</v>
      </c>
      <c r="G19" s="35">
        <f>SUM(E19:F19)</f>
        <v>0.25578000000000001</v>
      </c>
      <c r="H19" s="6">
        <f>D19*G19</f>
        <v>2303569.5152400001</v>
      </c>
    </row>
    <row r="20" spans="1:9" x14ac:dyDescent="0.25">
      <c r="A20" s="33">
        <v>10</v>
      </c>
      <c r="B20" s="5">
        <v>87</v>
      </c>
      <c r="C20" t="s">
        <v>45</v>
      </c>
      <c r="D20" s="93">
        <f>'Forecasted Volume'!N15</f>
        <v>22055028</v>
      </c>
      <c r="E20" s="36">
        <v>7.7600000000000002E-2</v>
      </c>
      <c r="F20" s="36">
        <v>0.18054999999999999</v>
      </c>
      <c r="G20" s="35">
        <f>SUM(E20:F20)</f>
        <v>0.25814999999999999</v>
      </c>
      <c r="H20" s="6">
        <f>D20*G20</f>
        <v>5693505.4781999998</v>
      </c>
    </row>
    <row r="21" spans="1:9" x14ac:dyDescent="0.25">
      <c r="A21" s="33">
        <v>11</v>
      </c>
      <c r="B21" s="5" t="s">
        <v>39</v>
      </c>
      <c r="D21" s="4">
        <f>SUM(D18:D20)</f>
        <v>46956043</v>
      </c>
      <c r="E21" s="35"/>
      <c r="F21" s="35"/>
      <c r="G21" s="35"/>
      <c r="H21" s="37">
        <f>SUM(H18:H20)</f>
        <v>12096702.30288</v>
      </c>
      <c r="I21" s="39">
        <f>H21/H$22</f>
        <v>4.0506980421754574E-2</v>
      </c>
    </row>
    <row r="22" spans="1:9" x14ac:dyDescent="0.25">
      <c r="A22" s="33">
        <v>12</v>
      </c>
      <c r="B22" s="5" t="s">
        <v>3</v>
      </c>
      <c r="D22" s="2">
        <f>D16+D21</f>
        <v>992228123</v>
      </c>
      <c r="E22" s="35"/>
      <c r="F22" s="35"/>
      <c r="G22" s="35"/>
      <c r="H22" s="37">
        <f>H16+H21</f>
        <v>298632536.34139997</v>
      </c>
      <c r="I22" s="40">
        <f>I16+I21</f>
        <v>1</v>
      </c>
    </row>
    <row r="23" spans="1:9" x14ac:dyDescent="0.25">
      <c r="A23" s="33">
        <v>13</v>
      </c>
      <c r="B23" t="s">
        <v>46</v>
      </c>
      <c r="D23" s="112">
        <f>D22-'Forecasted Volume'!N24-'Forecasted Volume'!N25</f>
        <v>0</v>
      </c>
      <c r="E23" s="35"/>
      <c r="F23" s="35"/>
      <c r="G23" s="35"/>
      <c r="H23" s="6"/>
    </row>
    <row r="24" spans="1:9" x14ac:dyDescent="0.25">
      <c r="H24" s="6"/>
    </row>
    <row r="25" spans="1:9" ht="17.25" x14ac:dyDescent="0.25">
      <c r="B25" t="s">
        <v>159</v>
      </c>
      <c r="H25" s="6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F30" sqref="F30"/>
    </sheetView>
  </sheetViews>
  <sheetFormatPr defaultRowHeight="15" x14ac:dyDescent="0.25"/>
  <cols>
    <col min="1" max="1" width="19.85546875" style="113" customWidth="1"/>
    <col min="2" max="13" width="13.42578125" style="113" customWidth="1"/>
    <col min="14" max="14" width="13.85546875" style="113" customWidth="1"/>
    <col min="15" max="16384" width="9.140625" style="113"/>
  </cols>
  <sheetData>
    <row r="1" spans="1:14" x14ac:dyDescent="0.25">
      <c r="A1" s="138" t="s">
        <v>12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x14ac:dyDescent="0.25">
      <c r="A2" s="138" t="s">
        <v>162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x14ac:dyDescent="0.25">
      <c r="A3" s="138" t="s">
        <v>145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x14ac:dyDescent="0.25">
      <c r="A4" s="138" t="s">
        <v>160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4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4" x14ac:dyDescent="0.25">
      <c r="A7" s="113" t="s">
        <v>4</v>
      </c>
      <c r="B7" s="114">
        <v>43586</v>
      </c>
      <c r="C7" s="114">
        <f>EDATE(B7,1)</f>
        <v>43617</v>
      </c>
      <c r="D7" s="114">
        <f t="shared" ref="D7:M7" si="0">EDATE(C7,1)</f>
        <v>43647</v>
      </c>
      <c r="E7" s="114">
        <f t="shared" si="0"/>
        <v>43678</v>
      </c>
      <c r="F7" s="114">
        <f t="shared" si="0"/>
        <v>43709</v>
      </c>
      <c r="G7" s="114">
        <f t="shared" si="0"/>
        <v>43739</v>
      </c>
      <c r="H7" s="114">
        <f t="shared" si="0"/>
        <v>43770</v>
      </c>
      <c r="I7" s="114">
        <f t="shared" si="0"/>
        <v>43800</v>
      </c>
      <c r="J7" s="114">
        <f t="shared" si="0"/>
        <v>43831</v>
      </c>
      <c r="K7" s="114">
        <f t="shared" si="0"/>
        <v>43862</v>
      </c>
      <c r="L7" s="114">
        <f t="shared" si="0"/>
        <v>43891</v>
      </c>
      <c r="M7" s="114">
        <f t="shared" si="0"/>
        <v>43922</v>
      </c>
      <c r="N7" s="115" t="s">
        <v>3</v>
      </c>
    </row>
    <row r="8" spans="1:14" x14ac:dyDescent="0.25">
      <c r="A8" s="116">
        <v>16</v>
      </c>
      <c r="B8" s="117">
        <v>657</v>
      </c>
      <c r="C8" s="117">
        <v>840</v>
      </c>
      <c r="D8" s="117">
        <v>1066</v>
      </c>
      <c r="E8" s="117">
        <v>885</v>
      </c>
      <c r="F8" s="117">
        <v>862</v>
      </c>
      <c r="G8" s="117">
        <v>666</v>
      </c>
      <c r="H8" s="117">
        <v>686</v>
      </c>
      <c r="I8" s="117">
        <v>843</v>
      </c>
      <c r="J8" s="117">
        <v>1008</v>
      </c>
      <c r="K8" s="117">
        <v>549</v>
      </c>
      <c r="L8" s="117">
        <v>930</v>
      </c>
      <c r="M8" s="117">
        <v>722</v>
      </c>
      <c r="N8" s="118">
        <f t="shared" ref="N8:N21" si="1">SUM(B8:M8)</f>
        <v>9714</v>
      </c>
    </row>
    <row r="9" spans="1:14" x14ac:dyDescent="0.25">
      <c r="A9" s="116">
        <v>23</v>
      </c>
      <c r="B9" s="117">
        <v>31121542</v>
      </c>
      <c r="C9" s="117">
        <v>20769735</v>
      </c>
      <c r="D9" s="117">
        <v>14916126</v>
      </c>
      <c r="E9" s="117">
        <v>14168135</v>
      </c>
      <c r="F9" s="117">
        <v>19776922</v>
      </c>
      <c r="G9" s="117">
        <v>45189013</v>
      </c>
      <c r="H9" s="117">
        <v>80256795</v>
      </c>
      <c r="I9" s="117">
        <v>103932231</v>
      </c>
      <c r="J9" s="117">
        <v>97136451</v>
      </c>
      <c r="K9" s="117">
        <v>85506304</v>
      </c>
      <c r="L9" s="117">
        <v>73689349</v>
      </c>
      <c r="M9" s="117">
        <v>52961543</v>
      </c>
      <c r="N9" s="118">
        <f t="shared" si="1"/>
        <v>639424146</v>
      </c>
    </row>
    <row r="10" spans="1:14" x14ac:dyDescent="0.25">
      <c r="A10" s="116">
        <v>53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8">
        <f t="shared" si="1"/>
        <v>0</v>
      </c>
    </row>
    <row r="11" spans="1:14" x14ac:dyDescent="0.25">
      <c r="A11" s="116">
        <v>31</v>
      </c>
      <c r="B11" s="117">
        <v>13227705</v>
      </c>
      <c r="C11" s="117">
        <v>9701489</v>
      </c>
      <c r="D11" s="117">
        <v>8057195</v>
      </c>
      <c r="E11" s="117">
        <v>8321983</v>
      </c>
      <c r="F11" s="117">
        <v>9537729</v>
      </c>
      <c r="G11" s="117">
        <v>16962689</v>
      </c>
      <c r="H11" s="117">
        <v>27597509</v>
      </c>
      <c r="I11" s="117">
        <v>35571819</v>
      </c>
      <c r="J11" s="117">
        <v>33292333</v>
      </c>
      <c r="K11" s="117">
        <v>30065398</v>
      </c>
      <c r="L11" s="117">
        <v>26192924</v>
      </c>
      <c r="M11" s="117">
        <v>19988827</v>
      </c>
      <c r="N11" s="118">
        <f t="shared" si="1"/>
        <v>238517600</v>
      </c>
    </row>
    <row r="12" spans="1:14" x14ac:dyDescent="0.25">
      <c r="A12" s="116">
        <v>41</v>
      </c>
      <c r="B12" s="117">
        <v>4904026</v>
      </c>
      <c r="C12" s="117">
        <v>4004598</v>
      </c>
      <c r="D12" s="117">
        <v>3002032</v>
      </c>
      <c r="E12" s="117">
        <v>2916178</v>
      </c>
      <c r="F12" s="117">
        <v>3858550</v>
      </c>
      <c r="G12" s="117">
        <v>5671332</v>
      </c>
      <c r="H12" s="117">
        <v>6993345</v>
      </c>
      <c r="I12" s="117">
        <v>8015534</v>
      </c>
      <c r="J12" s="117">
        <v>8158659</v>
      </c>
      <c r="K12" s="117">
        <v>6909293</v>
      </c>
      <c r="L12" s="117">
        <v>7132239</v>
      </c>
      <c r="M12" s="117">
        <v>5754834</v>
      </c>
      <c r="N12" s="118">
        <f t="shared" si="1"/>
        <v>67320620</v>
      </c>
    </row>
    <row r="13" spans="1:14" x14ac:dyDescent="0.25">
      <c r="A13" s="116">
        <v>85</v>
      </c>
      <c r="B13" s="117">
        <v>841002</v>
      </c>
      <c r="C13" s="117">
        <v>890204</v>
      </c>
      <c r="D13" s="117">
        <v>444047</v>
      </c>
      <c r="E13" s="117">
        <v>758849</v>
      </c>
      <c r="F13" s="117">
        <v>1002262</v>
      </c>
      <c r="G13" s="117">
        <v>1787232</v>
      </c>
      <c r="H13" s="117">
        <v>1702862</v>
      </c>
      <c r="I13" s="117">
        <v>1434648</v>
      </c>
      <c r="J13" s="117">
        <v>2869414</v>
      </c>
      <c r="K13" s="117">
        <v>1235606</v>
      </c>
      <c r="L13" s="117">
        <v>1309032</v>
      </c>
      <c r="M13" s="117">
        <v>1619799</v>
      </c>
      <c r="N13" s="118">
        <f t="shared" si="1"/>
        <v>15894957</v>
      </c>
    </row>
    <row r="14" spans="1:14" x14ac:dyDescent="0.25">
      <c r="A14" s="116">
        <v>86</v>
      </c>
      <c r="B14" s="117">
        <v>666928</v>
      </c>
      <c r="C14" s="117">
        <v>338042</v>
      </c>
      <c r="D14" s="117">
        <v>274417</v>
      </c>
      <c r="E14" s="117">
        <v>309790</v>
      </c>
      <c r="F14" s="117">
        <v>455112</v>
      </c>
      <c r="G14" s="117">
        <v>853434</v>
      </c>
      <c r="H14" s="117">
        <v>778385</v>
      </c>
      <c r="I14" s="117">
        <v>962700</v>
      </c>
      <c r="J14" s="117">
        <v>1179491</v>
      </c>
      <c r="K14" s="117">
        <v>1409365</v>
      </c>
      <c r="L14" s="117">
        <v>894965</v>
      </c>
      <c r="M14" s="117">
        <v>883429</v>
      </c>
      <c r="N14" s="118">
        <f t="shared" si="1"/>
        <v>9006058</v>
      </c>
    </row>
    <row r="15" spans="1:14" x14ac:dyDescent="0.25">
      <c r="A15" s="116">
        <v>87</v>
      </c>
      <c r="B15" s="117">
        <v>1771103</v>
      </c>
      <c r="C15" s="117">
        <v>1290116</v>
      </c>
      <c r="D15" s="117">
        <v>1475682</v>
      </c>
      <c r="E15" s="117">
        <v>1041468</v>
      </c>
      <c r="F15" s="117">
        <v>1068554</v>
      </c>
      <c r="G15" s="117">
        <v>1488287</v>
      </c>
      <c r="H15" s="117">
        <v>2284733</v>
      </c>
      <c r="I15" s="117">
        <v>3327418</v>
      </c>
      <c r="J15" s="117">
        <v>1494133</v>
      </c>
      <c r="K15" s="117">
        <v>2612623</v>
      </c>
      <c r="L15" s="117">
        <v>2718765</v>
      </c>
      <c r="M15" s="117">
        <v>1482146</v>
      </c>
      <c r="N15" s="118">
        <f t="shared" si="1"/>
        <v>22055028</v>
      </c>
    </row>
    <row r="16" spans="1:14" x14ac:dyDescent="0.25">
      <c r="A16" s="116" t="s">
        <v>99</v>
      </c>
      <c r="B16" s="117">
        <v>1088</v>
      </c>
      <c r="C16" s="117">
        <v>964</v>
      </c>
      <c r="D16" s="117">
        <v>973</v>
      </c>
      <c r="E16" s="117">
        <v>1449</v>
      </c>
      <c r="F16" s="117">
        <v>1620</v>
      </c>
      <c r="G16" s="117">
        <v>2388</v>
      </c>
      <c r="H16" s="117">
        <v>2959</v>
      </c>
      <c r="I16" s="117">
        <v>4331</v>
      </c>
      <c r="J16" s="117">
        <v>1799</v>
      </c>
      <c r="K16" s="117">
        <v>2160</v>
      </c>
      <c r="L16" s="117">
        <v>2030</v>
      </c>
      <c r="M16" s="117">
        <v>1290</v>
      </c>
      <c r="N16" s="118">
        <f t="shared" si="1"/>
        <v>23051</v>
      </c>
    </row>
    <row r="17" spans="1:14" x14ac:dyDescent="0.25">
      <c r="A17" s="116" t="s">
        <v>0</v>
      </c>
      <c r="B17" s="117">
        <v>1891515</v>
      </c>
      <c r="C17" s="117">
        <v>1888282</v>
      </c>
      <c r="D17" s="117">
        <v>1515312</v>
      </c>
      <c r="E17" s="117">
        <v>1884599</v>
      </c>
      <c r="F17" s="117">
        <v>1697462</v>
      </c>
      <c r="G17" s="117">
        <v>1813545</v>
      </c>
      <c r="H17" s="117">
        <v>2035749</v>
      </c>
      <c r="I17" s="117">
        <v>2193690</v>
      </c>
      <c r="J17" s="117">
        <v>2166649</v>
      </c>
      <c r="K17" s="117">
        <v>2130019</v>
      </c>
      <c r="L17" s="117">
        <v>2209834</v>
      </c>
      <c r="M17" s="117">
        <v>1990896</v>
      </c>
      <c r="N17" s="118">
        <f t="shared" si="1"/>
        <v>23417552</v>
      </c>
    </row>
    <row r="18" spans="1:14" x14ac:dyDescent="0.25">
      <c r="A18" s="116" t="s">
        <v>1</v>
      </c>
      <c r="B18" s="117">
        <v>6289608</v>
      </c>
      <c r="C18" s="117">
        <v>6310869</v>
      </c>
      <c r="D18" s="117">
        <v>5428693</v>
      </c>
      <c r="E18" s="117">
        <v>6804400</v>
      </c>
      <c r="F18" s="117">
        <v>6213120</v>
      </c>
      <c r="G18" s="117">
        <v>6279919</v>
      </c>
      <c r="H18" s="117">
        <v>7180311</v>
      </c>
      <c r="I18" s="117">
        <v>5737129</v>
      </c>
      <c r="J18" s="117">
        <v>7126318</v>
      </c>
      <c r="K18" s="117">
        <v>6932291</v>
      </c>
      <c r="L18" s="117">
        <v>6972858</v>
      </c>
      <c r="M18" s="117">
        <v>8051244</v>
      </c>
      <c r="N18" s="118">
        <f t="shared" si="1"/>
        <v>79326760</v>
      </c>
    </row>
    <row r="19" spans="1:14" x14ac:dyDescent="0.25">
      <c r="A19" s="116" t="s">
        <v>76</v>
      </c>
      <c r="B19" s="117">
        <v>12340</v>
      </c>
      <c r="C19" s="117">
        <v>18493</v>
      </c>
      <c r="D19" s="117">
        <v>9448</v>
      </c>
      <c r="E19" s="117">
        <v>10562</v>
      </c>
      <c r="F19" s="117">
        <v>3354</v>
      </c>
      <c r="G19" s="117">
        <v>14116</v>
      </c>
      <c r="H19" s="117">
        <v>41502</v>
      </c>
      <c r="I19" s="117">
        <v>26477</v>
      </c>
      <c r="J19" s="117">
        <v>25866</v>
      </c>
      <c r="K19" s="117">
        <v>26439</v>
      </c>
      <c r="L19" s="117">
        <v>22960</v>
      </c>
      <c r="M19" s="117">
        <v>15017</v>
      </c>
      <c r="N19" s="118">
        <f t="shared" si="1"/>
        <v>226574</v>
      </c>
    </row>
    <row r="20" spans="1:14" x14ac:dyDescent="0.25">
      <c r="A20" s="116" t="s">
        <v>2</v>
      </c>
      <c r="B20" s="117">
        <v>9122056</v>
      </c>
      <c r="C20" s="117">
        <v>7904385</v>
      </c>
      <c r="D20" s="117">
        <v>8999893</v>
      </c>
      <c r="E20" s="117">
        <v>7349472</v>
      </c>
      <c r="F20" s="117">
        <v>8122671</v>
      </c>
      <c r="G20" s="117">
        <v>8129913</v>
      </c>
      <c r="H20" s="117">
        <v>6792424</v>
      </c>
      <c r="I20" s="117">
        <v>9490509</v>
      </c>
      <c r="J20" s="117">
        <v>8833173</v>
      </c>
      <c r="K20" s="117">
        <v>8411272</v>
      </c>
      <c r="L20" s="117">
        <v>9778735</v>
      </c>
      <c r="M20" s="117">
        <v>7447714</v>
      </c>
      <c r="N20" s="118">
        <f t="shared" si="1"/>
        <v>100382217</v>
      </c>
    </row>
    <row r="21" spans="1:14" x14ac:dyDescent="0.25">
      <c r="A21" s="116" t="s">
        <v>77</v>
      </c>
      <c r="B21" s="117">
        <v>2267399</v>
      </c>
      <c r="C21" s="117">
        <v>1829615</v>
      </c>
      <c r="D21" s="117">
        <v>1557563</v>
      </c>
      <c r="E21" s="117">
        <v>1865795</v>
      </c>
      <c r="F21" s="117">
        <v>2066236</v>
      </c>
      <c r="G21" s="117">
        <v>2902219</v>
      </c>
      <c r="H21" s="117">
        <v>5074782</v>
      </c>
      <c r="I21" s="117">
        <v>4543808</v>
      </c>
      <c r="J21" s="117">
        <v>4285930</v>
      </c>
      <c r="K21" s="117">
        <v>3874079</v>
      </c>
      <c r="L21" s="117">
        <v>3519189</v>
      </c>
      <c r="M21" s="117">
        <v>2408295</v>
      </c>
      <c r="N21" s="118">
        <f t="shared" si="1"/>
        <v>36194910</v>
      </c>
    </row>
    <row r="22" spans="1:14" x14ac:dyDescent="0.25">
      <c r="A22" s="116" t="s">
        <v>3</v>
      </c>
      <c r="B22" s="119">
        <f>SUM(B8:B21)</f>
        <v>72116969</v>
      </c>
      <c r="C22" s="119">
        <f t="shared" ref="C22:M22" si="2">SUM(C8:C21)</f>
        <v>54947632</v>
      </c>
      <c r="D22" s="119">
        <f t="shared" si="2"/>
        <v>45682447</v>
      </c>
      <c r="E22" s="119">
        <f t="shared" si="2"/>
        <v>45433565</v>
      </c>
      <c r="F22" s="119">
        <f t="shared" si="2"/>
        <v>53804454</v>
      </c>
      <c r="G22" s="119">
        <f t="shared" si="2"/>
        <v>91094753</v>
      </c>
      <c r="H22" s="119">
        <f t="shared" si="2"/>
        <v>140742042</v>
      </c>
      <c r="I22" s="119">
        <f t="shared" si="2"/>
        <v>175241137</v>
      </c>
      <c r="J22" s="119">
        <f t="shared" si="2"/>
        <v>166571224</v>
      </c>
      <c r="K22" s="119">
        <f t="shared" si="2"/>
        <v>149115398</v>
      </c>
      <c r="L22" s="119">
        <f t="shared" si="2"/>
        <v>134443810</v>
      </c>
      <c r="M22" s="119">
        <f t="shared" si="2"/>
        <v>102605756</v>
      </c>
      <c r="N22" s="119">
        <f>SUM(N8:N21)</f>
        <v>1231799187</v>
      </c>
    </row>
    <row r="23" spans="1:14" x14ac:dyDescent="0.25">
      <c r="A23" s="116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x14ac:dyDescent="0.25">
      <c r="A24" s="116" t="s">
        <v>38</v>
      </c>
      <c r="B24" s="118">
        <f>SUM(B8:B12)</f>
        <v>49253930</v>
      </c>
      <c r="C24" s="118">
        <f t="shared" ref="C24:M24" si="3">SUM(C8:C12)</f>
        <v>34476662</v>
      </c>
      <c r="D24" s="118">
        <f t="shared" si="3"/>
        <v>25976419</v>
      </c>
      <c r="E24" s="118">
        <f t="shared" si="3"/>
        <v>25407181</v>
      </c>
      <c r="F24" s="118">
        <f t="shared" si="3"/>
        <v>33174063</v>
      </c>
      <c r="G24" s="118">
        <f t="shared" si="3"/>
        <v>67823700</v>
      </c>
      <c r="H24" s="118">
        <f t="shared" si="3"/>
        <v>114848335</v>
      </c>
      <c r="I24" s="118">
        <f t="shared" si="3"/>
        <v>147520427</v>
      </c>
      <c r="J24" s="118">
        <f t="shared" si="3"/>
        <v>138588451</v>
      </c>
      <c r="K24" s="118">
        <f t="shared" si="3"/>
        <v>122481544</v>
      </c>
      <c r="L24" s="118">
        <f t="shared" si="3"/>
        <v>107015442</v>
      </c>
      <c r="M24" s="118">
        <f t="shared" si="3"/>
        <v>78705926</v>
      </c>
      <c r="N24" s="118">
        <f>SUM(B24:M24)</f>
        <v>945272080</v>
      </c>
    </row>
    <row r="25" spans="1:14" x14ac:dyDescent="0.25">
      <c r="A25" s="116" t="s">
        <v>39</v>
      </c>
      <c r="B25" s="118">
        <f>SUM(B13:B15)</f>
        <v>3279033</v>
      </c>
      <c r="C25" s="118">
        <f t="shared" ref="C25:M25" si="4">SUM(C13:C15)</f>
        <v>2518362</v>
      </c>
      <c r="D25" s="118">
        <f t="shared" si="4"/>
        <v>2194146</v>
      </c>
      <c r="E25" s="118">
        <f t="shared" si="4"/>
        <v>2110107</v>
      </c>
      <c r="F25" s="118">
        <f t="shared" si="4"/>
        <v>2525928</v>
      </c>
      <c r="G25" s="118">
        <f t="shared" si="4"/>
        <v>4128953</v>
      </c>
      <c r="H25" s="118">
        <f t="shared" si="4"/>
        <v>4765980</v>
      </c>
      <c r="I25" s="118">
        <f t="shared" si="4"/>
        <v>5724766</v>
      </c>
      <c r="J25" s="118">
        <f t="shared" si="4"/>
        <v>5543038</v>
      </c>
      <c r="K25" s="118">
        <f t="shared" si="4"/>
        <v>5257594</v>
      </c>
      <c r="L25" s="118">
        <f t="shared" si="4"/>
        <v>4922762</v>
      </c>
      <c r="M25" s="118">
        <f t="shared" si="4"/>
        <v>3985374</v>
      </c>
      <c r="N25" s="118">
        <f>SUM(B25:M25)</f>
        <v>46956043</v>
      </c>
    </row>
    <row r="26" spans="1:14" x14ac:dyDescent="0.25">
      <c r="A26" s="116" t="s">
        <v>106</v>
      </c>
      <c r="B26" s="120">
        <f>SUM(B16:B21)</f>
        <v>19584006</v>
      </c>
      <c r="C26" s="120">
        <f t="shared" ref="C26:M26" si="5">SUM(C16:C21)</f>
        <v>17952608</v>
      </c>
      <c r="D26" s="120">
        <f t="shared" si="5"/>
        <v>17511882</v>
      </c>
      <c r="E26" s="120">
        <f t="shared" si="5"/>
        <v>17916277</v>
      </c>
      <c r="F26" s="120">
        <f t="shared" si="5"/>
        <v>18104463</v>
      </c>
      <c r="G26" s="120">
        <f t="shared" si="5"/>
        <v>19142100</v>
      </c>
      <c r="H26" s="120">
        <f t="shared" si="5"/>
        <v>21127727</v>
      </c>
      <c r="I26" s="120">
        <f t="shared" si="5"/>
        <v>21995944</v>
      </c>
      <c r="J26" s="120">
        <f t="shared" si="5"/>
        <v>22439735</v>
      </c>
      <c r="K26" s="120">
        <f t="shared" si="5"/>
        <v>21376260</v>
      </c>
      <c r="L26" s="120">
        <f t="shared" si="5"/>
        <v>22505606</v>
      </c>
      <c r="M26" s="120">
        <f t="shared" si="5"/>
        <v>19914456</v>
      </c>
      <c r="N26" s="120">
        <f>SUM(B26:M26)</f>
        <v>239571064</v>
      </c>
    </row>
    <row r="27" spans="1:14" x14ac:dyDescent="0.25">
      <c r="A27" s="116" t="s">
        <v>107</v>
      </c>
      <c r="B27" s="118">
        <f t="shared" ref="B27:M27" si="6">SUM(B24:B26)</f>
        <v>72116969</v>
      </c>
      <c r="C27" s="118">
        <f t="shared" si="6"/>
        <v>54947632</v>
      </c>
      <c r="D27" s="118">
        <f t="shared" si="6"/>
        <v>45682447</v>
      </c>
      <c r="E27" s="118">
        <f t="shared" si="6"/>
        <v>45433565</v>
      </c>
      <c r="F27" s="118">
        <f t="shared" si="6"/>
        <v>53804454</v>
      </c>
      <c r="G27" s="118">
        <f t="shared" si="6"/>
        <v>91094753</v>
      </c>
      <c r="H27" s="118">
        <f t="shared" si="6"/>
        <v>140742042</v>
      </c>
      <c r="I27" s="118">
        <f t="shared" si="6"/>
        <v>175241137</v>
      </c>
      <c r="J27" s="118">
        <f t="shared" si="6"/>
        <v>166571224</v>
      </c>
      <c r="K27" s="118">
        <f t="shared" si="6"/>
        <v>149115398</v>
      </c>
      <c r="L27" s="118">
        <f t="shared" si="6"/>
        <v>134443810</v>
      </c>
      <c r="M27" s="118">
        <f t="shared" si="6"/>
        <v>102605756</v>
      </c>
      <c r="N27" s="118">
        <f>SUM(B27:M27)</f>
        <v>1231799187</v>
      </c>
    </row>
    <row r="28" spans="1:14" x14ac:dyDescent="0.25">
      <c r="A28" s="121" t="s">
        <v>46</v>
      </c>
      <c r="B28" s="122">
        <f>B22-B27</f>
        <v>0</v>
      </c>
      <c r="C28" s="122">
        <f t="shared" ref="C28:N28" si="7">C22-C27</f>
        <v>0</v>
      </c>
      <c r="D28" s="122">
        <f t="shared" si="7"/>
        <v>0</v>
      </c>
      <c r="E28" s="122">
        <f t="shared" si="7"/>
        <v>0</v>
      </c>
      <c r="F28" s="122">
        <f t="shared" si="7"/>
        <v>0</v>
      </c>
      <c r="G28" s="122">
        <f t="shared" si="7"/>
        <v>0</v>
      </c>
      <c r="H28" s="122">
        <f t="shared" si="7"/>
        <v>0</v>
      </c>
      <c r="I28" s="122">
        <f t="shared" si="7"/>
        <v>0</v>
      </c>
      <c r="J28" s="122">
        <f t="shared" si="7"/>
        <v>0</v>
      </c>
      <c r="K28" s="122">
        <f t="shared" si="7"/>
        <v>0</v>
      </c>
      <c r="L28" s="122">
        <f t="shared" si="7"/>
        <v>0</v>
      </c>
      <c r="M28" s="122">
        <f t="shared" si="7"/>
        <v>0</v>
      </c>
      <c r="N28" s="122">
        <f t="shared" si="7"/>
        <v>0</v>
      </c>
    </row>
    <row r="30" spans="1:14" x14ac:dyDescent="0.25">
      <c r="A30" s="113" t="s">
        <v>161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7" sqref="H3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="90" zoomScaleNormal="90" workbookViewId="0">
      <pane xSplit="3" ySplit="8" topLeftCell="D9" activePane="bottomRight" state="frozenSplit"/>
      <selection activeCell="K33" sqref="K33"/>
      <selection pane="topRight" activeCell="K33" sqref="K33"/>
      <selection pane="bottomLeft" activeCell="K33" sqref="K33"/>
      <selection pane="bottomRight" activeCell="J34" sqref="J34"/>
    </sheetView>
  </sheetViews>
  <sheetFormatPr defaultRowHeight="15" x14ac:dyDescent="0.25"/>
  <cols>
    <col min="1" max="1" width="2.85546875" customWidth="1"/>
    <col min="2" max="2" width="38.7109375" customWidth="1"/>
    <col min="3" max="3" width="9.140625" bestFit="1" customWidth="1"/>
    <col min="4" max="4" width="15" bestFit="1" customWidth="1"/>
    <col min="5" max="5" width="14.5703125" bestFit="1" customWidth="1"/>
    <col min="6" max="6" width="11.7109375" bestFit="1" customWidth="1"/>
    <col min="7" max="7" width="16.5703125" bestFit="1" customWidth="1"/>
    <col min="8" max="8" width="15.5703125" bestFit="1" customWidth="1"/>
    <col min="9" max="9" width="14.5703125" bestFit="1" customWidth="1"/>
    <col min="10" max="10" width="14" bestFit="1" customWidth="1"/>
    <col min="11" max="11" width="13.28515625" bestFit="1" customWidth="1"/>
    <col min="12" max="12" width="12.140625" bestFit="1" customWidth="1"/>
    <col min="13" max="13" width="12.85546875" bestFit="1" customWidth="1"/>
    <col min="14" max="14" width="13.28515625" bestFit="1" customWidth="1"/>
    <col min="15" max="15" width="13.42578125" bestFit="1" customWidth="1"/>
    <col min="16" max="16" width="10" bestFit="1" customWidth="1"/>
    <col min="17" max="18" width="13.28515625" bestFit="1" customWidth="1"/>
    <col min="19" max="19" width="15.7109375" bestFit="1" customWidth="1"/>
    <col min="20" max="20" width="12.140625" bestFit="1" customWidth="1"/>
    <col min="21" max="21" width="7.85546875" bestFit="1" customWidth="1"/>
    <col min="22" max="22" width="13.7109375" bestFit="1" customWidth="1"/>
  </cols>
  <sheetData>
    <row r="1" spans="2:21" x14ac:dyDescent="0.25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2:21" x14ac:dyDescent="0.25">
      <c r="B2" s="140" t="s">
        <v>162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2:21" x14ac:dyDescent="0.25">
      <c r="B3" s="139" t="s">
        <v>146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1" x14ac:dyDescent="0.25">
      <c r="B4" s="139" t="s">
        <v>168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x14ac:dyDescent="0.25">
      <c r="F5" s="134"/>
      <c r="N5" s="134"/>
      <c r="R5" s="134"/>
    </row>
    <row r="6" spans="2:21" x14ac:dyDescent="0.25">
      <c r="B6" s="31"/>
      <c r="C6" s="31"/>
      <c r="D6" s="31" t="s">
        <v>163</v>
      </c>
      <c r="E6" s="31" t="s">
        <v>163</v>
      </c>
      <c r="F6" s="31"/>
      <c r="G6" s="31" t="s">
        <v>31</v>
      </c>
      <c r="H6" s="134"/>
      <c r="I6" s="31"/>
      <c r="J6" s="31"/>
      <c r="K6" s="31"/>
      <c r="L6" s="31"/>
      <c r="M6" s="31"/>
      <c r="N6" s="31"/>
      <c r="O6" s="31"/>
      <c r="P6" s="31" t="s">
        <v>147</v>
      </c>
      <c r="Q6" s="31" t="s">
        <v>147</v>
      </c>
      <c r="R6" s="31"/>
      <c r="S6" s="135" t="s">
        <v>164</v>
      </c>
      <c r="T6" s="135" t="s">
        <v>73</v>
      </c>
      <c r="U6" s="31"/>
    </row>
    <row r="7" spans="2:21" x14ac:dyDescent="0.25">
      <c r="B7" s="31"/>
      <c r="C7" s="31" t="s">
        <v>82</v>
      </c>
      <c r="D7" s="31" t="s">
        <v>32</v>
      </c>
      <c r="E7" s="31" t="s">
        <v>70</v>
      </c>
      <c r="F7" s="31" t="s">
        <v>71</v>
      </c>
      <c r="G7" s="31" t="s">
        <v>89</v>
      </c>
      <c r="H7" s="134" t="s">
        <v>31</v>
      </c>
      <c r="I7" s="31" t="s">
        <v>133</v>
      </c>
      <c r="J7" s="31" t="s">
        <v>132</v>
      </c>
      <c r="K7" s="31" t="s">
        <v>73</v>
      </c>
      <c r="L7" s="31" t="s">
        <v>131</v>
      </c>
      <c r="M7" s="31" t="s">
        <v>130</v>
      </c>
      <c r="N7" s="31" t="s">
        <v>129</v>
      </c>
      <c r="O7" s="31" t="s">
        <v>128</v>
      </c>
      <c r="P7" s="31" t="s">
        <v>148</v>
      </c>
      <c r="Q7" s="31" t="s">
        <v>102</v>
      </c>
      <c r="R7" s="31" t="s">
        <v>103</v>
      </c>
      <c r="S7" s="31" t="s">
        <v>134</v>
      </c>
      <c r="T7" s="31" t="s">
        <v>74</v>
      </c>
      <c r="U7" s="31" t="s">
        <v>47</v>
      </c>
    </row>
    <row r="8" spans="2:21" ht="17.25" x14ac:dyDescent="0.25">
      <c r="B8" s="1" t="s">
        <v>83</v>
      </c>
      <c r="C8" s="1" t="s">
        <v>4</v>
      </c>
      <c r="D8" s="1" t="s">
        <v>93</v>
      </c>
      <c r="E8" s="1" t="s">
        <v>94</v>
      </c>
      <c r="F8" s="1" t="s">
        <v>72</v>
      </c>
      <c r="G8" s="123" t="s">
        <v>165</v>
      </c>
      <c r="H8" s="1" t="s">
        <v>127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 t="s">
        <v>75</v>
      </c>
      <c r="U8" s="1" t="s">
        <v>75</v>
      </c>
    </row>
    <row r="9" spans="2:21" x14ac:dyDescent="0.25">
      <c r="B9" s="31" t="s">
        <v>60</v>
      </c>
      <c r="C9" s="31" t="s">
        <v>61</v>
      </c>
      <c r="D9" s="48" t="s">
        <v>63</v>
      </c>
      <c r="E9" s="49" t="s">
        <v>62</v>
      </c>
      <c r="F9" s="31" t="s">
        <v>126</v>
      </c>
      <c r="G9" s="31" t="s">
        <v>125</v>
      </c>
      <c r="H9" s="31" t="s">
        <v>124</v>
      </c>
      <c r="I9" s="31" t="s">
        <v>85</v>
      </c>
      <c r="J9" s="31" t="s">
        <v>123</v>
      </c>
      <c r="K9" s="31" t="s">
        <v>101</v>
      </c>
      <c r="L9" s="49" t="s">
        <v>95</v>
      </c>
      <c r="M9" s="31" t="s">
        <v>104</v>
      </c>
      <c r="N9" s="31" t="s">
        <v>122</v>
      </c>
      <c r="O9" s="49" t="s">
        <v>105</v>
      </c>
      <c r="P9" s="49" t="s">
        <v>121</v>
      </c>
      <c r="Q9" s="49" t="s">
        <v>120</v>
      </c>
      <c r="R9" s="31" t="s">
        <v>119</v>
      </c>
      <c r="S9" s="49" t="s">
        <v>118</v>
      </c>
      <c r="T9" s="31" t="s">
        <v>117</v>
      </c>
      <c r="U9" s="31" t="s">
        <v>149</v>
      </c>
    </row>
    <row r="10" spans="2:21" x14ac:dyDescent="0.25">
      <c r="B10" t="s">
        <v>40</v>
      </c>
      <c r="C10" s="5" t="s">
        <v>67</v>
      </c>
      <c r="D10" s="89">
        <v>577531400.48799992</v>
      </c>
      <c r="E10" s="58">
        <v>299349526.67167699</v>
      </c>
      <c r="F10" s="43">
        <f t="shared" ref="F10:F15" si="0">(E10)/D10</f>
        <v>0.51832597572830497</v>
      </c>
      <c r="G10" s="89">
        <v>639424146</v>
      </c>
      <c r="H10" s="6">
        <f>F10*G10</f>
        <v>331430144.37968814</v>
      </c>
      <c r="I10" s="58">
        <v>208867897.28999999</v>
      </c>
      <c r="J10" s="58">
        <v>-37265639.229999997</v>
      </c>
      <c r="K10" s="58">
        <f>'Schedule 120 Revenue'!F8</f>
        <v>10889393.20638</v>
      </c>
      <c r="L10" s="58">
        <v>3433707.66402</v>
      </c>
      <c r="M10" s="58">
        <v>0</v>
      </c>
      <c r="N10" s="58">
        <v>15653103.094080001</v>
      </c>
      <c r="O10" s="58">
        <v>0</v>
      </c>
      <c r="P10" s="58"/>
      <c r="Q10" s="58">
        <v>52145039.109999999</v>
      </c>
      <c r="R10" s="58">
        <v>7167944.6766599994</v>
      </c>
      <c r="S10" s="86">
        <f>SUM(H10:R10)</f>
        <v>592321590.19082808</v>
      </c>
      <c r="T10" s="87">
        <f>'Schedule 120 Revenue'!G8</f>
        <v>716155.04351999972</v>
      </c>
      <c r="U10" s="39">
        <f>T10/S10</f>
        <v>1.2090645611774445E-3</v>
      </c>
    </row>
    <row r="11" spans="2:21" x14ac:dyDescent="0.25">
      <c r="B11" t="s">
        <v>68</v>
      </c>
      <c r="C11" s="5">
        <v>16</v>
      </c>
      <c r="D11" s="89">
        <v>9689.9889999999996</v>
      </c>
      <c r="E11" s="58">
        <v>4941.8900000000003</v>
      </c>
      <c r="F11" s="43">
        <f t="shared" si="0"/>
        <v>0.50999954695511007</v>
      </c>
      <c r="G11" s="89">
        <v>9714</v>
      </c>
      <c r="H11" s="6">
        <f t="shared" ref="H11:H22" si="1">F11*G11</f>
        <v>4954.1355991219389</v>
      </c>
      <c r="I11" s="58">
        <v>3173.08</v>
      </c>
      <c r="J11" s="58">
        <v>-566.13</v>
      </c>
      <c r="K11" s="58">
        <f>'Schedule 120 Revenue'!F9</f>
        <v>165.42941999999999</v>
      </c>
      <c r="L11" s="58">
        <v>0</v>
      </c>
      <c r="M11" s="58">
        <v>0</v>
      </c>
      <c r="N11" s="58">
        <v>237.79872</v>
      </c>
      <c r="O11" s="58">
        <v>0</v>
      </c>
      <c r="P11" s="58">
        <v>0</v>
      </c>
      <c r="Q11" s="58"/>
      <c r="R11" s="58">
        <v>108.89394</v>
      </c>
      <c r="S11" s="86">
        <f t="shared" ref="S11:S22" si="2">SUM(H11:R11)</f>
        <v>8073.2076791219388</v>
      </c>
      <c r="T11" s="87">
        <f>'Schedule 120 Revenue'!G9</f>
        <v>10.879679999999995</v>
      </c>
      <c r="U11" s="39">
        <f t="shared" ref="U11:U23" si="3">T11/S11</f>
        <v>1.3476279110391095E-3</v>
      </c>
    </row>
    <row r="12" spans="2:21" x14ac:dyDescent="0.25">
      <c r="B12" t="s">
        <v>42</v>
      </c>
      <c r="C12" s="5">
        <v>31</v>
      </c>
      <c r="D12" s="89">
        <v>214564223.29299998</v>
      </c>
      <c r="E12" s="58">
        <v>86991648.090000004</v>
      </c>
      <c r="F12" s="43">
        <f t="shared" si="0"/>
        <v>0.40543407822098948</v>
      </c>
      <c r="G12" s="89">
        <v>238517600</v>
      </c>
      <c r="H12" s="6">
        <f t="shared" si="1"/>
        <v>96703163.29548268</v>
      </c>
      <c r="I12" s="58">
        <v>76022714.650000006</v>
      </c>
      <c r="J12" s="58">
        <v>-13898420.550000001</v>
      </c>
      <c r="K12" s="58">
        <f>'Schedule 120 Revenue'!F10</f>
        <v>4061954.7280000001</v>
      </c>
      <c r="L12" s="58">
        <v>1020855.328</v>
      </c>
      <c r="M12" s="58">
        <v>0</v>
      </c>
      <c r="N12" s="58">
        <v>6289709.1120000007</v>
      </c>
      <c r="O12" s="58">
        <v>0</v>
      </c>
      <c r="P12" s="58"/>
      <c r="Q12" s="58">
        <v>1731637.78</v>
      </c>
      <c r="R12" s="58">
        <v>2595071.4880000004</v>
      </c>
      <c r="S12" s="86">
        <f t="shared" si="2"/>
        <v>174526685.83148265</v>
      </c>
      <c r="T12" s="87">
        <f>'Schedule 120 Revenue'!G10</f>
        <v>267139.71199999988</v>
      </c>
      <c r="U12" s="39">
        <f t="shared" si="3"/>
        <v>1.530652523006948E-3</v>
      </c>
    </row>
    <row r="13" spans="2:21" x14ac:dyDescent="0.25">
      <c r="B13" t="s">
        <v>69</v>
      </c>
      <c r="C13" s="5">
        <v>41</v>
      </c>
      <c r="D13" s="89">
        <v>65990650.213</v>
      </c>
      <c r="E13" s="58">
        <v>14627826.099797169</v>
      </c>
      <c r="F13" s="43">
        <f t="shared" si="0"/>
        <v>0.22166513062960427</v>
      </c>
      <c r="G13" s="89">
        <v>67320620</v>
      </c>
      <c r="H13" s="6">
        <f t="shared" si="1"/>
        <v>14922634.026365951</v>
      </c>
      <c r="I13" s="58">
        <v>19298367.902999997</v>
      </c>
      <c r="J13" s="58">
        <v>-3918733.29</v>
      </c>
      <c r="K13" s="58">
        <f>'Schedule 120 Revenue'!F11</f>
        <v>1146470.1586</v>
      </c>
      <c r="L13" s="58">
        <v>151471.39499999999</v>
      </c>
      <c r="M13" s="58">
        <v>0</v>
      </c>
      <c r="N13" s="58">
        <v>613964.05440000002</v>
      </c>
      <c r="O13" s="58">
        <v>0</v>
      </c>
      <c r="P13" s="58"/>
      <c r="Q13" s="58">
        <v>1290245.8699999999</v>
      </c>
      <c r="R13" s="58">
        <v>418734.25640000001</v>
      </c>
      <c r="S13" s="86">
        <f t="shared" si="2"/>
        <v>33923154.373765945</v>
      </c>
      <c r="T13" s="87">
        <f>'Schedule 120 Revenue'!G11</f>
        <v>75399.094399999958</v>
      </c>
      <c r="U13" s="39">
        <f t="shared" si="3"/>
        <v>2.2226439666916389E-3</v>
      </c>
    </row>
    <row r="14" spans="2:21" x14ac:dyDescent="0.25">
      <c r="B14" t="s">
        <v>43</v>
      </c>
      <c r="C14" s="5">
        <v>85</v>
      </c>
      <c r="D14" s="89">
        <v>17139795.438999999</v>
      </c>
      <c r="E14" s="58">
        <v>1690709.47</v>
      </c>
      <c r="F14" s="43">
        <f t="shared" si="0"/>
        <v>9.864233654463278E-2</v>
      </c>
      <c r="G14" s="89">
        <v>15894957</v>
      </c>
      <c r="H14" s="6">
        <f t="shared" si="1"/>
        <v>1567915.6977564667</v>
      </c>
      <c r="I14" s="58">
        <v>4410558.9213000005</v>
      </c>
      <c r="J14" s="58">
        <v>-924927.55</v>
      </c>
      <c r="K14" s="58">
        <f>'Schedule 120 Revenue'!F12</f>
        <v>237311.70801</v>
      </c>
      <c r="L14" s="58">
        <v>17120.429912467262</v>
      </c>
      <c r="M14" s="58">
        <v>0</v>
      </c>
      <c r="N14" s="58">
        <v>70096.760370000004</v>
      </c>
      <c r="O14" s="58">
        <v>0</v>
      </c>
      <c r="P14" s="58">
        <v>0</v>
      </c>
      <c r="Q14" s="58"/>
      <c r="R14" s="58">
        <v>52612.307670000002</v>
      </c>
      <c r="S14" s="86">
        <f t="shared" si="2"/>
        <v>5430688.2750189351</v>
      </c>
      <c r="T14" s="87">
        <f>'Schedule 120 Revenue'!G12</f>
        <v>7947.4784999999792</v>
      </c>
      <c r="U14" s="39">
        <f t="shared" si="3"/>
        <v>1.4634385362456233E-3</v>
      </c>
    </row>
    <row r="15" spans="2:21" x14ac:dyDescent="0.25">
      <c r="B15" t="s">
        <v>44</v>
      </c>
      <c r="C15" s="5">
        <v>86</v>
      </c>
      <c r="D15" s="89">
        <v>9926029.5299999993</v>
      </c>
      <c r="E15" s="58">
        <v>2102083.46</v>
      </c>
      <c r="F15" s="43">
        <f t="shared" si="0"/>
        <v>0.21177485455254333</v>
      </c>
      <c r="G15" s="89">
        <v>9006058</v>
      </c>
      <c r="H15" s="6">
        <f t="shared" si="1"/>
        <v>1907256.6230417693</v>
      </c>
      <c r="I15" s="58">
        <v>2501908.3242299994</v>
      </c>
      <c r="J15" s="58">
        <v>-524062.52</v>
      </c>
      <c r="K15" s="58">
        <f>'Schedule 120 Revenue'!F13</f>
        <v>134460.44594000001</v>
      </c>
      <c r="L15" s="58">
        <v>19723.267019999999</v>
      </c>
      <c r="M15" s="58">
        <v>0</v>
      </c>
      <c r="N15" s="58">
        <v>76821.674739999988</v>
      </c>
      <c r="O15" s="58">
        <v>0</v>
      </c>
      <c r="P15" s="58"/>
      <c r="Q15" s="58">
        <v>177046.05</v>
      </c>
      <c r="R15" s="58">
        <v>37375.140700000004</v>
      </c>
      <c r="S15" s="86">
        <f t="shared" si="2"/>
        <v>4330529.0056717694</v>
      </c>
      <c r="T15" s="87">
        <f>'Schedule 120 Revenue'!G13</f>
        <v>4503.0289999999886</v>
      </c>
      <c r="U15" s="39">
        <f t="shared" si="3"/>
        <v>1.0398334693295652E-3</v>
      </c>
    </row>
    <row r="16" spans="2:21" x14ac:dyDescent="0.25">
      <c r="B16" t="s">
        <v>45</v>
      </c>
      <c r="C16" s="5">
        <v>87</v>
      </c>
      <c r="D16" s="89">
        <v>23311381.287999999</v>
      </c>
      <c r="E16" s="58">
        <v>1129405.5499999998</v>
      </c>
      <c r="F16" s="43">
        <f>(E16)/D16</f>
        <v>4.8448675608140992E-2</v>
      </c>
      <c r="G16" s="89">
        <v>22055028</v>
      </c>
      <c r="H16" s="6">
        <f t="shared" si="1"/>
        <v>1068536.8971004665</v>
      </c>
      <c r="I16" s="58">
        <v>5964561.7723200005</v>
      </c>
      <c r="J16" s="58">
        <v>-1282940.98</v>
      </c>
      <c r="K16" s="58">
        <f>'Schedule 120 Revenue'!F14</f>
        <v>329281.56803999998</v>
      </c>
      <c r="L16" s="58">
        <v>9893.2466365342625</v>
      </c>
      <c r="M16" s="58">
        <v>0</v>
      </c>
      <c r="N16" s="58">
        <v>64841.782319999998</v>
      </c>
      <c r="O16" s="58">
        <v>0</v>
      </c>
      <c r="P16" s="58">
        <v>0</v>
      </c>
      <c r="Q16" s="58"/>
      <c r="R16" s="58">
        <v>44551.156560000003</v>
      </c>
      <c r="S16" s="86">
        <f t="shared" si="2"/>
        <v>6198725.4429770019</v>
      </c>
      <c r="T16" s="87">
        <f>'Schedule 120 Revenue'!G14</f>
        <v>11027.513999999972</v>
      </c>
      <c r="U16" s="39">
        <f t="shared" si="3"/>
        <v>1.7789970053430685E-3</v>
      </c>
    </row>
    <row r="17" spans="2:24" x14ac:dyDescent="0.25">
      <c r="B17" t="s">
        <v>116</v>
      </c>
      <c r="C17" s="5" t="s">
        <v>99</v>
      </c>
      <c r="D17" s="89">
        <v>22880.93</v>
      </c>
      <c r="E17" s="58">
        <v>14880.86</v>
      </c>
      <c r="F17" s="43">
        <f>(E17)/D17</f>
        <v>0.65036080264220031</v>
      </c>
      <c r="G17" s="89">
        <v>23051</v>
      </c>
      <c r="H17" s="6">
        <f t="shared" si="1"/>
        <v>14991.466861705359</v>
      </c>
      <c r="I17" s="58"/>
      <c r="J17" s="58"/>
      <c r="K17" s="58"/>
      <c r="L17" s="58">
        <v>98.658280000000005</v>
      </c>
      <c r="M17" s="58">
        <v>0</v>
      </c>
      <c r="N17" s="58">
        <v>607.85487000000001</v>
      </c>
      <c r="O17" s="58">
        <v>0</v>
      </c>
      <c r="P17" s="58"/>
      <c r="Q17" s="58">
        <v>162.74</v>
      </c>
      <c r="R17" s="58">
        <v>250.79488000000001</v>
      </c>
      <c r="S17" s="86">
        <f t="shared" si="2"/>
        <v>16111.514891705358</v>
      </c>
      <c r="T17" s="87"/>
      <c r="U17" s="39">
        <f t="shared" si="3"/>
        <v>0</v>
      </c>
    </row>
    <row r="18" spans="2:24" x14ac:dyDescent="0.25">
      <c r="B18" t="s">
        <v>78</v>
      </c>
      <c r="C18" t="s">
        <v>0</v>
      </c>
      <c r="D18" s="89">
        <v>17702125.890000001</v>
      </c>
      <c r="E18" s="58">
        <v>3565479.9526575999</v>
      </c>
      <c r="F18" s="43">
        <f t="shared" ref="F18:F23" si="4">(E18)/D18</f>
        <v>0.20141535399834398</v>
      </c>
      <c r="G18" s="89">
        <v>23417552</v>
      </c>
      <c r="H18" s="6">
        <f>F18*G18</f>
        <v>4716654.5258546285</v>
      </c>
      <c r="I18" s="58"/>
      <c r="J18" s="58"/>
      <c r="K18" s="58"/>
      <c r="L18" s="58">
        <v>52689.491999999998</v>
      </c>
      <c r="M18" s="58">
        <v>0</v>
      </c>
      <c r="N18" s="58">
        <v>213568.07423999999</v>
      </c>
      <c r="O18" s="58">
        <v>0</v>
      </c>
      <c r="P18" s="58"/>
      <c r="Q18" s="58">
        <v>412625.58999999997</v>
      </c>
      <c r="R18" s="58">
        <v>145657.17343999998</v>
      </c>
      <c r="S18" s="86">
        <f>SUM(H18:R18)</f>
        <v>5541194.855534628</v>
      </c>
      <c r="T18" s="87"/>
      <c r="U18" s="39">
        <f t="shared" si="3"/>
        <v>0</v>
      </c>
    </row>
    <row r="19" spans="2:24" x14ac:dyDescent="0.25">
      <c r="B19" t="s">
        <v>79</v>
      </c>
      <c r="C19" t="s">
        <v>1</v>
      </c>
      <c r="D19" s="89">
        <v>79480065.260000005</v>
      </c>
      <c r="E19" s="58">
        <v>7330425.0899999999</v>
      </c>
      <c r="F19" s="43">
        <f t="shared" si="4"/>
        <v>9.2229731644284246E-2</v>
      </c>
      <c r="G19" s="89">
        <v>79326760</v>
      </c>
      <c r="H19" s="6">
        <f t="shared" si="1"/>
        <v>7316285.7870105421</v>
      </c>
      <c r="I19" s="58"/>
      <c r="J19" s="58"/>
      <c r="K19" s="58"/>
      <c r="L19" s="58">
        <v>78811.442593589527</v>
      </c>
      <c r="M19" s="58">
        <v>0</v>
      </c>
      <c r="N19" s="58">
        <v>349831.01159999997</v>
      </c>
      <c r="O19" s="58">
        <v>0</v>
      </c>
      <c r="P19" s="58">
        <v>0</v>
      </c>
      <c r="Q19" s="58"/>
      <c r="R19" s="58">
        <v>262571.57559999998</v>
      </c>
      <c r="S19" s="86">
        <f t="shared" si="2"/>
        <v>8007499.8168041315</v>
      </c>
      <c r="T19" s="87"/>
      <c r="U19" s="39">
        <f t="shared" si="3"/>
        <v>0</v>
      </c>
    </row>
    <row r="20" spans="2:24" x14ac:dyDescent="0.25">
      <c r="B20" t="s">
        <v>80</v>
      </c>
      <c r="C20" t="s">
        <v>76</v>
      </c>
      <c r="D20" s="89">
        <v>372634.3</v>
      </c>
      <c r="E20" s="58">
        <v>84449.41</v>
      </c>
      <c r="F20" s="43">
        <f t="shared" si="4"/>
        <v>0.22662811770145691</v>
      </c>
      <c r="G20" s="89">
        <v>226574</v>
      </c>
      <c r="H20" s="6">
        <f t="shared" si="1"/>
        <v>51348.039140089895</v>
      </c>
      <c r="I20" s="58"/>
      <c r="J20" s="58"/>
      <c r="K20" s="58"/>
      <c r="L20" s="58">
        <v>496.19706000000002</v>
      </c>
      <c r="M20" s="58">
        <v>0</v>
      </c>
      <c r="N20" s="58">
        <v>1932.6762199999998</v>
      </c>
      <c r="O20" s="58">
        <v>0</v>
      </c>
      <c r="P20" s="58"/>
      <c r="Q20" s="58">
        <v>4821.5200000000004</v>
      </c>
      <c r="R20" s="58">
        <v>940.28210000000001</v>
      </c>
      <c r="S20" s="86">
        <f t="shared" si="2"/>
        <v>59538.714520089896</v>
      </c>
      <c r="T20" s="87"/>
      <c r="U20" s="39">
        <f t="shared" si="3"/>
        <v>0</v>
      </c>
    </row>
    <row r="21" spans="2:24" x14ac:dyDescent="0.25">
      <c r="B21" t="s">
        <v>81</v>
      </c>
      <c r="C21" t="s">
        <v>2</v>
      </c>
      <c r="D21" s="89">
        <v>99276638.950000003</v>
      </c>
      <c r="E21" s="58">
        <v>3590033.5100000002</v>
      </c>
      <c r="F21" s="43">
        <f t="shared" si="4"/>
        <v>3.6161916317574934E-2</v>
      </c>
      <c r="G21" s="89">
        <v>100382217</v>
      </c>
      <c r="H21" s="6">
        <f t="shared" si="1"/>
        <v>3630013.3309266479</v>
      </c>
      <c r="I21" s="58"/>
      <c r="J21" s="58"/>
      <c r="K21" s="58"/>
      <c r="L21" s="58">
        <v>37647.455226852515</v>
      </c>
      <c r="M21" s="58">
        <v>0</v>
      </c>
      <c r="N21" s="58">
        <v>295123.71798000002</v>
      </c>
      <c r="O21" s="58">
        <v>0</v>
      </c>
      <c r="P21" s="58">
        <v>0</v>
      </c>
      <c r="Q21" s="58"/>
      <c r="R21" s="58">
        <v>202772.07834000001</v>
      </c>
      <c r="S21" s="86">
        <f t="shared" si="2"/>
        <v>4165556.5824735006</v>
      </c>
      <c r="T21" s="87"/>
      <c r="U21" s="39">
        <f t="shared" si="3"/>
        <v>0</v>
      </c>
    </row>
    <row r="22" spans="2:24" x14ac:dyDescent="0.25">
      <c r="B22" t="s">
        <v>77</v>
      </c>
      <c r="D22" s="89">
        <v>37223237.460000001</v>
      </c>
      <c r="E22" s="58">
        <v>1465941.3557558353</v>
      </c>
      <c r="F22" s="53">
        <f t="shared" si="4"/>
        <v>3.9382424952454288E-2</v>
      </c>
      <c r="G22" s="89">
        <v>36194910</v>
      </c>
      <c r="H22" s="6">
        <f t="shared" si="1"/>
        <v>1425443.3267358372</v>
      </c>
      <c r="I22" s="58"/>
      <c r="J22" s="58"/>
      <c r="K22" s="58"/>
      <c r="L22" s="58">
        <v>0</v>
      </c>
      <c r="M22" s="58">
        <v>0</v>
      </c>
      <c r="N22" s="58">
        <v>116185.66110000001</v>
      </c>
      <c r="O22" s="58">
        <v>0</v>
      </c>
      <c r="P22" s="58"/>
      <c r="Q22" s="58"/>
      <c r="R22" s="58">
        <v>89401.4277</v>
      </c>
      <c r="S22" s="86">
        <f t="shared" si="2"/>
        <v>1631030.4155358369</v>
      </c>
      <c r="T22" s="87"/>
      <c r="U22" s="39">
        <f t="shared" si="3"/>
        <v>0</v>
      </c>
    </row>
    <row r="23" spans="2:24" x14ac:dyDescent="0.25">
      <c r="B23" t="s">
        <v>3</v>
      </c>
      <c r="D23" s="4">
        <f>SUM(D10:D22)</f>
        <v>1142550753.0299997</v>
      </c>
      <c r="E23" s="37">
        <f>SUM(E10:E22)</f>
        <v>421947351.40988761</v>
      </c>
      <c r="F23" s="43">
        <f t="shared" si="4"/>
        <v>0.36930293931442415</v>
      </c>
      <c r="G23" s="4">
        <f>SUM(G10:G22)</f>
        <v>1231799187</v>
      </c>
      <c r="H23" s="37">
        <f>SUM(H10:H22)</f>
        <v>464759341.53156412</v>
      </c>
      <c r="I23" s="37">
        <f t="shared" ref="I23:K23" si="5">SUM(I10:I22)</f>
        <v>317069181.94084996</v>
      </c>
      <c r="J23" s="37">
        <f t="shared" si="5"/>
        <v>-57815290.249999993</v>
      </c>
      <c r="K23" s="37">
        <f t="shared" si="5"/>
        <v>16799037.24439</v>
      </c>
      <c r="L23" s="37">
        <f>SUM(L10:L22)</f>
        <v>4822514.5757494429</v>
      </c>
      <c r="M23" s="37">
        <f t="shared" ref="M23:S23" si="6">SUM(M10:M22)</f>
        <v>0</v>
      </c>
      <c r="N23" s="37">
        <f t="shared" si="6"/>
        <v>23746023.272640005</v>
      </c>
      <c r="O23" s="37">
        <f t="shared" si="6"/>
        <v>0</v>
      </c>
      <c r="P23" s="37">
        <f t="shared" si="6"/>
        <v>0</v>
      </c>
      <c r="Q23" s="37">
        <f t="shared" si="6"/>
        <v>55761578.660000004</v>
      </c>
      <c r="R23" s="37">
        <f t="shared" si="6"/>
        <v>11017991.251989998</v>
      </c>
      <c r="S23" s="92">
        <f t="shared" si="6"/>
        <v>836160378.22718346</v>
      </c>
      <c r="T23" s="37">
        <f>SUM(T10:T22)</f>
        <v>1082182.7510999998</v>
      </c>
      <c r="U23" s="124">
        <f t="shared" si="3"/>
        <v>1.2942286901879156E-3</v>
      </c>
      <c r="V23" s="6"/>
    </row>
    <row r="24" spans="2:24" s="94" customFormat="1" x14ac:dyDescent="0.25">
      <c r="B24" s="98"/>
      <c r="C24" s="97"/>
      <c r="D24" s="83"/>
      <c r="E24" s="95"/>
      <c r="F24" s="95"/>
      <c r="G24" s="96"/>
      <c r="H24" s="91"/>
      <c r="I24" s="96"/>
      <c r="J24" s="96"/>
      <c r="K24" s="96"/>
      <c r="L24" s="95"/>
      <c r="M24" s="96"/>
      <c r="N24" s="95"/>
      <c r="O24" s="95"/>
      <c r="P24" s="95"/>
      <c r="Q24" s="95"/>
      <c r="R24" s="95"/>
      <c r="S24" s="95"/>
      <c r="T24" s="90"/>
      <c r="U24" s="81"/>
    </row>
    <row r="25" spans="2:24" s="94" customFormat="1" ht="17.25" x14ac:dyDescent="0.25">
      <c r="B25" s="98" t="s">
        <v>109</v>
      </c>
      <c r="C25" s="98"/>
      <c r="D25" s="89">
        <v>397262</v>
      </c>
      <c r="E25" s="58">
        <v>5943249.8599999994</v>
      </c>
      <c r="F25" s="88">
        <f>E25/D25</f>
        <v>14.960529474251249</v>
      </c>
      <c r="G25" s="105">
        <v>337918</v>
      </c>
      <c r="H25" s="6">
        <f>F25*G25</f>
        <v>5055432.1988800336</v>
      </c>
      <c r="I25" s="131"/>
      <c r="J25" s="132"/>
      <c r="K25" s="132"/>
      <c r="L25" s="58">
        <v>0</v>
      </c>
      <c r="M25" s="58">
        <v>0</v>
      </c>
      <c r="N25" s="58">
        <v>199371.62</v>
      </c>
      <c r="O25" s="58">
        <v>0</v>
      </c>
      <c r="P25" s="58">
        <v>0</v>
      </c>
      <c r="Q25" s="58"/>
      <c r="R25" s="133">
        <v>0</v>
      </c>
      <c r="S25" s="86">
        <f>SUM(H25:R25)</f>
        <v>5254803.8188800337</v>
      </c>
      <c r="T25" s="87"/>
      <c r="U25" s="39">
        <f>T25/S25</f>
        <v>0</v>
      </c>
      <c r="V25" s="81"/>
      <c r="W25" s="85"/>
      <c r="X25" s="84"/>
    </row>
    <row r="26" spans="2:24" s="94" customFormat="1" x14ac:dyDescent="0.25">
      <c r="B26" s="69" t="s">
        <v>3</v>
      </c>
      <c r="C26" s="69"/>
      <c r="D26" s="79"/>
      <c r="E26" s="82">
        <f>E23+E25</f>
        <v>427890601.26988763</v>
      </c>
      <c r="F26" s="64"/>
      <c r="G26" s="64"/>
      <c r="H26" s="82">
        <f>H23+H25</f>
        <v>469814773.73044413</v>
      </c>
      <c r="I26" s="82">
        <f t="shared" ref="I26:K26" si="7">I23+I25</f>
        <v>317069181.94084996</v>
      </c>
      <c r="J26" s="82">
        <f t="shared" si="7"/>
        <v>-57815290.249999993</v>
      </c>
      <c r="K26" s="82">
        <f t="shared" si="7"/>
        <v>16799037.24439</v>
      </c>
      <c r="L26" s="82">
        <f>L23+L25</f>
        <v>4822514.5757494429</v>
      </c>
      <c r="M26" s="82">
        <f t="shared" ref="M26:T26" si="8">M23+M25</f>
        <v>0</v>
      </c>
      <c r="N26" s="82">
        <f t="shared" si="8"/>
        <v>23945394.892640006</v>
      </c>
      <c r="O26" s="82">
        <f t="shared" si="8"/>
        <v>0</v>
      </c>
      <c r="P26" s="82">
        <f t="shared" si="8"/>
        <v>0</v>
      </c>
      <c r="Q26" s="82">
        <f t="shared" si="8"/>
        <v>55761578.660000004</v>
      </c>
      <c r="R26" s="82">
        <f t="shared" si="8"/>
        <v>11017991.251989998</v>
      </c>
      <c r="S26" s="82">
        <f t="shared" si="8"/>
        <v>841415182.04606354</v>
      </c>
      <c r="T26" s="82">
        <f t="shared" si="8"/>
        <v>1082182.7510999998</v>
      </c>
      <c r="U26" s="124">
        <f>T26/S26</f>
        <v>1.2861459766728518E-3</v>
      </c>
      <c r="V26" s="81"/>
    </row>
    <row r="27" spans="2:24" x14ac:dyDescent="0.25">
      <c r="D27" s="2"/>
      <c r="E27" s="6"/>
      <c r="L27" s="6"/>
      <c r="O27" s="6"/>
      <c r="P27" s="6"/>
      <c r="Q27" s="6"/>
      <c r="S27" s="6"/>
      <c r="U27" s="40"/>
    </row>
    <row r="28" spans="2:24" x14ac:dyDescent="0.25">
      <c r="D28" s="2"/>
      <c r="E28" s="6"/>
      <c r="G28" s="2"/>
      <c r="L28" s="6"/>
      <c r="O28" s="6"/>
      <c r="P28" s="6"/>
      <c r="Q28" s="6"/>
      <c r="S28" s="6"/>
      <c r="U28" s="40"/>
    </row>
    <row r="29" spans="2:24" s="94" customFormat="1" x14ac:dyDescent="0.25">
      <c r="B29" s="80" t="s">
        <v>115</v>
      </c>
      <c r="C29" s="80"/>
      <c r="D29" s="79"/>
      <c r="E29" s="78"/>
      <c r="T29" s="77"/>
      <c r="U29" s="81"/>
    </row>
    <row r="30" spans="2:24" s="94" customFormat="1" x14ac:dyDescent="0.25">
      <c r="B30" s="69" t="s">
        <v>92</v>
      </c>
      <c r="C30" s="69"/>
      <c r="D30" s="72">
        <f>D10+D11</f>
        <v>577541090.47699988</v>
      </c>
      <c r="E30" s="70">
        <f>E10+E11</f>
        <v>299354468.56167698</v>
      </c>
      <c r="F30" s="64"/>
      <c r="H30" s="70">
        <f>H10+H11</f>
        <v>331435098.51528728</v>
      </c>
      <c r="L30" s="70"/>
      <c r="O30" s="70"/>
      <c r="P30" s="70"/>
      <c r="Q30" s="70"/>
      <c r="S30" s="70">
        <f>S10+S11</f>
        <v>592329663.39850724</v>
      </c>
      <c r="T30" s="6">
        <f>SUM(T10:T11)</f>
        <v>716165.92319999973</v>
      </c>
      <c r="U30" s="39">
        <f t="shared" ref="U30:U37" si="9">T30/S30</f>
        <v>1.2090664497384424E-3</v>
      </c>
      <c r="V30" s="76"/>
    </row>
    <row r="31" spans="2:24" s="94" customFormat="1" x14ac:dyDescent="0.25">
      <c r="B31" s="75" t="s">
        <v>114</v>
      </c>
      <c r="C31" s="75"/>
      <c r="D31" s="72">
        <f>D12+D17</f>
        <v>214587104.22299999</v>
      </c>
      <c r="E31" s="70">
        <f>E12+E17</f>
        <v>87006528.950000003</v>
      </c>
      <c r="F31" s="71"/>
      <c r="H31" s="70">
        <f>H12+H17</f>
        <v>96718154.76234439</v>
      </c>
      <c r="I31" s="65"/>
      <c r="J31" s="65"/>
      <c r="K31" s="65"/>
      <c r="L31" s="70"/>
      <c r="M31" s="65"/>
      <c r="N31" s="65"/>
      <c r="O31" s="70"/>
      <c r="P31" s="70"/>
      <c r="Q31" s="70"/>
      <c r="R31" s="65"/>
      <c r="S31" s="70">
        <f>S12+S17</f>
        <v>174542797.34637436</v>
      </c>
      <c r="T31" s="6">
        <f>SUM(T12,T17)</f>
        <v>267139.71199999988</v>
      </c>
      <c r="U31" s="39">
        <f t="shared" si="9"/>
        <v>1.5305112331267961E-3</v>
      </c>
    </row>
    <row r="32" spans="2:24" s="94" customFormat="1" x14ac:dyDescent="0.25">
      <c r="B32" s="69" t="s">
        <v>113</v>
      </c>
      <c r="C32" s="69"/>
      <c r="D32" s="72">
        <f t="shared" ref="D32:E35" si="10">D13+D18</f>
        <v>83692776.103</v>
      </c>
      <c r="E32" s="70">
        <f t="shared" si="10"/>
        <v>18193306.05245477</v>
      </c>
      <c r="F32" s="71"/>
      <c r="H32" s="70">
        <f>H13+H18</f>
        <v>19639288.552220579</v>
      </c>
      <c r="I32" s="65"/>
      <c r="J32" s="65"/>
      <c r="K32" s="65"/>
      <c r="L32" s="70"/>
      <c r="M32" s="65"/>
      <c r="N32" s="65"/>
      <c r="O32" s="70"/>
      <c r="P32" s="70"/>
      <c r="Q32" s="70"/>
      <c r="R32" s="65"/>
      <c r="S32" s="70">
        <f>S13+S18</f>
        <v>39464349.229300573</v>
      </c>
      <c r="T32" s="6">
        <f>SUM(T13,T18)</f>
        <v>75399.094399999958</v>
      </c>
      <c r="U32" s="39">
        <f t="shared" si="9"/>
        <v>1.9105622130471973E-3</v>
      </c>
    </row>
    <row r="33" spans="2:21" s="94" customFormat="1" x14ac:dyDescent="0.25">
      <c r="B33" s="69" t="s">
        <v>112</v>
      </c>
      <c r="C33" s="69"/>
      <c r="D33" s="72">
        <f t="shared" si="10"/>
        <v>96619860.699000001</v>
      </c>
      <c r="E33" s="70">
        <f t="shared" si="10"/>
        <v>9021134.5600000005</v>
      </c>
      <c r="F33" s="71"/>
      <c r="H33" s="70">
        <f>H14+H19</f>
        <v>8884201.4847670086</v>
      </c>
      <c r="I33" s="65"/>
      <c r="J33" s="65"/>
      <c r="K33" s="65"/>
      <c r="L33" s="70"/>
      <c r="M33" s="65"/>
      <c r="N33" s="65"/>
      <c r="O33" s="70"/>
      <c r="P33" s="70"/>
      <c r="Q33" s="70"/>
      <c r="R33" s="65"/>
      <c r="S33" s="70">
        <f>S14+S19</f>
        <v>13438188.091823068</v>
      </c>
      <c r="T33" s="6">
        <f>SUM(T14,T19)</f>
        <v>7947.4784999999792</v>
      </c>
      <c r="U33" s="39">
        <f t="shared" si="9"/>
        <v>5.9140997623302344E-4</v>
      </c>
    </row>
    <row r="34" spans="2:21" s="94" customFormat="1" x14ac:dyDescent="0.25">
      <c r="B34" s="69" t="s">
        <v>111</v>
      </c>
      <c r="C34" s="69"/>
      <c r="D34" s="72">
        <f t="shared" si="10"/>
        <v>10298663.83</v>
      </c>
      <c r="E34" s="70">
        <f t="shared" si="10"/>
        <v>2186532.87</v>
      </c>
      <c r="F34" s="71"/>
      <c r="H34" s="70">
        <f>H15+H20</f>
        <v>1958604.6621818591</v>
      </c>
      <c r="I34" s="65"/>
      <c r="J34" s="65"/>
      <c r="K34" s="65"/>
      <c r="L34" s="67"/>
      <c r="M34" s="65"/>
      <c r="N34" s="65"/>
      <c r="O34" s="67"/>
      <c r="P34" s="67"/>
      <c r="Q34" s="67"/>
      <c r="R34" s="65"/>
      <c r="S34" s="70">
        <f>S15+S20</f>
        <v>4390067.7201918596</v>
      </c>
      <c r="T34" s="6">
        <f>SUM(T15,T20)</f>
        <v>4503.0289999999886</v>
      </c>
      <c r="U34" s="39">
        <f t="shared" si="9"/>
        <v>1.0257311018890597E-3</v>
      </c>
    </row>
    <row r="35" spans="2:21" s="94" customFormat="1" x14ac:dyDescent="0.25">
      <c r="B35" s="98" t="s">
        <v>110</v>
      </c>
      <c r="C35" s="98"/>
      <c r="D35" s="72">
        <f t="shared" si="10"/>
        <v>122588020.23800001</v>
      </c>
      <c r="E35" s="70">
        <f t="shared" si="10"/>
        <v>4719439.0600000005</v>
      </c>
      <c r="F35" s="71"/>
      <c r="G35" s="64"/>
      <c r="H35" s="70">
        <f>H16+H21</f>
        <v>4698550.2280271146</v>
      </c>
      <c r="I35" s="71"/>
      <c r="J35" s="71"/>
      <c r="K35" s="71"/>
      <c r="L35" s="67"/>
      <c r="M35" s="71"/>
      <c r="N35" s="71"/>
      <c r="O35" s="67"/>
      <c r="P35" s="67"/>
      <c r="Q35" s="67"/>
      <c r="R35" s="71"/>
      <c r="S35" s="70">
        <f>S16+S21</f>
        <v>10364282.025450502</v>
      </c>
      <c r="T35" s="6">
        <f>SUM(T16,T21)</f>
        <v>11027.513999999972</v>
      </c>
      <c r="U35" s="39">
        <f t="shared" si="9"/>
        <v>1.0639920809681596E-3</v>
      </c>
    </row>
    <row r="36" spans="2:21" s="94" customFormat="1" x14ac:dyDescent="0.25">
      <c r="B36" s="74" t="s">
        <v>77</v>
      </c>
      <c r="C36" s="98"/>
      <c r="D36" s="72">
        <f>D22</f>
        <v>37223237.460000001</v>
      </c>
      <c r="E36" s="70">
        <f>E22</f>
        <v>1465941.3557558353</v>
      </c>
      <c r="F36" s="71"/>
      <c r="G36" s="64"/>
      <c r="H36" s="70">
        <f>H22</f>
        <v>1425443.3267358372</v>
      </c>
      <c r="I36" s="71"/>
      <c r="J36" s="71"/>
      <c r="K36" s="71"/>
      <c r="L36" s="67"/>
      <c r="M36" s="71"/>
      <c r="N36" s="71"/>
      <c r="O36" s="67"/>
      <c r="P36" s="67"/>
      <c r="Q36" s="67"/>
      <c r="R36" s="71"/>
      <c r="S36" s="70">
        <f>S22</f>
        <v>1631030.4155358369</v>
      </c>
      <c r="T36" s="6">
        <f>T22</f>
        <v>0</v>
      </c>
      <c r="U36" s="39">
        <f t="shared" si="9"/>
        <v>0</v>
      </c>
    </row>
    <row r="37" spans="2:21" s="94" customFormat="1" x14ac:dyDescent="0.25">
      <c r="B37" s="73" t="s">
        <v>21</v>
      </c>
      <c r="C37" s="73"/>
      <c r="D37" s="68">
        <f>SUM(D30:D36)</f>
        <v>1142550753.03</v>
      </c>
      <c r="E37" s="66">
        <f>SUM(E30:E36)</f>
        <v>421947351.40988755</v>
      </c>
      <c r="F37" s="64"/>
      <c r="G37" s="64"/>
      <c r="H37" s="66">
        <f>SUM(H30:H36)</f>
        <v>464759341.53156406</v>
      </c>
      <c r="I37" s="64"/>
      <c r="J37" s="64"/>
      <c r="K37" s="71"/>
      <c r="L37" s="67"/>
      <c r="M37" s="71"/>
      <c r="N37" s="71"/>
      <c r="O37" s="67"/>
      <c r="P37" s="67"/>
      <c r="Q37" s="67"/>
      <c r="R37" s="71"/>
      <c r="S37" s="66">
        <f>SUM(S30:S36)</f>
        <v>836160378.22718346</v>
      </c>
      <c r="T37" s="66">
        <f>SUM(T30:T36)</f>
        <v>1082182.7510999998</v>
      </c>
      <c r="U37" s="124">
        <f t="shared" si="9"/>
        <v>1.2942286901879156E-3</v>
      </c>
    </row>
    <row r="38" spans="2:21" s="94" customFormat="1" x14ac:dyDescent="0.25">
      <c r="B38" s="98"/>
      <c r="C38" s="98"/>
      <c r="D38" s="72"/>
      <c r="E38" s="70"/>
      <c r="F38" s="64"/>
      <c r="G38" s="64"/>
      <c r="H38" s="70"/>
      <c r="I38" s="64"/>
      <c r="J38" s="64"/>
      <c r="K38" s="71"/>
      <c r="L38" s="67"/>
      <c r="M38" s="71"/>
      <c r="N38" s="71"/>
      <c r="O38" s="67"/>
      <c r="P38" s="67"/>
      <c r="Q38" s="67"/>
      <c r="R38" s="71"/>
      <c r="S38" s="70"/>
      <c r="T38" s="70"/>
      <c r="U38" s="39"/>
    </row>
    <row r="39" spans="2:21" s="94" customFormat="1" x14ac:dyDescent="0.25">
      <c r="B39" s="98" t="s">
        <v>150</v>
      </c>
      <c r="C39" s="98"/>
      <c r="D39" s="72"/>
      <c r="E39" s="70">
        <f>E25</f>
        <v>5943249.8599999994</v>
      </c>
      <c r="F39" s="64"/>
      <c r="G39" s="64"/>
      <c r="H39" s="70">
        <f>H25</f>
        <v>5055432.1988800336</v>
      </c>
      <c r="I39" s="64"/>
      <c r="J39" s="64"/>
      <c r="K39" s="71"/>
      <c r="L39" s="67"/>
      <c r="M39" s="71"/>
      <c r="N39" s="71"/>
      <c r="O39" s="67"/>
      <c r="P39" s="67"/>
      <c r="Q39" s="67"/>
      <c r="R39" s="71"/>
      <c r="S39" s="70">
        <f>S25</f>
        <v>5254803.8188800337</v>
      </c>
      <c r="T39" s="6">
        <f>T25</f>
        <v>0</v>
      </c>
      <c r="U39" s="39">
        <f>T39/S39</f>
        <v>0</v>
      </c>
    </row>
    <row r="40" spans="2:21" s="64" customFormat="1" x14ac:dyDescent="0.25">
      <c r="B40" s="69" t="s">
        <v>3</v>
      </c>
      <c r="C40" s="69"/>
      <c r="D40" s="68">
        <f>D39+D37</f>
        <v>1142550753.03</v>
      </c>
      <c r="E40" s="66">
        <f>E39+E37</f>
        <v>427890601.26988757</v>
      </c>
      <c r="G40" s="94"/>
      <c r="H40" s="66">
        <f>H39+H37</f>
        <v>469814773.73044407</v>
      </c>
      <c r="L40" s="67"/>
      <c r="O40" s="67"/>
      <c r="P40" s="67"/>
      <c r="Q40" s="67"/>
      <c r="S40" s="66">
        <f>S39+S37</f>
        <v>841415182.04606354</v>
      </c>
      <c r="T40" s="66">
        <f>T39+T37</f>
        <v>1082182.7510999998</v>
      </c>
      <c r="U40" s="124">
        <f>T40/S40</f>
        <v>1.2861459766728518E-3</v>
      </c>
    </row>
    <row r="41" spans="2:21" s="94" customFormat="1" x14ac:dyDescent="0.25">
      <c r="B41" s="64"/>
      <c r="C41" s="64"/>
      <c r="D41" s="64"/>
      <c r="E41" s="64"/>
      <c r="F41" s="64"/>
      <c r="I41" s="65"/>
      <c r="L41" s="64"/>
      <c r="N41" s="64"/>
      <c r="O41" s="64"/>
      <c r="P41" s="64"/>
      <c r="Q41" s="64"/>
      <c r="R41" s="64"/>
      <c r="S41" s="64"/>
      <c r="T41" s="63"/>
    </row>
    <row r="42" spans="2:21" ht="17.25" x14ac:dyDescent="0.25">
      <c r="B42" t="s">
        <v>166</v>
      </c>
      <c r="D42" s="2"/>
      <c r="E42" s="2"/>
      <c r="H42" s="61"/>
      <c r="L42" s="2"/>
      <c r="O42" s="2"/>
      <c r="P42" s="2"/>
      <c r="Q42" s="2"/>
      <c r="S42" s="2"/>
    </row>
    <row r="43" spans="2:21" ht="17.25" x14ac:dyDescent="0.25">
      <c r="B43" t="s">
        <v>167</v>
      </c>
      <c r="D43" s="2"/>
      <c r="E43" s="2"/>
      <c r="L43" s="2"/>
      <c r="O43" s="2"/>
      <c r="P43" s="2"/>
      <c r="Q43" s="2"/>
      <c r="S43" s="2"/>
    </row>
    <row r="44" spans="2:21" x14ac:dyDescent="0.25">
      <c r="B44" s="62"/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8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zoomScaleNormal="100" workbookViewId="0">
      <selection activeCell="L29" sqref="L29"/>
    </sheetView>
  </sheetViews>
  <sheetFormatPr defaultColWidth="9.140625" defaultRowHeight="15" x14ac:dyDescent="0.25"/>
  <cols>
    <col min="1" max="1" width="2.140625" style="101" customWidth="1"/>
    <col min="2" max="2" width="2.42578125" style="101" customWidth="1"/>
    <col min="3" max="3" width="37.140625" style="101" customWidth="1"/>
    <col min="4" max="5" width="13.140625" style="101" customWidth="1"/>
    <col min="6" max="6" width="2.7109375" style="102" customWidth="1"/>
    <col min="7" max="8" width="13.140625" style="101" customWidth="1"/>
    <col min="9" max="16384" width="9.140625" style="101"/>
  </cols>
  <sheetData>
    <row r="1" spans="2:9" x14ac:dyDescent="0.25">
      <c r="B1" s="141" t="s">
        <v>12</v>
      </c>
      <c r="C1" s="141"/>
      <c r="D1" s="141"/>
      <c r="E1" s="141"/>
      <c r="F1" s="141"/>
      <c r="G1" s="141"/>
      <c r="H1" s="141"/>
      <c r="I1" s="29"/>
    </row>
    <row r="2" spans="2:9" x14ac:dyDescent="0.25">
      <c r="B2" s="141" t="s">
        <v>162</v>
      </c>
      <c r="C2" s="141"/>
      <c r="D2" s="141"/>
      <c r="E2" s="141"/>
      <c r="F2" s="141"/>
      <c r="G2" s="141"/>
      <c r="H2" s="141"/>
      <c r="I2" s="29"/>
    </row>
    <row r="3" spans="2:9" x14ac:dyDescent="0.25">
      <c r="B3" s="140" t="s">
        <v>151</v>
      </c>
      <c r="C3" s="140"/>
      <c r="D3" s="140"/>
      <c r="E3" s="140"/>
      <c r="F3" s="140"/>
      <c r="G3" s="140"/>
      <c r="H3" s="140"/>
      <c r="I3" s="29"/>
    </row>
    <row r="4" spans="2:9" x14ac:dyDescent="0.25">
      <c r="B4" s="140" t="s">
        <v>168</v>
      </c>
      <c r="C4" s="140"/>
      <c r="D4" s="140"/>
      <c r="E4" s="140"/>
      <c r="F4" s="140"/>
      <c r="G4" s="140"/>
      <c r="H4" s="140"/>
      <c r="I4" s="29"/>
    </row>
    <row r="5" spans="2:9" x14ac:dyDescent="0.25">
      <c r="I5" s="29"/>
    </row>
    <row r="6" spans="2:9" x14ac:dyDescent="0.25">
      <c r="D6" s="10" t="s">
        <v>13</v>
      </c>
      <c r="E6" s="10"/>
      <c r="F6" s="11"/>
      <c r="G6" s="10" t="s">
        <v>152</v>
      </c>
      <c r="H6" s="10"/>
      <c r="I6" s="29"/>
    </row>
    <row r="7" spans="2:9" ht="17.25" x14ac:dyDescent="0.25">
      <c r="D7" s="12" t="s">
        <v>97</v>
      </c>
      <c r="E7" s="12" t="s">
        <v>14</v>
      </c>
      <c r="F7" s="13"/>
      <c r="G7" s="12" t="s">
        <v>15</v>
      </c>
      <c r="H7" s="12" t="s">
        <v>14</v>
      </c>
      <c r="I7" s="29"/>
    </row>
    <row r="8" spans="2:9" x14ac:dyDescent="0.25">
      <c r="B8" s="101" t="s">
        <v>16</v>
      </c>
      <c r="D8" s="14">
        <v>64</v>
      </c>
      <c r="E8" s="15"/>
      <c r="F8" s="16"/>
      <c r="G8" s="14">
        <v>64</v>
      </c>
      <c r="H8" s="15"/>
      <c r="I8" s="29"/>
    </row>
    <row r="9" spans="2:9" x14ac:dyDescent="0.25">
      <c r="D9" s="14"/>
      <c r="E9" s="15"/>
      <c r="F9" s="16"/>
      <c r="G9" s="14"/>
      <c r="H9" s="15"/>
      <c r="I9" s="29"/>
    </row>
    <row r="10" spans="2:9" x14ac:dyDescent="0.25">
      <c r="B10" s="101" t="s">
        <v>17</v>
      </c>
      <c r="D10" s="14"/>
      <c r="E10" s="15"/>
      <c r="F10" s="16"/>
      <c r="G10" s="14"/>
      <c r="H10" s="15"/>
      <c r="I10" s="29"/>
    </row>
    <row r="11" spans="2:9" x14ac:dyDescent="0.25">
      <c r="C11" s="101" t="s">
        <v>90</v>
      </c>
      <c r="D11" s="17">
        <v>11</v>
      </c>
      <c r="E11" s="15">
        <f>D11</f>
        <v>11</v>
      </c>
      <c r="F11" s="18"/>
      <c r="G11" s="19">
        <f>D11</f>
        <v>11</v>
      </c>
      <c r="H11" s="15">
        <f>G11</f>
        <v>11</v>
      </c>
    </row>
    <row r="12" spans="2:9" x14ac:dyDescent="0.25">
      <c r="C12" s="101" t="s">
        <v>153</v>
      </c>
      <c r="D12" s="50">
        <v>0</v>
      </c>
      <c r="E12" s="51">
        <f>D12</f>
        <v>0</v>
      </c>
      <c r="F12" s="18"/>
      <c r="G12" s="52">
        <f>D12</f>
        <v>0</v>
      </c>
      <c r="H12" s="51">
        <f>G12</f>
        <v>0</v>
      </c>
    </row>
    <row r="13" spans="2:9" x14ac:dyDescent="0.25">
      <c r="C13" s="101" t="s">
        <v>21</v>
      </c>
      <c r="D13" s="19">
        <f>SUM(D11:D12)</f>
        <v>11</v>
      </c>
      <c r="E13" s="19">
        <f>SUM(E11:E12)</f>
        <v>11</v>
      </c>
      <c r="F13" s="18"/>
      <c r="G13" s="19">
        <f>SUM(G11:G12)</f>
        <v>11</v>
      </c>
      <c r="H13" s="19">
        <f>SUM(H11:H12)</f>
        <v>11</v>
      </c>
    </row>
    <row r="14" spans="2:9" x14ac:dyDescent="0.25">
      <c r="D14" s="17"/>
      <c r="E14" s="15"/>
      <c r="F14" s="18"/>
      <c r="G14" s="19"/>
      <c r="H14" s="15"/>
    </row>
    <row r="15" spans="2:9" x14ac:dyDescent="0.25">
      <c r="B15" s="101" t="s">
        <v>18</v>
      </c>
      <c r="E15" s="15"/>
      <c r="H15" s="15"/>
    </row>
    <row r="16" spans="2:9" x14ac:dyDescent="0.25">
      <c r="C16" s="101" t="s">
        <v>19</v>
      </c>
      <c r="D16" s="125">
        <v>0.34603</v>
      </c>
      <c r="E16" s="15"/>
      <c r="F16" s="20"/>
      <c r="G16" s="21">
        <f>D16</f>
        <v>0.34603</v>
      </c>
      <c r="H16" s="15"/>
    </row>
    <row r="17" spans="3:8" x14ac:dyDescent="0.25">
      <c r="C17" s="101" t="s">
        <v>98</v>
      </c>
      <c r="D17" s="125">
        <v>2.4479999999999998E-2</v>
      </c>
      <c r="E17" s="15"/>
      <c r="F17" s="20"/>
      <c r="G17" s="21">
        <f>D17</f>
        <v>2.4479999999999998E-2</v>
      </c>
      <c r="H17" s="15"/>
    </row>
    <row r="18" spans="3:8" x14ac:dyDescent="0.25">
      <c r="C18" s="101" t="s">
        <v>153</v>
      </c>
      <c r="D18" s="125">
        <v>0</v>
      </c>
      <c r="E18" s="15"/>
      <c r="F18" s="20"/>
      <c r="G18" s="21">
        <f t="shared" ref="G18:G20" si="0">D18</f>
        <v>0</v>
      </c>
      <c r="H18" s="15"/>
    </row>
    <row r="19" spans="3:8" x14ac:dyDescent="0.25">
      <c r="C19" s="101" t="s">
        <v>91</v>
      </c>
      <c r="D19" s="125">
        <v>8.1549999999999997E-2</v>
      </c>
      <c r="E19" s="15"/>
      <c r="F19" s="20"/>
      <c r="G19" s="21">
        <f t="shared" si="0"/>
        <v>8.1549999999999997E-2</v>
      </c>
      <c r="H19" s="15"/>
    </row>
    <row r="20" spans="3:8" x14ac:dyDescent="0.25">
      <c r="C20" s="101" t="s">
        <v>20</v>
      </c>
      <c r="D20" s="126">
        <v>5.3699999999999998E-3</v>
      </c>
      <c r="E20" s="15"/>
      <c r="F20" s="20"/>
      <c r="G20" s="21">
        <f t="shared" si="0"/>
        <v>5.3699999999999998E-3</v>
      </c>
      <c r="H20" s="15"/>
    </row>
    <row r="21" spans="3:8" x14ac:dyDescent="0.25">
      <c r="C21" s="101" t="s">
        <v>100</v>
      </c>
      <c r="D21" s="22">
        <v>1.1209999999999999E-2</v>
      </c>
      <c r="E21" s="15"/>
      <c r="F21" s="20"/>
      <c r="G21" s="130">
        <f>D21</f>
        <v>1.1209999999999999E-2</v>
      </c>
      <c r="H21" s="15"/>
    </row>
    <row r="22" spans="3:8" x14ac:dyDescent="0.25">
      <c r="C22" s="101" t="s">
        <v>21</v>
      </c>
      <c r="D22" s="23">
        <f>SUM(D16:D21)</f>
        <v>0.46864</v>
      </c>
      <c r="E22" s="15">
        <f>ROUND(D22*D$8,2)</f>
        <v>29.99</v>
      </c>
      <c r="F22" s="20"/>
      <c r="G22" s="23">
        <f>SUM(G16:G21)</f>
        <v>0.46864</v>
      </c>
      <c r="H22" s="15">
        <f>ROUND(G22*G$8,2)</f>
        <v>29.99</v>
      </c>
    </row>
    <row r="23" spans="3:8" x14ac:dyDescent="0.25">
      <c r="D23" s="21"/>
      <c r="E23" s="15"/>
      <c r="F23" s="20"/>
      <c r="G23" s="21"/>
      <c r="H23" s="15"/>
    </row>
    <row r="24" spans="3:8" x14ac:dyDescent="0.25">
      <c r="C24" s="101" t="s">
        <v>22</v>
      </c>
      <c r="D24" s="127">
        <v>1.703E-2</v>
      </c>
      <c r="E24" s="15">
        <f>ROUND(D24*D$8,2)</f>
        <v>1.0900000000000001</v>
      </c>
      <c r="F24" s="20"/>
      <c r="G24" s="128">
        <f>'Schedule 120 Revenue'!E8</f>
        <v>1.8149999999999999E-2</v>
      </c>
      <c r="H24" s="15">
        <f>ROUND(G24*G$8,2)</f>
        <v>1.1599999999999999</v>
      </c>
    </row>
    <row r="25" spans="3:8" x14ac:dyDescent="0.25">
      <c r="D25" s="129"/>
      <c r="E25" s="15"/>
      <c r="F25" s="20"/>
      <c r="G25" s="21"/>
      <c r="H25" s="15"/>
    </row>
    <row r="26" spans="3:8" x14ac:dyDescent="0.25">
      <c r="C26" s="101" t="s">
        <v>23</v>
      </c>
      <c r="D26" s="127">
        <v>0</v>
      </c>
      <c r="E26" s="15">
        <f>ROUND(D26*D$8,2)</f>
        <v>0</v>
      </c>
      <c r="F26" s="20"/>
      <c r="G26" s="130">
        <f>D26</f>
        <v>0</v>
      </c>
      <c r="H26" s="15">
        <f>ROUND(G26*G$8,2)</f>
        <v>0</v>
      </c>
    </row>
    <row r="27" spans="3:8" x14ac:dyDescent="0.25">
      <c r="D27" s="129"/>
      <c r="E27" s="15"/>
      <c r="F27" s="20"/>
      <c r="G27" s="21"/>
      <c r="H27" s="15"/>
    </row>
    <row r="28" spans="3:8" x14ac:dyDescent="0.25">
      <c r="C28" s="101" t="s">
        <v>24</v>
      </c>
      <c r="D28" s="127">
        <v>0.32665</v>
      </c>
      <c r="E28" s="15"/>
      <c r="F28" s="20"/>
      <c r="G28" s="21">
        <f>D28</f>
        <v>0.32665</v>
      </c>
      <c r="H28" s="15"/>
    </row>
    <row r="29" spans="3:8" x14ac:dyDescent="0.25">
      <c r="C29" s="101" t="s">
        <v>25</v>
      </c>
      <c r="D29" s="127">
        <v>-5.8279999999999998E-2</v>
      </c>
      <c r="E29" s="15"/>
      <c r="F29" s="20"/>
      <c r="G29" s="21">
        <f t="shared" ref="G29" si="1">D29</f>
        <v>-5.8279999999999998E-2</v>
      </c>
      <c r="H29" s="15"/>
    </row>
    <row r="30" spans="3:8" x14ac:dyDescent="0.25">
      <c r="C30" s="101" t="s">
        <v>21</v>
      </c>
      <c r="D30" s="23">
        <f>SUM(D28:D29)</f>
        <v>0.26837</v>
      </c>
      <c r="E30" s="15">
        <f>ROUND(D30*D$8,2)</f>
        <v>17.18</v>
      </c>
      <c r="F30" s="20"/>
      <c r="G30" s="23">
        <f>SUM(G28:G29)</f>
        <v>0.26837</v>
      </c>
      <c r="H30" s="15">
        <f>ROUND(G30*G$8,2)</f>
        <v>17.18</v>
      </c>
    </row>
    <row r="31" spans="3:8" x14ac:dyDescent="0.25">
      <c r="C31" s="101" t="s">
        <v>26</v>
      </c>
      <c r="D31" s="23">
        <f>D22+D24+D26+D30</f>
        <v>0.75404000000000004</v>
      </c>
      <c r="E31" s="24">
        <f>SUM(E22,E24,E26,E30)</f>
        <v>48.26</v>
      </c>
      <c r="F31" s="25"/>
      <c r="G31" s="23">
        <f>G22+G24+G26+G30</f>
        <v>0.75516000000000005</v>
      </c>
      <c r="H31" s="24">
        <f>SUM(H22,H24,H26,H30)</f>
        <v>48.33</v>
      </c>
    </row>
    <row r="32" spans="3:8" x14ac:dyDescent="0.25">
      <c r="E32" s="15"/>
      <c r="H32" s="15"/>
    </row>
    <row r="33" spans="2:8" x14ac:dyDescent="0.25">
      <c r="B33" s="101" t="s">
        <v>27</v>
      </c>
      <c r="D33" s="19"/>
      <c r="E33" s="15">
        <f>E13+E31</f>
        <v>59.26</v>
      </c>
      <c r="F33" s="26"/>
      <c r="G33" s="19"/>
      <c r="H33" s="15">
        <f>H13+H31</f>
        <v>59.33</v>
      </c>
    </row>
    <row r="34" spans="2:8" x14ac:dyDescent="0.25">
      <c r="B34" s="101" t="s">
        <v>28</v>
      </c>
      <c r="D34" s="19"/>
      <c r="E34" s="15"/>
      <c r="F34" s="26"/>
      <c r="G34" s="19"/>
      <c r="H34" s="15">
        <f>H33-$E33</f>
        <v>7.0000000000000284E-2</v>
      </c>
    </row>
    <row r="35" spans="2:8" x14ac:dyDescent="0.25">
      <c r="B35" s="101" t="s">
        <v>29</v>
      </c>
      <c r="D35" s="103"/>
      <c r="E35" s="103"/>
      <c r="F35" s="104"/>
      <c r="G35" s="103"/>
      <c r="H35" s="136">
        <f>H34/$E33</f>
        <v>1.1812352345595728E-3</v>
      </c>
    </row>
    <row r="36" spans="2:8" x14ac:dyDescent="0.25">
      <c r="E36" s="15"/>
    </row>
    <row r="37" spans="2:8" x14ac:dyDescent="0.25">
      <c r="B37" s="101" t="s">
        <v>30</v>
      </c>
      <c r="D37" s="21">
        <f>D22+D24+D26</f>
        <v>0.48566999999999999</v>
      </c>
      <c r="E37" s="15"/>
      <c r="F37" s="25"/>
      <c r="G37" s="21">
        <f>G22+G24+G26</f>
        <v>0.48679</v>
      </c>
    </row>
    <row r="39" spans="2:8" ht="17.25" x14ac:dyDescent="0.25">
      <c r="B39" s="27" t="s">
        <v>169</v>
      </c>
    </row>
    <row r="40" spans="2:8" x14ac:dyDescent="0.25">
      <c r="C40" s="27"/>
      <c r="D40" s="27"/>
      <c r="E40" s="27"/>
      <c r="F40" s="28"/>
      <c r="G40" s="28"/>
      <c r="H40" s="28"/>
    </row>
    <row r="45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&amp;L&amp;F  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F20" sqref="F20"/>
    </sheetView>
  </sheetViews>
  <sheetFormatPr defaultRowHeight="15" x14ac:dyDescent="0.25"/>
  <cols>
    <col min="1" max="1" width="40" bestFit="1" customWidth="1"/>
    <col min="3" max="3" width="16.5703125" bestFit="1" customWidth="1"/>
    <col min="4" max="5" width="10" bestFit="1" customWidth="1"/>
    <col min="6" max="6" width="15.7109375" bestFit="1" customWidth="1"/>
    <col min="7" max="7" width="11.5703125" bestFit="1" customWidth="1"/>
    <col min="8" max="8" width="7.85546875" bestFit="1" customWidth="1"/>
  </cols>
  <sheetData>
    <row r="1" spans="1:8" x14ac:dyDescent="0.25">
      <c r="A1" s="142" t="s">
        <v>12</v>
      </c>
      <c r="B1" s="142"/>
      <c r="C1" s="142"/>
      <c r="D1" s="142"/>
      <c r="E1" s="142"/>
      <c r="F1" s="142"/>
      <c r="G1" s="142"/>
      <c r="H1" s="142"/>
    </row>
    <row r="2" spans="1:8" x14ac:dyDescent="0.25">
      <c r="A2" s="142" t="s">
        <v>154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2" t="s">
        <v>156</v>
      </c>
      <c r="B3" s="142"/>
      <c r="C3" s="142"/>
      <c r="D3" s="142"/>
      <c r="E3" s="142"/>
      <c r="F3" s="142"/>
      <c r="G3" s="142"/>
      <c r="H3" s="142"/>
    </row>
    <row r="4" spans="1:8" x14ac:dyDescent="0.25">
      <c r="D4" s="134"/>
      <c r="E4" s="134"/>
    </row>
    <row r="5" spans="1:8" x14ac:dyDescent="0.25">
      <c r="A5" s="31"/>
      <c r="B5" s="31"/>
      <c r="C5" s="31" t="s">
        <v>31</v>
      </c>
      <c r="D5" s="31" t="s">
        <v>155</v>
      </c>
      <c r="E5" s="31" t="s">
        <v>84</v>
      </c>
      <c r="F5" s="31"/>
      <c r="G5" s="31" t="s">
        <v>73</v>
      </c>
      <c r="H5" s="31"/>
    </row>
    <row r="6" spans="1:8" x14ac:dyDescent="0.25">
      <c r="A6" s="31"/>
      <c r="B6" s="31" t="s">
        <v>82</v>
      </c>
      <c r="C6" s="31" t="s">
        <v>89</v>
      </c>
      <c r="D6" s="31" t="s">
        <v>73</v>
      </c>
      <c r="E6" s="31" t="s">
        <v>73</v>
      </c>
      <c r="F6" s="31" t="s">
        <v>31</v>
      </c>
      <c r="G6" s="31" t="s">
        <v>74</v>
      </c>
      <c r="H6" s="31" t="s">
        <v>47</v>
      </c>
    </row>
    <row r="7" spans="1:8" x14ac:dyDescent="0.25">
      <c r="A7" s="1" t="s">
        <v>83</v>
      </c>
      <c r="B7" s="1" t="s">
        <v>4</v>
      </c>
      <c r="C7" s="137" t="str">
        <f>'Rate Impacts'!G8</f>
        <v>May 19 - Apr 20</v>
      </c>
      <c r="D7" s="1" t="s">
        <v>15</v>
      </c>
      <c r="E7" s="1" t="s">
        <v>15</v>
      </c>
      <c r="F7" s="1" t="s">
        <v>74</v>
      </c>
      <c r="G7" s="1" t="s">
        <v>75</v>
      </c>
      <c r="H7" s="1" t="s">
        <v>75</v>
      </c>
    </row>
    <row r="8" spans="1:8" x14ac:dyDescent="0.25">
      <c r="A8" t="s">
        <v>40</v>
      </c>
      <c r="B8" s="5" t="s">
        <v>67</v>
      </c>
      <c r="C8" s="93">
        <v>639424146</v>
      </c>
      <c r="D8" s="54">
        <v>1.703E-2</v>
      </c>
      <c r="E8" s="107">
        <f>Rates!$H$22</f>
        <v>1.8149999999999999E-2</v>
      </c>
      <c r="F8" s="86">
        <f>C8*D8</f>
        <v>10889393.20638</v>
      </c>
      <c r="G8" s="6">
        <f>(E8-D8)*C8</f>
        <v>716155.04351999972</v>
      </c>
      <c r="H8" s="38">
        <f>G8/F8</f>
        <v>6.5766294773928327E-2</v>
      </c>
    </row>
    <row r="9" spans="1:8" x14ac:dyDescent="0.25">
      <c r="A9" t="s">
        <v>68</v>
      </c>
      <c r="B9" s="5">
        <v>16</v>
      </c>
      <c r="C9" s="100">
        <v>9714</v>
      </c>
      <c r="D9" s="54">
        <v>1.703E-2</v>
      </c>
      <c r="E9" s="107">
        <f>Rates!$H$22</f>
        <v>1.8149999999999999E-2</v>
      </c>
      <c r="F9" s="86">
        <f t="shared" ref="F9:F14" si="0">C9*D9</f>
        <v>165.42941999999999</v>
      </c>
      <c r="G9" s="6">
        <f t="shared" ref="G9:G14" si="1">(E9-D9)*C9</f>
        <v>10.879679999999995</v>
      </c>
      <c r="H9" s="38">
        <f t="shared" ref="H9:H15" si="2">G9/F9</f>
        <v>6.5766294773928341E-2</v>
      </c>
    </row>
    <row r="10" spans="1:8" x14ac:dyDescent="0.25">
      <c r="A10" t="s">
        <v>42</v>
      </c>
      <c r="B10" s="5">
        <v>31</v>
      </c>
      <c r="C10" s="93">
        <v>238517600</v>
      </c>
      <c r="D10" s="54">
        <v>1.703E-2</v>
      </c>
      <c r="E10" s="107">
        <f>Rates!$H$22</f>
        <v>1.8149999999999999E-2</v>
      </c>
      <c r="F10" s="86">
        <f t="shared" si="0"/>
        <v>4061954.7280000001</v>
      </c>
      <c r="G10" s="6">
        <f t="shared" si="1"/>
        <v>267139.71199999988</v>
      </c>
      <c r="H10" s="38">
        <f t="shared" si="2"/>
        <v>6.5766294773928327E-2</v>
      </c>
    </row>
    <row r="11" spans="1:8" x14ac:dyDescent="0.25">
      <c r="A11" t="s">
        <v>69</v>
      </c>
      <c r="B11" s="5">
        <v>41</v>
      </c>
      <c r="C11" s="93">
        <v>67320620</v>
      </c>
      <c r="D11" s="54">
        <v>1.703E-2</v>
      </c>
      <c r="E11" s="107">
        <f>Rates!$H$22</f>
        <v>1.8149999999999999E-2</v>
      </c>
      <c r="F11" s="86">
        <f t="shared" si="0"/>
        <v>1146470.1586</v>
      </c>
      <c r="G11" s="6">
        <f t="shared" si="1"/>
        <v>75399.094399999958</v>
      </c>
      <c r="H11" s="38">
        <f t="shared" si="2"/>
        <v>6.5766294773928327E-2</v>
      </c>
    </row>
    <row r="12" spans="1:8" x14ac:dyDescent="0.25">
      <c r="A12" t="s">
        <v>43</v>
      </c>
      <c r="B12" s="5">
        <v>85</v>
      </c>
      <c r="C12" s="93">
        <v>15894957</v>
      </c>
      <c r="D12" s="54">
        <v>1.4930000000000001E-2</v>
      </c>
      <c r="E12" s="107">
        <f>Rates!$H$23</f>
        <v>1.5429999999999999E-2</v>
      </c>
      <c r="F12" s="86">
        <f t="shared" si="0"/>
        <v>237311.70801</v>
      </c>
      <c r="G12" s="6">
        <f t="shared" si="1"/>
        <v>7947.4784999999792</v>
      </c>
      <c r="H12" s="38">
        <f t="shared" si="2"/>
        <v>3.3489618218352224E-2</v>
      </c>
    </row>
    <row r="13" spans="1:8" x14ac:dyDescent="0.25">
      <c r="A13" t="s">
        <v>44</v>
      </c>
      <c r="B13" s="5">
        <v>86</v>
      </c>
      <c r="C13" s="93">
        <v>9006058</v>
      </c>
      <c r="D13" s="54">
        <v>1.4930000000000001E-2</v>
      </c>
      <c r="E13" s="107">
        <f>Rates!$H$23</f>
        <v>1.5429999999999999E-2</v>
      </c>
      <c r="F13" s="86">
        <f>C13*D13</f>
        <v>134460.44594000001</v>
      </c>
      <c r="G13" s="6">
        <f t="shared" si="1"/>
        <v>4503.0289999999886</v>
      </c>
      <c r="H13" s="38">
        <f t="shared" si="2"/>
        <v>3.3489618218352224E-2</v>
      </c>
    </row>
    <row r="14" spans="1:8" x14ac:dyDescent="0.25">
      <c r="A14" t="s">
        <v>45</v>
      </c>
      <c r="B14" s="5">
        <v>87</v>
      </c>
      <c r="C14" s="93">
        <v>22055028</v>
      </c>
      <c r="D14" s="54">
        <v>1.4930000000000001E-2</v>
      </c>
      <c r="E14" s="107">
        <f>Rates!$H$23</f>
        <v>1.5429999999999999E-2</v>
      </c>
      <c r="F14" s="86">
        <f t="shared" si="0"/>
        <v>329281.56803999998</v>
      </c>
      <c r="G14" s="6">
        <f t="shared" si="1"/>
        <v>11027.513999999972</v>
      </c>
      <c r="H14" s="38">
        <f t="shared" si="2"/>
        <v>3.3489618218352224E-2</v>
      </c>
    </row>
    <row r="15" spans="1:8" x14ac:dyDescent="0.25">
      <c r="A15" t="s">
        <v>3</v>
      </c>
      <c r="C15" s="4">
        <f>SUM(C8:C14)</f>
        <v>992228123</v>
      </c>
      <c r="D15" s="43"/>
      <c r="E15" s="43"/>
      <c r="F15" s="92">
        <f>SUM(F8:F14)</f>
        <v>16799037.24439</v>
      </c>
      <c r="G15" s="37">
        <f>SUM(G8:G14)</f>
        <v>1082182.7510999998</v>
      </c>
      <c r="H15" s="99">
        <f t="shared" si="2"/>
        <v>6.4419331617434933E-2</v>
      </c>
    </row>
    <row r="16" spans="1:8" x14ac:dyDescent="0.25">
      <c r="A16" s="98"/>
      <c r="B16" s="97"/>
      <c r="C16" s="96"/>
      <c r="D16" s="95"/>
      <c r="E16" s="95"/>
      <c r="F16" s="95"/>
      <c r="G16" s="90"/>
      <c r="H16" s="94"/>
    </row>
  </sheetData>
  <mergeCells count="3">
    <mergeCell ref="A1:H1"/>
    <mergeCell ref="A2:H2"/>
    <mergeCell ref="A3:H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8660ECD1550A46B70347F07F47321C" ma:contentTypeVersion="48" ma:contentTypeDescription="" ma:contentTypeScope="" ma:versionID="ae3b6450ede5bd34dc4577cba0744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2019-03-01T08:00:00+00:00</OpenedDate>
    <SignificantOrder xmlns="dc463f71-b30c-4ab2-9473-d307f9d35888">false</SignificantOrder>
    <Date1 xmlns="dc463f71-b30c-4ab2-9473-d307f9d35888">2019-03-01T08:00:00+00:00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190148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760F96C-E4A7-41E7-B47B-2FE58D4794C4}"/>
</file>

<file path=customXml/itemProps2.xml><?xml version="1.0" encoding="utf-8"?>
<ds:datastoreItem xmlns:ds="http://schemas.openxmlformats.org/officeDocument/2006/customXml" ds:itemID="{CB2AF200-1800-4386-AE8C-672C812FCB39}"/>
</file>

<file path=customXml/itemProps3.xml><?xml version="1.0" encoding="utf-8"?>
<ds:datastoreItem xmlns:ds="http://schemas.openxmlformats.org/officeDocument/2006/customXml" ds:itemID="{BA801D04-4196-4A46-BBB4-F289699658A9}"/>
</file>

<file path=customXml/itemProps4.xml><?xml version="1.0" encoding="utf-8"?>
<ds:datastoreItem xmlns:ds="http://schemas.openxmlformats.org/officeDocument/2006/customXml" ds:itemID="{6B29ECC0-B5F7-4152-B0E4-761E0679E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Rates</vt:lpstr>
      <vt:lpstr>Rev Requirement</vt:lpstr>
      <vt:lpstr>Allocation</vt:lpstr>
      <vt:lpstr>Forecasted Volume</vt:lpstr>
      <vt:lpstr>Rate Impacts--&gt;</vt:lpstr>
      <vt:lpstr>Rate Impacts</vt:lpstr>
      <vt:lpstr>Typical Res Bill</vt:lpstr>
      <vt:lpstr>Schedule 120 Revenue</vt:lpstr>
      <vt:lpstr>Allocation!Print_Area</vt:lpstr>
      <vt:lpstr>'Forecasted Volume'!Print_Area</vt:lpstr>
      <vt:lpstr>'Rate Impacts'!Print_Area</vt:lpstr>
      <vt:lpstr>Rates!Print_Area</vt:lpstr>
      <vt:lpstr>'Rev Requirement'!Print_Area</vt:lpstr>
      <vt:lpstr>'Typical Res Bill'!Print_Area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Paul Schmidt</cp:lastModifiedBy>
  <cp:lastPrinted>2019-02-24T20:42:17Z</cp:lastPrinted>
  <dcterms:created xsi:type="dcterms:W3CDTF">2013-02-25T17:53:58Z</dcterms:created>
  <dcterms:modified xsi:type="dcterms:W3CDTF">2019-02-24T20:44:40Z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0x0101006E56B4D1795A2E4DB2F0B01679ED314A00048660ECD1550A46B70347F07F47321C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