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" windowWidth="19035" windowHeight="12270"/>
  </bookViews>
  <sheets>
    <sheet name="Lead Sheet" sheetId="41" r:id="rId1"/>
    <sheet name="Tariff Impacts" sheetId="18" r:id="rId2"/>
    <sheet name="Rate Spread &amp; Design" sheetId="46" r:id="rId3"/>
    <sheet name="Typical Res" sheetId="56" r:id="rId4"/>
    <sheet name="2019 Est Proforma Net Revenue" sheetId="62" r:id="rId5"/>
    <sheet name="Rate Credits for 2019" sheetId="22" r:id="rId6"/>
    <sheet name="2017 Merger Credit Impacts" sheetId="49" r:id="rId7"/>
    <sheet name="2018 Merger Credit Calculation" sheetId="66" r:id="rId8"/>
  </sheet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6">{"'Sheet1'!$A$1:$J$121"}</definedName>
    <definedName name="HTML_Control" localSheetId="3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 localSheetId="3">IF('Typical Res'!Values_Entered,Header_Row+'Typical Res'!Number_of_Payments,Header_Row)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3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6">'2017 Merger Credit Impacts'!$A$1:$K$21</definedName>
    <definedName name="_xlnm.Print_Area" localSheetId="0">'Lead Sheet'!$A$1:$A$15</definedName>
    <definedName name="_xlnm.Print_Area" localSheetId="5">'Rate Credits for 2019'!$A$1:$E$9</definedName>
    <definedName name="_xlnm.Print_Area" localSheetId="2">'Rate Spread &amp; Design'!$A$1:$H$21</definedName>
    <definedName name="_xlnm.Print_Area" localSheetId="1">'Tariff Impacts'!$A$1:$K$21</definedName>
    <definedName name="_xlnm.Print_Area" localSheetId="3">'Typical Res'!$A$1:$S$61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3">IF(Loan_Amount*Interest_Rate*Loan_Years*Loan_Start&gt;0,1,0)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M11" i="62" l="1"/>
  <c r="J11" i="62"/>
  <c r="I32" i="62"/>
  <c r="H32" i="62"/>
  <c r="G32" i="62"/>
  <c r="F32" i="62"/>
  <c r="I26" i="62"/>
  <c r="H26" i="62"/>
  <c r="G26" i="62"/>
  <c r="F26" i="62"/>
  <c r="I20" i="62"/>
  <c r="H20" i="62"/>
  <c r="G20" i="62"/>
  <c r="F20" i="62"/>
  <c r="I11" i="62"/>
  <c r="I38" i="62" s="1"/>
  <c r="H11" i="62"/>
  <c r="H38" i="62" s="1"/>
  <c r="G11" i="62"/>
  <c r="G38" i="62" s="1"/>
  <c r="F11" i="62"/>
  <c r="F38" i="62" s="1"/>
  <c r="E11" i="62"/>
  <c r="E32" i="62" l="1"/>
  <c r="K20" i="62"/>
  <c r="K32" i="62"/>
  <c r="J20" i="62"/>
  <c r="J26" i="62"/>
  <c r="J32" i="62"/>
  <c r="N32" i="62"/>
  <c r="E20" i="62"/>
  <c r="E26" i="62"/>
  <c r="K11" i="62"/>
  <c r="L32" i="62"/>
  <c r="N26" i="62"/>
  <c r="M20" i="62"/>
  <c r="M26" i="62"/>
  <c r="L20" i="62"/>
  <c r="K26" i="62"/>
  <c r="N11" i="62"/>
  <c r="L11" i="62"/>
  <c r="L38" i="62" s="1"/>
  <c r="L42" i="62" s="1"/>
  <c r="L26" i="62"/>
  <c r="M32" i="62"/>
  <c r="N20" i="62"/>
  <c r="K38" i="62"/>
  <c r="K42" i="62" s="1"/>
  <c r="F42" i="62"/>
  <c r="G42" i="62"/>
  <c r="H42" i="62"/>
  <c r="I42" i="62"/>
  <c r="E38" i="62" l="1"/>
  <c r="E42" i="62" s="1"/>
  <c r="J38" i="62"/>
  <c r="J42" i="62" s="1"/>
  <c r="M38" i="62"/>
  <c r="M42" i="62" s="1"/>
  <c r="N38" i="62"/>
  <c r="N42" i="62" s="1"/>
  <c r="F46" i="56"/>
  <c r="F45" i="56"/>
  <c r="F44" i="56"/>
  <c r="F43" i="56"/>
  <c r="D19" i="46" l="1"/>
  <c r="D18" i="46"/>
  <c r="D17" i="46"/>
  <c r="D16" i="46"/>
  <c r="D15" i="46"/>
  <c r="D14" i="46"/>
  <c r="D13" i="46"/>
  <c r="D12" i="46"/>
  <c r="D11" i="46"/>
  <c r="D10" i="46"/>
  <c r="G57" i="56" l="1"/>
  <c r="G53" i="56"/>
  <c r="G50" i="56"/>
  <c r="G49" i="56"/>
  <c r="F47" i="56"/>
  <c r="G46" i="56"/>
  <c r="G45" i="56"/>
  <c r="G44" i="56"/>
  <c r="G42" i="56"/>
  <c r="F40" i="56"/>
  <c r="G39" i="56"/>
  <c r="G38" i="56"/>
  <c r="G37" i="56"/>
  <c r="G36" i="56"/>
  <c r="G43" i="56" s="1"/>
  <c r="G35" i="56"/>
  <c r="F33" i="56"/>
  <c r="G32" i="56"/>
  <c r="G33" i="56" s="1"/>
  <c r="G31" i="56"/>
  <c r="E7" i="18"/>
  <c r="D7" i="18"/>
  <c r="D19" i="18"/>
  <c r="D17" i="18"/>
  <c r="D18" i="18"/>
  <c r="D15" i="18"/>
  <c r="A10" i="62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C11" i="62"/>
  <c r="G47" i="56" l="1"/>
  <c r="D16" i="62"/>
  <c r="D12" i="18"/>
  <c r="D34" i="62"/>
  <c r="E18" i="18" s="1"/>
  <c r="D10" i="18"/>
  <c r="D11" i="18"/>
  <c r="D13" i="18"/>
  <c r="D14" i="18"/>
  <c r="G40" i="56"/>
  <c r="C20" i="62"/>
  <c r="C32" i="62"/>
  <c r="D16" i="18" s="1"/>
  <c r="C26" i="62"/>
  <c r="D14" i="62"/>
  <c r="D36" i="62"/>
  <c r="E17" i="18" s="1"/>
  <c r="D23" i="62"/>
  <c r="D30" i="62"/>
  <c r="D10" i="62"/>
  <c r="D9" i="62"/>
  <c r="E10" i="18" s="1"/>
  <c r="D15" i="62"/>
  <c r="D17" i="62"/>
  <c r="D19" i="62"/>
  <c r="D22" i="62"/>
  <c r="D24" i="62"/>
  <c r="D28" i="62"/>
  <c r="E15" i="18" s="1"/>
  <c r="D31" i="62"/>
  <c r="D25" i="62"/>
  <c r="D18" i="62"/>
  <c r="D40" i="62"/>
  <c r="E19" i="18" s="1"/>
  <c r="D13" i="62"/>
  <c r="C38" i="62" l="1"/>
  <c r="C42" i="62" s="1"/>
  <c r="E14" i="18"/>
  <c r="E12" i="18"/>
  <c r="E11" i="18"/>
  <c r="E13" i="18"/>
  <c r="D32" i="62"/>
  <c r="E16" i="18" s="1"/>
  <c r="D11" i="62"/>
  <c r="D20" i="62"/>
  <c r="D26" i="62"/>
  <c r="E21" i="18" l="1"/>
  <c r="D38" i="62"/>
  <c r="D42" i="62" s="1"/>
  <c r="C79" i="56" l="1"/>
  <c r="B79" i="56"/>
  <c r="D78" i="56"/>
  <c r="B18" i="56" s="1"/>
  <c r="A78" i="56"/>
  <c r="D77" i="56"/>
  <c r="B17" i="56" s="1"/>
  <c r="G17" i="56" s="1"/>
  <c r="A77" i="56"/>
  <c r="D76" i="56"/>
  <c r="B16" i="56" s="1"/>
  <c r="K16" i="56" s="1"/>
  <c r="A76" i="56"/>
  <c r="D75" i="56"/>
  <c r="B15" i="56" s="1"/>
  <c r="G15" i="56" s="1"/>
  <c r="A75" i="56"/>
  <c r="D74" i="56"/>
  <c r="A74" i="56"/>
  <c r="D73" i="56"/>
  <c r="B13" i="56" s="1"/>
  <c r="M13" i="56" s="1"/>
  <c r="A73" i="56"/>
  <c r="D72" i="56"/>
  <c r="A72" i="56"/>
  <c r="D71" i="56"/>
  <c r="B11" i="56" s="1"/>
  <c r="K11" i="56" s="1"/>
  <c r="A71" i="56"/>
  <c r="D70" i="56"/>
  <c r="B10" i="56" s="1"/>
  <c r="A70" i="56"/>
  <c r="D69" i="56"/>
  <c r="B9" i="56" s="1"/>
  <c r="G9" i="56" s="1"/>
  <c r="A69" i="56"/>
  <c r="D68" i="56"/>
  <c r="A68" i="56"/>
  <c r="D67" i="56"/>
  <c r="A67" i="56"/>
  <c r="G55" i="56"/>
  <c r="G54" i="56"/>
  <c r="M17" i="56"/>
  <c r="L17" i="56"/>
  <c r="I17" i="56"/>
  <c r="E17" i="56"/>
  <c r="D17" i="56"/>
  <c r="M15" i="56"/>
  <c r="L15" i="56"/>
  <c r="E15" i="56"/>
  <c r="D15" i="56"/>
  <c r="C15" i="56"/>
  <c r="E14" i="56"/>
  <c r="B14" i="56"/>
  <c r="J14" i="56" s="1"/>
  <c r="L13" i="56"/>
  <c r="G13" i="56"/>
  <c r="E13" i="56"/>
  <c r="B12" i="56"/>
  <c r="C12" i="56" s="1"/>
  <c r="M11" i="56"/>
  <c r="L11" i="56"/>
  <c r="E11" i="56"/>
  <c r="D11" i="56"/>
  <c r="M9" i="56"/>
  <c r="I9" i="56"/>
  <c r="E9" i="56"/>
  <c r="D9" i="56"/>
  <c r="B8" i="56"/>
  <c r="F8" i="56" s="1"/>
  <c r="K8" i="56" l="1"/>
  <c r="L9" i="56"/>
  <c r="G11" i="56"/>
  <c r="E12" i="56"/>
  <c r="F12" i="56"/>
  <c r="J12" i="56"/>
  <c r="F14" i="56"/>
  <c r="D13" i="56"/>
  <c r="F16" i="56"/>
  <c r="I12" i="56"/>
  <c r="I15" i="56"/>
  <c r="I13" i="56"/>
  <c r="L10" i="56"/>
  <c r="D10" i="56"/>
  <c r="G10" i="56"/>
  <c r="M10" i="56"/>
  <c r="L18" i="56"/>
  <c r="D18" i="56"/>
  <c r="G18" i="56"/>
  <c r="M18" i="56"/>
  <c r="L8" i="56"/>
  <c r="D8" i="56"/>
  <c r="G8" i="56"/>
  <c r="M8" i="56"/>
  <c r="K9" i="56"/>
  <c r="C10" i="56"/>
  <c r="I10" i="56"/>
  <c r="C13" i="56"/>
  <c r="K14" i="56"/>
  <c r="L16" i="56"/>
  <c r="D16" i="56"/>
  <c r="G16" i="56"/>
  <c r="M16" i="56"/>
  <c r="K17" i="56"/>
  <c r="C18" i="56"/>
  <c r="I18" i="56"/>
  <c r="C8" i="56"/>
  <c r="I8" i="56"/>
  <c r="E10" i="56"/>
  <c r="J10" i="56"/>
  <c r="C11" i="56"/>
  <c r="K12" i="56"/>
  <c r="L14" i="56"/>
  <c r="D14" i="56"/>
  <c r="G14" i="56"/>
  <c r="M14" i="56"/>
  <c r="K15" i="56"/>
  <c r="C16" i="56"/>
  <c r="I16" i="56"/>
  <c r="E18" i="56"/>
  <c r="J18" i="56"/>
  <c r="E8" i="56"/>
  <c r="J8" i="56"/>
  <c r="C9" i="56"/>
  <c r="F10" i="56"/>
  <c r="K10" i="56"/>
  <c r="I11" i="56"/>
  <c r="L12" i="56"/>
  <c r="D12" i="56"/>
  <c r="G12" i="56"/>
  <c r="M12" i="56"/>
  <c r="K13" i="56"/>
  <c r="C14" i="56"/>
  <c r="I14" i="56"/>
  <c r="E16" i="56"/>
  <c r="J16" i="56"/>
  <c r="C17" i="56"/>
  <c r="F18" i="56"/>
  <c r="K18" i="56"/>
  <c r="D81" i="56"/>
  <c r="B7" i="56"/>
  <c r="D79" i="56"/>
  <c r="J9" i="56"/>
  <c r="F9" i="56"/>
  <c r="J11" i="56"/>
  <c r="F11" i="56"/>
  <c r="J13" i="56"/>
  <c r="F13" i="56"/>
  <c r="J15" i="56"/>
  <c r="F15" i="56"/>
  <c r="J17" i="56"/>
  <c r="F17" i="56"/>
  <c r="B20" i="56" l="1"/>
  <c r="B22" i="56" s="1"/>
  <c r="B26" i="56" s="1"/>
  <c r="J7" i="56"/>
  <c r="J20" i="56" s="1"/>
  <c r="F7" i="56"/>
  <c r="F20" i="56" s="1"/>
  <c r="L7" i="56"/>
  <c r="L20" i="56" s="1"/>
  <c r="G7" i="56"/>
  <c r="G20" i="56" s="1"/>
  <c r="K7" i="56"/>
  <c r="K20" i="56" s="1"/>
  <c r="E7" i="56"/>
  <c r="E20" i="56" s="1"/>
  <c r="I7" i="56"/>
  <c r="D7" i="56"/>
  <c r="D20" i="56" s="1"/>
  <c r="M7" i="56"/>
  <c r="M20" i="56" s="1"/>
  <c r="C7" i="56"/>
  <c r="K26" i="56" l="1"/>
  <c r="G26" i="56"/>
  <c r="M26" i="56"/>
  <c r="F26" i="56"/>
  <c r="L26" i="56"/>
  <c r="E26" i="56"/>
  <c r="J26" i="56"/>
  <c r="D26" i="56"/>
  <c r="C26" i="56"/>
  <c r="I26" i="56"/>
  <c r="C20" i="56"/>
  <c r="E24" i="56"/>
  <c r="E22" i="56"/>
  <c r="L22" i="56"/>
  <c r="L24" i="56"/>
  <c r="M24" i="56"/>
  <c r="M22" i="56"/>
  <c r="K24" i="56"/>
  <c r="K22" i="56"/>
  <c r="F24" i="56"/>
  <c r="F22" i="56"/>
  <c r="D22" i="56"/>
  <c r="D24" i="56"/>
  <c r="J24" i="56"/>
  <c r="J22" i="56"/>
  <c r="I20" i="56"/>
  <c r="G24" i="56"/>
  <c r="G22" i="56"/>
  <c r="C24" i="56" l="1"/>
  <c r="C22" i="56"/>
  <c r="I24" i="56"/>
  <c r="I22" i="56"/>
  <c r="F19" i="18" l="1"/>
  <c r="F18" i="18"/>
  <c r="F17" i="18"/>
  <c r="F16" i="18"/>
  <c r="F15" i="18"/>
  <c r="F14" i="18"/>
  <c r="F13" i="18"/>
  <c r="F12" i="18"/>
  <c r="F11" i="18"/>
  <c r="F10" i="18"/>
  <c r="F56" i="56" s="1"/>
  <c r="H15" i="56" l="1"/>
  <c r="H17" i="56"/>
  <c r="F58" i="56"/>
  <c r="H26" i="56"/>
  <c r="H11" i="56"/>
  <c r="H9" i="56"/>
  <c r="H12" i="56"/>
  <c r="H10" i="56"/>
  <c r="H8" i="56"/>
  <c r="H13" i="56"/>
  <c r="H18" i="56"/>
  <c r="H16" i="56"/>
  <c r="H14" i="56"/>
  <c r="H7" i="56"/>
  <c r="O18" i="56" l="1"/>
  <c r="N18" i="56"/>
  <c r="O12" i="56"/>
  <c r="N12" i="56"/>
  <c r="F61" i="56"/>
  <c r="F60" i="56"/>
  <c r="H20" i="56"/>
  <c r="O7" i="56"/>
  <c r="N7" i="56"/>
  <c r="O13" i="56"/>
  <c r="N13" i="56"/>
  <c r="O9" i="56"/>
  <c r="N9" i="56"/>
  <c r="O17" i="56"/>
  <c r="N17" i="56"/>
  <c r="O14" i="56"/>
  <c r="N14" i="56"/>
  <c r="O8" i="56"/>
  <c r="N8" i="56"/>
  <c r="O11" i="56"/>
  <c r="N11" i="56"/>
  <c r="O15" i="56"/>
  <c r="N15" i="56"/>
  <c r="O16" i="56"/>
  <c r="N16" i="56"/>
  <c r="O10" i="56"/>
  <c r="N10" i="56"/>
  <c r="O26" i="56"/>
  <c r="N26" i="56"/>
  <c r="O20" i="56" l="1"/>
  <c r="H22" i="56"/>
  <c r="H24" i="56"/>
  <c r="N20" i="56"/>
  <c r="O24" i="56" l="1"/>
  <c r="O22" i="56"/>
  <c r="N22" i="56"/>
  <c r="N24" i="56"/>
  <c r="A11" i="46" l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3" i="46"/>
  <c r="A1" i="46"/>
  <c r="F12" i="46" l="1"/>
  <c r="F17" i="46"/>
  <c r="F15" i="46"/>
  <c r="F19" i="46"/>
  <c r="F18" i="46"/>
  <c r="F14" i="46"/>
  <c r="F16" i="46"/>
  <c r="F11" i="46"/>
  <c r="F10" i="46"/>
  <c r="F13" i="46"/>
  <c r="D21" i="46" l="1"/>
  <c r="F21" i="46"/>
  <c r="A11" i="18" l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G13" i="46" l="1"/>
  <c r="H13" i="46" s="1"/>
  <c r="G13" i="18" s="1"/>
  <c r="G19" i="46" l="1"/>
  <c r="H19" i="46" s="1"/>
  <c r="G19" i="18" s="1"/>
  <c r="G18" i="46"/>
  <c r="H18" i="46" s="1"/>
  <c r="G18" i="18" s="1"/>
  <c r="G15" i="46"/>
  <c r="H15" i="46" s="1"/>
  <c r="G15" i="18" s="1"/>
  <c r="H13" i="18"/>
  <c r="G16" i="46"/>
  <c r="H16" i="46" s="1"/>
  <c r="G16" i="18" s="1"/>
  <c r="G10" i="46" l="1"/>
  <c r="G14" i="46"/>
  <c r="H14" i="46" s="1"/>
  <c r="G14" i="18" s="1"/>
  <c r="I13" i="18"/>
  <c r="J13" i="18" s="1"/>
  <c r="K13" i="18" s="1"/>
  <c r="H15" i="18"/>
  <c r="G17" i="46"/>
  <c r="H17" i="46" s="1"/>
  <c r="G17" i="18" s="1"/>
  <c r="G12" i="46"/>
  <c r="H12" i="46" s="1"/>
  <c r="G12" i="18" s="1"/>
  <c r="H18" i="18"/>
  <c r="H16" i="18"/>
  <c r="I15" i="18"/>
  <c r="I16" i="18"/>
  <c r="H10" i="46" l="1"/>
  <c r="H14" i="18"/>
  <c r="H10" i="18"/>
  <c r="I12" i="18"/>
  <c r="I14" i="18"/>
  <c r="J15" i="18"/>
  <c r="K15" i="18" s="1"/>
  <c r="H12" i="18"/>
  <c r="I17" i="18"/>
  <c r="H17" i="18"/>
  <c r="H19" i="18"/>
  <c r="I19" i="18"/>
  <c r="J16" i="18"/>
  <c r="K16" i="18" s="1"/>
  <c r="J14" i="18" l="1"/>
  <c r="K14" i="18" s="1"/>
  <c r="G10" i="18"/>
  <c r="G56" i="56" s="1"/>
  <c r="J12" i="18"/>
  <c r="K12" i="18" s="1"/>
  <c r="G11" i="46"/>
  <c r="J17" i="18"/>
  <c r="K17" i="18" s="1"/>
  <c r="J19" i="18"/>
  <c r="K19" i="18" s="1"/>
  <c r="I18" i="18"/>
  <c r="J18" i="18" s="1"/>
  <c r="K18" i="18" s="1"/>
  <c r="P26" i="56" l="1"/>
  <c r="Q26" i="56" s="1"/>
  <c r="P12" i="56"/>
  <c r="Q12" i="56" s="1"/>
  <c r="P17" i="56"/>
  <c r="Q17" i="56" s="1"/>
  <c r="P9" i="56"/>
  <c r="Q9" i="56" s="1"/>
  <c r="P16" i="56"/>
  <c r="Q16" i="56" s="1"/>
  <c r="P8" i="56"/>
  <c r="Q8" i="56" s="1"/>
  <c r="P13" i="56"/>
  <c r="Q13" i="56" s="1"/>
  <c r="G58" i="56"/>
  <c r="P10" i="56"/>
  <c r="Q10" i="56" s="1"/>
  <c r="P7" i="56"/>
  <c r="P14" i="56"/>
  <c r="Q14" i="56" s="1"/>
  <c r="P11" i="56"/>
  <c r="Q11" i="56" s="1"/>
  <c r="P18" i="56"/>
  <c r="Q18" i="56" s="1"/>
  <c r="P15" i="56"/>
  <c r="Q15" i="56" s="1"/>
  <c r="H11" i="46"/>
  <c r="G11" i="18" s="1"/>
  <c r="I11" i="18" s="1"/>
  <c r="G21" i="46"/>
  <c r="H21" i="46" s="1"/>
  <c r="I10" i="18"/>
  <c r="D21" i="18"/>
  <c r="H11" i="18"/>
  <c r="H21" i="18" s="1"/>
  <c r="S11" i="56" l="1"/>
  <c r="R11" i="56"/>
  <c r="G61" i="56"/>
  <c r="G60" i="56"/>
  <c r="R9" i="56"/>
  <c r="S9" i="56"/>
  <c r="S14" i="56"/>
  <c r="R14" i="56"/>
  <c r="R13" i="56"/>
  <c r="S13" i="56"/>
  <c r="R17" i="56"/>
  <c r="S17" i="56"/>
  <c r="R15" i="56"/>
  <c r="S15" i="56"/>
  <c r="P20" i="56"/>
  <c r="Q7" i="56"/>
  <c r="R8" i="56"/>
  <c r="S8" i="56"/>
  <c r="R12" i="56"/>
  <c r="S12" i="56"/>
  <c r="S18" i="56"/>
  <c r="R18" i="56"/>
  <c r="R10" i="56"/>
  <c r="S10" i="56"/>
  <c r="S16" i="56"/>
  <c r="R16" i="56"/>
  <c r="R26" i="56"/>
  <c r="S26" i="56"/>
  <c r="J11" i="18"/>
  <c r="K11" i="18" s="1"/>
  <c r="I21" i="18"/>
  <c r="J10" i="18"/>
  <c r="Q20" i="56" l="1"/>
  <c r="R7" i="56"/>
  <c r="R20" i="56" s="1"/>
  <c r="S7" i="56"/>
  <c r="P22" i="56"/>
  <c r="P24" i="56"/>
  <c r="K10" i="18"/>
  <c r="J21" i="18"/>
  <c r="K21" i="18" l="1"/>
  <c r="R24" i="56"/>
  <c r="R22" i="56"/>
  <c r="Q24" i="56"/>
  <c r="Q22" i="56"/>
  <c r="S22" i="56" s="1"/>
  <c r="S20" i="56"/>
</calcChain>
</file>

<file path=xl/sharedStrings.xml><?xml version="1.0" encoding="utf-8"?>
<sst xmlns="http://schemas.openxmlformats.org/spreadsheetml/2006/main" count="313" uniqueCount="188">
  <si>
    <t>Puget Sound Energy</t>
  </si>
  <si>
    <t>Line No.</t>
  </si>
  <si>
    <t>Description</t>
  </si>
  <si>
    <t>Rate Schedule</t>
  </si>
  <si>
    <t>Total</t>
  </si>
  <si>
    <t>46 &amp; 49</t>
  </si>
  <si>
    <t>Lighting</t>
  </si>
  <si>
    <t>Firm Resale</t>
  </si>
  <si>
    <t>Residential</t>
  </si>
  <si>
    <t>Secondary Voltage General Service &lt; 50 kW</t>
  </si>
  <si>
    <t>Secondary Voltage General Service &gt; 350 kW</t>
  </si>
  <si>
    <t>Secondary Voltage General Service &gt; 50 kW and &lt; 350 kW &amp; Irrigation</t>
  </si>
  <si>
    <t>Primary Voltage</t>
  </si>
  <si>
    <t>Campus</t>
  </si>
  <si>
    <t>High Voltage</t>
  </si>
  <si>
    <t>Retail Wheeling</t>
  </si>
  <si>
    <t>50-59</t>
  </si>
  <si>
    <t>a</t>
  </si>
  <si>
    <t>b</t>
  </si>
  <si>
    <t>c</t>
  </si>
  <si>
    <t>d</t>
  </si>
  <si>
    <t>e</t>
  </si>
  <si>
    <t>Allocation to Class</t>
  </si>
  <si>
    <t>$ / kWh
Monthly Credit</t>
  </si>
  <si>
    <t>Month</t>
  </si>
  <si>
    <t>g</t>
  </si>
  <si>
    <t>f</t>
  </si>
  <si>
    <t>Docket No. UE-072375</t>
  </si>
  <si>
    <t>$ / kWh</t>
  </si>
  <si>
    <t>kWh</t>
  </si>
  <si>
    <t>Schedule 132</t>
  </si>
  <si>
    <t>Residential Customer Impacts</t>
  </si>
  <si>
    <t>Customer Bill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</si>
  <si>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</si>
  <si>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</si>
  <si>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</si>
  <si>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</si>
  <si>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</si>
  <si>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</si>
  <si>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</si>
  <si>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</si>
  <si>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</si>
  <si>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</si>
  <si>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</si>
  <si>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</si>
  <si>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</si>
  <si>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</si>
  <si>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</si>
  <si>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Monthly Average</t>
  </si>
  <si>
    <t>Customer Monthly Charge:</t>
  </si>
  <si>
    <t>per Month</t>
  </si>
  <si>
    <t>Energy Charge:</t>
  </si>
  <si>
    <t>Schedule 7 first 600 kWh</t>
  </si>
  <si>
    <t>Schedule 7 over 600 kWh</t>
  </si>
  <si>
    <t>Schedule 95 - Power Cost Adjustment Clause</t>
  </si>
  <si>
    <t>Schedule 120 - Conservation Rider</t>
  </si>
  <si>
    <t>Schedule 129 - Low Income</t>
  </si>
  <si>
    <t>Schedule 194 - BPA Exchange Credit</t>
  </si>
  <si>
    <t>Schedule 132 - Merger Credit</t>
  </si>
  <si>
    <t>% Revenue Change</t>
  </si>
  <si>
    <t>Electric Merger Credit Tariff Impacts</t>
  </si>
  <si>
    <t>$ Change in Schedule 132</t>
  </si>
  <si>
    <t>Revenue Including Current Sch 132 Credit</t>
  </si>
  <si>
    <t>Revenue Including Proposed Sch 132 Credit</t>
  </si>
  <si>
    <t>Total Secondary Voltage</t>
  </si>
  <si>
    <t>Total Primary Voltage</t>
  </si>
  <si>
    <t>Total High Voltage</t>
  </si>
  <si>
    <t>h = d * f + e</t>
  </si>
  <si>
    <t>i = d * g + e</t>
  </si>
  <si>
    <t>j = i - h</t>
  </si>
  <si>
    <t>k = j / h</t>
  </si>
  <si>
    <t>Combined</t>
  </si>
  <si>
    <t>Electric</t>
  </si>
  <si>
    <t>Gas</t>
  </si>
  <si>
    <t>Schedule 137 - Renewable Energy Credit</t>
  </si>
  <si>
    <t>Proposed Effective for Period</t>
  </si>
  <si>
    <t>Electronic Workpapers</t>
  </si>
  <si>
    <t>Rate Spread &amp; Rate Design</t>
  </si>
  <si>
    <t>Schedule No. 132</t>
  </si>
  <si>
    <t>Merger Credit</t>
  </si>
  <si>
    <t>Average Cents</t>
  </si>
  <si>
    <t>Schedule 95A - Wind Power Production Credit</t>
  </si>
  <si>
    <t>Schedule 133 - Regulatory Asset Tracker</t>
  </si>
  <si>
    <t>Schedule 140 - Property Tax Rider</t>
  </si>
  <si>
    <t>Schedule 141 - ERF Rider - 1 Phase Basic Charge</t>
  </si>
  <si>
    <t>Schedule 141 - ERF Rider - First 600 kWh</t>
  </si>
  <si>
    <t>Schedule 141 - ERF Rider - Over 600 kWh</t>
  </si>
  <si>
    <t>Schedule 142 - Decoupling Rider</t>
  </si>
  <si>
    <t>% To Total</t>
  </si>
  <si>
    <t>Subtotal Non-PCA Revenue Less Firm Resale</t>
  </si>
  <si>
    <t>Sch 142</t>
  </si>
  <si>
    <t>8 &amp; 24</t>
  </si>
  <si>
    <t>Subtotal Base Monthly Charge</t>
  </si>
  <si>
    <t>Subtotal Base First 600 kWh Charge</t>
  </si>
  <si>
    <t>Subtotal Base Over 600 kWh Charge</t>
  </si>
  <si>
    <t>12 &amp; 26</t>
  </si>
  <si>
    <t>7A, 11, 25 &amp; 29</t>
  </si>
  <si>
    <t>10, 31, 35 &amp; 43</t>
  </si>
  <si>
    <t>Present Base Rates</t>
  </si>
  <si>
    <t>Sch 95</t>
  </si>
  <si>
    <t>Sch 95A</t>
  </si>
  <si>
    <t>Sch 120</t>
  </si>
  <si>
    <t>Sch 129</t>
  </si>
  <si>
    <t>Sch 132</t>
  </si>
  <si>
    <t>Sch 137</t>
  </si>
  <si>
    <t>Sch 140</t>
  </si>
  <si>
    <t>Sch 141</t>
  </si>
  <si>
    <t>Sch 194</t>
  </si>
  <si>
    <t>Current Residential Bill</t>
  </si>
  <si>
    <t>Proposed Residential Bill</t>
  </si>
  <si>
    <t xml:space="preserve">Typical Residential 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</si>
  <si>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</si>
  <si>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</si>
  <si>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</si>
  <si>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</si>
  <si>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</si>
  <si>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</si>
  <si>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Forecast kWh</t>
  </si>
  <si>
    <t>Forecast Customer Count</t>
  </si>
  <si>
    <t>Average Use per Customer</t>
  </si>
  <si>
    <t>Average</t>
  </si>
  <si>
    <t>Remove:  Schedule 132</t>
  </si>
  <si>
    <t>Add:  Schedule 132</t>
  </si>
  <si>
    <t>k = j</t>
  </si>
  <si>
    <t>l =
 k / ∑(k)</t>
  </si>
  <si>
    <t>m</t>
  </si>
  <si>
    <t>n = l * m</t>
  </si>
  <si>
    <t>o</t>
  </si>
  <si>
    <t>p = n / o</t>
  </si>
  <si>
    <t>2018 Electric Merger Credit</t>
  </si>
  <si>
    <t>2018 Electric Merger Credit Calculation</t>
  </si>
  <si>
    <t>Delivered kWh Jan 1, 2018
to Dec 31, 2018
(F2017)</t>
  </si>
  <si>
    <t>Tariff</t>
  </si>
  <si>
    <t>Estimated Annual Proforma Base Revenue</t>
  </si>
  <si>
    <t>Schedule 95
PCORC</t>
  </si>
  <si>
    <t>Schedule 120
Conservation</t>
  </si>
  <si>
    <t>Schedule 129
Low Income</t>
  </si>
  <si>
    <t>Schedule 137
RECS</t>
  </si>
  <si>
    <t>Schedule 140
Property Tax</t>
  </si>
  <si>
    <t>Schedule 141
ERF</t>
  </si>
  <si>
    <t>Schedule 142
Decoupling</t>
  </si>
  <si>
    <t>Schedule 194
BPA Res &amp; Farm Credit</t>
  </si>
  <si>
    <t>7A (Note 1)</t>
  </si>
  <si>
    <t>26 &amp; 26P</t>
  </si>
  <si>
    <t>449-459</t>
  </si>
  <si>
    <t>All Sales</t>
  </si>
  <si>
    <t>Schedule 95a
Fed Inc Credit</t>
  </si>
  <si>
    <t>Subtotal
Non-PCA Revenue</t>
  </si>
  <si>
    <t>j =
d + e + f +
g + h + i</t>
  </si>
  <si>
    <t>Sec Volt Gen Service &gt; 350 kW</t>
  </si>
  <si>
    <t>Sec Volt Gen Service &lt; 50 kW</t>
  </si>
  <si>
    <t>Sec Volt Gen Service &gt; 50 kW &amp; &lt; 350 kW &amp; Irr</t>
  </si>
  <si>
    <t>8/24</t>
  </si>
  <si>
    <t>7A/11/25/29</t>
  </si>
  <si>
    <t>12/26</t>
  </si>
  <si>
    <t>10/31/35/43</t>
  </si>
  <si>
    <t>46/49</t>
  </si>
  <si>
    <t>Sch 132
Current
Rate
Effective
01-01-2018</t>
  </si>
  <si>
    <t>Sch 132
Proposed
Rate
Effective
01-01-2019</t>
  </si>
  <si>
    <t>Annual kWh Delivered Sales (Normalized)
YE Dec 2019</t>
  </si>
  <si>
    <t>Estimated Net Annual Proforma Base Revenue (Excluding Sch 132)
YE Dec 2019</t>
  </si>
  <si>
    <t>January 1, 2019 Rate Impacts</t>
  </si>
  <si>
    <t>Test Year ended December 2019 (F2018)</t>
  </si>
  <si>
    <t>YTD through October</t>
  </si>
  <si>
    <t>Estimated Nov - Dec</t>
  </si>
  <si>
    <t>Total Estimated 12ME December 2018</t>
  </si>
  <si>
    <t>Revenue Requirement UE-171167 and UG-171168</t>
  </si>
  <si>
    <t>Estimated Amount to Still Pass-Through</t>
  </si>
  <si>
    <t>Sch 132
Current
Rate
Effective
01-01-2017</t>
  </si>
  <si>
    <t>Sch 132
Proposed
Rate
Effective
01-01-2018</t>
  </si>
  <si>
    <t>Annual kWh Delivered Sales (Normalized)
YE Dec 2018</t>
  </si>
  <si>
    <t>Estimated Net Annual Proforma Base Revenue (Excluding Sch 132)
YE Dec 2018</t>
  </si>
  <si>
    <t>ERF
YE
 June 2012</t>
  </si>
  <si>
    <t>Decoupling
YE
June 2012</t>
  </si>
  <si>
    <t>Decoupling Change Effective 2014</t>
  </si>
  <si>
    <t>Decoupling Change Effective 2015</t>
  </si>
  <si>
    <t>Decoupling Change Effective 2016</t>
  </si>
  <si>
    <t>Decoupling Change Effective 2017</t>
  </si>
  <si>
    <t>h</t>
  </si>
  <si>
    <t>i</t>
  </si>
  <si>
    <t>Delivered kWh Jan 1, 2019
to Dec 31, 2019
(F2018)</t>
  </si>
  <si>
    <t>2019 Electric Merger Credit</t>
  </si>
  <si>
    <t>Average Residential Usage YE December 2019</t>
  </si>
  <si>
    <t>Present Rates Effective 
12-31-18</t>
  </si>
  <si>
    <t>Proposed Rates Effective 
1-1-19</t>
  </si>
  <si>
    <t>2019 Electric Merger Credit Calculation</t>
  </si>
  <si>
    <t>Advice No. 2018-xx</t>
  </si>
  <si>
    <t>January 1, 2019 through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</si>
</sst>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0_);_(&quot;$&quot;* \(#,##0.000000\);_(&quot;$&quot;* &quot;-&quot;??_);_(@_)"/>
    <numFmt numFmtId="167" formatCode="0.000%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2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164" fontId="0" fillId="0" borderId="0" xfId="0" applyNumberFormat="1" applyFont="1"/>
    <xf numFmtId="164" fontId="0" fillId="0" borderId="0" xfId="0" applyNumberFormat="1"/>
    <xf numFmtId="10" fontId="0" fillId="0" borderId="0" xfId="0" applyNumberFormat="1"/>
    <xf numFmtId="164" fontId="1" fillId="0" borderId="0" xfId="0" applyNumberFormat="1" applyFont="1"/>
    <xf numFmtId="165" fontId="1" fillId="0" borderId="0" xfId="0" applyNumberFormat="1" applyFont="1"/>
    <xf numFmtId="41" fontId="0" fillId="0" borderId="0" xfId="0" applyNumberFormat="1"/>
    <xf numFmtId="0" fontId="0" fillId="0" borderId="0" xfId="0" quotePrefix="1" applyBorder="1" applyAlignment="1">
      <alignment horizontal="center" wrapText="1"/>
    </xf>
    <xf numFmtId="43" fontId="0" fillId="0" borderId="0" xfId="0" applyNumberFormat="1"/>
    <xf numFmtId="0" fontId="0" fillId="0" borderId="0" xfId="0" applyFill="1"/>
    <xf numFmtId="0" fontId="5" fillId="0" borderId="0" xfId="0" applyFont="1" applyFill="1"/>
    <xf numFmtId="166" fontId="1" fillId="0" borderId="0" xfId="0" applyNumberFormat="1" applyFont="1"/>
    <xf numFmtId="0" fontId="0" fillId="0" borderId="0" xfId="0" applyAlignment="1">
      <alignment horizontal="centerContinuous"/>
    </xf>
    <xf numFmtId="165" fontId="0" fillId="0" borderId="3" xfId="0" applyNumberFormat="1" applyBorder="1"/>
    <xf numFmtId="42" fontId="0" fillId="0" borderId="0" xfId="0" applyNumberFormat="1"/>
    <xf numFmtId="42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/>
    <xf numFmtId="10" fontId="1" fillId="0" borderId="0" xfId="0" applyNumberFormat="1" applyFont="1"/>
    <xf numFmtId="0" fontId="0" fillId="0" borderId="0" xfId="0" quotePrefix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167" fontId="0" fillId="0" borderId="0" xfId="0" applyNumberFormat="1" applyFont="1"/>
    <xf numFmtId="0" fontId="0" fillId="0" borderId="4" xfId="0" quotePrefix="1" applyFill="1" applyBorder="1" applyAlignment="1">
      <alignment horizontal="center" wrapText="1"/>
    </xf>
    <xf numFmtId="166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quotePrefix="1" applyBorder="1" applyAlignment="1">
      <alignment horizontal="center" wrapText="1"/>
    </xf>
    <xf numFmtId="0" fontId="0" fillId="0" borderId="10" xfId="0" quotePrefix="1" applyFill="1" applyBorder="1" applyAlignment="1">
      <alignment horizontal="center" wrapText="1"/>
    </xf>
    <xf numFmtId="0" fontId="0" fillId="0" borderId="10" xfId="0" applyBorder="1"/>
    <xf numFmtId="0" fontId="5" fillId="0" borderId="0" xfId="0" applyFont="1"/>
    <xf numFmtId="165" fontId="5" fillId="0" borderId="0" xfId="0" applyNumberFormat="1" applyFont="1"/>
    <xf numFmtId="10" fontId="5" fillId="0" borderId="0" xfId="0" applyNumberFormat="1" applyFont="1"/>
    <xf numFmtId="0" fontId="5" fillId="0" borderId="0" xfId="0" applyFont="1"/>
    <xf numFmtId="0" fontId="5" fillId="0" borderId="0" xfId="0" applyFont="1" applyFill="1"/>
    <xf numFmtId="164" fontId="0" fillId="0" borderId="0" xfId="0" applyNumberFormat="1" applyFont="1" applyFill="1"/>
    <xf numFmtId="165" fontId="0" fillId="0" borderId="0" xfId="0" applyNumberFormat="1" applyFont="1"/>
    <xf numFmtId="0" fontId="0" fillId="0" borderId="0" xfId="0" quotePrefix="1" applyAlignment="1">
      <alignment horizontal="center"/>
    </xf>
    <xf numFmtId="165" fontId="0" fillId="0" borderId="0" xfId="0" applyNumberFormat="1" applyFont="1" applyFill="1" applyBorder="1"/>
    <xf numFmtId="0" fontId="0" fillId="3" borderId="10" xfId="0" quotePrefix="1" applyFill="1" applyBorder="1" applyAlignment="1">
      <alignment horizontal="center" wrapText="1"/>
    </xf>
    <xf numFmtId="44" fontId="5" fillId="0" borderId="0" xfId="0" applyNumberFormat="1" applyFont="1" applyFill="1"/>
    <xf numFmtId="44" fontId="5" fillId="0" borderId="0" xfId="0" applyNumberFormat="1" applyFont="1"/>
    <xf numFmtId="44" fontId="5" fillId="3" borderId="0" xfId="0" applyNumberFormat="1" applyFont="1" applyFill="1"/>
    <xf numFmtId="44" fontId="5" fillId="0" borderId="3" xfId="0" applyNumberFormat="1" applyFont="1" applyBorder="1"/>
    <xf numFmtId="44" fontId="5" fillId="3" borderId="3" xfId="0" applyNumberFormat="1" applyFont="1" applyFill="1" applyBorder="1"/>
    <xf numFmtId="10" fontId="5" fillId="0" borderId="3" xfId="0" applyNumberFormat="1" applyFont="1" applyBorder="1"/>
    <xf numFmtId="44" fontId="0" fillId="0" borderId="0" xfId="0" applyNumberFormat="1" applyFont="1"/>
    <xf numFmtId="44" fontId="0" fillId="3" borderId="0" xfId="0" applyNumberFormat="1" applyFont="1" applyFill="1"/>
    <xf numFmtId="10" fontId="0" fillId="0" borderId="0" xfId="0" applyNumberFormat="1" applyFont="1"/>
    <xf numFmtId="43" fontId="0" fillId="0" borderId="0" xfId="0" applyNumberFormat="1" applyFont="1" applyFill="1"/>
    <xf numFmtId="43" fontId="0" fillId="3" borderId="0" xfId="0" applyNumberFormat="1" applyFont="1" applyFill="1"/>
    <xf numFmtId="0" fontId="0" fillId="0" borderId="10" xfId="0" quotePrefix="1" applyBorder="1" applyAlignment="1">
      <alignment horizontal="left"/>
    </xf>
    <xf numFmtId="0" fontId="0" fillId="3" borderId="2" xfId="0" quotePrefix="1" applyFill="1" applyBorder="1" applyAlignment="1">
      <alignment horizontal="center" wrapText="1"/>
    </xf>
    <xf numFmtId="0" fontId="0" fillId="3" borderId="9" xfId="0" quotePrefix="1" applyFill="1" applyBorder="1" applyAlignment="1">
      <alignment horizontal="center" wrapText="1"/>
    </xf>
    <xf numFmtId="0" fontId="0" fillId="0" borderId="5" xfId="0" quotePrefix="1" applyBorder="1" applyAlignment="1">
      <alignment horizontal="center" wrapText="1"/>
    </xf>
    <xf numFmtId="0" fontId="0" fillId="0" borderId="13" xfId="0" quotePrefix="1" applyBorder="1" applyAlignment="1">
      <alignment horizontal="center" wrapText="1"/>
    </xf>
    <xf numFmtId="166" fontId="5" fillId="3" borderId="5" xfId="0" applyNumberFormat="1" applyFont="1" applyFill="1" applyBorder="1"/>
    <xf numFmtId="166" fontId="5" fillId="3" borderId="13" xfId="0" applyNumberFormat="1" applyFont="1" applyFill="1" applyBorder="1"/>
    <xf numFmtId="166" fontId="5" fillId="3" borderId="12" xfId="0" applyNumberFormat="1" applyFont="1" applyFill="1" applyBorder="1"/>
    <xf numFmtId="166" fontId="5" fillId="3" borderId="14" xfId="0" applyNumberFormat="1" applyFont="1" applyFill="1" applyBorder="1"/>
    <xf numFmtId="0" fontId="0" fillId="3" borderId="6" xfId="0" applyFill="1" applyBorder="1"/>
    <xf numFmtId="0" fontId="0" fillId="3" borderId="8" xfId="0" applyFill="1" applyBorder="1"/>
    <xf numFmtId="166" fontId="5" fillId="3" borderId="8" xfId="0" quotePrefix="1" applyNumberFormat="1" applyFont="1" applyFill="1" applyBorder="1" applyAlignment="1"/>
    <xf numFmtId="166" fontId="5" fillId="3" borderId="12" xfId="0" quotePrefix="1" applyNumberFormat="1" applyFont="1" applyFill="1" applyBorder="1" applyAlignment="1"/>
    <xf numFmtId="166" fontId="5" fillId="3" borderId="14" xfId="0" quotePrefix="1" applyNumberFormat="1" applyFont="1" applyFill="1" applyBorder="1" applyAlignment="1"/>
    <xf numFmtId="166" fontId="0" fillId="3" borderId="6" xfId="0" applyNumberFormat="1" applyFill="1" applyBorder="1"/>
    <xf numFmtId="166" fontId="0" fillId="3" borderId="8" xfId="0" applyNumberFormat="1" applyFill="1" applyBorder="1"/>
    <xf numFmtId="166" fontId="0" fillId="3" borderId="7" xfId="0" applyNumberFormat="1" applyFill="1" applyBorder="1"/>
    <xf numFmtId="166" fontId="0" fillId="3" borderId="11" xfId="0" applyNumberFormat="1" applyFill="1" applyBorder="1"/>
    <xf numFmtId="165" fontId="0" fillId="3" borderId="0" xfId="0" applyNumberFormat="1" applyFont="1" applyFill="1"/>
    <xf numFmtId="166" fontId="5" fillId="2" borderId="8" xfId="0" quotePrefix="1" applyNumberFormat="1" applyFont="1" applyFill="1" applyBorder="1" applyAlignment="1"/>
    <xf numFmtId="0" fontId="0" fillId="0" borderId="0" xfId="0" quotePrefix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7" fontId="5" fillId="0" borderId="10" xfId="0" quotePrefix="1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quotePrefix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164" fontId="0" fillId="0" borderId="0" xfId="0" applyNumberFormat="1" applyFont="1" applyFill="1"/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4" fontId="0" fillId="0" borderId="1" xfId="0" applyNumberFormat="1" applyFont="1" applyFill="1" applyBorder="1"/>
    <xf numFmtId="0" fontId="5" fillId="0" borderId="0" xfId="0" quotePrefix="1" applyFont="1" applyFill="1" applyAlignment="1">
      <alignment horizontal="left" indent="1"/>
    </xf>
    <xf numFmtId="164" fontId="0" fillId="0" borderId="1" xfId="0" applyNumberFormat="1" applyFont="1" applyFill="1" applyBorder="1"/>
    <xf numFmtId="164" fontId="0" fillId="0" borderId="3" xfId="0" applyNumberFormat="1" applyFont="1" applyFill="1" applyBorder="1"/>
    <xf numFmtId="164" fontId="0" fillId="0" borderId="0" xfId="0" applyNumberFormat="1" applyFont="1" applyFill="1" applyBorder="1"/>
    <xf numFmtId="166" fontId="1" fillId="3" borderId="6" xfId="0" applyNumberFormat="1" applyFont="1" applyFill="1" applyBorder="1"/>
    <xf numFmtId="166" fontId="1" fillId="3" borderId="8" xfId="0" applyNumberFormat="1" applyFont="1" applyFill="1" applyBorder="1"/>
    <xf numFmtId="166" fontId="1" fillId="3" borderId="6" xfId="0" quotePrefix="1" applyNumberFormat="1" applyFont="1" applyFill="1" applyBorder="1" applyAlignment="1"/>
    <xf numFmtId="166" fontId="1" fillId="3" borderId="8" xfId="0" quotePrefix="1" applyNumberFormat="1" applyFont="1" applyFill="1" applyBorder="1" applyAlignment="1"/>
    <xf numFmtId="166" fontId="1" fillId="3" borderId="12" xfId="0" quotePrefix="1" applyNumberFormat="1" applyFont="1" applyFill="1" applyBorder="1" applyAlignment="1"/>
    <xf numFmtId="166" fontId="1" fillId="3" borderId="14" xfId="0" quotePrefix="1" applyNumberFormat="1" applyFont="1" applyFill="1" applyBorder="1" applyAlignment="1"/>
    <xf numFmtId="0" fontId="7" fillId="0" borderId="0" xfId="0" applyFont="1" applyFill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5" fontId="0" fillId="0" borderId="0" xfId="0" applyNumberFormat="1" applyFont="1" applyFill="1"/>
    <xf numFmtId="165" fontId="0" fillId="0" borderId="1" xfId="0" applyNumberFormat="1" applyFont="1" applyFill="1" applyBorder="1"/>
    <xf numFmtId="165" fontId="0" fillId="0" borderId="3" xfId="0" applyNumberFormat="1" applyFont="1" applyFill="1" applyBorder="1"/>
    <xf numFmtId="0" fontId="3" fillId="0" borderId="10" xfId="0" applyFont="1" applyBorder="1" applyAlignment="1">
      <alignment horizontal="center"/>
    </xf>
    <xf numFmtId="42" fontId="0" fillId="0" borderId="0" xfId="0" applyNumberFormat="1" applyFont="1"/>
    <xf numFmtId="164" fontId="0" fillId="0" borderId="15" xfId="0" applyNumberFormat="1" applyFont="1" applyBorder="1"/>
    <xf numFmtId="164" fontId="0" fillId="0" borderId="3" xfId="0" applyNumberFormat="1" applyFont="1" applyBorder="1"/>
    <xf numFmtId="10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3" borderId="0" xfId="0" quotePrefix="1" applyFill="1" applyAlignment="1">
      <alignment horizontal="center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indent="2"/>
    </xf>
    <xf numFmtId="0" fontId="0" fillId="2" borderId="0" xfId="0" quotePrefix="1" applyFill="1" applyAlignment="1">
      <alignment horizontal="left" indent="2"/>
    </xf>
    <xf numFmtId="0" fontId="0" fillId="0" borderId="0" xfId="0" quotePrefix="1" applyAlignment="1">
      <alignment horizontal="left" indent="1"/>
    </xf>
    <xf numFmtId="0" fontId="0" fillId="0" borderId="10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388620</xdr:colOff>
      <xdr:row>21</xdr:row>
      <xdr:rowOff>91440</xdr:rowOff>
    </xdr:from>
    <xdr:to>
      <xdr:col>7</xdr:col>
      <xdr:colOff>701040</xdr:colOff>
      <xdr:row>30</xdr:row>
      <xdr:rowOff>30480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3520440" y="4450080"/>
          <a:ext cx="4983480" cy="1447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Source:  </a:t>
          </a:r>
        </a:p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2018 Electric Merger</a:t>
          </a:r>
        </a:p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Credit Calculation </a:t>
          </a:r>
        </a:p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Effective 01-01-18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>
      <selection activeCell="A6" sqref="A6"/>
    </sheetView>
  </sheetViews>
  <sheetFormatPr defaultColWidth="9.140625" defaultRowHeight="27.75" x14ac:dyDescent="0.4"/>
  <cols>
    <col min="1" max="1" width="131" style="29" bestFit="1" customWidth="1"/>
    <col min="2" max="16384" width="9.140625" style="18"/>
  </cols>
  <sheetData>
    <row r="1" spans="1:1" x14ac:dyDescent="0.4">
      <c r="A1" s="29" t="s">
        <v>0</v>
      </c>
    </row>
    <row r="3" spans="1:1" x14ac:dyDescent="0.4">
      <c r="A3" s="30" t="s">
        <v>186</v>
      </c>
    </row>
    <row r="4" spans="1:1" x14ac:dyDescent="0.4">
      <c r="A4" s="29" t="s">
        <v>79</v>
      </c>
    </row>
    <row r="5" spans="1:1" x14ac:dyDescent="0.4">
      <c r="A5" s="30" t="s">
        <v>75</v>
      </c>
    </row>
    <row r="6" spans="1:1" x14ac:dyDescent="0.4">
      <c r="A6" s="30" t="s">
        <v>187</v>
      </c>
    </row>
    <row r="7" spans="1:1" x14ac:dyDescent="0.4">
      <c r="A7" s="30" t="s">
        <v>76</v>
      </c>
    </row>
    <row r="8" spans="1:1" x14ac:dyDescent="0.4">
      <c r="A8" s="29" t="s">
        <v>77</v>
      </c>
    </row>
    <row r="10" spans="1:1" x14ac:dyDescent="0.4">
      <c r="A10" s="30" t="s">
        <v>78</v>
      </c>
    </row>
    <row r="11" spans="1:1" x14ac:dyDescent="0.4">
      <c r="A11" s="30"/>
    </row>
    <row r="12" spans="1:1" x14ac:dyDescent="0.4">
      <c r="A12" s="30"/>
    </row>
    <row r="13" spans="1:1" x14ac:dyDescent="0.4">
      <c r="A13" s="30"/>
    </row>
    <row r="14" spans="1:1" x14ac:dyDescent="0.4">
      <c r="A14" s="30"/>
    </row>
    <row r="15" spans="1:1" x14ac:dyDescent="0.4">
      <c r="A15" s="30"/>
    </row>
  </sheetData>
  <printOptions horizontalCentered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21" sqref="J21"/>
    </sheetView>
  </sheetViews>
  <sheetFormatPr defaultRowHeight="12.75" x14ac:dyDescent="0.2"/>
  <cols>
    <col min="1" max="1" width="4.42578125" bestFit="1" customWidth="1"/>
    <col min="2" max="2" width="60.5703125" bestFit="1" customWidth="1"/>
    <col min="3" max="3" width="13.85546875" bestFit="1" customWidth="1"/>
    <col min="4" max="4" width="15" bestFit="1" customWidth="1"/>
    <col min="5" max="5" width="16.85546875" customWidth="1"/>
    <col min="6" max="6" width="11.5703125" bestFit="1" customWidth="1"/>
    <col min="7" max="7" width="14" customWidth="1"/>
    <col min="8" max="9" width="15" customWidth="1"/>
    <col min="10" max="10" width="11.28515625" bestFit="1" customWidth="1"/>
    <col min="11" max="11" width="10.28515625" bestFit="1" customWidth="1"/>
    <col min="13" max="13" width="13.5703125" bestFit="1" customWidth="1"/>
    <col min="14" max="14" width="16.5703125" bestFit="1" customWidth="1"/>
  </cols>
  <sheetData>
    <row r="1" spans="1:14" x14ac:dyDescent="0.2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4" x14ac:dyDescent="0.2">
      <c r="A2" s="118" t="s">
        <v>60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4" x14ac:dyDescent="0.2">
      <c r="A3" s="117" t="s">
        <v>30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4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4" x14ac:dyDescent="0.2">
      <c r="A5" s="2"/>
    </row>
    <row r="7" spans="1:14" s="4" customFormat="1" ht="76.5" x14ac:dyDescent="0.2">
      <c r="A7" s="5" t="s">
        <v>1</v>
      </c>
      <c r="B7" s="5" t="s">
        <v>2</v>
      </c>
      <c r="C7" s="5" t="s">
        <v>3</v>
      </c>
      <c r="D7" s="8" t="str">
        <f>+'2019 Est Proforma Net Revenue'!C7</f>
        <v>Annual kWh Delivered Sales (Normalized)
YE Dec 2019</v>
      </c>
      <c r="E7" s="8" t="str">
        <f>+'2019 Est Proforma Net Revenue'!D7</f>
        <v>Estimated Net Annual Proforma Base Revenue (Excluding Sch 132)
YE Dec 2019</v>
      </c>
      <c r="F7" s="8" t="s">
        <v>157</v>
      </c>
      <c r="G7" s="34" t="s">
        <v>158</v>
      </c>
      <c r="H7" s="5" t="s">
        <v>62</v>
      </c>
      <c r="I7" s="8" t="s">
        <v>63</v>
      </c>
      <c r="J7" s="8" t="s">
        <v>61</v>
      </c>
      <c r="K7" s="5" t="s">
        <v>59</v>
      </c>
    </row>
    <row r="8" spans="1:14" s="4" customFormat="1" x14ac:dyDescent="0.2">
      <c r="A8" s="6" t="s">
        <v>17</v>
      </c>
      <c r="B8" s="6" t="s">
        <v>18</v>
      </c>
      <c r="C8" s="6" t="s">
        <v>19</v>
      </c>
      <c r="D8" s="7" t="s">
        <v>20</v>
      </c>
      <c r="E8" s="6" t="s">
        <v>21</v>
      </c>
      <c r="F8" s="6" t="s">
        <v>26</v>
      </c>
      <c r="G8" s="31" t="s">
        <v>25</v>
      </c>
      <c r="H8" s="15" t="s">
        <v>67</v>
      </c>
      <c r="I8" s="15" t="s">
        <v>68</v>
      </c>
      <c r="J8" s="7" t="s">
        <v>69</v>
      </c>
      <c r="K8" s="4" t="s">
        <v>70</v>
      </c>
    </row>
    <row r="9" spans="1:14" s="4" customFormat="1" x14ac:dyDescent="0.2">
      <c r="A9" s="6"/>
      <c r="B9" s="6"/>
      <c r="C9" s="6"/>
      <c r="E9" s="6"/>
      <c r="F9" s="6"/>
      <c r="G9" s="31"/>
      <c r="H9" s="6"/>
      <c r="I9" s="6"/>
    </row>
    <row r="10" spans="1:14" x14ac:dyDescent="0.2">
      <c r="A10" s="1">
        <v>1</v>
      </c>
      <c r="B10" t="s">
        <v>8</v>
      </c>
      <c r="C10" s="1">
        <v>7</v>
      </c>
      <c r="D10" s="13">
        <f>+'2019 Est Proforma Net Revenue'!C9</f>
        <v>10808199000</v>
      </c>
      <c r="E10" s="12">
        <f>+'2019 Est Proforma Net Revenue'!D9</f>
        <v>1108302000</v>
      </c>
      <c r="F10" s="24">
        <f>+'2017 Merger Credit Impacts'!G10</f>
        <v>-3.4600000000000001E-4</v>
      </c>
      <c r="G10" s="35">
        <f>+'Rate Spread &amp; Design'!H10</f>
        <v>0</v>
      </c>
      <c r="H10" s="25">
        <f>ROUND(+F10*D10+E10,0)</f>
        <v>1104562363</v>
      </c>
      <c r="I10" s="25">
        <f>ROUND(+G10*D10+E10,0)</f>
        <v>1108302000</v>
      </c>
      <c r="J10" s="12">
        <f>+I10-H10</f>
        <v>3739637</v>
      </c>
      <c r="K10" s="27">
        <f>+J10/H10</f>
        <v>3.3856277610646779E-3</v>
      </c>
      <c r="M10" s="4"/>
      <c r="N10" s="4"/>
    </row>
    <row r="11" spans="1:14" x14ac:dyDescent="0.2">
      <c r="A11" s="1">
        <f t="shared" ref="A11:A21" si="0">+A10+1</f>
        <v>2</v>
      </c>
      <c r="B11" s="2" t="s">
        <v>9</v>
      </c>
      <c r="C11" s="1" t="s">
        <v>91</v>
      </c>
      <c r="D11" s="13">
        <f>SUM('2019 Est Proforma Net Revenue'!C13:C14)</f>
        <v>3088796000</v>
      </c>
      <c r="E11" s="12">
        <f>SUM('2019 Est Proforma Net Revenue'!D13:D14)</f>
        <v>320317000</v>
      </c>
      <c r="F11" s="24">
        <f>+'2017 Merger Credit Impacts'!G11</f>
        <v>-2.63E-4</v>
      </c>
      <c r="G11" s="35">
        <f>+'Rate Spread &amp; Design'!H11</f>
        <v>0</v>
      </c>
      <c r="H11" s="25">
        <f t="shared" ref="H11:H19" si="1">ROUND(+F11*D11+E11,0)</f>
        <v>319504647</v>
      </c>
      <c r="I11" s="25">
        <f t="shared" ref="I11:I19" si="2">ROUND(+G11*D11+E11,0)</f>
        <v>320317000</v>
      </c>
      <c r="J11" s="12">
        <f t="shared" ref="J11:J19" si="3">+I11-H11</f>
        <v>812353</v>
      </c>
      <c r="K11" s="27">
        <f t="shared" ref="K11:K19" si="4">+J11/H11</f>
        <v>2.5425389196295479E-3</v>
      </c>
      <c r="M11" s="4"/>
      <c r="N11" s="4"/>
    </row>
    <row r="12" spans="1:14" x14ac:dyDescent="0.2">
      <c r="A12" s="1">
        <f t="shared" si="0"/>
        <v>3</v>
      </c>
      <c r="B12" s="2" t="s">
        <v>11</v>
      </c>
      <c r="C12" s="50" t="s">
        <v>96</v>
      </c>
      <c r="D12" s="13">
        <f>SUM('2019 Est Proforma Net Revenue'!C10,'2019 Est Proforma Net Revenue'!C15:C16,'2019 Est Proforma Net Revenue'!C19)</f>
        <v>3267696000</v>
      </c>
      <c r="E12" s="12">
        <f>SUM('2019 Est Proforma Net Revenue'!D10,'2019 Est Proforma Net Revenue'!D15:D16,'2019 Est Proforma Net Revenue'!D19)</f>
        <v>316155000</v>
      </c>
      <c r="F12" s="24">
        <f>+'2017 Merger Credit Impacts'!G12</f>
        <v>-2.4499999999999999E-4</v>
      </c>
      <c r="G12" s="35">
        <f>+'Rate Spread &amp; Design'!H12</f>
        <v>0</v>
      </c>
      <c r="H12" s="25">
        <f t="shared" si="1"/>
        <v>315354414</v>
      </c>
      <c r="I12" s="25">
        <f t="shared" si="2"/>
        <v>316155000</v>
      </c>
      <c r="J12" s="12">
        <f t="shared" si="3"/>
        <v>800586</v>
      </c>
      <c r="K12" s="27">
        <f t="shared" si="4"/>
        <v>2.5386865204937324E-3</v>
      </c>
      <c r="M12" s="4"/>
      <c r="N12" s="4"/>
    </row>
    <row r="13" spans="1:14" x14ac:dyDescent="0.2">
      <c r="A13" s="1">
        <f t="shared" si="0"/>
        <v>4</v>
      </c>
      <c r="B13" s="2" t="s">
        <v>10</v>
      </c>
      <c r="C13" s="1" t="s">
        <v>95</v>
      </c>
      <c r="D13" s="13">
        <f>SUM('2019 Est Proforma Net Revenue'!C17:C18)</f>
        <v>1936207000</v>
      </c>
      <c r="E13" s="12">
        <f>SUM('2019 Est Proforma Net Revenue'!D17:D18)</f>
        <v>169765000</v>
      </c>
      <c r="F13" s="24">
        <f>+'2017 Merger Credit Impacts'!G13</f>
        <v>-2.02E-4</v>
      </c>
      <c r="G13" s="35">
        <f>+'Rate Spread &amp; Design'!H13</f>
        <v>0</v>
      </c>
      <c r="H13" s="25">
        <f t="shared" si="1"/>
        <v>169373886</v>
      </c>
      <c r="I13" s="25">
        <f t="shared" si="2"/>
        <v>169765000</v>
      </c>
      <c r="J13" s="12">
        <f t="shared" si="3"/>
        <v>391114</v>
      </c>
      <c r="K13" s="27">
        <f t="shared" si="4"/>
        <v>2.3091753353288477E-3</v>
      </c>
      <c r="M13" s="4"/>
      <c r="N13" s="4"/>
    </row>
    <row r="14" spans="1:14" x14ac:dyDescent="0.2">
      <c r="A14" s="1">
        <f t="shared" si="0"/>
        <v>5</v>
      </c>
      <c r="B14" s="3" t="s">
        <v>12</v>
      </c>
      <c r="C14" s="50" t="s">
        <v>97</v>
      </c>
      <c r="D14" s="13">
        <f>SUM('2019 Est Proforma Net Revenue'!C22:C25)</f>
        <v>1547912000</v>
      </c>
      <c r="E14" s="12">
        <f>SUM('2019 Est Proforma Net Revenue'!D22:D25)</f>
        <v>134222000</v>
      </c>
      <c r="F14" s="24">
        <f>+'2017 Merger Credit Impacts'!G14</f>
        <v>-2.3800000000000001E-4</v>
      </c>
      <c r="G14" s="35">
        <f>+'Rate Spread &amp; Design'!H14</f>
        <v>0</v>
      </c>
      <c r="H14" s="25">
        <f t="shared" si="1"/>
        <v>133853597</v>
      </c>
      <c r="I14" s="25">
        <f t="shared" si="2"/>
        <v>134222000</v>
      </c>
      <c r="J14" s="12">
        <f t="shared" si="3"/>
        <v>368403</v>
      </c>
      <c r="K14" s="27">
        <f t="shared" si="4"/>
        <v>2.7522831530631185E-3</v>
      </c>
      <c r="M14" s="4"/>
      <c r="N14" s="4"/>
    </row>
    <row r="15" spans="1:14" x14ac:dyDescent="0.2">
      <c r="A15" s="1">
        <f t="shared" si="0"/>
        <v>6</v>
      </c>
      <c r="B15" s="3" t="s">
        <v>13</v>
      </c>
      <c r="C15" s="1">
        <v>40</v>
      </c>
      <c r="D15" s="13">
        <f>+'2019 Est Proforma Net Revenue'!C28</f>
        <v>586557000</v>
      </c>
      <c r="E15" s="12">
        <f>+'2019 Est Proforma Net Revenue'!D28</f>
        <v>46400000</v>
      </c>
      <c r="F15" s="24">
        <f>+'2017 Merger Credit Impacts'!G15</f>
        <v>-1.3100000000000001E-4</v>
      </c>
      <c r="G15" s="35">
        <f>+'Rate Spread &amp; Design'!H15</f>
        <v>0</v>
      </c>
      <c r="H15" s="25">
        <f t="shared" si="1"/>
        <v>46323161</v>
      </c>
      <c r="I15" s="25">
        <f t="shared" si="2"/>
        <v>46400000</v>
      </c>
      <c r="J15" s="12">
        <f t="shared" si="3"/>
        <v>76839</v>
      </c>
      <c r="K15" s="27">
        <f t="shared" si="4"/>
        <v>1.6587598588101533E-3</v>
      </c>
      <c r="M15" s="4"/>
      <c r="N15" s="4"/>
    </row>
    <row r="16" spans="1:14" x14ac:dyDescent="0.2">
      <c r="A16" s="1">
        <f t="shared" si="0"/>
        <v>7</v>
      </c>
      <c r="B16" s="3" t="s">
        <v>14</v>
      </c>
      <c r="C16" s="1" t="s">
        <v>5</v>
      </c>
      <c r="D16" s="13">
        <f>+'2019 Est Proforma Net Revenue'!C32</f>
        <v>679620000</v>
      </c>
      <c r="E16" s="12">
        <f>+'2019 Est Proforma Net Revenue'!D32</f>
        <v>47789000</v>
      </c>
      <c r="F16" s="24">
        <f>+'2017 Merger Credit Impacts'!G16</f>
        <v>-1.1E-4</v>
      </c>
      <c r="G16" s="35">
        <f>+'Rate Spread &amp; Design'!H16</f>
        <v>0</v>
      </c>
      <c r="H16" s="25">
        <f t="shared" si="1"/>
        <v>47714242</v>
      </c>
      <c r="I16" s="25">
        <f t="shared" si="2"/>
        <v>47789000</v>
      </c>
      <c r="J16" s="12">
        <f t="shared" si="3"/>
        <v>74758</v>
      </c>
      <c r="K16" s="27">
        <f t="shared" si="4"/>
        <v>1.566785866576273E-3</v>
      </c>
      <c r="M16" s="4"/>
      <c r="N16" s="4"/>
    </row>
    <row r="17" spans="1:14" x14ac:dyDescent="0.2">
      <c r="A17" s="1">
        <f t="shared" si="0"/>
        <v>8</v>
      </c>
      <c r="B17" s="3" t="s">
        <v>15</v>
      </c>
      <c r="C17" s="1">
        <v>449</v>
      </c>
      <c r="D17" s="13">
        <f>+'2019 Est Proforma Net Revenue'!C36</f>
        <v>2028599000</v>
      </c>
      <c r="E17" s="12">
        <f>+'2019 Est Proforma Net Revenue'!D36</f>
        <v>9963000</v>
      </c>
      <c r="F17" s="24">
        <f>+'2017 Merger Credit Impacts'!G17</f>
        <v>-2.8E-5</v>
      </c>
      <c r="G17" s="35">
        <f>+'Rate Spread &amp; Design'!H17</f>
        <v>0</v>
      </c>
      <c r="H17" s="25">
        <f t="shared" si="1"/>
        <v>9906199</v>
      </c>
      <c r="I17" s="25">
        <f t="shared" si="2"/>
        <v>9963000</v>
      </c>
      <c r="J17" s="12">
        <f t="shared" si="3"/>
        <v>56801</v>
      </c>
      <c r="K17" s="27">
        <f t="shared" si="4"/>
        <v>5.7338844091462324E-3</v>
      </c>
      <c r="L17" s="16"/>
      <c r="M17" s="4"/>
      <c r="N17" s="4"/>
    </row>
    <row r="18" spans="1:14" x14ac:dyDescent="0.2">
      <c r="A18" s="1">
        <f t="shared" si="0"/>
        <v>9</v>
      </c>
      <c r="B18" t="s">
        <v>6</v>
      </c>
      <c r="C18" s="1" t="s">
        <v>16</v>
      </c>
      <c r="D18" s="13">
        <f>+'2019 Est Proforma Net Revenue'!C34</f>
        <v>71132000</v>
      </c>
      <c r="E18" s="12">
        <f>+'2019 Est Proforma Net Revenue'!D34</f>
        <v>16911000</v>
      </c>
      <c r="F18" s="24">
        <f>+'2017 Merger Credit Impacts'!G18</f>
        <v>-1.395E-3</v>
      </c>
      <c r="G18" s="35">
        <f>+'Rate Spread &amp; Design'!H18</f>
        <v>0</v>
      </c>
      <c r="H18" s="25">
        <f t="shared" si="1"/>
        <v>16811771</v>
      </c>
      <c r="I18" s="25">
        <f t="shared" si="2"/>
        <v>16911000</v>
      </c>
      <c r="J18" s="12">
        <f t="shared" si="3"/>
        <v>99229</v>
      </c>
      <c r="K18" s="27">
        <f t="shared" si="4"/>
        <v>5.9023525837938193E-3</v>
      </c>
      <c r="M18" s="4"/>
      <c r="N18" s="4"/>
    </row>
    <row r="19" spans="1:14" x14ac:dyDescent="0.2">
      <c r="A19" s="1">
        <f t="shared" si="0"/>
        <v>10</v>
      </c>
      <c r="B19" t="s">
        <v>7</v>
      </c>
      <c r="C19" s="1"/>
      <c r="D19" s="13">
        <f>+'2019 Est Proforma Net Revenue'!C40</f>
        <v>7036000</v>
      </c>
      <c r="E19" s="12">
        <f>+'2019 Est Proforma Net Revenue'!D40</f>
        <v>321000</v>
      </c>
      <c r="F19" s="24">
        <f>+'2017 Merger Credit Impacts'!G19</f>
        <v>0</v>
      </c>
      <c r="G19" s="35">
        <f>+'Rate Spread &amp; Design'!H19</f>
        <v>0</v>
      </c>
      <c r="H19" s="25">
        <f t="shared" si="1"/>
        <v>321000</v>
      </c>
      <c r="I19" s="25">
        <f t="shared" si="2"/>
        <v>321000</v>
      </c>
      <c r="J19" s="12">
        <f t="shared" si="3"/>
        <v>0</v>
      </c>
      <c r="K19" s="27">
        <f t="shared" si="4"/>
        <v>0</v>
      </c>
      <c r="M19" s="4"/>
      <c r="N19" s="4"/>
    </row>
    <row r="20" spans="1:14" x14ac:dyDescent="0.2">
      <c r="A20" s="1">
        <f t="shared" si="0"/>
        <v>11</v>
      </c>
      <c r="C20" s="1"/>
      <c r="D20" s="13"/>
      <c r="E20" s="12"/>
      <c r="F20" s="1"/>
      <c r="G20" s="36"/>
      <c r="H20" s="1"/>
      <c r="I20" s="1"/>
      <c r="K20" s="116"/>
      <c r="M20" s="4"/>
      <c r="N20" s="4"/>
    </row>
    <row r="21" spans="1:14" x14ac:dyDescent="0.2">
      <c r="A21" s="1">
        <f t="shared" si="0"/>
        <v>12</v>
      </c>
      <c r="B21" s="2" t="s">
        <v>4</v>
      </c>
      <c r="C21" s="1"/>
      <c r="D21" s="13">
        <f>SUM(D10:D19)</f>
        <v>24021754000</v>
      </c>
      <c r="E21" s="12">
        <f>SUM(E10:E19)</f>
        <v>2170145000</v>
      </c>
      <c r="F21" s="23"/>
      <c r="G21" s="37"/>
      <c r="H21" s="23">
        <f>SUM(H10:H19)</f>
        <v>2163725280</v>
      </c>
      <c r="I21" s="23">
        <f>SUM(I10:I19)</f>
        <v>2170145000</v>
      </c>
      <c r="J21" s="10">
        <f>SUM(J10:J19)</f>
        <v>6419720</v>
      </c>
      <c r="K21" s="27">
        <f>+J21/E21</f>
        <v>2.9581986457126136E-3</v>
      </c>
      <c r="M21" s="4"/>
      <c r="N21" s="4"/>
    </row>
    <row r="22" spans="1:14" x14ac:dyDescent="0.2">
      <c r="D22" s="14"/>
      <c r="G22" s="17"/>
      <c r="J22" s="14"/>
      <c r="M22" s="4"/>
      <c r="N22" s="4"/>
    </row>
    <row r="23" spans="1:14" x14ac:dyDescent="0.2">
      <c r="D23" s="26"/>
      <c r="G23" s="17"/>
      <c r="M23" s="4"/>
      <c r="N23" s="4"/>
    </row>
    <row r="24" spans="1:14" x14ac:dyDescent="0.2">
      <c r="E24" s="22"/>
      <c r="G24" s="17"/>
      <c r="M24" s="4"/>
      <c r="N24" s="4"/>
    </row>
    <row r="25" spans="1:14" x14ac:dyDescent="0.2">
      <c r="G25" s="17"/>
      <c r="M25" s="4"/>
      <c r="N25" s="4"/>
    </row>
    <row r="26" spans="1:14" x14ac:dyDescent="0.2">
      <c r="G26" s="17"/>
    </row>
  </sheetData>
  <mergeCells count="4">
    <mergeCell ref="A1:K1"/>
    <mergeCell ref="A2:K2"/>
    <mergeCell ref="A3:K3"/>
    <mergeCell ref="A4:K4"/>
  </mergeCells>
  <phoneticPr fontId="2" type="noConversion"/>
  <printOptions horizontalCentered="1"/>
  <pageMargins left="0" right="0" top="1" bottom="1" header="0.5" footer="0.5"/>
  <pageSetup scale="73" orientation="landscape" horizontalDpi="300" verticalDpi="300" r:id="rId1"/>
  <headerFooter alignWithMargins="0">
    <oddFooter>&amp;L&amp;F
&amp;A&amp;CPage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2" sqref="A2:H2"/>
    </sheetView>
  </sheetViews>
  <sheetFormatPr defaultRowHeight="12.75" x14ac:dyDescent="0.2"/>
  <cols>
    <col min="1" max="1" width="5.28515625" customWidth="1"/>
    <col min="2" max="2" width="40" customWidth="1"/>
    <col min="3" max="3" width="13.85546875" bestFit="1" customWidth="1"/>
    <col min="4" max="4" width="9.28515625" bestFit="1" customWidth="1"/>
    <col min="5" max="6" width="12.140625" bestFit="1" customWidth="1"/>
    <col min="7" max="7" width="15.140625" bestFit="1" customWidth="1"/>
    <col min="8" max="8" width="11.5703125" bestFit="1" customWidth="1"/>
  </cols>
  <sheetData>
    <row r="1" spans="1:8" x14ac:dyDescent="0.2">
      <c r="A1" s="117" t="str">
        <f>+'Tariff Impacts'!A1</f>
        <v>Puget Sound Energy</v>
      </c>
      <c r="B1" s="117"/>
      <c r="C1" s="117"/>
      <c r="D1" s="117"/>
      <c r="E1" s="117"/>
      <c r="F1" s="117"/>
      <c r="G1" s="117"/>
      <c r="H1" s="117"/>
    </row>
    <row r="2" spans="1:8" x14ac:dyDescent="0.2">
      <c r="A2" s="118" t="s">
        <v>185</v>
      </c>
      <c r="B2" s="117"/>
      <c r="C2" s="117"/>
      <c r="D2" s="117"/>
      <c r="E2" s="117"/>
      <c r="F2" s="117"/>
      <c r="G2" s="117"/>
      <c r="H2" s="117"/>
    </row>
    <row r="3" spans="1:8" x14ac:dyDescent="0.2">
      <c r="A3" s="117" t="str">
        <f>+'Tariff Impacts'!A3</f>
        <v>Schedule 132</v>
      </c>
      <c r="B3" s="117"/>
      <c r="C3" s="117"/>
      <c r="D3" s="117"/>
      <c r="E3" s="117"/>
      <c r="F3" s="117"/>
      <c r="G3" s="117"/>
      <c r="H3" s="117"/>
    </row>
    <row r="4" spans="1:8" x14ac:dyDescent="0.2">
      <c r="A4" s="117"/>
      <c r="B4" s="117"/>
      <c r="C4" s="117"/>
      <c r="D4" s="117"/>
      <c r="E4" s="117"/>
      <c r="F4" s="117"/>
      <c r="G4" s="117"/>
      <c r="H4" s="117"/>
    </row>
    <row r="7" spans="1:8" ht="51" x14ac:dyDescent="0.2">
      <c r="A7" s="5" t="s">
        <v>1</v>
      </c>
      <c r="B7" s="5" t="s">
        <v>2</v>
      </c>
      <c r="C7" s="5" t="s">
        <v>3</v>
      </c>
      <c r="D7" s="8" t="s">
        <v>88</v>
      </c>
      <c r="E7" s="8" t="s">
        <v>181</v>
      </c>
      <c r="F7" s="5" t="s">
        <v>22</v>
      </c>
      <c r="G7" s="8" t="s">
        <v>180</v>
      </c>
      <c r="H7" s="8" t="s">
        <v>23</v>
      </c>
    </row>
    <row r="8" spans="1:8" ht="25.5" x14ac:dyDescent="0.2">
      <c r="A8" s="6" t="s">
        <v>17</v>
      </c>
      <c r="B8" s="6" t="s">
        <v>18</v>
      </c>
      <c r="C8" s="6" t="s">
        <v>19</v>
      </c>
      <c r="D8" s="15" t="s">
        <v>124</v>
      </c>
      <c r="E8" s="6" t="s">
        <v>125</v>
      </c>
      <c r="F8" s="15" t="s">
        <v>126</v>
      </c>
      <c r="G8" s="4" t="s">
        <v>127</v>
      </c>
      <c r="H8" s="7" t="s">
        <v>128</v>
      </c>
    </row>
    <row r="9" spans="1:8" x14ac:dyDescent="0.2">
      <c r="A9" s="6"/>
      <c r="B9" s="6"/>
      <c r="C9" s="6"/>
      <c r="E9" s="4"/>
      <c r="F9" s="4"/>
      <c r="G9" s="4"/>
      <c r="H9" s="4"/>
    </row>
    <row r="10" spans="1:8" x14ac:dyDescent="0.2">
      <c r="A10" s="32">
        <v>1</v>
      </c>
      <c r="B10" t="s">
        <v>8</v>
      </c>
      <c r="C10" s="32">
        <v>7</v>
      </c>
      <c r="D10" s="33">
        <f>+'2018 Merger Credit Calculation'!L10</f>
        <v>0.58999557192019736</v>
      </c>
      <c r="F10" s="9">
        <f>ROUND(+D10*$E$21,0)</f>
        <v>0</v>
      </c>
      <c r="G10" s="13">
        <f>+'Tariff Impacts'!D10</f>
        <v>10808199000</v>
      </c>
      <c r="H10" s="19">
        <f>ROUND(+F10/(G10),6)</f>
        <v>0</v>
      </c>
    </row>
    <row r="11" spans="1:8" x14ac:dyDescent="0.2">
      <c r="A11" s="32">
        <f>+A10+1</f>
        <v>2</v>
      </c>
      <c r="B11" s="28" t="s">
        <v>9</v>
      </c>
      <c r="C11" s="50" t="s">
        <v>91</v>
      </c>
      <c r="D11" s="33">
        <f>+'2018 Merger Credit Calculation'!L11</f>
        <v>0.12483689723740661</v>
      </c>
      <c r="F11" s="9">
        <f t="shared" ref="F11:F19" si="0">ROUND(+D11*$E$21,0)</f>
        <v>0</v>
      </c>
      <c r="G11" s="13">
        <f>+'Tariff Impacts'!D11</f>
        <v>3088796000</v>
      </c>
      <c r="H11" s="19">
        <f t="shared" ref="H11:H19" si="1">ROUND(+F11/(G11),6)</f>
        <v>0</v>
      </c>
    </row>
    <row r="12" spans="1:8" x14ac:dyDescent="0.2">
      <c r="A12" s="32">
        <f t="shared" ref="A12:A21" si="2">+A11+1</f>
        <v>3</v>
      </c>
      <c r="B12" s="28" t="s">
        <v>11</v>
      </c>
      <c r="C12" s="50" t="s">
        <v>96</v>
      </c>
      <c r="D12" s="33">
        <f>+'2018 Merger Credit Calculation'!L12</f>
        <v>0.11657899729262347</v>
      </c>
      <c r="F12" s="9">
        <f t="shared" si="0"/>
        <v>0</v>
      </c>
      <c r="G12" s="13">
        <f>+'Tariff Impacts'!D12</f>
        <v>3267696000</v>
      </c>
      <c r="H12" s="19">
        <f t="shared" si="1"/>
        <v>0</v>
      </c>
    </row>
    <row r="13" spans="1:8" x14ac:dyDescent="0.2">
      <c r="A13" s="32">
        <f t="shared" si="2"/>
        <v>4</v>
      </c>
      <c r="B13" s="28" t="s">
        <v>10</v>
      </c>
      <c r="C13" s="50" t="s">
        <v>95</v>
      </c>
      <c r="D13" s="33">
        <f>+'2018 Merger Credit Calculation'!L13</f>
        <v>6.1532251855339941E-2</v>
      </c>
      <c r="F13" s="9">
        <f t="shared" si="0"/>
        <v>0</v>
      </c>
      <c r="G13" s="13">
        <f>+'Tariff Impacts'!D13</f>
        <v>1936207000</v>
      </c>
      <c r="H13" s="19">
        <f t="shared" si="1"/>
        <v>0</v>
      </c>
    </row>
    <row r="14" spans="1:8" x14ac:dyDescent="0.2">
      <c r="A14" s="32">
        <f t="shared" si="2"/>
        <v>5</v>
      </c>
      <c r="B14" s="3" t="s">
        <v>12</v>
      </c>
      <c r="C14" s="50" t="s">
        <v>97</v>
      </c>
      <c r="D14" s="33">
        <f>+'2018 Merger Credit Calculation'!L14</f>
        <v>5.4768770516301239E-2</v>
      </c>
      <c r="F14" s="9">
        <f t="shared" si="0"/>
        <v>0</v>
      </c>
      <c r="G14" s="13">
        <f>+'Tariff Impacts'!D14</f>
        <v>1547912000</v>
      </c>
      <c r="H14" s="19">
        <f t="shared" si="1"/>
        <v>0</v>
      </c>
    </row>
    <row r="15" spans="1:8" x14ac:dyDescent="0.2">
      <c r="A15" s="32">
        <f t="shared" si="2"/>
        <v>6</v>
      </c>
      <c r="B15" s="3" t="s">
        <v>13</v>
      </c>
      <c r="C15" s="32">
        <v>40</v>
      </c>
      <c r="D15" s="33">
        <f>+'2018 Merger Credit Calculation'!L15</f>
        <v>1.4371221282722745E-2</v>
      </c>
      <c r="F15" s="9">
        <f t="shared" si="0"/>
        <v>0</v>
      </c>
      <c r="G15" s="13">
        <f>+'Tariff Impacts'!D15</f>
        <v>586557000</v>
      </c>
      <c r="H15" s="19">
        <f t="shared" si="1"/>
        <v>0</v>
      </c>
    </row>
    <row r="16" spans="1:8" x14ac:dyDescent="0.2">
      <c r="A16" s="32">
        <f t="shared" si="2"/>
        <v>7</v>
      </c>
      <c r="B16" s="3" t="s">
        <v>14</v>
      </c>
      <c r="C16" s="32" t="s">
        <v>5</v>
      </c>
      <c r="D16" s="33">
        <f>+'2018 Merger Credit Calculation'!L16</f>
        <v>1.1448158560517009E-2</v>
      </c>
      <c r="F16" s="9">
        <f t="shared" si="0"/>
        <v>0</v>
      </c>
      <c r="G16" s="13">
        <f>+'Tariff Impacts'!D16</f>
        <v>679620000</v>
      </c>
      <c r="H16" s="19">
        <f t="shared" si="1"/>
        <v>0</v>
      </c>
    </row>
    <row r="17" spans="1:8" x14ac:dyDescent="0.2">
      <c r="A17" s="32">
        <f t="shared" si="2"/>
        <v>8</v>
      </c>
      <c r="B17" s="3" t="s">
        <v>15</v>
      </c>
      <c r="C17" s="32">
        <v>449</v>
      </c>
      <c r="D17" s="33">
        <f>+'2018 Merger Credit Calculation'!L17</f>
        <v>9.3282094929163541E-3</v>
      </c>
      <c r="F17" s="9">
        <f t="shared" si="0"/>
        <v>0</v>
      </c>
      <c r="G17" s="13">
        <f>+'Tariff Impacts'!D17</f>
        <v>2028599000</v>
      </c>
      <c r="H17" s="19">
        <f t="shared" si="1"/>
        <v>0</v>
      </c>
    </row>
    <row r="18" spans="1:8" x14ac:dyDescent="0.2">
      <c r="A18" s="32">
        <f t="shared" si="2"/>
        <v>9</v>
      </c>
      <c r="B18" t="s">
        <v>6</v>
      </c>
      <c r="C18" s="32" t="s">
        <v>16</v>
      </c>
      <c r="D18" s="33">
        <f>+'2018 Merger Credit Calculation'!L18</f>
        <v>1.7139921841975193E-2</v>
      </c>
      <c r="F18" s="9">
        <f t="shared" si="0"/>
        <v>0</v>
      </c>
      <c r="G18" s="13">
        <f>+'Tariff Impacts'!D18</f>
        <v>71132000</v>
      </c>
      <c r="H18" s="19">
        <f t="shared" si="1"/>
        <v>0</v>
      </c>
    </row>
    <row r="19" spans="1:8" x14ac:dyDescent="0.2">
      <c r="A19" s="32">
        <f t="shared" si="2"/>
        <v>10</v>
      </c>
      <c r="B19" t="s">
        <v>7</v>
      </c>
      <c r="C19" s="32"/>
      <c r="D19" s="33">
        <f>+'2018 Merger Credit Calculation'!L19</f>
        <v>0</v>
      </c>
      <c r="F19" s="9">
        <f t="shared" si="0"/>
        <v>0</v>
      </c>
      <c r="G19" s="13">
        <f>+'Tariff Impacts'!D19</f>
        <v>7036000</v>
      </c>
      <c r="H19" s="19">
        <f t="shared" si="1"/>
        <v>0</v>
      </c>
    </row>
    <row r="20" spans="1:8" x14ac:dyDescent="0.2">
      <c r="A20" s="32">
        <f t="shared" si="2"/>
        <v>11</v>
      </c>
      <c r="C20" s="32"/>
      <c r="G20" s="13"/>
    </row>
    <row r="21" spans="1:8" x14ac:dyDescent="0.2">
      <c r="A21" s="32">
        <f t="shared" si="2"/>
        <v>12</v>
      </c>
      <c r="B21" s="28" t="s">
        <v>4</v>
      </c>
      <c r="C21" s="32"/>
      <c r="D21" s="33">
        <f>SUM(D10:D19)</f>
        <v>1</v>
      </c>
      <c r="E21" s="48">
        <v>0</v>
      </c>
      <c r="F21" s="10">
        <f>SUM(F10:F19)</f>
        <v>0</v>
      </c>
      <c r="G21" s="13">
        <f>SUM(G10:G19)</f>
        <v>24021754000</v>
      </c>
      <c r="H21" s="19">
        <f>ROUND(+F21/(G21),6)</f>
        <v>0</v>
      </c>
    </row>
    <row r="22" spans="1:8" x14ac:dyDescent="0.2">
      <c r="G22" s="14"/>
    </row>
    <row r="23" spans="1:8" x14ac:dyDescent="0.2">
      <c r="G23" s="26"/>
    </row>
    <row r="24" spans="1:8" x14ac:dyDescent="0.2">
      <c r="G24" s="26"/>
    </row>
    <row r="25" spans="1:8" x14ac:dyDescent="0.2">
      <c r="G25" s="26"/>
    </row>
    <row r="26" spans="1:8" x14ac:dyDescent="0.2">
      <c r="G26" s="26"/>
    </row>
  </sheetData>
  <mergeCells count="4">
    <mergeCell ref="A1:H1"/>
    <mergeCell ref="A2:H2"/>
    <mergeCell ref="A3:H3"/>
    <mergeCell ref="A4:H4"/>
  </mergeCells>
  <printOptions horizontalCentered="1"/>
  <pageMargins left="0" right="0" top="1" bottom="1" header="0.5" footer="0.5"/>
  <pageSetup orientation="landscape" r:id="rId1"/>
  <headerFooter alignWithMargins="0">
    <oddFooter>&amp;L&amp;F
&amp;A&amp;CPage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workbookViewId="0"/>
  </sheetViews>
  <sheetFormatPr defaultColWidth="8.7109375" defaultRowHeight="12.75" x14ac:dyDescent="0.2"/>
  <cols>
    <col min="1" max="1" width="16.28515625" style="43" customWidth="1"/>
    <col min="2" max="2" width="14.85546875" style="43" customWidth="1"/>
    <col min="3" max="3" width="11.42578125" style="43" bestFit="1" customWidth="1"/>
    <col min="4" max="4" width="12.7109375" style="43" customWidth="1"/>
    <col min="5" max="5" width="8.5703125" style="43" bestFit="1" customWidth="1"/>
    <col min="6" max="7" width="11.5703125" style="43" bestFit="1" customWidth="1"/>
    <col min="8" max="8" width="9.140625" style="43" bestFit="1" customWidth="1"/>
    <col min="9" max="9" width="7.7109375" style="43" bestFit="1" customWidth="1"/>
    <col min="10" max="11" width="7.85546875" style="43" bestFit="1" customWidth="1"/>
    <col min="12" max="13" width="8.5703125" style="43" bestFit="1" customWidth="1"/>
    <col min="14" max="14" width="10.42578125" style="43" bestFit="1" customWidth="1"/>
    <col min="15" max="16" width="8.5703125" style="43" bestFit="1" customWidth="1"/>
    <col min="17" max="17" width="10.42578125" style="43" customWidth="1"/>
    <col min="18" max="18" width="10.42578125" style="43" bestFit="1" customWidth="1"/>
    <col min="19" max="19" width="10.42578125" style="43" customWidth="1"/>
    <col min="20" max="16384" width="8.7109375" style="43"/>
  </cols>
  <sheetData>
    <row r="1" spans="1:19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x14ac:dyDescent="0.2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x14ac:dyDescent="0.2">
      <c r="A5"/>
      <c r="B5"/>
      <c r="C5" s="124" t="s">
        <v>32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/>
      <c r="P5"/>
      <c r="Q5"/>
      <c r="R5"/>
      <c r="S5"/>
    </row>
    <row r="6" spans="1:19" ht="38.25" x14ac:dyDescent="0.2">
      <c r="A6" s="39" t="s">
        <v>24</v>
      </c>
      <c r="B6" s="39" t="s">
        <v>29</v>
      </c>
      <c r="C6" s="40" t="s">
        <v>98</v>
      </c>
      <c r="D6" s="40" t="s">
        <v>99</v>
      </c>
      <c r="E6" s="40" t="s">
        <v>100</v>
      </c>
      <c r="F6" s="40" t="s">
        <v>101</v>
      </c>
      <c r="G6" s="40" t="s">
        <v>102</v>
      </c>
      <c r="H6" s="40" t="s">
        <v>103</v>
      </c>
      <c r="I6" s="40" t="s">
        <v>104</v>
      </c>
      <c r="J6" s="40" t="s">
        <v>105</v>
      </c>
      <c r="K6" s="40" t="s">
        <v>106</v>
      </c>
      <c r="L6" s="40" t="s">
        <v>90</v>
      </c>
      <c r="M6" s="40" t="s">
        <v>107</v>
      </c>
      <c r="N6" s="40" t="s">
        <v>108</v>
      </c>
      <c r="O6" s="52" t="s">
        <v>121</v>
      </c>
      <c r="P6" s="52" t="s">
        <v>122</v>
      </c>
      <c r="Q6" s="40" t="s">
        <v>33</v>
      </c>
      <c r="R6" s="40" t="s">
        <v>109</v>
      </c>
      <c r="S6" s="39" t="s">
        <v>34</v>
      </c>
    </row>
    <row r="7" spans="1:19" x14ac:dyDescent="0.2">
      <c r="A7" t="s">
        <v>35</v>
      </c>
      <c r="B7" s="44">
        <f>ROUND(+D67,0)</f>
        <v>1238</v>
      </c>
      <c r="C7" s="53">
        <f t="shared" ref="C7:C18" si="0">ROUND($F$31+IF($B7&gt;600,(600*$F$35+(($B7-600)*$F$42)),$B7*$F$35),2)</f>
        <v>127.71</v>
      </c>
      <c r="D7" s="53">
        <f t="shared" ref="D7:D18" si="1">ROUND($B7*$F$53,2)</f>
        <v>0</v>
      </c>
      <c r="E7" s="53">
        <f t="shared" ref="E7:E18" si="2">ROUND($B7*$F$54,2)</f>
        <v>-2.57</v>
      </c>
      <c r="F7" s="53">
        <f t="shared" ref="F7:F18" si="3">ROUND($B7*$F$55,2)</f>
        <v>6.02</v>
      </c>
      <c r="G7" s="53">
        <f t="shared" ref="G7:G18" si="4">ROUND($B7*$F$36,2)</f>
        <v>1.1100000000000001</v>
      </c>
      <c r="H7" s="53">
        <f t="shared" ref="H7:H18" si="5">ROUND($B7*$F$56,2)</f>
        <v>-0.43</v>
      </c>
      <c r="I7" s="53">
        <f t="shared" ref="I7:I18" si="6">ROUND($B7*$F$57,2)</f>
        <v>-0.04</v>
      </c>
      <c r="J7" s="53">
        <f t="shared" ref="J7:J18" si="7">ROUND($B7*$F$37,2)</f>
        <v>4.3</v>
      </c>
      <c r="K7" s="53">
        <f>ROUND($F$32+IF($B7&gt;600,(600*$F$38+(($B7-600)*$F$45)),$B7*$F$38),2)</f>
        <v>0</v>
      </c>
      <c r="L7" s="53">
        <f t="shared" ref="L7:L18" si="8">ROUND($B7*$F$39,2)</f>
        <v>-1.53</v>
      </c>
      <c r="M7" s="53">
        <f t="shared" ref="M7:M18" si="9">ROUND($B7*$F$49,2)</f>
        <v>-9.17</v>
      </c>
      <c r="N7" s="54">
        <f>SUM(C7:M7)</f>
        <v>125.40000000000002</v>
      </c>
      <c r="O7" s="55">
        <f>-H7</f>
        <v>0.43</v>
      </c>
      <c r="P7" s="55">
        <f>ROUND($B7*$G$56,2)</f>
        <v>0</v>
      </c>
      <c r="Q7" s="54">
        <f>SUM(O7:P7)</f>
        <v>0.43</v>
      </c>
      <c r="R7" s="54">
        <f>+N7+Q7</f>
        <v>125.83000000000003</v>
      </c>
      <c r="S7" s="45">
        <f>+Q7/N7</f>
        <v>3.4290271132376387E-3</v>
      </c>
    </row>
    <row r="8" spans="1:19" x14ac:dyDescent="0.2">
      <c r="A8" t="s">
        <v>36</v>
      </c>
      <c r="B8" s="44">
        <f t="shared" ref="B8:B18" si="10">ROUND(+D68,0)</f>
        <v>1031</v>
      </c>
      <c r="C8" s="53">
        <f t="shared" si="0"/>
        <v>105.71</v>
      </c>
      <c r="D8" s="53">
        <f t="shared" si="1"/>
        <v>0</v>
      </c>
      <c r="E8" s="53">
        <f t="shared" si="2"/>
        <v>-2.14</v>
      </c>
      <c r="F8" s="53">
        <f t="shared" si="3"/>
        <v>5.01</v>
      </c>
      <c r="G8" s="53">
        <f t="shared" si="4"/>
        <v>0.92</v>
      </c>
      <c r="H8" s="53">
        <f t="shared" si="5"/>
        <v>-0.36</v>
      </c>
      <c r="I8" s="53">
        <f t="shared" si="6"/>
        <v>-0.04</v>
      </c>
      <c r="J8" s="53">
        <f t="shared" si="7"/>
        <v>3.58</v>
      </c>
      <c r="K8" s="53">
        <f t="shared" ref="K8:K18" si="11">ROUND($F$32+IF($B8&gt;600,(600*$F$38+(($B8-600)*$F$45)),$B8*$F$38),2)</f>
        <v>0</v>
      </c>
      <c r="L8" s="53">
        <f t="shared" si="8"/>
        <v>-1.28</v>
      </c>
      <c r="M8" s="53">
        <f t="shared" si="9"/>
        <v>-7.64</v>
      </c>
      <c r="N8" s="54">
        <f t="shared" ref="N8:N18" si="12">SUM(C8:M8)</f>
        <v>103.75999999999999</v>
      </c>
      <c r="O8" s="55">
        <f t="shared" ref="O8:O18" si="13">-H8</f>
        <v>0.36</v>
      </c>
      <c r="P8" s="55">
        <f t="shared" ref="P8:P18" si="14">ROUND($B8*$G$56,2)</f>
        <v>0</v>
      </c>
      <c r="Q8" s="54">
        <f t="shared" ref="Q8:Q18" si="15">SUM(O8:P8)</f>
        <v>0.36</v>
      </c>
      <c r="R8" s="54">
        <f t="shared" ref="R8:R18" si="16">+N8+Q8</f>
        <v>104.11999999999999</v>
      </c>
      <c r="S8" s="45">
        <f t="shared" ref="S8:S18" si="17">+Q8/N8</f>
        <v>3.4695451040863533E-3</v>
      </c>
    </row>
    <row r="9" spans="1:19" x14ac:dyDescent="0.2">
      <c r="A9" t="s">
        <v>37</v>
      </c>
      <c r="B9" s="44">
        <f t="shared" si="10"/>
        <v>1026</v>
      </c>
      <c r="C9" s="53">
        <f t="shared" si="0"/>
        <v>105.17</v>
      </c>
      <c r="D9" s="53">
        <f t="shared" si="1"/>
        <v>0</v>
      </c>
      <c r="E9" s="53">
        <f t="shared" si="2"/>
        <v>-2.13</v>
      </c>
      <c r="F9" s="53">
        <f t="shared" si="3"/>
        <v>4.99</v>
      </c>
      <c r="G9" s="53">
        <f t="shared" si="4"/>
        <v>0.92</v>
      </c>
      <c r="H9" s="53">
        <f t="shared" si="5"/>
        <v>-0.35</v>
      </c>
      <c r="I9" s="53">
        <f t="shared" si="6"/>
        <v>-0.04</v>
      </c>
      <c r="J9" s="53">
        <f t="shared" si="7"/>
        <v>3.56</v>
      </c>
      <c r="K9" s="53">
        <f t="shared" si="11"/>
        <v>0</v>
      </c>
      <c r="L9" s="53">
        <f t="shared" si="8"/>
        <v>-1.27</v>
      </c>
      <c r="M9" s="53">
        <f t="shared" si="9"/>
        <v>-7.6</v>
      </c>
      <c r="N9" s="54">
        <f t="shared" si="12"/>
        <v>103.25000000000001</v>
      </c>
      <c r="O9" s="55">
        <f t="shared" si="13"/>
        <v>0.35</v>
      </c>
      <c r="P9" s="55">
        <f t="shared" si="14"/>
        <v>0</v>
      </c>
      <c r="Q9" s="54">
        <f t="shared" si="15"/>
        <v>0.35</v>
      </c>
      <c r="R9" s="54">
        <f t="shared" si="16"/>
        <v>103.60000000000001</v>
      </c>
      <c r="S9" s="45">
        <f t="shared" si="17"/>
        <v>3.3898305084745757E-3</v>
      </c>
    </row>
    <row r="10" spans="1:19" x14ac:dyDescent="0.2">
      <c r="A10" t="s">
        <v>38</v>
      </c>
      <c r="B10" s="44">
        <f t="shared" si="10"/>
        <v>845</v>
      </c>
      <c r="C10" s="53">
        <f t="shared" si="0"/>
        <v>85.93</v>
      </c>
      <c r="D10" s="53">
        <f t="shared" si="1"/>
        <v>0</v>
      </c>
      <c r="E10" s="53">
        <f t="shared" si="2"/>
        <v>-1.75</v>
      </c>
      <c r="F10" s="53">
        <f t="shared" si="3"/>
        <v>4.1100000000000003</v>
      </c>
      <c r="G10" s="53">
        <f t="shared" si="4"/>
        <v>0.76</v>
      </c>
      <c r="H10" s="53">
        <f t="shared" si="5"/>
        <v>-0.28999999999999998</v>
      </c>
      <c r="I10" s="53">
        <f t="shared" si="6"/>
        <v>-0.03</v>
      </c>
      <c r="J10" s="53">
        <f t="shared" si="7"/>
        <v>2.93</v>
      </c>
      <c r="K10" s="53">
        <f t="shared" si="11"/>
        <v>0</v>
      </c>
      <c r="L10" s="53">
        <f t="shared" si="8"/>
        <v>-1.05</v>
      </c>
      <c r="M10" s="53">
        <f t="shared" si="9"/>
        <v>-6.26</v>
      </c>
      <c r="N10" s="54">
        <f t="shared" si="12"/>
        <v>84.350000000000009</v>
      </c>
      <c r="O10" s="55">
        <f t="shared" si="13"/>
        <v>0.28999999999999998</v>
      </c>
      <c r="P10" s="55">
        <f t="shared" si="14"/>
        <v>0</v>
      </c>
      <c r="Q10" s="54">
        <f t="shared" si="15"/>
        <v>0.28999999999999998</v>
      </c>
      <c r="R10" s="54">
        <f t="shared" si="16"/>
        <v>84.640000000000015</v>
      </c>
      <c r="S10" s="45">
        <f t="shared" si="17"/>
        <v>3.4380557202133961E-3</v>
      </c>
    </row>
    <row r="11" spans="1:19" x14ac:dyDescent="0.2">
      <c r="A11" t="s">
        <v>39</v>
      </c>
      <c r="B11" s="44">
        <f t="shared" si="10"/>
        <v>725</v>
      </c>
      <c r="C11" s="53">
        <f t="shared" si="0"/>
        <v>73.180000000000007</v>
      </c>
      <c r="D11" s="53">
        <f t="shared" si="1"/>
        <v>0</v>
      </c>
      <c r="E11" s="53">
        <f t="shared" si="2"/>
        <v>-1.5</v>
      </c>
      <c r="F11" s="53">
        <f t="shared" si="3"/>
        <v>3.52</v>
      </c>
      <c r="G11" s="53">
        <f t="shared" si="4"/>
        <v>0.65</v>
      </c>
      <c r="H11" s="53">
        <f t="shared" si="5"/>
        <v>-0.25</v>
      </c>
      <c r="I11" s="53">
        <f t="shared" si="6"/>
        <v>-0.03</v>
      </c>
      <c r="J11" s="53">
        <f t="shared" si="7"/>
        <v>2.52</v>
      </c>
      <c r="K11" s="53">
        <f t="shared" si="11"/>
        <v>0</v>
      </c>
      <c r="L11" s="53">
        <f t="shared" si="8"/>
        <v>-0.9</v>
      </c>
      <c r="M11" s="53">
        <f t="shared" si="9"/>
        <v>-5.37</v>
      </c>
      <c r="N11" s="54">
        <f t="shared" si="12"/>
        <v>71.819999999999993</v>
      </c>
      <c r="O11" s="55">
        <f t="shared" si="13"/>
        <v>0.25</v>
      </c>
      <c r="P11" s="55">
        <f t="shared" si="14"/>
        <v>0</v>
      </c>
      <c r="Q11" s="54">
        <f t="shared" si="15"/>
        <v>0.25</v>
      </c>
      <c r="R11" s="54">
        <f t="shared" si="16"/>
        <v>72.069999999999993</v>
      </c>
      <c r="S11" s="45">
        <f t="shared" si="17"/>
        <v>3.4809245335561127E-3</v>
      </c>
    </row>
    <row r="12" spans="1:19" x14ac:dyDescent="0.2">
      <c r="A12" t="s">
        <v>40</v>
      </c>
      <c r="B12" s="44">
        <f t="shared" si="10"/>
        <v>666</v>
      </c>
      <c r="C12" s="53">
        <f t="shared" si="0"/>
        <v>66.91</v>
      </c>
      <c r="D12" s="53">
        <f t="shared" si="1"/>
        <v>0</v>
      </c>
      <c r="E12" s="53">
        <f t="shared" si="2"/>
        <v>-1.38</v>
      </c>
      <c r="F12" s="53">
        <f t="shared" si="3"/>
        <v>3.24</v>
      </c>
      <c r="G12" s="53">
        <f t="shared" si="4"/>
        <v>0.6</v>
      </c>
      <c r="H12" s="53">
        <f t="shared" si="5"/>
        <v>-0.23</v>
      </c>
      <c r="I12" s="53">
        <f t="shared" si="6"/>
        <v>-0.02</v>
      </c>
      <c r="J12" s="53">
        <f t="shared" si="7"/>
        <v>2.31</v>
      </c>
      <c r="K12" s="53">
        <f t="shared" si="11"/>
        <v>0</v>
      </c>
      <c r="L12" s="53">
        <f t="shared" si="8"/>
        <v>-0.82</v>
      </c>
      <c r="M12" s="53">
        <f t="shared" si="9"/>
        <v>-4.93</v>
      </c>
      <c r="N12" s="54">
        <f t="shared" si="12"/>
        <v>65.680000000000007</v>
      </c>
      <c r="O12" s="55">
        <f t="shared" si="13"/>
        <v>0.23</v>
      </c>
      <c r="P12" s="55">
        <f t="shared" si="14"/>
        <v>0</v>
      </c>
      <c r="Q12" s="54">
        <f t="shared" si="15"/>
        <v>0.23</v>
      </c>
      <c r="R12" s="54">
        <f t="shared" si="16"/>
        <v>65.910000000000011</v>
      </c>
      <c r="S12" s="45">
        <f t="shared" si="17"/>
        <v>3.5018270401948842E-3</v>
      </c>
    </row>
    <row r="13" spans="1:19" x14ac:dyDescent="0.2">
      <c r="A13" t="s">
        <v>41</v>
      </c>
      <c r="B13" s="44">
        <f t="shared" si="10"/>
        <v>667</v>
      </c>
      <c r="C13" s="53">
        <f t="shared" si="0"/>
        <v>67.010000000000005</v>
      </c>
      <c r="D13" s="53">
        <f t="shared" si="1"/>
        <v>0</v>
      </c>
      <c r="E13" s="53">
        <f t="shared" si="2"/>
        <v>-1.38</v>
      </c>
      <c r="F13" s="53">
        <f t="shared" si="3"/>
        <v>3.24</v>
      </c>
      <c r="G13" s="53">
        <f t="shared" si="4"/>
        <v>0.6</v>
      </c>
      <c r="H13" s="53">
        <f t="shared" si="5"/>
        <v>-0.23</v>
      </c>
      <c r="I13" s="53">
        <f t="shared" si="6"/>
        <v>-0.02</v>
      </c>
      <c r="J13" s="53">
        <f t="shared" si="7"/>
        <v>2.3199999999999998</v>
      </c>
      <c r="K13" s="53">
        <f t="shared" si="11"/>
        <v>0</v>
      </c>
      <c r="L13" s="53">
        <f t="shared" si="8"/>
        <v>-0.83</v>
      </c>
      <c r="M13" s="53">
        <f t="shared" si="9"/>
        <v>-4.9400000000000004</v>
      </c>
      <c r="N13" s="54">
        <f t="shared" si="12"/>
        <v>65.77</v>
      </c>
      <c r="O13" s="55">
        <f t="shared" si="13"/>
        <v>0.23</v>
      </c>
      <c r="P13" s="55">
        <f t="shared" si="14"/>
        <v>0</v>
      </c>
      <c r="Q13" s="54">
        <f t="shared" si="15"/>
        <v>0.23</v>
      </c>
      <c r="R13" s="54">
        <f t="shared" si="16"/>
        <v>66</v>
      </c>
      <c r="S13" s="45">
        <f t="shared" si="17"/>
        <v>3.4970351223962298E-3</v>
      </c>
    </row>
    <row r="14" spans="1:19" x14ac:dyDescent="0.2">
      <c r="A14" t="s">
        <v>42</v>
      </c>
      <c r="B14" s="44">
        <f t="shared" si="10"/>
        <v>650</v>
      </c>
      <c r="C14" s="53">
        <f t="shared" si="0"/>
        <v>65.209999999999994</v>
      </c>
      <c r="D14" s="53">
        <f t="shared" si="1"/>
        <v>0</v>
      </c>
      <c r="E14" s="53">
        <f t="shared" si="2"/>
        <v>-1.35</v>
      </c>
      <c r="F14" s="53">
        <f t="shared" si="3"/>
        <v>3.16</v>
      </c>
      <c r="G14" s="53">
        <f t="shared" si="4"/>
        <v>0.57999999999999996</v>
      </c>
      <c r="H14" s="53">
        <f t="shared" si="5"/>
        <v>-0.22</v>
      </c>
      <c r="I14" s="53">
        <f t="shared" si="6"/>
        <v>-0.02</v>
      </c>
      <c r="J14" s="53">
        <f t="shared" si="7"/>
        <v>2.2599999999999998</v>
      </c>
      <c r="K14" s="53">
        <f t="shared" si="11"/>
        <v>0</v>
      </c>
      <c r="L14" s="53">
        <f t="shared" si="8"/>
        <v>-0.8</v>
      </c>
      <c r="M14" s="53">
        <f t="shared" si="9"/>
        <v>-4.8099999999999996</v>
      </c>
      <c r="N14" s="54">
        <f t="shared" si="12"/>
        <v>64.010000000000005</v>
      </c>
      <c r="O14" s="55">
        <f t="shared" si="13"/>
        <v>0.22</v>
      </c>
      <c r="P14" s="55">
        <f t="shared" si="14"/>
        <v>0</v>
      </c>
      <c r="Q14" s="54">
        <f t="shared" si="15"/>
        <v>0.22</v>
      </c>
      <c r="R14" s="54">
        <f t="shared" si="16"/>
        <v>64.23</v>
      </c>
      <c r="S14" s="45">
        <f t="shared" si="17"/>
        <v>3.4369629745352286E-3</v>
      </c>
    </row>
    <row r="15" spans="1:19" x14ac:dyDescent="0.2">
      <c r="A15" t="s">
        <v>43</v>
      </c>
      <c r="B15" s="44">
        <f t="shared" si="10"/>
        <v>652</v>
      </c>
      <c r="C15" s="53">
        <f t="shared" si="0"/>
        <v>65.42</v>
      </c>
      <c r="D15" s="53">
        <f t="shared" si="1"/>
        <v>0</v>
      </c>
      <c r="E15" s="53">
        <f t="shared" si="2"/>
        <v>-1.35</v>
      </c>
      <c r="F15" s="53">
        <f t="shared" si="3"/>
        <v>3.17</v>
      </c>
      <c r="G15" s="53">
        <f t="shared" si="4"/>
        <v>0.57999999999999996</v>
      </c>
      <c r="H15" s="53">
        <f t="shared" si="5"/>
        <v>-0.23</v>
      </c>
      <c r="I15" s="53">
        <f t="shared" si="6"/>
        <v>-0.02</v>
      </c>
      <c r="J15" s="53">
        <f t="shared" si="7"/>
        <v>2.2599999999999998</v>
      </c>
      <c r="K15" s="53">
        <f t="shared" si="11"/>
        <v>0</v>
      </c>
      <c r="L15" s="53">
        <f t="shared" si="8"/>
        <v>-0.81</v>
      </c>
      <c r="M15" s="53">
        <f t="shared" si="9"/>
        <v>-4.83</v>
      </c>
      <c r="N15" s="54">
        <f t="shared" si="12"/>
        <v>64.190000000000012</v>
      </c>
      <c r="O15" s="55">
        <f t="shared" si="13"/>
        <v>0.23</v>
      </c>
      <c r="P15" s="55">
        <f t="shared" si="14"/>
        <v>0</v>
      </c>
      <c r="Q15" s="54">
        <f t="shared" si="15"/>
        <v>0.23</v>
      </c>
      <c r="R15" s="54">
        <f t="shared" si="16"/>
        <v>64.420000000000016</v>
      </c>
      <c r="S15" s="45">
        <f t="shared" si="17"/>
        <v>3.5831126343667235E-3</v>
      </c>
    </row>
    <row r="16" spans="1:19" x14ac:dyDescent="0.2">
      <c r="A16" t="s">
        <v>44</v>
      </c>
      <c r="B16" s="44">
        <f t="shared" si="10"/>
        <v>812</v>
      </c>
      <c r="C16" s="53">
        <f t="shared" si="0"/>
        <v>82.43</v>
      </c>
      <c r="D16" s="53">
        <f t="shared" si="1"/>
        <v>0</v>
      </c>
      <c r="E16" s="53">
        <f t="shared" si="2"/>
        <v>-1.68</v>
      </c>
      <c r="F16" s="53">
        <f t="shared" si="3"/>
        <v>3.95</v>
      </c>
      <c r="G16" s="53">
        <f t="shared" si="4"/>
        <v>0.73</v>
      </c>
      <c r="H16" s="53">
        <f t="shared" si="5"/>
        <v>-0.28000000000000003</v>
      </c>
      <c r="I16" s="53">
        <f t="shared" si="6"/>
        <v>-0.03</v>
      </c>
      <c r="J16" s="53">
        <f t="shared" si="7"/>
        <v>2.82</v>
      </c>
      <c r="K16" s="53">
        <f t="shared" si="11"/>
        <v>0</v>
      </c>
      <c r="L16" s="53">
        <f t="shared" si="8"/>
        <v>-1</v>
      </c>
      <c r="M16" s="53">
        <f t="shared" si="9"/>
        <v>-6.01</v>
      </c>
      <c r="N16" s="54">
        <f t="shared" si="12"/>
        <v>80.929999999999993</v>
      </c>
      <c r="O16" s="55">
        <f t="shared" si="13"/>
        <v>0.28000000000000003</v>
      </c>
      <c r="P16" s="55">
        <f t="shared" si="14"/>
        <v>0</v>
      </c>
      <c r="Q16" s="54">
        <f t="shared" si="15"/>
        <v>0.28000000000000003</v>
      </c>
      <c r="R16" s="54">
        <f t="shared" si="16"/>
        <v>81.209999999999994</v>
      </c>
      <c r="S16" s="45">
        <f t="shared" si="17"/>
        <v>3.4597800568392442E-3</v>
      </c>
    </row>
    <row r="17" spans="1:19" x14ac:dyDescent="0.2">
      <c r="A17" t="s">
        <v>45</v>
      </c>
      <c r="B17" s="44">
        <f t="shared" si="10"/>
        <v>1001</v>
      </c>
      <c r="C17" s="53">
        <f t="shared" si="0"/>
        <v>102.52</v>
      </c>
      <c r="D17" s="53">
        <f t="shared" si="1"/>
        <v>0</v>
      </c>
      <c r="E17" s="53">
        <f t="shared" si="2"/>
        <v>-2.0699999999999998</v>
      </c>
      <c r="F17" s="53">
        <f t="shared" si="3"/>
        <v>4.8600000000000003</v>
      </c>
      <c r="G17" s="53">
        <f t="shared" si="4"/>
        <v>0.9</v>
      </c>
      <c r="H17" s="53">
        <f t="shared" si="5"/>
        <v>-0.35</v>
      </c>
      <c r="I17" s="53">
        <f t="shared" si="6"/>
        <v>-0.04</v>
      </c>
      <c r="J17" s="53">
        <f t="shared" si="7"/>
        <v>3.48</v>
      </c>
      <c r="K17" s="53">
        <f t="shared" si="11"/>
        <v>0</v>
      </c>
      <c r="L17" s="53">
        <f t="shared" si="8"/>
        <v>-1.24</v>
      </c>
      <c r="M17" s="53">
        <f t="shared" si="9"/>
        <v>-7.41</v>
      </c>
      <c r="N17" s="54">
        <f t="shared" si="12"/>
        <v>100.65000000000002</v>
      </c>
      <c r="O17" s="55">
        <f t="shared" si="13"/>
        <v>0.35</v>
      </c>
      <c r="P17" s="55">
        <f t="shared" si="14"/>
        <v>0</v>
      </c>
      <c r="Q17" s="54">
        <f t="shared" si="15"/>
        <v>0.35</v>
      </c>
      <c r="R17" s="54">
        <f t="shared" si="16"/>
        <v>101.00000000000001</v>
      </c>
      <c r="S17" s="45">
        <f t="shared" si="17"/>
        <v>3.47739692001987E-3</v>
      </c>
    </row>
    <row r="18" spans="1:19" x14ac:dyDescent="0.2">
      <c r="A18" t="s">
        <v>46</v>
      </c>
      <c r="B18" s="44">
        <f t="shared" si="10"/>
        <v>1264</v>
      </c>
      <c r="C18" s="53">
        <f t="shared" si="0"/>
        <v>130.47</v>
      </c>
      <c r="D18" s="53">
        <f t="shared" si="1"/>
        <v>0</v>
      </c>
      <c r="E18" s="53">
        <f t="shared" si="2"/>
        <v>-2.62</v>
      </c>
      <c r="F18" s="53">
        <f t="shared" si="3"/>
        <v>6.14</v>
      </c>
      <c r="G18" s="53">
        <f t="shared" si="4"/>
        <v>1.1299999999999999</v>
      </c>
      <c r="H18" s="53">
        <f t="shared" si="5"/>
        <v>-0.44</v>
      </c>
      <c r="I18" s="53">
        <f t="shared" si="6"/>
        <v>-0.04</v>
      </c>
      <c r="J18" s="53">
        <f t="shared" si="7"/>
        <v>4.3899999999999997</v>
      </c>
      <c r="K18" s="53">
        <f t="shared" si="11"/>
        <v>0</v>
      </c>
      <c r="L18" s="53">
        <f t="shared" si="8"/>
        <v>-1.56</v>
      </c>
      <c r="M18" s="53">
        <f t="shared" si="9"/>
        <v>-9.36</v>
      </c>
      <c r="N18" s="54">
        <f t="shared" si="12"/>
        <v>128.10999999999996</v>
      </c>
      <c r="O18" s="55">
        <f t="shared" si="13"/>
        <v>0.44</v>
      </c>
      <c r="P18" s="55">
        <f t="shared" si="14"/>
        <v>0</v>
      </c>
      <c r="Q18" s="54">
        <f t="shared" si="15"/>
        <v>0.44</v>
      </c>
      <c r="R18" s="54">
        <f t="shared" si="16"/>
        <v>128.54999999999995</v>
      </c>
      <c r="S18" s="45">
        <f t="shared" si="17"/>
        <v>3.4345484349387256E-3</v>
      </c>
    </row>
    <row r="19" spans="1:19" x14ac:dyDescent="0.2">
      <c r="A19"/>
      <c r="B19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  <c r="P19" s="55"/>
      <c r="Q19" s="54"/>
      <c r="R19" s="54"/>
      <c r="S19" s="45"/>
    </row>
    <row r="20" spans="1:19" ht="13.5" thickBot="1" x14ac:dyDescent="0.25">
      <c r="A20" s="28" t="s">
        <v>47</v>
      </c>
      <c r="B20" s="21">
        <f>SUM(B7:B19)</f>
        <v>10577</v>
      </c>
      <c r="C20" s="56">
        <f>SUM(C7:C19)</f>
        <v>1077.67</v>
      </c>
      <c r="D20" s="56">
        <f t="shared" ref="D20:R20" si="18">SUM(D7:D19)</f>
        <v>0</v>
      </c>
      <c r="E20" s="56">
        <f t="shared" si="18"/>
        <v>-21.919999999999998</v>
      </c>
      <c r="F20" s="56">
        <f t="shared" si="18"/>
        <v>51.410000000000011</v>
      </c>
      <c r="G20" s="56">
        <f t="shared" si="18"/>
        <v>9.48</v>
      </c>
      <c r="H20" s="56">
        <f t="shared" si="18"/>
        <v>-3.66</v>
      </c>
      <c r="I20" s="56">
        <f t="shared" si="18"/>
        <v>-0.36999999999999988</v>
      </c>
      <c r="J20" s="56">
        <f t="shared" si="18"/>
        <v>36.729999999999997</v>
      </c>
      <c r="K20" s="56">
        <f t="shared" si="18"/>
        <v>0</v>
      </c>
      <c r="L20" s="56">
        <f t="shared" si="18"/>
        <v>-13.090000000000002</v>
      </c>
      <c r="M20" s="56">
        <f t="shared" si="18"/>
        <v>-78.329999999999984</v>
      </c>
      <c r="N20" s="56">
        <f t="shared" si="18"/>
        <v>1057.9199999999998</v>
      </c>
      <c r="O20" s="57">
        <f t="shared" si="18"/>
        <v>3.66</v>
      </c>
      <c r="P20" s="57">
        <f t="shared" si="18"/>
        <v>0</v>
      </c>
      <c r="Q20" s="56">
        <f t="shared" si="18"/>
        <v>3.66</v>
      </c>
      <c r="R20" s="56">
        <f t="shared" si="18"/>
        <v>1061.5800000000002</v>
      </c>
      <c r="S20" s="58">
        <f t="shared" ref="S20:S22" si="19">+Q20/N20</f>
        <v>3.4596188747731405E-3</v>
      </c>
    </row>
    <row r="21" spans="1:19" ht="13.5" thickTop="1" x14ac:dyDescent="0.2">
      <c r="A21" s="28"/>
      <c r="B21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60"/>
      <c r="Q21" s="59"/>
      <c r="R21" s="59"/>
      <c r="S21" s="61"/>
    </row>
    <row r="22" spans="1:19" ht="13.5" thickBot="1" x14ac:dyDescent="0.25">
      <c r="A22" s="3" t="s">
        <v>48</v>
      </c>
      <c r="B22" s="21">
        <f>ROUND(+B20/12,0)</f>
        <v>881</v>
      </c>
      <c r="C22" s="56">
        <f>+C20/12</f>
        <v>89.805833333333339</v>
      </c>
      <c r="D22" s="56">
        <f t="shared" ref="D22:R22" si="20">+D20/12</f>
        <v>0</v>
      </c>
      <c r="E22" s="56">
        <f t="shared" si="20"/>
        <v>-1.8266666666666664</v>
      </c>
      <c r="F22" s="56">
        <f t="shared" si="20"/>
        <v>4.2841666666666676</v>
      </c>
      <c r="G22" s="56">
        <f t="shared" si="20"/>
        <v>0.79</v>
      </c>
      <c r="H22" s="56">
        <f t="shared" si="20"/>
        <v>-0.30499999999999999</v>
      </c>
      <c r="I22" s="56">
        <f t="shared" si="20"/>
        <v>-3.0833333333333324E-2</v>
      </c>
      <c r="J22" s="56">
        <f t="shared" si="20"/>
        <v>3.0608333333333331</v>
      </c>
      <c r="K22" s="56">
        <f t="shared" si="20"/>
        <v>0</v>
      </c>
      <c r="L22" s="56">
        <f t="shared" si="20"/>
        <v>-1.0908333333333335</v>
      </c>
      <c r="M22" s="56">
        <f t="shared" si="20"/>
        <v>-6.527499999999999</v>
      </c>
      <c r="N22" s="56">
        <f t="shared" si="20"/>
        <v>88.159999999999982</v>
      </c>
      <c r="O22" s="57">
        <f t="shared" si="20"/>
        <v>0.30499999999999999</v>
      </c>
      <c r="P22" s="57">
        <f t="shared" si="20"/>
        <v>0</v>
      </c>
      <c r="Q22" s="56">
        <f t="shared" si="20"/>
        <v>0.30499999999999999</v>
      </c>
      <c r="R22" s="56">
        <f t="shared" si="20"/>
        <v>88.465000000000018</v>
      </c>
      <c r="S22" s="58">
        <f t="shared" si="19"/>
        <v>3.4596188747731405E-3</v>
      </c>
    </row>
    <row r="23" spans="1:19" ht="13.5" thickTop="1" x14ac:dyDescent="0.2">
      <c r="A23"/>
      <c r="B23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60"/>
      <c r="Q23" s="59"/>
      <c r="R23" s="59"/>
      <c r="S23"/>
    </row>
    <row r="24" spans="1:19" x14ac:dyDescent="0.2">
      <c r="A24" s="17" t="s">
        <v>80</v>
      </c>
      <c r="B24" s="17"/>
      <c r="C24" s="62">
        <f>+C20/$B$20*100</f>
        <v>10.18880589959346</v>
      </c>
      <c r="D24" s="62">
        <f t="shared" ref="D24:R24" si="21">+D20/$B$20*100</f>
        <v>0</v>
      </c>
      <c r="E24" s="62">
        <f t="shared" si="21"/>
        <v>-0.20724212914815165</v>
      </c>
      <c r="F24" s="62">
        <f t="shared" si="21"/>
        <v>0.48605464687529554</v>
      </c>
      <c r="G24" s="62">
        <f t="shared" si="21"/>
        <v>8.9628439065897708E-2</v>
      </c>
      <c r="H24" s="62">
        <f t="shared" si="21"/>
        <v>-3.4603384702656712E-2</v>
      </c>
      <c r="I24" s="62">
        <f t="shared" si="21"/>
        <v>-3.4981563770445294E-3</v>
      </c>
      <c r="J24" s="62">
        <f t="shared" si="21"/>
        <v>0.34726292899687999</v>
      </c>
      <c r="K24" s="62">
        <f t="shared" si="21"/>
        <v>0</v>
      </c>
      <c r="L24" s="62">
        <f t="shared" si="21"/>
        <v>-0.12375909993381869</v>
      </c>
      <c r="M24" s="62">
        <f t="shared" si="21"/>
        <v>-0.74056915949702173</v>
      </c>
      <c r="N24" s="62">
        <f t="shared" si="21"/>
        <v>10.002079984872836</v>
      </c>
      <c r="O24" s="63">
        <f t="shared" si="21"/>
        <v>3.4603384702656712E-2</v>
      </c>
      <c r="P24" s="63">
        <f t="shared" si="21"/>
        <v>0</v>
      </c>
      <c r="Q24" s="62">
        <f t="shared" si="21"/>
        <v>3.4603384702656712E-2</v>
      </c>
      <c r="R24" s="62">
        <f t="shared" si="21"/>
        <v>10.036683369575496</v>
      </c>
      <c r="S24"/>
    </row>
    <row r="25" spans="1:19" x14ac:dyDescent="0.2">
      <c r="A25"/>
      <c r="B25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  <c r="P25" s="60"/>
      <c r="Q25" s="59"/>
      <c r="R25" s="59"/>
      <c r="S25"/>
    </row>
    <row r="26" spans="1:19" ht="13.5" thickBot="1" x14ac:dyDescent="0.25">
      <c r="A26" s="3" t="s">
        <v>110</v>
      </c>
      <c r="B26" s="21">
        <f>ROUND(B22,-2)</f>
        <v>900</v>
      </c>
      <c r="C26" s="56">
        <f>ROUND($F$31+IF($B26&gt;600,(600*$F$35+(($B26-600)*$F$42)),$B26*$F$35),2)</f>
        <v>91.78</v>
      </c>
      <c r="D26" s="56">
        <f>ROUND($B26*$F$53,2)</f>
        <v>0</v>
      </c>
      <c r="E26" s="56">
        <f>ROUND($B26*$F$54,2)</f>
        <v>-1.86</v>
      </c>
      <c r="F26" s="56">
        <f>ROUND($B26*$F$55,2)</f>
        <v>4.37</v>
      </c>
      <c r="G26" s="56">
        <f>ROUND($B26*$F$36,2)</f>
        <v>0.81</v>
      </c>
      <c r="H26" s="56">
        <f>ROUND($B26*$F$56,2)</f>
        <v>-0.31</v>
      </c>
      <c r="I26" s="56">
        <f>ROUND($B26*$F$57,2)</f>
        <v>-0.03</v>
      </c>
      <c r="J26" s="56">
        <f>ROUND($B26*$F$37,2)</f>
        <v>3.12</v>
      </c>
      <c r="K26" s="56">
        <f>ROUND($F$32+IF($B26&gt;600,(600*$F$38+(($B26-600)*$F$45)),$B26*$F$35),2)</f>
        <v>0</v>
      </c>
      <c r="L26" s="56">
        <f>ROUND($B26*$F$39,2)</f>
        <v>-1.1100000000000001</v>
      </c>
      <c r="M26" s="56">
        <f>ROUND($B26*$F$49,2)</f>
        <v>-6.67</v>
      </c>
      <c r="N26" s="56">
        <f>SUM(C26:M26)</f>
        <v>90.100000000000009</v>
      </c>
      <c r="O26" s="56">
        <f t="shared" ref="O26" si="22">-H26</f>
        <v>0.31</v>
      </c>
      <c r="P26" s="56">
        <f t="shared" ref="P26" si="23">ROUND($B26*$G$56,2)</f>
        <v>0</v>
      </c>
      <c r="Q26" s="56">
        <f>SUM(O26:P26)</f>
        <v>0.31</v>
      </c>
      <c r="R26" s="56">
        <f>+N26+Q26</f>
        <v>90.410000000000011</v>
      </c>
      <c r="S26" s="58">
        <f>+Q26/N26</f>
        <v>3.4406215316315201E-3</v>
      </c>
    </row>
    <row r="27" spans="1:19" ht="13.5" thickTop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51" x14ac:dyDescent="0.2">
      <c r="A29" s="64" t="s">
        <v>111</v>
      </c>
      <c r="B29" s="42"/>
      <c r="C29" s="42"/>
      <c r="D29" s="42"/>
      <c r="E29"/>
      <c r="F29" s="65" t="s">
        <v>183</v>
      </c>
      <c r="G29" s="66" t="s">
        <v>184</v>
      </c>
      <c r="H29" s="46"/>
      <c r="I29" s="46"/>
      <c r="J29" s="46"/>
      <c r="K29" s="46"/>
      <c r="L29" s="46"/>
      <c r="M29" s="46"/>
      <c r="N29"/>
      <c r="O29"/>
      <c r="P29"/>
      <c r="Q29"/>
      <c r="R29"/>
      <c r="S29"/>
    </row>
    <row r="30" spans="1:19" x14ac:dyDescent="0.2">
      <c r="A30" s="123" t="s">
        <v>49</v>
      </c>
      <c r="B30" s="123"/>
      <c r="C30" s="123"/>
      <c r="D30" s="123"/>
      <c r="E30"/>
      <c r="F30" s="67"/>
      <c r="G30" s="68"/>
      <c r="H30" s="46"/>
      <c r="I30" s="46"/>
      <c r="J30" s="46"/>
      <c r="K30" s="46"/>
      <c r="L30" s="46"/>
      <c r="M30" s="46"/>
      <c r="N30"/>
      <c r="O30"/>
      <c r="P30"/>
      <c r="Q30"/>
      <c r="R30"/>
      <c r="S30"/>
    </row>
    <row r="31" spans="1:19" x14ac:dyDescent="0.2">
      <c r="A31" s="121" t="s">
        <v>112</v>
      </c>
      <c r="B31" s="121"/>
      <c r="C31" s="121"/>
      <c r="D31" s="121"/>
      <c r="E31"/>
      <c r="F31" s="69">
        <v>7.49</v>
      </c>
      <c r="G31" s="70">
        <f>+F31</f>
        <v>7.49</v>
      </c>
      <c r="H31" s="46" t="s">
        <v>50</v>
      </c>
      <c r="I31" s="46"/>
      <c r="J31" s="46"/>
      <c r="K31" s="46"/>
      <c r="L31" s="46"/>
      <c r="M31" s="46"/>
      <c r="N31"/>
      <c r="O31"/>
      <c r="P31"/>
      <c r="Q31"/>
      <c r="R31"/>
      <c r="S31"/>
    </row>
    <row r="32" spans="1:19" x14ac:dyDescent="0.2">
      <c r="A32" s="121" t="s">
        <v>84</v>
      </c>
      <c r="B32" s="121"/>
      <c r="C32" s="121"/>
      <c r="D32" s="121"/>
      <c r="E32"/>
      <c r="F32" s="100">
        <v>0</v>
      </c>
      <c r="G32" s="101">
        <f>+F32</f>
        <v>0</v>
      </c>
      <c r="H32" s="46" t="s">
        <v>50</v>
      </c>
      <c r="I32" s="46"/>
      <c r="J32" s="46"/>
      <c r="K32" s="46"/>
      <c r="L32" s="46"/>
      <c r="M32" s="46"/>
      <c r="N32"/>
      <c r="O32"/>
      <c r="P32"/>
      <c r="Q32"/>
      <c r="R32"/>
      <c r="S32"/>
    </row>
    <row r="33" spans="1:19" ht="13.5" thickBot="1" x14ac:dyDescent="0.25">
      <c r="A33" s="120" t="s">
        <v>92</v>
      </c>
      <c r="B33" s="120"/>
      <c r="C33" s="120"/>
      <c r="D33" s="120"/>
      <c r="E33"/>
      <c r="F33" s="71">
        <f>SUM(F31:F32)</f>
        <v>7.49</v>
      </c>
      <c r="G33" s="72">
        <f>SUM(G31:G32)</f>
        <v>7.49</v>
      </c>
      <c r="H33" s="46"/>
      <c r="I33" s="46"/>
      <c r="J33" s="46"/>
      <c r="K33" s="46"/>
      <c r="L33" s="46"/>
      <c r="M33" s="46"/>
      <c r="N33"/>
      <c r="O33"/>
      <c r="P33"/>
      <c r="Q33"/>
      <c r="R33"/>
      <c r="S33"/>
    </row>
    <row r="34" spans="1:19" ht="13.5" thickTop="1" x14ac:dyDescent="0.2">
      <c r="A34" s="123" t="s">
        <v>51</v>
      </c>
      <c r="B34" s="123"/>
      <c r="C34" s="123"/>
      <c r="D34" s="123"/>
      <c r="E34"/>
      <c r="F34" s="73"/>
      <c r="G34" s="74"/>
      <c r="H34" s="46"/>
      <c r="I34" s="46"/>
      <c r="J34" s="46"/>
      <c r="K34" s="46"/>
      <c r="L34" s="46"/>
      <c r="M34" s="46"/>
      <c r="N34"/>
      <c r="O34"/>
      <c r="P34"/>
      <c r="Q34"/>
      <c r="R34"/>
      <c r="S34"/>
    </row>
    <row r="35" spans="1:19" x14ac:dyDescent="0.2">
      <c r="A35" s="121" t="s">
        <v>52</v>
      </c>
      <c r="B35" s="121"/>
      <c r="C35" s="121"/>
      <c r="D35" s="121"/>
      <c r="E35"/>
      <c r="F35" s="102">
        <v>8.7335999999999997E-2</v>
      </c>
      <c r="G35" s="103">
        <f>+F35</f>
        <v>8.7335999999999997E-2</v>
      </c>
      <c r="H35" s="46" t="s">
        <v>28</v>
      </c>
      <c r="I35" s="46"/>
      <c r="J35" s="46"/>
      <c r="K35" s="46"/>
      <c r="L35" s="46"/>
      <c r="M35" s="46"/>
      <c r="N35"/>
      <c r="O35"/>
      <c r="P35"/>
      <c r="Q35"/>
      <c r="R35"/>
      <c r="S35"/>
    </row>
    <row r="36" spans="1:19" x14ac:dyDescent="0.2">
      <c r="A36" s="121" t="s">
        <v>56</v>
      </c>
      <c r="B36" s="121"/>
      <c r="C36" s="121"/>
      <c r="D36" s="121"/>
      <c r="E36"/>
      <c r="F36" s="102">
        <v>8.9499999999999996E-4</v>
      </c>
      <c r="G36" s="103">
        <f t="shared" ref="G36:G39" si="24">+F36</f>
        <v>8.9499999999999996E-4</v>
      </c>
      <c r="H36" s="46" t="s">
        <v>28</v>
      </c>
      <c r="I36" s="46"/>
      <c r="J36" s="46"/>
      <c r="K36" s="46"/>
      <c r="L36" s="46"/>
      <c r="M36" s="46"/>
      <c r="N36"/>
      <c r="O36"/>
      <c r="P36"/>
      <c r="Q36"/>
      <c r="R36"/>
      <c r="S36"/>
    </row>
    <row r="37" spans="1:19" x14ac:dyDescent="0.2">
      <c r="A37" s="121" t="s">
        <v>83</v>
      </c>
      <c r="B37" s="121"/>
      <c r="C37" s="121"/>
      <c r="D37" s="121"/>
      <c r="E37"/>
      <c r="F37" s="102">
        <v>3.4719999999999998E-3</v>
      </c>
      <c r="G37" s="103">
        <f t="shared" si="24"/>
        <v>3.4719999999999998E-3</v>
      </c>
      <c r="H37" s="47" t="s">
        <v>28</v>
      </c>
      <c r="I37" s="47"/>
      <c r="J37" s="47"/>
      <c r="K37" s="46"/>
      <c r="L37" s="46"/>
      <c r="M37" s="46"/>
      <c r="N37"/>
      <c r="O37"/>
      <c r="P37"/>
      <c r="Q37"/>
      <c r="R37"/>
      <c r="S37"/>
    </row>
    <row r="38" spans="1:19" x14ac:dyDescent="0.2">
      <c r="A38" s="121" t="s">
        <v>85</v>
      </c>
      <c r="B38" s="121"/>
      <c r="C38" s="121"/>
      <c r="D38" s="121"/>
      <c r="E38"/>
      <c r="F38" s="102">
        <v>0</v>
      </c>
      <c r="G38" s="103">
        <f t="shared" si="24"/>
        <v>0</v>
      </c>
      <c r="H38" s="47" t="s">
        <v>28</v>
      </c>
      <c r="I38" s="47"/>
      <c r="J38" s="47"/>
      <c r="K38" s="46"/>
      <c r="L38" s="46"/>
      <c r="M38" s="46"/>
      <c r="N38"/>
      <c r="O38"/>
      <c r="P38"/>
      <c r="Q38"/>
      <c r="R38"/>
      <c r="S38"/>
    </row>
    <row r="39" spans="1:19" x14ac:dyDescent="0.2">
      <c r="A39" s="121" t="s">
        <v>87</v>
      </c>
      <c r="B39" s="121"/>
      <c r="C39" s="121"/>
      <c r="D39" s="121"/>
      <c r="E39"/>
      <c r="F39" s="102">
        <v>-1.237E-3</v>
      </c>
      <c r="G39" s="103">
        <f t="shared" si="24"/>
        <v>-1.237E-3</v>
      </c>
      <c r="H39" s="47" t="s">
        <v>28</v>
      </c>
      <c r="I39" s="47"/>
      <c r="J39" s="47"/>
      <c r="K39" s="46"/>
      <c r="L39" s="46"/>
      <c r="M39" s="46"/>
      <c r="N39"/>
      <c r="O39"/>
      <c r="P39"/>
      <c r="Q39"/>
      <c r="R39"/>
      <c r="S39"/>
    </row>
    <row r="40" spans="1:19" ht="13.5" thickBot="1" x14ac:dyDescent="0.25">
      <c r="A40" s="120" t="s">
        <v>93</v>
      </c>
      <c r="B40" s="120"/>
      <c r="C40" s="120"/>
      <c r="D40" s="120"/>
      <c r="E40"/>
      <c r="F40" s="104">
        <f>SUM(F35:F39)</f>
        <v>9.0466000000000005E-2</v>
      </c>
      <c r="G40" s="105">
        <f>SUM(G35:G39)</f>
        <v>9.0466000000000005E-2</v>
      </c>
      <c r="H40" s="47" t="s">
        <v>28</v>
      </c>
      <c r="I40" s="47"/>
      <c r="J40" s="47"/>
      <c r="K40" s="46"/>
      <c r="L40" s="46"/>
      <c r="M40" s="46"/>
      <c r="N40"/>
      <c r="O40"/>
      <c r="P40"/>
      <c r="Q40"/>
      <c r="R40"/>
      <c r="S40"/>
    </row>
    <row r="41" spans="1:19" ht="13.5" thickTop="1" x14ac:dyDescent="0.2">
      <c r="A41" s="123"/>
      <c r="B41" s="123"/>
      <c r="C41" s="123"/>
      <c r="D41" s="123"/>
      <c r="E41"/>
      <c r="F41" s="102"/>
      <c r="G41" s="103"/>
      <c r="H41" s="46"/>
      <c r="I41" s="46"/>
      <c r="J41" s="46"/>
      <c r="K41" s="46"/>
      <c r="L41" s="46"/>
      <c r="M41" s="46"/>
      <c r="N41"/>
      <c r="O41"/>
      <c r="P41"/>
      <c r="Q41"/>
      <c r="R41"/>
      <c r="S41"/>
    </row>
    <row r="42" spans="1:19" x14ac:dyDescent="0.2">
      <c r="A42" s="123" t="s">
        <v>53</v>
      </c>
      <c r="B42" s="123"/>
      <c r="C42" s="123"/>
      <c r="D42" s="123"/>
      <c r="E42"/>
      <c r="F42" s="102">
        <v>0.106297</v>
      </c>
      <c r="G42" s="103">
        <f>+F42</f>
        <v>0.106297</v>
      </c>
      <c r="H42" s="46" t="s">
        <v>28</v>
      </c>
      <c r="I42" s="46"/>
      <c r="J42" s="46"/>
      <c r="K42" s="46"/>
      <c r="L42" s="46"/>
      <c r="M42" s="46"/>
      <c r="N42"/>
      <c r="O42"/>
      <c r="P42"/>
      <c r="Q42"/>
      <c r="R42"/>
      <c r="S42"/>
    </row>
    <row r="43" spans="1:19" x14ac:dyDescent="0.2">
      <c r="A43" s="121" t="s">
        <v>56</v>
      </c>
      <c r="B43" s="121"/>
      <c r="C43" s="121"/>
      <c r="D43" s="121"/>
      <c r="E43"/>
      <c r="F43" s="102">
        <f>+F36</f>
        <v>8.9499999999999996E-4</v>
      </c>
      <c r="G43" s="103">
        <f>G36</f>
        <v>8.9499999999999996E-4</v>
      </c>
      <c r="H43" s="46" t="s">
        <v>28</v>
      </c>
      <c r="I43" s="46"/>
      <c r="J43" s="46"/>
      <c r="K43" s="46"/>
      <c r="L43" s="46"/>
      <c r="M43" s="46"/>
      <c r="N43"/>
      <c r="O43"/>
      <c r="P43"/>
      <c r="Q43"/>
      <c r="R43"/>
      <c r="S43"/>
    </row>
    <row r="44" spans="1:19" x14ac:dyDescent="0.2">
      <c r="A44" s="121" t="s">
        <v>83</v>
      </c>
      <c r="B44" s="121"/>
      <c r="C44" s="121"/>
      <c r="D44" s="121"/>
      <c r="E44"/>
      <c r="F44" s="102">
        <f t="shared" ref="F44:F46" si="25">+F37</f>
        <v>3.4719999999999998E-3</v>
      </c>
      <c r="G44" s="103">
        <f t="shared" ref="G44:G46" si="26">+F44</f>
        <v>3.4719999999999998E-3</v>
      </c>
      <c r="H44" s="46" t="s">
        <v>28</v>
      </c>
      <c r="I44" s="46"/>
      <c r="J44" s="46"/>
      <c r="K44" s="46"/>
      <c r="L44" s="46"/>
      <c r="M44" s="46"/>
      <c r="N44"/>
      <c r="O44"/>
      <c r="P44"/>
      <c r="Q44"/>
      <c r="R44"/>
      <c r="S44"/>
    </row>
    <row r="45" spans="1:19" x14ac:dyDescent="0.2">
      <c r="A45" s="121" t="s">
        <v>86</v>
      </c>
      <c r="B45" s="121"/>
      <c r="C45" s="121"/>
      <c r="D45" s="121"/>
      <c r="E45"/>
      <c r="F45" s="102">
        <f t="shared" si="25"/>
        <v>0</v>
      </c>
      <c r="G45" s="103">
        <f t="shared" si="26"/>
        <v>0</v>
      </c>
      <c r="H45" s="47" t="s">
        <v>28</v>
      </c>
      <c r="I45" s="47"/>
      <c r="J45" s="47"/>
      <c r="K45" s="46"/>
      <c r="L45" s="46"/>
      <c r="M45" s="46"/>
      <c r="N45"/>
      <c r="O45"/>
      <c r="P45"/>
      <c r="Q45"/>
      <c r="R45"/>
      <c r="S45"/>
    </row>
    <row r="46" spans="1:19" x14ac:dyDescent="0.2">
      <c r="A46" s="121" t="s">
        <v>87</v>
      </c>
      <c r="B46" s="121"/>
      <c r="C46" s="121"/>
      <c r="D46" s="121"/>
      <c r="E46"/>
      <c r="F46" s="102">
        <f t="shared" si="25"/>
        <v>-1.237E-3</v>
      </c>
      <c r="G46" s="103">
        <f t="shared" si="26"/>
        <v>-1.237E-3</v>
      </c>
      <c r="H46" s="47" t="s">
        <v>28</v>
      </c>
      <c r="I46" s="47"/>
      <c r="J46" s="47"/>
      <c r="K46" s="46"/>
      <c r="L46" s="46"/>
      <c r="M46" s="46"/>
      <c r="N46"/>
      <c r="O46"/>
      <c r="P46"/>
      <c r="Q46"/>
      <c r="R46"/>
      <c r="S46"/>
    </row>
    <row r="47" spans="1:19" ht="13.5" thickBot="1" x14ac:dyDescent="0.25">
      <c r="A47" s="120" t="s">
        <v>94</v>
      </c>
      <c r="B47" s="120"/>
      <c r="C47" s="120"/>
      <c r="D47" s="120"/>
      <c r="E47"/>
      <c r="F47" s="104">
        <f>SUM(F42:F46)</f>
        <v>0.10942700000000001</v>
      </c>
      <c r="G47" s="105">
        <f>SUM(G42:G46)</f>
        <v>0.10942700000000001</v>
      </c>
      <c r="H47" s="47" t="s">
        <v>28</v>
      </c>
      <c r="I47" s="47"/>
      <c r="J47" s="47"/>
      <c r="K47" s="46"/>
      <c r="L47" s="46"/>
      <c r="M47" s="46"/>
      <c r="N47"/>
      <c r="O47"/>
      <c r="P47"/>
      <c r="Q47"/>
      <c r="R47"/>
      <c r="S47"/>
    </row>
    <row r="48" spans="1:19" ht="13.5" thickTop="1" x14ac:dyDescent="0.2">
      <c r="A48" s="123"/>
      <c r="B48" s="123"/>
      <c r="C48" s="123"/>
      <c r="D48" s="123"/>
      <c r="E48"/>
      <c r="F48" s="102"/>
      <c r="G48" s="103"/>
      <c r="H48" s="47"/>
      <c r="I48" s="47"/>
      <c r="J48" s="47"/>
      <c r="K48" s="46"/>
      <c r="L48" s="46"/>
      <c r="M48" s="46"/>
      <c r="N48"/>
      <c r="O48"/>
      <c r="P48"/>
      <c r="Q48"/>
      <c r="R48"/>
      <c r="S48"/>
    </row>
    <row r="49" spans="1:19" x14ac:dyDescent="0.2">
      <c r="A49" s="120" t="s">
        <v>57</v>
      </c>
      <c r="B49" s="120"/>
      <c r="C49" s="120"/>
      <c r="D49" s="120"/>
      <c r="E49"/>
      <c r="F49" s="102">
        <v>-7.4060000000000003E-3</v>
      </c>
      <c r="G49" s="103">
        <f>+F49</f>
        <v>-7.4060000000000003E-3</v>
      </c>
      <c r="H49" s="47" t="s">
        <v>28</v>
      </c>
      <c r="I49" s="47"/>
      <c r="J49" s="47"/>
      <c r="K49" s="46"/>
      <c r="L49" s="46"/>
      <c r="M49" s="46"/>
      <c r="N49"/>
      <c r="O49"/>
      <c r="P49"/>
      <c r="Q49"/>
      <c r="R49"/>
      <c r="S49"/>
    </row>
    <row r="50" spans="1:19" x14ac:dyDescent="0.2">
      <c r="A50" s="120" t="s">
        <v>82</v>
      </c>
      <c r="B50" s="120"/>
      <c r="C50" s="120"/>
      <c r="D50" s="120"/>
      <c r="E50"/>
      <c r="F50" s="102">
        <v>0</v>
      </c>
      <c r="G50" s="103">
        <f>+F50</f>
        <v>0</v>
      </c>
      <c r="H50" s="47" t="s">
        <v>28</v>
      </c>
      <c r="I50"/>
      <c r="J50"/>
      <c r="K50" s="46"/>
      <c r="L50" s="46"/>
      <c r="M50" s="46"/>
      <c r="N50"/>
      <c r="O50"/>
      <c r="P50"/>
      <c r="Q50"/>
      <c r="R50"/>
      <c r="S50"/>
    </row>
    <row r="51" spans="1:19" x14ac:dyDescent="0.2">
      <c r="A51" s="123"/>
      <c r="B51" s="123"/>
      <c r="C51" s="123"/>
      <c r="D51" s="123"/>
      <c r="E51"/>
      <c r="F51" s="102"/>
      <c r="G51" s="103"/>
      <c r="H51"/>
      <c r="I51" s="46"/>
      <c r="J51" s="46"/>
      <c r="K51" s="46"/>
      <c r="L51" s="46"/>
      <c r="M51" s="46"/>
      <c r="N51"/>
      <c r="O51"/>
      <c r="P51"/>
      <c r="Q51"/>
      <c r="R51"/>
      <c r="S51"/>
    </row>
    <row r="52" spans="1:19" x14ac:dyDescent="0.2">
      <c r="A52" s="123" t="s">
        <v>113</v>
      </c>
      <c r="B52" s="123"/>
      <c r="C52" s="123"/>
      <c r="D52" s="123"/>
      <c r="E52"/>
      <c r="F52" s="102"/>
      <c r="G52" s="103"/>
      <c r="H52" s="46" t="s">
        <v>28</v>
      </c>
      <c r="I52" s="46"/>
      <c r="J52" s="46"/>
      <c r="K52" s="46"/>
      <c r="L52" s="46"/>
      <c r="M52" s="46"/>
      <c r="N52"/>
      <c r="O52"/>
      <c r="P52"/>
      <c r="Q52"/>
      <c r="R52"/>
      <c r="S52"/>
    </row>
    <row r="53" spans="1:19" x14ac:dyDescent="0.2">
      <c r="A53" s="121" t="s">
        <v>54</v>
      </c>
      <c r="B53" s="121"/>
      <c r="C53" s="121"/>
      <c r="D53" s="121"/>
      <c r="E53" s="17"/>
      <c r="F53" s="102">
        <v>0</v>
      </c>
      <c r="G53" s="103">
        <f>+F53</f>
        <v>0</v>
      </c>
      <c r="H53" s="46" t="s">
        <v>28</v>
      </c>
      <c r="I53" s="47"/>
      <c r="J53" s="47"/>
      <c r="K53" s="47"/>
      <c r="L53" s="47"/>
      <c r="M53" s="47"/>
      <c r="N53" s="17"/>
      <c r="O53" s="17"/>
      <c r="P53" s="17"/>
      <c r="Q53" s="17"/>
      <c r="R53" s="17"/>
      <c r="S53" s="17"/>
    </row>
    <row r="54" spans="1:19" x14ac:dyDescent="0.2">
      <c r="A54" s="121" t="s">
        <v>81</v>
      </c>
      <c r="B54" s="121"/>
      <c r="C54" s="121"/>
      <c r="D54" s="121"/>
      <c r="E54"/>
      <c r="F54" s="102">
        <v>-2.0720000000000001E-3</v>
      </c>
      <c r="G54" s="75">
        <f t="shared" ref="G54:G55" si="27">+F54</f>
        <v>-2.0720000000000001E-3</v>
      </c>
      <c r="H54" s="47" t="s">
        <v>28</v>
      </c>
      <c r="I54" s="47"/>
      <c r="J54" s="47"/>
      <c r="K54" s="46"/>
      <c r="L54" s="46"/>
      <c r="M54" s="46"/>
      <c r="N54"/>
      <c r="O54"/>
      <c r="P54"/>
      <c r="Q54"/>
      <c r="R54"/>
      <c r="S54"/>
    </row>
    <row r="55" spans="1:19" x14ac:dyDescent="0.2">
      <c r="A55" s="121" t="s">
        <v>55</v>
      </c>
      <c r="B55" s="121"/>
      <c r="C55" s="121"/>
      <c r="D55" s="121"/>
      <c r="E55"/>
      <c r="F55" s="102">
        <v>4.8599999999999997E-3</v>
      </c>
      <c r="G55" s="75">
        <f t="shared" si="27"/>
        <v>4.8599999999999997E-3</v>
      </c>
      <c r="H55" s="47" t="s">
        <v>28</v>
      </c>
      <c r="I55" s="47"/>
      <c r="J55" s="47"/>
      <c r="K55" s="46"/>
      <c r="L55" s="46"/>
      <c r="M55" s="46"/>
      <c r="N55"/>
      <c r="O55"/>
      <c r="P55"/>
      <c r="Q55"/>
      <c r="R55"/>
      <c r="S55"/>
    </row>
    <row r="56" spans="1:19" x14ac:dyDescent="0.2">
      <c r="A56" s="122" t="s">
        <v>58</v>
      </c>
      <c r="B56" s="122"/>
      <c r="C56" s="122"/>
      <c r="D56" s="122"/>
      <c r="E56"/>
      <c r="F56" s="83">
        <f>+'Tariff Impacts'!F10</f>
        <v>-3.4600000000000001E-4</v>
      </c>
      <c r="G56" s="83">
        <f>+'Tariff Impacts'!G10</f>
        <v>0</v>
      </c>
      <c r="H56" s="47" t="s">
        <v>28</v>
      </c>
      <c r="I56" s="47"/>
      <c r="J56" s="47"/>
      <c r="K56" s="46"/>
      <c r="L56" s="46"/>
      <c r="M56" s="46"/>
      <c r="N56"/>
      <c r="O56"/>
      <c r="P56"/>
      <c r="Q56"/>
      <c r="R56"/>
      <c r="S56"/>
    </row>
    <row r="57" spans="1:19" x14ac:dyDescent="0.2">
      <c r="A57" s="121" t="s">
        <v>74</v>
      </c>
      <c r="B57" s="121"/>
      <c r="C57" s="121"/>
      <c r="D57" s="121"/>
      <c r="E57"/>
      <c r="F57" s="102">
        <v>-3.4999999999999997E-5</v>
      </c>
      <c r="G57" s="103">
        <f t="shared" ref="G57" si="28">+F57</f>
        <v>-3.4999999999999997E-5</v>
      </c>
      <c r="H57" s="47" t="s">
        <v>28</v>
      </c>
      <c r="I57" s="47"/>
      <c r="J57" s="47"/>
      <c r="K57" s="46"/>
      <c r="L57" s="46"/>
      <c r="M57" s="46"/>
      <c r="N57"/>
      <c r="O57"/>
      <c r="P57"/>
      <c r="Q57"/>
      <c r="R57"/>
      <c r="S57"/>
    </row>
    <row r="58" spans="1:19" ht="13.5" thickBot="1" x14ac:dyDescent="0.25">
      <c r="A58" s="120" t="s">
        <v>114</v>
      </c>
      <c r="B58" s="120"/>
      <c r="C58" s="120"/>
      <c r="D58" s="120"/>
      <c r="E58"/>
      <c r="F58" s="76">
        <f>SUM(F53:F57)</f>
        <v>2.4069999999999999E-3</v>
      </c>
      <c r="G58" s="77">
        <f>SUM(G53:G57)</f>
        <v>2.7529999999999998E-3</v>
      </c>
      <c r="H58" s="47" t="s">
        <v>28</v>
      </c>
      <c r="I58"/>
      <c r="J58"/>
      <c r="K58"/>
      <c r="L58"/>
      <c r="M58"/>
      <c r="N58"/>
      <c r="O58"/>
      <c r="P58"/>
      <c r="Q58"/>
      <c r="R58"/>
      <c r="S58"/>
    </row>
    <row r="59" spans="1:19" ht="13.5" thickTop="1" x14ac:dyDescent="0.2">
      <c r="A59" s="123"/>
      <c r="B59" s="123"/>
      <c r="C59" s="123"/>
      <c r="D59" s="123"/>
      <c r="E59"/>
      <c r="F59" s="73"/>
      <c r="G59" s="74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">
      <c r="A60" s="120" t="s">
        <v>115</v>
      </c>
      <c r="B60" s="120"/>
      <c r="C60" s="120"/>
      <c r="D60" s="120"/>
      <c r="E60"/>
      <c r="F60" s="78">
        <f>SUM(F40,F49:F50,F58)</f>
        <v>8.5467000000000015E-2</v>
      </c>
      <c r="G60" s="79">
        <f>SUM(G40,G49:G50,G58)</f>
        <v>8.5813000000000014E-2</v>
      </c>
      <c r="H60" s="47" t="s">
        <v>28</v>
      </c>
      <c r="I60"/>
      <c r="J60"/>
      <c r="K60"/>
      <c r="L60"/>
      <c r="M60"/>
      <c r="N60"/>
      <c r="O60"/>
      <c r="P60"/>
      <c r="Q60"/>
      <c r="R60"/>
      <c r="S60"/>
    </row>
    <row r="61" spans="1:19" x14ac:dyDescent="0.2">
      <c r="A61" s="120" t="s">
        <v>116</v>
      </c>
      <c r="B61" s="120"/>
      <c r="C61" s="120"/>
      <c r="D61" s="120"/>
      <c r="E61"/>
      <c r="F61" s="80">
        <f>SUM(F47,F49:F50,F58)</f>
        <v>0.10442800000000002</v>
      </c>
      <c r="G61" s="81">
        <f>SUM(G47,G49:G50,G58)</f>
        <v>0.10477400000000002</v>
      </c>
      <c r="H61" s="47" t="s">
        <v>28</v>
      </c>
      <c r="I61"/>
      <c r="J61"/>
      <c r="K61"/>
      <c r="L61"/>
      <c r="M61"/>
      <c r="N61"/>
      <c r="O61"/>
      <c r="P61"/>
      <c r="Q61"/>
      <c r="R61"/>
      <c r="S61"/>
    </row>
    <row r="62" spans="1:19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">
      <c r="A65" s="119" t="s">
        <v>182</v>
      </c>
      <c r="B65" s="119"/>
      <c r="C65" s="119"/>
      <c r="D65" s="119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38.25" x14ac:dyDescent="0.2">
      <c r="A66" s="4"/>
      <c r="B66" s="4" t="s">
        <v>117</v>
      </c>
      <c r="C66" s="4" t="s">
        <v>118</v>
      </c>
      <c r="D66" s="4" t="s">
        <v>119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2">
      <c r="A67" t="str">
        <f>+A7</f>
        <v>January</v>
      </c>
      <c r="B67" s="82">
        <v>1259288000</v>
      </c>
      <c r="C67" s="82">
        <v>1017096</v>
      </c>
      <c r="D67" s="49">
        <f>+B67/C67</f>
        <v>1238.1210819824284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">
      <c r="A68" t="str">
        <f t="shared" ref="A68:A78" si="29">+A8</f>
        <v>February</v>
      </c>
      <c r="B68" s="82">
        <v>1049964000</v>
      </c>
      <c r="C68" s="82">
        <v>1018173</v>
      </c>
      <c r="D68" s="49">
        <f t="shared" ref="D68:D78" si="30">+B68/C68</f>
        <v>1031.223573989882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">
      <c r="A69" t="str">
        <f t="shared" si="29"/>
        <v>March</v>
      </c>
      <c r="B69" s="82">
        <v>1045413000</v>
      </c>
      <c r="C69" s="82">
        <v>1019088</v>
      </c>
      <c r="D69" s="49">
        <f t="shared" si="30"/>
        <v>1025.831920305214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x14ac:dyDescent="0.2">
      <c r="A70" t="str">
        <f t="shared" si="29"/>
        <v>April</v>
      </c>
      <c r="B70" s="82">
        <v>862305000</v>
      </c>
      <c r="C70" s="82">
        <v>1019934</v>
      </c>
      <c r="D70" s="49">
        <f t="shared" si="30"/>
        <v>845.45176452593989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x14ac:dyDescent="0.2">
      <c r="A71" t="str">
        <f t="shared" si="29"/>
        <v>May</v>
      </c>
      <c r="B71" s="82">
        <v>739742000</v>
      </c>
      <c r="C71" s="82">
        <v>1020686</v>
      </c>
      <c r="D71" s="49">
        <f t="shared" si="30"/>
        <v>724.74982511761698</v>
      </c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x14ac:dyDescent="0.2">
      <c r="A72" t="str">
        <f t="shared" si="29"/>
        <v>June</v>
      </c>
      <c r="B72" s="82">
        <v>680386000</v>
      </c>
      <c r="C72" s="82">
        <v>1021433</v>
      </c>
      <c r="D72" s="49">
        <f t="shared" si="30"/>
        <v>666.10927980591975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">
      <c r="A73" t="str">
        <f t="shared" si="29"/>
        <v>July</v>
      </c>
      <c r="B73" s="82">
        <v>681210000</v>
      </c>
      <c r="C73" s="82">
        <v>1021991</v>
      </c>
      <c r="D73" s="49">
        <f t="shared" si="30"/>
        <v>666.5518580887699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">
      <c r="A74" t="str">
        <f t="shared" si="29"/>
        <v>August</v>
      </c>
      <c r="B74" s="82">
        <v>664685000</v>
      </c>
      <c r="C74" s="82">
        <v>1022870</v>
      </c>
      <c r="D74" s="49">
        <f t="shared" si="30"/>
        <v>649.82353573767932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">
      <c r="A75" t="str">
        <f t="shared" si="29"/>
        <v>September</v>
      </c>
      <c r="B75" s="82">
        <v>667588000</v>
      </c>
      <c r="C75" s="82">
        <v>1024028</v>
      </c>
      <c r="D75" s="49">
        <f t="shared" si="30"/>
        <v>651.92358021460348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">
      <c r="A76" t="str">
        <f t="shared" si="29"/>
        <v>October</v>
      </c>
      <c r="B76" s="82">
        <v>832842000</v>
      </c>
      <c r="C76" s="82">
        <v>1025543</v>
      </c>
      <c r="D76" s="49">
        <f t="shared" si="30"/>
        <v>812.09856632047604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 t="str">
        <f t="shared" si="29"/>
        <v>November</v>
      </c>
      <c r="B77" s="82">
        <v>1028038000</v>
      </c>
      <c r="C77" s="82">
        <v>1026942</v>
      </c>
      <c r="D77" s="49">
        <f t="shared" si="30"/>
        <v>1001.0672462514923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A78" t="str">
        <f t="shared" si="29"/>
        <v>December</v>
      </c>
      <c r="B78" s="82">
        <v>1299084000</v>
      </c>
      <c r="C78" s="82">
        <v>1028067</v>
      </c>
      <c r="D78" s="49">
        <f t="shared" si="30"/>
        <v>1263.6180326768585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">
      <c r="A79" t="s">
        <v>4</v>
      </c>
      <c r="B79" s="49">
        <f>SUM(B67:B78)</f>
        <v>10810545000</v>
      </c>
      <c r="C79" s="49">
        <f>SUM(C67:C78)</f>
        <v>12265851</v>
      </c>
      <c r="D79" s="49">
        <f>SUM(D67:D78)</f>
        <v>10576.570265016881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">
      <c r="A80"/>
      <c r="B80"/>
      <c r="C80"/>
      <c r="D80" s="49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x14ac:dyDescent="0.2">
      <c r="A81" t="s">
        <v>120</v>
      </c>
      <c r="B81" s="49"/>
      <c r="C81" s="49"/>
      <c r="D81" s="49">
        <f>AVERAGE(D67:D78)</f>
        <v>881.38085541807334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</sheetData>
  <mergeCells count="34">
    <mergeCell ref="A41:D41"/>
    <mergeCell ref="C5:N5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53:D53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65:D65"/>
    <mergeCell ref="A60:D60"/>
    <mergeCell ref="A61:D61"/>
    <mergeCell ref="A54:D54"/>
    <mergeCell ref="A55:D55"/>
    <mergeCell ref="A56:D56"/>
    <mergeCell ref="A57:D57"/>
    <mergeCell ref="A58:D58"/>
    <mergeCell ref="A59:D59"/>
  </mergeCells>
  <printOptions horizontalCentered="1"/>
  <pageMargins left="0.25" right="0.25" top="1" bottom="1" header="0.5" footer="0.5"/>
  <pageSetup scale="56" orientation="landscape" r:id="rId1"/>
  <headerFooter alignWithMargins="0">
    <oddFooter>&amp;L&amp;F
&amp;A&amp;CPage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46" sqref="D44:D46"/>
    </sheetView>
  </sheetViews>
  <sheetFormatPr defaultRowHeight="12.75" x14ac:dyDescent="0.2"/>
  <cols>
    <col min="1" max="1" width="7.7109375" bestFit="1" customWidth="1"/>
    <col min="2" max="2" width="22.7109375" bestFit="1" customWidth="1"/>
    <col min="3" max="3" width="15.140625" bestFit="1" customWidth="1"/>
    <col min="4" max="4" width="17.7109375" bestFit="1" customWidth="1"/>
    <col min="5" max="5" width="15.140625" bestFit="1" customWidth="1"/>
    <col min="6" max="6" width="13.28515625" bestFit="1" customWidth="1"/>
    <col min="7" max="7" width="13.28515625" customWidth="1"/>
    <col min="8" max="8" width="13.5703125" bestFit="1" customWidth="1"/>
    <col min="9" max="9" width="12.42578125" bestFit="1" customWidth="1"/>
    <col min="10" max="10" width="10.5703125" bestFit="1" customWidth="1"/>
    <col min="11" max="12" width="12.42578125" bestFit="1" customWidth="1"/>
    <col min="13" max="14" width="13.28515625" bestFit="1" customWidth="1"/>
  </cols>
  <sheetData>
    <row r="1" spans="1:14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x14ac:dyDescent="0.2">
      <c r="A2" s="126" t="s">
        <v>161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x14ac:dyDescent="0.2">
      <c r="A3" s="126" t="s">
        <v>162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x14ac:dyDescent="0.2">
      <c r="A4" s="126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x14ac:dyDescent="0.2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x14ac:dyDescent="0.2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76.5" x14ac:dyDescent="0.2">
      <c r="A7" s="87" t="s">
        <v>1</v>
      </c>
      <c r="B7" s="87" t="s">
        <v>132</v>
      </c>
      <c r="C7" s="88" t="s">
        <v>159</v>
      </c>
      <c r="D7" s="88" t="s">
        <v>160</v>
      </c>
      <c r="E7" s="88" t="s">
        <v>133</v>
      </c>
      <c r="F7" s="88" t="s">
        <v>134</v>
      </c>
      <c r="G7" s="88" t="s">
        <v>146</v>
      </c>
      <c r="H7" s="88" t="s">
        <v>135</v>
      </c>
      <c r="I7" s="88" t="s">
        <v>136</v>
      </c>
      <c r="J7" s="88" t="s">
        <v>137</v>
      </c>
      <c r="K7" s="88" t="s">
        <v>138</v>
      </c>
      <c r="L7" s="88" t="s">
        <v>139</v>
      </c>
      <c r="M7" s="88" t="s">
        <v>140</v>
      </c>
      <c r="N7" s="88" t="s">
        <v>141</v>
      </c>
    </row>
    <row r="8" spans="1:14" x14ac:dyDescent="0.2">
      <c r="A8" s="89"/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x14ac:dyDescent="0.2">
      <c r="A9" s="86">
        <v>1</v>
      </c>
      <c r="B9" s="91">
        <v>7</v>
      </c>
      <c r="C9" s="109">
        <v>10808199000</v>
      </c>
      <c r="D9" s="92">
        <f>SUM(E9:N9)</f>
        <v>1108302000</v>
      </c>
      <c r="E9" s="92">
        <v>1124762000</v>
      </c>
      <c r="F9" s="92">
        <v>0</v>
      </c>
      <c r="G9" s="92">
        <v>-22395000</v>
      </c>
      <c r="H9" s="92">
        <v>52528000</v>
      </c>
      <c r="I9" s="92">
        <v>9673000</v>
      </c>
      <c r="J9" s="92">
        <v>-378000</v>
      </c>
      <c r="K9" s="92">
        <v>37526000</v>
      </c>
      <c r="L9" s="92">
        <v>0</v>
      </c>
      <c r="M9" s="92">
        <v>-13370000</v>
      </c>
      <c r="N9" s="92">
        <v>-80044000</v>
      </c>
    </row>
    <row r="10" spans="1:14" x14ac:dyDescent="0.2">
      <c r="A10" s="86">
        <f t="shared" ref="A10:A42" si="0">+A9+1</f>
        <v>2</v>
      </c>
      <c r="B10" s="93" t="s">
        <v>142</v>
      </c>
      <c r="C10" s="109">
        <v>2344000</v>
      </c>
      <c r="D10" s="92">
        <f>SUM(E10:N10)</f>
        <v>211000</v>
      </c>
      <c r="E10" s="92">
        <v>211000</v>
      </c>
      <c r="F10" s="92">
        <v>0</v>
      </c>
      <c r="G10" s="92">
        <v>-4000</v>
      </c>
      <c r="H10" s="92">
        <v>10000</v>
      </c>
      <c r="I10" s="92">
        <v>2000</v>
      </c>
      <c r="J10" s="92">
        <v>0</v>
      </c>
      <c r="K10" s="92">
        <v>6000</v>
      </c>
      <c r="L10" s="92">
        <v>0</v>
      </c>
      <c r="M10" s="92">
        <v>3000</v>
      </c>
      <c r="N10" s="92">
        <v>-17000</v>
      </c>
    </row>
    <row r="11" spans="1:14" x14ac:dyDescent="0.2">
      <c r="A11" s="86">
        <f t="shared" si="0"/>
        <v>3</v>
      </c>
      <c r="B11" s="94" t="s">
        <v>8</v>
      </c>
      <c r="C11" s="110">
        <f t="shared" ref="C11:D11" si="1">SUM(C9:C10)</f>
        <v>10810543000</v>
      </c>
      <c r="D11" s="95">
        <f t="shared" si="1"/>
        <v>1108513000</v>
      </c>
      <c r="E11" s="95">
        <f t="shared" ref="E11:I11" si="2">SUM(E9:E10)</f>
        <v>1124973000</v>
      </c>
      <c r="F11" s="95">
        <f t="shared" si="2"/>
        <v>0</v>
      </c>
      <c r="G11" s="95">
        <f t="shared" si="2"/>
        <v>-22399000</v>
      </c>
      <c r="H11" s="95">
        <f t="shared" si="2"/>
        <v>52538000</v>
      </c>
      <c r="I11" s="95">
        <f t="shared" si="2"/>
        <v>9675000</v>
      </c>
      <c r="J11" s="95">
        <f t="shared" ref="J11:M11" si="3">SUM(J9:J10)</f>
        <v>-378000</v>
      </c>
      <c r="K11" s="95">
        <f t="shared" si="3"/>
        <v>37532000</v>
      </c>
      <c r="L11" s="95">
        <f t="shared" si="3"/>
        <v>0</v>
      </c>
      <c r="M11" s="95">
        <f t="shared" si="3"/>
        <v>-13367000</v>
      </c>
      <c r="N11" s="95">
        <f t="shared" ref="N11" si="4">SUM(N9:N10)</f>
        <v>-80061000</v>
      </c>
    </row>
    <row r="12" spans="1:14" x14ac:dyDescent="0.2">
      <c r="A12" s="86">
        <f t="shared" si="0"/>
        <v>4</v>
      </c>
      <c r="B12" s="86"/>
      <c r="C12" s="109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x14ac:dyDescent="0.2">
      <c r="A13" s="86">
        <f t="shared" si="0"/>
        <v>5</v>
      </c>
      <c r="B13" s="91">
        <v>8</v>
      </c>
      <c r="C13" s="109">
        <v>274053000</v>
      </c>
      <c r="D13" s="92">
        <f t="shared" ref="D13:D19" si="5">SUM(E13:N13)</f>
        <v>26569000</v>
      </c>
      <c r="E13" s="92">
        <v>26615000</v>
      </c>
      <c r="F13" s="92">
        <v>0</v>
      </c>
      <c r="G13" s="92">
        <v>-459000</v>
      </c>
      <c r="H13" s="92">
        <v>1153000</v>
      </c>
      <c r="I13" s="92">
        <v>235000</v>
      </c>
      <c r="J13" s="92">
        <v>-8000</v>
      </c>
      <c r="K13" s="92">
        <v>720000</v>
      </c>
      <c r="L13" s="92">
        <v>0</v>
      </c>
      <c r="M13" s="92">
        <v>343000</v>
      </c>
      <c r="N13" s="92">
        <v>-2030000</v>
      </c>
    </row>
    <row r="14" spans="1:14" x14ac:dyDescent="0.2">
      <c r="A14" s="86">
        <f t="shared" si="0"/>
        <v>6</v>
      </c>
      <c r="B14" s="91">
        <v>24</v>
      </c>
      <c r="C14" s="109">
        <v>2814743000</v>
      </c>
      <c r="D14" s="92">
        <f t="shared" si="5"/>
        <v>293748000</v>
      </c>
      <c r="E14" s="92">
        <v>273362000</v>
      </c>
      <c r="F14" s="92">
        <v>0</v>
      </c>
      <c r="G14" s="92">
        <v>-4712000</v>
      </c>
      <c r="H14" s="92">
        <v>11844000</v>
      </c>
      <c r="I14" s="92">
        <v>2412000</v>
      </c>
      <c r="J14" s="92">
        <v>-79000</v>
      </c>
      <c r="K14" s="92">
        <v>7400000</v>
      </c>
      <c r="L14" s="92">
        <v>0</v>
      </c>
      <c r="M14" s="92">
        <v>3521000</v>
      </c>
      <c r="N14" s="92">
        <v>0</v>
      </c>
    </row>
    <row r="15" spans="1:14" x14ac:dyDescent="0.2">
      <c r="A15" s="86">
        <f t="shared" si="0"/>
        <v>7</v>
      </c>
      <c r="B15" s="93">
        <v>11</v>
      </c>
      <c r="C15" s="109">
        <v>160236000</v>
      </c>
      <c r="D15" s="92">
        <f t="shared" si="5"/>
        <v>14390000</v>
      </c>
      <c r="E15" s="92">
        <v>14425000</v>
      </c>
      <c r="F15" s="92">
        <v>0</v>
      </c>
      <c r="G15" s="92">
        <v>-274000</v>
      </c>
      <c r="H15" s="92">
        <v>682000</v>
      </c>
      <c r="I15" s="92">
        <v>128000</v>
      </c>
      <c r="J15" s="92">
        <v>-5000</v>
      </c>
      <c r="K15" s="92">
        <v>395000</v>
      </c>
      <c r="L15" s="92">
        <v>0</v>
      </c>
      <c r="M15" s="92">
        <v>226000</v>
      </c>
      <c r="N15" s="92">
        <v>-1187000</v>
      </c>
    </row>
    <row r="16" spans="1:14" x14ac:dyDescent="0.2">
      <c r="A16" s="86">
        <f t="shared" si="0"/>
        <v>8</v>
      </c>
      <c r="B16" s="93">
        <v>25</v>
      </c>
      <c r="C16" s="109">
        <v>3088891000</v>
      </c>
      <c r="D16" s="92">
        <f t="shared" si="5"/>
        <v>300268000</v>
      </c>
      <c r="E16" s="92">
        <v>278072000</v>
      </c>
      <c r="F16" s="92">
        <v>0</v>
      </c>
      <c r="G16" s="92">
        <v>-5291000</v>
      </c>
      <c r="H16" s="92">
        <v>13149000</v>
      </c>
      <c r="I16" s="92">
        <v>2459000</v>
      </c>
      <c r="J16" s="92">
        <v>-90000</v>
      </c>
      <c r="K16" s="92">
        <v>7620000</v>
      </c>
      <c r="L16" s="92">
        <v>0</v>
      </c>
      <c r="M16" s="92">
        <v>4349000</v>
      </c>
      <c r="N16" s="92">
        <v>0</v>
      </c>
    </row>
    <row r="17" spans="1:14" x14ac:dyDescent="0.2">
      <c r="A17" s="86">
        <f t="shared" si="0"/>
        <v>9</v>
      </c>
      <c r="B17" s="91">
        <v>12</v>
      </c>
      <c r="C17" s="109">
        <v>19756000</v>
      </c>
      <c r="D17" s="92">
        <f t="shared" si="5"/>
        <v>1578000</v>
      </c>
      <c r="E17" s="92">
        <v>1626000</v>
      </c>
      <c r="F17" s="92">
        <v>0</v>
      </c>
      <c r="G17" s="92">
        <v>-35000</v>
      </c>
      <c r="H17" s="92">
        <v>85000</v>
      </c>
      <c r="I17" s="92">
        <v>14000</v>
      </c>
      <c r="J17" s="92">
        <v>-1000</v>
      </c>
      <c r="K17" s="92">
        <v>45000</v>
      </c>
      <c r="L17" s="92">
        <v>0</v>
      </c>
      <c r="M17" s="92">
        <v>-10000</v>
      </c>
      <c r="N17" s="92">
        <v>-146000</v>
      </c>
    </row>
    <row r="18" spans="1:14" x14ac:dyDescent="0.2">
      <c r="A18" s="86">
        <f t="shared" si="0"/>
        <v>10</v>
      </c>
      <c r="B18" s="91" t="s">
        <v>143</v>
      </c>
      <c r="C18" s="109">
        <v>1916451000</v>
      </c>
      <c r="D18" s="92">
        <f t="shared" si="5"/>
        <v>168187000</v>
      </c>
      <c r="E18" s="92">
        <v>157754000</v>
      </c>
      <c r="F18" s="92">
        <v>0</v>
      </c>
      <c r="G18" s="92">
        <v>-3423000</v>
      </c>
      <c r="H18" s="92">
        <v>8289000</v>
      </c>
      <c r="I18" s="92">
        <v>1374000</v>
      </c>
      <c r="J18" s="92">
        <v>-57000</v>
      </c>
      <c r="K18" s="92">
        <v>4341000</v>
      </c>
      <c r="L18" s="92">
        <v>0</v>
      </c>
      <c r="M18" s="92">
        <v>-91000</v>
      </c>
      <c r="N18" s="92">
        <v>0</v>
      </c>
    </row>
    <row r="19" spans="1:14" x14ac:dyDescent="0.2">
      <c r="A19" s="86">
        <f t="shared" si="0"/>
        <v>11</v>
      </c>
      <c r="B19" s="91">
        <v>29</v>
      </c>
      <c r="C19" s="109">
        <v>16225000</v>
      </c>
      <c r="D19" s="92">
        <f t="shared" si="5"/>
        <v>1286000</v>
      </c>
      <c r="E19" s="92">
        <v>1304000</v>
      </c>
      <c r="F19" s="92">
        <v>0</v>
      </c>
      <c r="G19" s="92">
        <v>-25000</v>
      </c>
      <c r="H19" s="92">
        <v>52000</v>
      </c>
      <c r="I19" s="92">
        <v>12000</v>
      </c>
      <c r="J19" s="92">
        <v>0</v>
      </c>
      <c r="K19" s="92">
        <v>40000</v>
      </c>
      <c r="L19" s="92">
        <v>0</v>
      </c>
      <c r="M19" s="92">
        <v>23000</v>
      </c>
      <c r="N19" s="92">
        <v>-120000</v>
      </c>
    </row>
    <row r="20" spans="1:14" x14ac:dyDescent="0.2">
      <c r="A20" s="86">
        <f t="shared" si="0"/>
        <v>12</v>
      </c>
      <c r="B20" s="96" t="s">
        <v>64</v>
      </c>
      <c r="C20" s="110">
        <f t="shared" ref="C20:D20" si="6">SUM(C13:C19)</f>
        <v>8290355000</v>
      </c>
      <c r="D20" s="97">
        <f t="shared" si="6"/>
        <v>806026000</v>
      </c>
      <c r="E20" s="97">
        <f t="shared" ref="E20:I20" si="7">SUM(E13:E19)</f>
        <v>753158000</v>
      </c>
      <c r="F20" s="97">
        <f t="shared" si="7"/>
        <v>0</v>
      </c>
      <c r="G20" s="97">
        <f t="shared" si="7"/>
        <v>-14219000</v>
      </c>
      <c r="H20" s="97">
        <f t="shared" si="7"/>
        <v>35254000</v>
      </c>
      <c r="I20" s="97">
        <f t="shared" si="7"/>
        <v>6634000</v>
      </c>
      <c r="J20" s="97">
        <f t="shared" ref="J20:M20" si="8">SUM(J13:J19)</f>
        <v>-240000</v>
      </c>
      <c r="K20" s="97">
        <f t="shared" si="8"/>
        <v>20561000</v>
      </c>
      <c r="L20" s="97">
        <f t="shared" si="8"/>
        <v>0</v>
      </c>
      <c r="M20" s="97">
        <f t="shared" si="8"/>
        <v>8361000</v>
      </c>
      <c r="N20" s="97">
        <f t="shared" ref="N20" si="9">SUM(N13:N19)</f>
        <v>-3483000</v>
      </c>
    </row>
    <row r="21" spans="1:14" x14ac:dyDescent="0.2">
      <c r="A21" s="86">
        <f t="shared" si="0"/>
        <v>13</v>
      </c>
      <c r="B21" s="86"/>
      <c r="C21" s="109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1:14" x14ac:dyDescent="0.2">
      <c r="A22" s="86">
        <f t="shared" si="0"/>
        <v>14</v>
      </c>
      <c r="B22" s="91">
        <v>10</v>
      </c>
      <c r="C22" s="109">
        <v>36149000</v>
      </c>
      <c r="D22" s="92">
        <f>SUM(E22:N22)</f>
        <v>2850000</v>
      </c>
      <c r="E22" s="92">
        <v>2931000</v>
      </c>
      <c r="F22" s="92">
        <v>0</v>
      </c>
      <c r="G22" s="92">
        <v>-60000</v>
      </c>
      <c r="H22" s="92">
        <v>150000</v>
      </c>
      <c r="I22" s="92">
        <v>25000</v>
      </c>
      <c r="J22" s="92">
        <v>-1000</v>
      </c>
      <c r="K22" s="92">
        <v>81000</v>
      </c>
      <c r="L22" s="92">
        <v>0</v>
      </c>
      <c r="M22" s="92">
        <v>-8000</v>
      </c>
      <c r="N22" s="92">
        <v>-268000</v>
      </c>
    </row>
    <row r="23" spans="1:14" x14ac:dyDescent="0.2">
      <c r="A23" s="86">
        <f t="shared" si="0"/>
        <v>15</v>
      </c>
      <c r="B23" s="91">
        <v>31</v>
      </c>
      <c r="C23" s="109">
        <v>1380912000</v>
      </c>
      <c r="D23" s="92">
        <f>SUM(E23:N23)</f>
        <v>119109000</v>
      </c>
      <c r="E23" s="92">
        <v>111974000</v>
      </c>
      <c r="F23" s="92">
        <v>0</v>
      </c>
      <c r="G23" s="92">
        <v>-2303000</v>
      </c>
      <c r="H23" s="92">
        <v>5734000</v>
      </c>
      <c r="I23" s="92">
        <v>972000</v>
      </c>
      <c r="J23" s="92">
        <v>-39000</v>
      </c>
      <c r="K23" s="92">
        <v>3113000</v>
      </c>
      <c r="L23" s="92">
        <v>0</v>
      </c>
      <c r="M23" s="92">
        <v>-342000</v>
      </c>
      <c r="N23" s="92">
        <v>0</v>
      </c>
    </row>
    <row r="24" spans="1:14" x14ac:dyDescent="0.2">
      <c r="A24" s="86">
        <f t="shared" si="0"/>
        <v>16</v>
      </c>
      <c r="B24" s="91">
        <v>35</v>
      </c>
      <c r="C24" s="109">
        <v>5167000</v>
      </c>
      <c r="D24" s="92">
        <f>SUM(E24:N24)</f>
        <v>289000</v>
      </c>
      <c r="E24" s="92">
        <v>296000</v>
      </c>
      <c r="F24" s="92">
        <v>0</v>
      </c>
      <c r="G24" s="92">
        <v>-6000</v>
      </c>
      <c r="H24" s="92">
        <v>15000</v>
      </c>
      <c r="I24" s="92">
        <v>3000</v>
      </c>
      <c r="J24" s="92">
        <v>0</v>
      </c>
      <c r="K24" s="92">
        <v>12000</v>
      </c>
      <c r="L24" s="92">
        <v>0</v>
      </c>
      <c r="M24" s="92">
        <v>7000</v>
      </c>
      <c r="N24" s="92">
        <v>-38000</v>
      </c>
    </row>
    <row r="25" spans="1:14" x14ac:dyDescent="0.2">
      <c r="A25" s="86">
        <f t="shared" si="0"/>
        <v>17</v>
      </c>
      <c r="B25" s="91">
        <v>43</v>
      </c>
      <c r="C25" s="109">
        <v>125684000</v>
      </c>
      <c r="D25" s="92">
        <f>SUM(E25:N25)</f>
        <v>11974000</v>
      </c>
      <c r="E25" s="92">
        <v>11063000</v>
      </c>
      <c r="F25" s="92">
        <v>0</v>
      </c>
      <c r="G25" s="92">
        <v>-190000</v>
      </c>
      <c r="H25" s="92">
        <v>415000</v>
      </c>
      <c r="I25" s="92">
        <v>98000</v>
      </c>
      <c r="J25" s="92">
        <v>-3000</v>
      </c>
      <c r="K25" s="92">
        <v>414000</v>
      </c>
      <c r="L25" s="92">
        <v>0</v>
      </c>
      <c r="M25" s="92">
        <v>177000</v>
      </c>
      <c r="N25" s="92">
        <v>0</v>
      </c>
    </row>
    <row r="26" spans="1:14" x14ac:dyDescent="0.2">
      <c r="A26" s="86">
        <f t="shared" si="0"/>
        <v>18</v>
      </c>
      <c r="B26" s="94" t="s">
        <v>65</v>
      </c>
      <c r="C26" s="110">
        <f t="shared" ref="C26:D26" si="10">SUM(C22:C25)</f>
        <v>1547912000</v>
      </c>
      <c r="D26" s="97">
        <f t="shared" si="10"/>
        <v>134222000</v>
      </c>
      <c r="E26" s="97">
        <f t="shared" ref="E26:I26" si="11">SUM(E22:E25)</f>
        <v>126264000</v>
      </c>
      <c r="F26" s="97">
        <f t="shared" si="11"/>
        <v>0</v>
      </c>
      <c r="G26" s="97">
        <f t="shared" si="11"/>
        <v>-2559000</v>
      </c>
      <c r="H26" s="97">
        <f t="shared" si="11"/>
        <v>6314000</v>
      </c>
      <c r="I26" s="97">
        <f t="shared" si="11"/>
        <v>1098000</v>
      </c>
      <c r="J26" s="97">
        <f t="shared" ref="J26:M26" si="12">SUM(J22:J25)</f>
        <v>-43000</v>
      </c>
      <c r="K26" s="97">
        <f t="shared" si="12"/>
        <v>3620000</v>
      </c>
      <c r="L26" s="97">
        <f t="shared" si="12"/>
        <v>0</v>
      </c>
      <c r="M26" s="97">
        <f t="shared" si="12"/>
        <v>-166000</v>
      </c>
      <c r="N26" s="97">
        <f t="shared" ref="N26" si="13">SUM(N22:N25)</f>
        <v>-306000</v>
      </c>
    </row>
    <row r="27" spans="1:14" x14ac:dyDescent="0.2">
      <c r="A27" s="86">
        <f t="shared" si="0"/>
        <v>19</v>
      </c>
      <c r="B27" s="86"/>
      <c r="C27" s="109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</row>
    <row r="28" spans="1:14" x14ac:dyDescent="0.2">
      <c r="A28" s="86">
        <f t="shared" si="0"/>
        <v>20</v>
      </c>
      <c r="B28" s="91">
        <v>40</v>
      </c>
      <c r="C28" s="110">
        <v>586557000</v>
      </c>
      <c r="D28" s="95">
        <f>SUM(E28:N28)</f>
        <v>46400000</v>
      </c>
      <c r="E28" s="95">
        <v>42565000</v>
      </c>
      <c r="F28" s="95">
        <v>0</v>
      </c>
      <c r="G28" s="95">
        <v>-1039000</v>
      </c>
      <c r="H28" s="95">
        <v>2223000</v>
      </c>
      <c r="I28" s="95">
        <v>380000</v>
      </c>
      <c r="J28" s="95">
        <v>-18000</v>
      </c>
      <c r="K28" s="95">
        <v>1234000</v>
      </c>
      <c r="L28" s="95">
        <v>0</v>
      </c>
      <c r="M28" s="95">
        <v>1055000</v>
      </c>
      <c r="N28" s="95">
        <v>0</v>
      </c>
    </row>
    <row r="29" spans="1:14" x14ac:dyDescent="0.2">
      <c r="A29" s="86">
        <f t="shared" si="0"/>
        <v>21</v>
      </c>
      <c r="B29" s="91"/>
      <c r="C29" s="109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1:14" x14ac:dyDescent="0.2">
      <c r="A30" s="86">
        <f t="shared" si="0"/>
        <v>22</v>
      </c>
      <c r="B30" s="91">
        <v>46</v>
      </c>
      <c r="C30" s="109">
        <v>76343000</v>
      </c>
      <c r="D30" s="92">
        <f>SUM(E30:N30)</f>
        <v>5461000</v>
      </c>
      <c r="E30" s="92">
        <v>5055000</v>
      </c>
      <c r="F30" s="92">
        <v>0</v>
      </c>
      <c r="G30" s="92">
        <v>-65000</v>
      </c>
      <c r="H30" s="92">
        <v>200000</v>
      </c>
      <c r="I30" s="92">
        <v>45000</v>
      </c>
      <c r="J30" s="92">
        <v>-1000</v>
      </c>
      <c r="K30" s="92">
        <v>126000</v>
      </c>
      <c r="L30" s="92">
        <v>0</v>
      </c>
      <c r="M30" s="92">
        <v>101000</v>
      </c>
      <c r="N30" s="92">
        <v>0</v>
      </c>
    </row>
    <row r="31" spans="1:14" x14ac:dyDescent="0.2">
      <c r="A31" s="86">
        <f t="shared" si="0"/>
        <v>23</v>
      </c>
      <c r="B31" s="91">
        <v>49</v>
      </c>
      <c r="C31" s="109">
        <v>603277000</v>
      </c>
      <c r="D31" s="92">
        <f>SUM(E31:N31)</f>
        <v>42328000</v>
      </c>
      <c r="E31" s="92">
        <v>38872000</v>
      </c>
      <c r="F31" s="92">
        <v>0</v>
      </c>
      <c r="G31" s="92">
        <v>-1023000</v>
      </c>
      <c r="H31" s="92">
        <v>2355000</v>
      </c>
      <c r="I31" s="92">
        <v>346000</v>
      </c>
      <c r="J31" s="92">
        <v>-17000</v>
      </c>
      <c r="K31" s="92">
        <v>997000</v>
      </c>
      <c r="L31" s="92">
        <v>0</v>
      </c>
      <c r="M31" s="92">
        <v>798000</v>
      </c>
      <c r="N31" s="92">
        <v>0</v>
      </c>
    </row>
    <row r="32" spans="1:14" x14ac:dyDescent="0.2">
      <c r="A32" s="86">
        <f t="shared" si="0"/>
        <v>24</v>
      </c>
      <c r="B32" s="94" t="s">
        <v>66</v>
      </c>
      <c r="C32" s="110">
        <f t="shared" ref="C32:D32" si="14">SUM(C30:C31)</f>
        <v>679620000</v>
      </c>
      <c r="D32" s="97">
        <f t="shared" si="14"/>
        <v>47789000</v>
      </c>
      <c r="E32" s="97">
        <f t="shared" ref="E32:I32" si="15">SUM(E30:E31)</f>
        <v>43927000</v>
      </c>
      <c r="F32" s="97">
        <f t="shared" si="15"/>
        <v>0</v>
      </c>
      <c r="G32" s="97">
        <f t="shared" si="15"/>
        <v>-1088000</v>
      </c>
      <c r="H32" s="97">
        <f t="shared" si="15"/>
        <v>2555000</v>
      </c>
      <c r="I32" s="97">
        <f t="shared" si="15"/>
        <v>391000</v>
      </c>
      <c r="J32" s="97">
        <f t="shared" ref="J32:M32" si="16">SUM(J30:J31)</f>
        <v>-18000</v>
      </c>
      <c r="K32" s="97">
        <f t="shared" si="16"/>
        <v>1123000</v>
      </c>
      <c r="L32" s="97">
        <f t="shared" si="16"/>
        <v>0</v>
      </c>
      <c r="M32" s="97">
        <f t="shared" si="16"/>
        <v>899000</v>
      </c>
      <c r="N32" s="97">
        <f t="shared" ref="N32" si="17">SUM(N30:N31)</f>
        <v>0</v>
      </c>
    </row>
    <row r="33" spans="1:14" x14ac:dyDescent="0.2">
      <c r="A33" s="86">
        <f t="shared" si="0"/>
        <v>25</v>
      </c>
      <c r="B33" s="91"/>
      <c r="C33" s="109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14" x14ac:dyDescent="0.2">
      <c r="A34" s="86">
        <f t="shared" si="0"/>
        <v>26</v>
      </c>
      <c r="B34" s="91" t="s">
        <v>16</v>
      </c>
      <c r="C34" s="110">
        <v>71132000</v>
      </c>
      <c r="D34" s="95">
        <f>SUM(E34:N34)</f>
        <v>16911000</v>
      </c>
      <c r="E34" s="95">
        <v>15954000</v>
      </c>
      <c r="F34" s="95">
        <v>0</v>
      </c>
      <c r="G34" s="95">
        <v>-150000</v>
      </c>
      <c r="H34" s="95">
        <v>325000</v>
      </c>
      <c r="I34" s="95">
        <v>139000</v>
      </c>
      <c r="J34" s="95">
        <v>-2000</v>
      </c>
      <c r="K34" s="95">
        <v>660000</v>
      </c>
      <c r="L34" s="95">
        <v>0</v>
      </c>
      <c r="M34" s="95">
        <v>0</v>
      </c>
      <c r="N34" s="95">
        <v>-15000</v>
      </c>
    </row>
    <row r="35" spans="1:14" x14ac:dyDescent="0.2">
      <c r="A35" s="86">
        <f t="shared" si="0"/>
        <v>27</v>
      </c>
      <c r="B35" s="91"/>
      <c r="C35" s="109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</row>
    <row r="36" spans="1:14" x14ac:dyDescent="0.2">
      <c r="A36" s="86">
        <f t="shared" si="0"/>
        <v>28</v>
      </c>
      <c r="B36" s="91" t="s">
        <v>144</v>
      </c>
      <c r="C36" s="110">
        <v>2028599000</v>
      </c>
      <c r="D36" s="95">
        <f>SUM(E36:N36)</f>
        <v>9963000</v>
      </c>
      <c r="E36" s="95">
        <v>7695000</v>
      </c>
      <c r="F36" s="95">
        <v>0</v>
      </c>
      <c r="G36" s="95">
        <v>0</v>
      </c>
      <c r="H36" s="95">
        <v>2140000</v>
      </c>
      <c r="I36" s="95">
        <v>67000</v>
      </c>
      <c r="J36" s="95">
        <v>0</v>
      </c>
      <c r="K36" s="95">
        <v>61000</v>
      </c>
      <c r="L36" s="95">
        <v>0</v>
      </c>
      <c r="M36" s="95">
        <v>0</v>
      </c>
      <c r="N36" s="95">
        <v>0</v>
      </c>
    </row>
    <row r="37" spans="1:14" x14ac:dyDescent="0.2">
      <c r="A37" s="86">
        <f t="shared" si="0"/>
        <v>29</v>
      </c>
      <c r="B37" s="91"/>
      <c r="C37" s="109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3.5" thickBot="1" x14ac:dyDescent="0.25">
      <c r="A38" s="86">
        <f t="shared" si="0"/>
        <v>30</v>
      </c>
      <c r="B38" s="94" t="s">
        <v>4</v>
      </c>
      <c r="C38" s="111">
        <f t="shared" ref="C38:D38" si="18">SUM(C11,C20,C26,C28,C32,C34,C36)</f>
        <v>24014718000</v>
      </c>
      <c r="D38" s="98">
        <f t="shared" si="18"/>
        <v>2169824000</v>
      </c>
      <c r="E38" s="98">
        <f t="shared" ref="E38:I38" si="19">SUM(E11,E20,E26,E28,E32,E34,E36)</f>
        <v>2114536000</v>
      </c>
      <c r="F38" s="98">
        <f t="shared" si="19"/>
        <v>0</v>
      </c>
      <c r="G38" s="98">
        <f t="shared" si="19"/>
        <v>-41454000</v>
      </c>
      <c r="H38" s="98">
        <f t="shared" si="19"/>
        <v>101349000</v>
      </c>
      <c r="I38" s="98">
        <f t="shared" si="19"/>
        <v>18384000</v>
      </c>
      <c r="J38" s="98">
        <f t="shared" ref="J38:M38" si="20">SUM(J11,J20,J26,J28,J32,J34,J36)</f>
        <v>-699000</v>
      </c>
      <c r="K38" s="98">
        <f t="shared" si="20"/>
        <v>64791000</v>
      </c>
      <c r="L38" s="98">
        <f t="shared" si="20"/>
        <v>0</v>
      </c>
      <c r="M38" s="98">
        <f t="shared" si="20"/>
        <v>-3218000</v>
      </c>
      <c r="N38" s="98">
        <f t="shared" ref="N38" si="21">SUM(N11,N20,N26,N28,N32,N34,N36)</f>
        <v>-83865000</v>
      </c>
    </row>
    <row r="39" spans="1:14" ht="13.5" thickTop="1" x14ac:dyDescent="0.2">
      <c r="A39" s="86">
        <f t="shared" si="0"/>
        <v>31</v>
      </c>
      <c r="B39" s="91"/>
      <c r="C39" s="51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x14ac:dyDescent="0.2">
      <c r="A40" s="86">
        <f t="shared" si="0"/>
        <v>32</v>
      </c>
      <c r="B40" s="91">
        <v>5</v>
      </c>
      <c r="C40" s="110">
        <v>7036000</v>
      </c>
      <c r="D40" s="95">
        <f>SUM(E40:N40)</f>
        <v>321000</v>
      </c>
      <c r="E40" s="95">
        <v>321000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</row>
    <row r="41" spans="1:14" x14ac:dyDescent="0.2">
      <c r="A41" s="86">
        <f t="shared" si="0"/>
        <v>33</v>
      </c>
      <c r="B41" s="91"/>
      <c r="C41" s="51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ht="13.5" thickBot="1" x14ac:dyDescent="0.25">
      <c r="A42" s="86">
        <f t="shared" si="0"/>
        <v>34</v>
      </c>
      <c r="B42" s="94" t="s">
        <v>145</v>
      </c>
      <c r="C42" s="111">
        <f t="shared" ref="C42:D42" si="22">+C40+C38</f>
        <v>24021754000</v>
      </c>
      <c r="D42" s="98">
        <f t="shared" si="22"/>
        <v>2170145000</v>
      </c>
      <c r="E42" s="98">
        <f t="shared" ref="E42:I42" si="23">+E40+E38</f>
        <v>2114857000</v>
      </c>
      <c r="F42" s="98">
        <f t="shared" si="23"/>
        <v>0</v>
      </c>
      <c r="G42" s="98">
        <f t="shared" si="23"/>
        <v>-41454000</v>
      </c>
      <c r="H42" s="98">
        <f t="shared" si="23"/>
        <v>101349000</v>
      </c>
      <c r="I42" s="98">
        <f t="shared" si="23"/>
        <v>18384000</v>
      </c>
      <c r="J42" s="98">
        <f t="shared" ref="J42:M42" si="24">+J40+J38</f>
        <v>-699000</v>
      </c>
      <c r="K42" s="98">
        <f t="shared" si="24"/>
        <v>64791000</v>
      </c>
      <c r="L42" s="98">
        <f t="shared" si="24"/>
        <v>0</v>
      </c>
      <c r="M42" s="98">
        <f t="shared" si="24"/>
        <v>-3218000</v>
      </c>
      <c r="N42" s="98">
        <f t="shared" ref="N42" si="25">+N40+N38</f>
        <v>-83865000</v>
      </c>
    </row>
    <row r="43" spans="1:14" ht="13.5" thickTop="1" x14ac:dyDescent="0.2"/>
    <row r="45" spans="1:14" x14ac:dyDescent="0.2">
      <c r="D45" s="10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scale="64" orientation="landscape" r:id="rId1"/>
  <headerFooter>
    <oddFooter>&amp;L&amp;F
&amp;A&amp;CPage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9"/>
  <sheetViews>
    <sheetView zoomScaleNormal="100" workbookViewId="0">
      <selection activeCell="B9" sqref="B9"/>
    </sheetView>
  </sheetViews>
  <sheetFormatPr defaultColWidth="9.140625" defaultRowHeight="15" x14ac:dyDescent="0.25"/>
  <cols>
    <col min="1" max="1" width="42.7109375" style="106" bestFit="1" customWidth="1"/>
    <col min="2" max="4" width="14.7109375" style="106" bestFit="1" customWidth="1"/>
    <col min="5" max="16384" width="9.140625" style="106"/>
  </cols>
  <sheetData>
    <row r="1" spans="1:5" x14ac:dyDescent="0.25">
      <c r="A1"/>
      <c r="B1"/>
      <c r="C1"/>
      <c r="D1"/>
      <c r="E1" s="17"/>
    </row>
    <row r="2" spans="1:5" x14ac:dyDescent="0.25">
      <c r="A2" s="112"/>
      <c r="B2" s="112"/>
      <c r="C2" s="112"/>
      <c r="D2" s="112"/>
      <c r="E2" s="17"/>
    </row>
    <row r="3" spans="1:5" x14ac:dyDescent="0.25">
      <c r="A3" t="s">
        <v>2</v>
      </c>
      <c r="B3" t="s">
        <v>72</v>
      </c>
      <c r="C3" t="s">
        <v>73</v>
      </c>
      <c r="D3" t="s">
        <v>71</v>
      </c>
      <c r="E3" s="17"/>
    </row>
    <row r="4" spans="1:5" x14ac:dyDescent="0.25">
      <c r="A4"/>
      <c r="B4" s="113"/>
      <c r="C4" s="113"/>
      <c r="D4" s="113"/>
      <c r="E4" s="17"/>
    </row>
    <row r="5" spans="1:5" x14ac:dyDescent="0.25">
      <c r="A5" t="s">
        <v>163</v>
      </c>
      <c r="B5" s="9">
        <v>-4832676.5810000002</v>
      </c>
      <c r="C5" s="9">
        <v>-2191028.6800000002</v>
      </c>
      <c r="D5" s="9">
        <v>-7023705.2609999999</v>
      </c>
      <c r="E5" s="17"/>
    </row>
    <row r="6" spans="1:5" x14ac:dyDescent="0.25">
      <c r="A6" t="s">
        <v>164</v>
      </c>
      <c r="B6" s="114">
        <v>-1258469.2180000001</v>
      </c>
      <c r="C6" s="114">
        <v>-877665.4148899999</v>
      </c>
      <c r="D6" s="114">
        <v>-2136134.63289</v>
      </c>
      <c r="E6" s="17"/>
    </row>
    <row r="7" spans="1:5" x14ac:dyDescent="0.25">
      <c r="A7" t="s">
        <v>165</v>
      </c>
      <c r="B7" s="9">
        <v>-6091145.7990000006</v>
      </c>
      <c r="C7" s="9">
        <v>-3068694.0948900003</v>
      </c>
      <c r="D7" s="9">
        <v>-9159839.8938900009</v>
      </c>
      <c r="E7" s="17"/>
    </row>
    <row r="8" spans="1:5" ht="15.75" thickBot="1" x14ac:dyDescent="0.3">
      <c r="A8" t="s">
        <v>166</v>
      </c>
      <c r="B8" s="115">
        <v>-6219197.1793429432</v>
      </c>
      <c r="C8" s="115">
        <v>-3120799.8089190535</v>
      </c>
      <c r="D8" s="115">
        <v>-9339996.9882619977</v>
      </c>
      <c r="E8" s="17"/>
    </row>
    <row r="9" spans="1:5" ht="15.75" thickTop="1" x14ac:dyDescent="0.25">
      <c r="A9" t="s">
        <v>167</v>
      </c>
      <c r="B9" s="9">
        <v>-128051.38034294266</v>
      </c>
      <c r="C9" s="9">
        <v>-52105.714029053226</v>
      </c>
      <c r="D9" s="9">
        <v>-180157.09437199682</v>
      </c>
      <c r="E9" s="17"/>
    </row>
  </sheetData>
  <phoneticPr fontId="4" type="noConversion"/>
  <printOptions horizontalCentered="1"/>
  <pageMargins left="0.7" right="0.7" top="0.75" bottom="0.75" header="0.3" footer="0.3"/>
  <pageSetup orientation="landscape" r:id="rId1"/>
  <headerFooter alignWithMargins="0">
    <oddFooter>&amp;L&amp;F,
&amp;A&amp;CPage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selection activeCell="F7" sqref="F7"/>
    </sheetView>
  </sheetViews>
  <sheetFormatPr defaultRowHeight="12.75" x14ac:dyDescent="0.2"/>
  <cols>
    <col min="1" max="1" width="4.42578125" bestFit="1" customWidth="1"/>
    <col min="2" max="2" width="41.28515625" bestFit="1" customWidth="1"/>
    <col min="3" max="3" width="10.85546875" bestFit="1" customWidth="1"/>
    <col min="4" max="4" width="15" bestFit="1" customWidth="1"/>
    <col min="5" max="5" width="16.85546875" customWidth="1"/>
    <col min="6" max="6" width="11.28515625" bestFit="1" customWidth="1"/>
    <col min="7" max="7" width="14" customWidth="1"/>
    <col min="8" max="9" width="15" customWidth="1"/>
    <col min="10" max="10" width="11.28515625" bestFit="1" customWidth="1"/>
    <col min="11" max="11" width="10.28515625" bestFit="1" customWidth="1"/>
    <col min="13" max="13" width="13.5703125" bestFit="1" customWidth="1"/>
    <col min="14" max="14" width="16.5703125" bestFit="1" customWidth="1"/>
  </cols>
  <sheetData>
    <row r="1" spans="1:14" x14ac:dyDescent="0.2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4" x14ac:dyDescent="0.2">
      <c r="A2" s="118" t="s">
        <v>60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4" x14ac:dyDescent="0.2">
      <c r="A3" s="118" t="s">
        <v>27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4" x14ac:dyDescent="0.2">
      <c r="A4" s="117" t="s">
        <v>30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4" x14ac:dyDescent="0.2">
      <c r="A5" s="28"/>
    </row>
    <row r="7" spans="1:14" s="4" customFormat="1" ht="76.5" x14ac:dyDescent="0.2">
      <c r="A7" s="39" t="s">
        <v>1</v>
      </c>
      <c r="B7" s="39" t="s">
        <v>2</v>
      </c>
      <c r="C7" s="39" t="s">
        <v>3</v>
      </c>
      <c r="D7" s="40" t="s">
        <v>170</v>
      </c>
      <c r="E7" s="40" t="s">
        <v>171</v>
      </c>
      <c r="F7" s="40" t="s">
        <v>168</v>
      </c>
      <c r="G7" s="41" t="s">
        <v>169</v>
      </c>
      <c r="H7" s="39" t="s">
        <v>62</v>
      </c>
      <c r="I7" s="40" t="s">
        <v>63</v>
      </c>
      <c r="J7" s="40" t="s">
        <v>61</v>
      </c>
      <c r="K7" s="39" t="s">
        <v>59</v>
      </c>
    </row>
    <row r="8" spans="1:14" s="4" customFormat="1" x14ac:dyDescent="0.2">
      <c r="A8" s="6" t="s">
        <v>17</v>
      </c>
      <c r="B8" s="6" t="s">
        <v>18</v>
      </c>
      <c r="C8" s="6" t="s">
        <v>19</v>
      </c>
      <c r="D8" s="7" t="s">
        <v>20</v>
      </c>
      <c r="E8" s="6" t="s">
        <v>21</v>
      </c>
      <c r="F8" s="6" t="s">
        <v>26</v>
      </c>
      <c r="G8" s="31" t="s">
        <v>25</v>
      </c>
      <c r="H8" s="15" t="s">
        <v>67</v>
      </c>
      <c r="I8" s="15" t="s">
        <v>68</v>
      </c>
      <c r="J8" s="7" t="s">
        <v>69</v>
      </c>
      <c r="K8" s="4" t="s">
        <v>70</v>
      </c>
    </row>
    <row r="9" spans="1:14" s="4" customFormat="1" x14ac:dyDescent="0.2">
      <c r="A9" s="6"/>
      <c r="B9" s="6"/>
      <c r="C9" s="6"/>
      <c r="E9" s="6"/>
      <c r="F9" s="6"/>
      <c r="G9" s="31"/>
      <c r="H9" s="6"/>
      <c r="I9" s="6"/>
    </row>
    <row r="10" spans="1:14" x14ac:dyDescent="0.2">
      <c r="A10" s="38">
        <v>1</v>
      </c>
      <c r="B10" t="s">
        <v>8</v>
      </c>
      <c r="C10" s="38">
        <v>7</v>
      </c>
      <c r="D10" s="13">
        <v>10589868000</v>
      </c>
      <c r="E10" s="12">
        <v>1156336000</v>
      </c>
      <c r="F10" s="24">
        <v>-3.6600000000000001E-4</v>
      </c>
      <c r="G10" s="35">
        <v>-3.4600000000000001E-4</v>
      </c>
      <c r="H10" s="25">
        <v>1152460108</v>
      </c>
      <c r="I10" s="25">
        <v>1152671906</v>
      </c>
      <c r="J10" s="12">
        <v>211798</v>
      </c>
      <c r="K10" s="27">
        <v>1.8377902933886195E-4</v>
      </c>
      <c r="M10" s="4"/>
      <c r="N10" s="4"/>
    </row>
    <row r="11" spans="1:14" x14ac:dyDescent="0.2">
      <c r="A11" s="38">
        <v>2</v>
      </c>
      <c r="B11" s="28" t="s">
        <v>150</v>
      </c>
      <c r="C11" s="84" t="s">
        <v>152</v>
      </c>
      <c r="D11" s="13">
        <v>2956760000</v>
      </c>
      <c r="E11" s="12">
        <v>309034000</v>
      </c>
      <c r="F11" s="24">
        <v>-2.6600000000000001E-4</v>
      </c>
      <c r="G11" s="35">
        <v>-2.63E-4</v>
      </c>
      <c r="H11" s="25">
        <v>308247502</v>
      </c>
      <c r="I11" s="25">
        <v>308256372</v>
      </c>
      <c r="J11" s="12">
        <v>8870</v>
      </c>
      <c r="K11" s="27">
        <v>2.8775577879622201E-5</v>
      </c>
      <c r="M11" s="4"/>
      <c r="N11" s="4"/>
    </row>
    <row r="12" spans="1:14" x14ac:dyDescent="0.2">
      <c r="A12" s="38">
        <v>3</v>
      </c>
      <c r="B12" s="28" t="s">
        <v>151</v>
      </c>
      <c r="C12" s="84" t="s">
        <v>153</v>
      </c>
      <c r="D12" s="13">
        <v>2962293000</v>
      </c>
      <c r="E12" s="12">
        <v>288521000</v>
      </c>
      <c r="F12" s="24">
        <v>-2.4000000000000001E-4</v>
      </c>
      <c r="G12" s="35">
        <v>-2.4499999999999999E-4</v>
      </c>
      <c r="H12" s="25">
        <v>287810050</v>
      </c>
      <c r="I12" s="25">
        <v>287795238</v>
      </c>
      <c r="J12" s="12">
        <v>-14812</v>
      </c>
      <c r="K12" s="27">
        <v>-5.1464498894322833E-5</v>
      </c>
      <c r="M12" s="4"/>
      <c r="N12" s="4"/>
    </row>
    <row r="13" spans="1:14" x14ac:dyDescent="0.2">
      <c r="A13" s="38">
        <v>4</v>
      </c>
      <c r="B13" s="28" t="s">
        <v>149</v>
      </c>
      <c r="C13" s="84" t="s">
        <v>154</v>
      </c>
      <c r="D13" s="13">
        <v>1891461000</v>
      </c>
      <c r="E13" s="12">
        <v>165868000</v>
      </c>
      <c r="F13" s="24">
        <v>-2.0900000000000001E-4</v>
      </c>
      <c r="G13" s="35">
        <v>-2.02E-4</v>
      </c>
      <c r="H13" s="25">
        <v>165472685</v>
      </c>
      <c r="I13" s="25">
        <v>165485925</v>
      </c>
      <c r="J13" s="12">
        <v>13240</v>
      </c>
      <c r="K13" s="27">
        <v>8.0013205804933907E-5</v>
      </c>
      <c r="M13" s="4"/>
      <c r="N13" s="4"/>
    </row>
    <row r="14" spans="1:14" x14ac:dyDescent="0.2">
      <c r="A14" s="38">
        <v>5</v>
      </c>
      <c r="B14" s="3" t="s">
        <v>12</v>
      </c>
      <c r="C14" s="84" t="s">
        <v>155</v>
      </c>
      <c r="D14" s="13">
        <v>1428898000</v>
      </c>
      <c r="E14" s="12">
        <v>124017000</v>
      </c>
      <c r="F14" s="24">
        <v>-2.34E-4</v>
      </c>
      <c r="G14" s="35">
        <v>-2.3800000000000001E-4</v>
      </c>
      <c r="H14" s="25">
        <v>123682638</v>
      </c>
      <c r="I14" s="25">
        <v>123676922</v>
      </c>
      <c r="J14" s="12">
        <v>-5716</v>
      </c>
      <c r="K14" s="27">
        <v>-4.6215055665290706E-5</v>
      </c>
      <c r="M14" s="4"/>
      <c r="N14" s="4"/>
    </row>
    <row r="15" spans="1:14" x14ac:dyDescent="0.2">
      <c r="A15" s="38">
        <v>6</v>
      </c>
      <c r="B15" s="3" t="s">
        <v>13</v>
      </c>
      <c r="C15" s="38">
        <v>40</v>
      </c>
      <c r="D15" s="13">
        <v>681789000</v>
      </c>
      <c r="E15" s="12">
        <v>57022000</v>
      </c>
      <c r="F15" s="24">
        <v>-1.2899999999999999E-4</v>
      </c>
      <c r="G15" s="35">
        <v>-1.3100000000000001E-4</v>
      </c>
      <c r="H15" s="25">
        <v>56934049</v>
      </c>
      <c r="I15" s="25">
        <v>56932686</v>
      </c>
      <c r="J15" s="12">
        <v>-1363</v>
      </c>
      <c r="K15" s="27">
        <v>-2.3939980098727917E-5</v>
      </c>
      <c r="M15" s="4"/>
      <c r="N15" s="4"/>
    </row>
    <row r="16" spans="1:14" x14ac:dyDescent="0.2">
      <c r="A16" s="38">
        <v>7</v>
      </c>
      <c r="B16" s="3" t="s">
        <v>14</v>
      </c>
      <c r="C16" s="84" t="s">
        <v>156</v>
      </c>
      <c r="D16" s="13">
        <v>648998000</v>
      </c>
      <c r="E16" s="12">
        <v>46431000</v>
      </c>
      <c r="F16" s="24">
        <v>-8.5000000000000006E-5</v>
      </c>
      <c r="G16" s="35">
        <v>-1.1E-4</v>
      </c>
      <c r="H16" s="25">
        <v>46375835</v>
      </c>
      <c r="I16" s="25">
        <v>46359610</v>
      </c>
      <c r="J16" s="12">
        <v>-16225</v>
      </c>
      <c r="K16" s="27">
        <v>-3.4985892976374444E-4</v>
      </c>
      <c r="M16" s="4"/>
      <c r="N16" s="4"/>
    </row>
    <row r="17" spans="1:14" x14ac:dyDescent="0.2">
      <c r="A17" s="38">
        <v>8</v>
      </c>
      <c r="B17" s="3" t="s">
        <v>15</v>
      </c>
      <c r="C17" s="38">
        <v>449</v>
      </c>
      <c r="D17" s="13">
        <v>2089170000</v>
      </c>
      <c r="E17" s="12">
        <v>10853000</v>
      </c>
      <c r="F17" s="24">
        <v>-3.1000000000000001E-5</v>
      </c>
      <c r="G17" s="35">
        <v>-2.8E-5</v>
      </c>
      <c r="H17" s="25">
        <v>10788236</v>
      </c>
      <c r="I17" s="25">
        <v>10794503</v>
      </c>
      <c r="J17" s="12">
        <v>6267</v>
      </c>
      <c r="K17" s="27">
        <v>5.8091053996223293E-4</v>
      </c>
      <c r="L17" s="16"/>
      <c r="M17" s="4"/>
      <c r="N17" s="4"/>
    </row>
    <row r="18" spans="1:14" x14ac:dyDescent="0.2">
      <c r="A18" s="38">
        <v>9</v>
      </c>
      <c r="B18" t="s">
        <v>6</v>
      </c>
      <c r="C18" s="38" t="s">
        <v>16</v>
      </c>
      <c r="D18" s="13">
        <v>76423000</v>
      </c>
      <c r="E18" s="12">
        <v>20326000</v>
      </c>
      <c r="F18" s="24">
        <v>-1.5399999999999999E-3</v>
      </c>
      <c r="G18" s="35">
        <v>-1.395E-3</v>
      </c>
      <c r="H18" s="25">
        <v>20208309</v>
      </c>
      <c r="I18" s="25">
        <v>20219390</v>
      </c>
      <c r="J18" s="12">
        <v>11081</v>
      </c>
      <c r="K18" s="27">
        <v>5.4833880459765336E-4</v>
      </c>
      <c r="M18" s="4"/>
      <c r="N18" s="4"/>
    </row>
    <row r="19" spans="1:14" x14ac:dyDescent="0.2">
      <c r="A19" s="38">
        <v>10</v>
      </c>
      <c r="B19" t="s">
        <v>7</v>
      </c>
      <c r="C19" s="38"/>
      <c r="D19" s="13">
        <v>6991000</v>
      </c>
      <c r="E19" s="12">
        <v>277000</v>
      </c>
      <c r="F19" s="24">
        <v>0</v>
      </c>
      <c r="G19" s="35">
        <v>0</v>
      </c>
      <c r="H19" s="25">
        <v>277000</v>
      </c>
      <c r="I19" s="25">
        <v>277000</v>
      </c>
      <c r="J19" s="12">
        <v>0</v>
      </c>
      <c r="K19" s="27">
        <v>0</v>
      </c>
      <c r="M19" s="4"/>
      <c r="N19" s="4"/>
    </row>
    <row r="20" spans="1:14" x14ac:dyDescent="0.2">
      <c r="A20" s="38">
        <v>11</v>
      </c>
      <c r="C20" s="38"/>
      <c r="D20" s="13"/>
      <c r="E20" s="38"/>
      <c r="F20" s="38"/>
      <c r="G20" s="36"/>
      <c r="H20" s="38"/>
      <c r="I20" s="38"/>
      <c r="K20" s="11"/>
      <c r="M20" s="4"/>
      <c r="N20" s="4"/>
    </row>
    <row r="21" spans="1:14" x14ac:dyDescent="0.2">
      <c r="A21" s="38">
        <v>12</v>
      </c>
      <c r="B21" s="28" t="s">
        <v>4</v>
      </c>
      <c r="C21" s="38"/>
      <c r="D21" s="13">
        <v>23332651000</v>
      </c>
      <c r="E21" s="23">
        <v>2178685000</v>
      </c>
      <c r="F21" s="23"/>
      <c r="G21" s="37"/>
      <c r="H21" s="23">
        <v>2172256412</v>
      </c>
      <c r="I21" s="23">
        <v>2172469552</v>
      </c>
      <c r="J21" s="10">
        <v>213140</v>
      </c>
      <c r="K21" s="27">
        <v>9.7829654126227523E-5</v>
      </c>
      <c r="M21" s="4"/>
      <c r="N21" s="4"/>
    </row>
    <row r="22" spans="1:14" x14ac:dyDescent="0.2">
      <c r="G22" s="17"/>
      <c r="J22" s="14"/>
      <c r="M22" s="4"/>
      <c r="N22" s="4"/>
    </row>
    <row r="23" spans="1:14" x14ac:dyDescent="0.2">
      <c r="D23" s="26"/>
      <c r="G23" s="17"/>
      <c r="M23" s="4"/>
      <c r="N23" s="4"/>
    </row>
    <row r="24" spans="1:14" x14ac:dyDescent="0.2">
      <c r="E24" s="22"/>
      <c r="G24" s="17"/>
      <c r="M24" s="4"/>
      <c r="N24" s="4"/>
    </row>
    <row r="25" spans="1:14" x14ac:dyDescent="0.2">
      <c r="G25" s="17"/>
      <c r="M25" s="4"/>
      <c r="N25" s="4"/>
    </row>
    <row r="26" spans="1:14" x14ac:dyDescent="0.2">
      <c r="G26" s="17"/>
    </row>
  </sheetData>
  <mergeCells count="4">
    <mergeCell ref="A1:K1"/>
    <mergeCell ref="A2:K2"/>
    <mergeCell ref="A3:K3"/>
    <mergeCell ref="A4:K4"/>
  </mergeCells>
  <printOptions horizontalCentered="1"/>
  <pageMargins left="0" right="0" top="1" bottom="1" header="0.5" footer="0.5"/>
  <pageSetup scale="83" orientation="landscape" r:id="rId1"/>
  <headerFooter alignWithMargins="0">
    <oddFooter>&amp;L&amp;F
&amp;A&amp;CPage &amp;P of &amp;N&amp;R&amp;D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opLeftCell="C1" workbookViewId="0">
      <selection activeCell="L7" sqref="L7"/>
    </sheetView>
  </sheetViews>
  <sheetFormatPr defaultRowHeight="12.75" x14ac:dyDescent="0.2"/>
  <cols>
    <col min="1" max="1" width="7.7109375" bestFit="1" customWidth="1"/>
    <col min="2" max="2" width="60.5703125" bestFit="1" customWidth="1"/>
    <col min="3" max="3" width="13.85546875" bestFit="1" customWidth="1"/>
    <col min="4" max="4" width="13.5703125" bestFit="1" customWidth="1"/>
    <col min="5" max="9" width="12.42578125" bestFit="1" customWidth="1"/>
    <col min="10" max="11" width="13.5703125" bestFit="1" customWidth="1"/>
    <col min="12" max="12" width="9.28515625" bestFit="1" customWidth="1"/>
    <col min="13" max="14" width="12.140625" bestFit="1" customWidth="1"/>
    <col min="15" max="15" width="15.140625" bestFit="1" customWidth="1"/>
    <col min="16" max="16" width="11.5703125" bestFit="1" customWidth="1"/>
  </cols>
  <sheetData>
    <row r="1" spans="1:16" x14ac:dyDescent="0.2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x14ac:dyDescent="0.2">
      <c r="A2" s="118" t="s">
        <v>130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x14ac:dyDescent="0.2">
      <c r="A3" s="117" t="s">
        <v>27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7" spans="1:16" ht="51" x14ac:dyDescent="0.2">
      <c r="A7" s="39" t="s">
        <v>1</v>
      </c>
      <c r="B7" s="39" t="s">
        <v>2</v>
      </c>
      <c r="C7" s="39" t="s">
        <v>3</v>
      </c>
      <c r="D7" s="40" t="s">
        <v>172</v>
      </c>
      <c r="E7" s="40" t="s">
        <v>173</v>
      </c>
      <c r="F7" s="40" t="s">
        <v>174</v>
      </c>
      <c r="G7" s="40" t="s">
        <v>175</v>
      </c>
      <c r="H7" s="40" t="s">
        <v>176</v>
      </c>
      <c r="I7" s="40" t="s">
        <v>177</v>
      </c>
      <c r="J7" s="40" t="s">
        <v>147</v>
      </c>
      <c r="K7" s="40" t="s">
        <v>89</v>
      </c>
      <c r="L7" s="40" t="s">
        <v>88</v>
      </c>
      <c r="M7" s="40" t="s">
        <v>129</v>
      </c>
      <c r="N7" s="39" t="s">
        <v>22</v>
      </c>
      <c r="O7" s="40" t="s">
        <v>131</v>
      </c>
      <c r="P7" s="40" t="s">
        <v>23</v>
      </c>
    </row>
    <row r="8" spans="1:16" ht="38.25" x14ac:dyDescent="0.2">
      <c r="A8" s="6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26</v>
      </c>
      <c r="G8" s="15" t="s">
        <v>25</v>
      </c>
      <c r="H8" s="15" t="s">
        <v>178</v>
      </c>
      <c r="I8" s="15" t="s">
        <v>179</v>
      </c>
      <c r="J8" s="15" t="s">
        <v>148</v>
      </c>
      <c r="K8" s="15" t="s">
        <v>123</v>
      </c>
      <c r="L8" s="15" t="s">
        <v>124</v>
      </c>
      <c r="M8" s="6" t="s">
        <v>125</v>
      </c>
      <c r="N8" s="15" t="s">
        <v>126</v>
      </c>
      <c r="O8" s="4" t="s">
        <v>127</v>
      </c>
      <c r="P8" s="7" t="s">
        <v>128</v>
      </c>
    </row>
    <row r="9" spans="1:16" x14ac:dyDescent="0.2">
      <c r="A9" s="6"/>
      <c r="B9" s="6"/>
      <c r="C9" s="6"/>
      <c r="M9" s="4"/>
      <c r="N9" s="4"/>
      <c r="O9" s="4"/>
      <c r="P9" s="4"/>
    </row>
    <row r="10" spans="1:16" x14ac:dyDescent="0.2">
      <c r="A10" s="107">
        <v>1</v>
      </c>
      <c r="B10" t="s">
        <v>8</v>
      </c>
      <c r="C10" s="107">
        <v>7</v>
      </c>
      <c r="D10" s="9">
        <v>371648622</v>
      </c>
      <c r="E10" s="9">
        <v>17526340.957159281</v>
      </c>
      <c r="F10" s="9">
        <v>614079.14447878476</v>
      </c>
      <c r="G10" s="9">
        <v>32793980.978831939</v>
      </c>
      <c r="H10" s="48">
        <v>17808295.189884756</v>
      </c>
      <c r="I10" s="48">
        <v>30402304.310861934</v>
      </c>
      <c r="J10" s="10">
        <v>470793622.58121675</v>
      </c>
      <c r="K10" s="10">
        <v>470793622.58121675</v>
      </c>
      <c r="L10" s="33">
        <v>0.58999557192019736</v>
      </c>
      <c r="N10" s="9">
        <v>-3669299</v>
      </c>
      <c r="O10" s="13">
        <v>10589868000</v>
      </c>
      <c r="P10" s="19">
        <v>-3.4600000000000001E-4</v>
      </c>
    </row>
    <row r="11" spans="1:16" x14ac:dyDescent="0.2">
      <c r="A11" s="107">
        <v>2</v>
      </c>
      <c r="B11" s="28" t="s">
        <v>9</v>
      </c>
      <c r="C11" s="108" t="s">
        <v>91</v>
      </c>
      <c r="D11" s="9">
        <v>85480158</v>
      </c>
      <c r="E11" s="9">
        <v>886689.19665950537</v>
      </c>
      <c r="F11" s="9">
        <v>2568151.3140554652</v>
      </c>
      <c r="G11" s="9">
        <v>5604195.0886041475</v>
      </c>
      <c r="H11" s="48">
        <v>-320690.33809085644</v>
      </c>
      <c r="I11" s="48">
        <v>5396507.2225237712</v>
      </c>
      <c r="J11" s="10">
        <v>99615010.483752042</v>
      </c>
      <c r="K11" s="10">
        <v>99615010.483752042</v>
      </c>
      <c r="L11" s="33">
        <v>0.12483689723740661</v>
      </c>
      <c r="N11" s="9">
        <v>-776385</v>
      </c>
      <c r="O11" s="13">
        <v>2956760000</v>
      </c>
      <c r="P11" s="19">
        <v>-2.63E-4</v>
      </c>
    </row>
    <row r="12" spans="1:16" x14ac:dyDescent="0.2">
      <c r="A12" s="107">
        <v>3</v>
      </c>
      <c r="B12" s="28" t="s">
        <v>11</v>
      </c>
      <c r="C12" s="108" t="s">
        <v>96</v>
      </c>
      <c r="D12" s="9">
        <v>79656494</v>
      </c>
      <c r="E12" s="9">
        <v>996177.5623121548</v>
      </c>
      <c r="F12" s="9">
        <v>2887144.5538043384</v>
      </c>
      <c r="G12" s="9">
        <v>6300299.0672577787</v>
      </c>
      <c r="H12" s="48">
        <v>-360523.68020893482</v>
      </c>
      <c r="I12" s="48">
        <v>3545934.559094232</v>
      </c>
      <c r="J12" s="10">
        <v>93025526.06225957</v>
      </c>
      <c r="K12" s="10">
        <v>93025526.06225957</v>
      </c>
      <c r="L12" s="33">
        <v>0.11657899729262347</v>
      </c>
      <c r="N12" s="9">
        <v>-725028</v>
      </c>
      <c r="O12" s="13">
        <v>2962293000</v>
      </c>
      <c r="P12" s="19">
        <v>-2.4499999999999999E-4</v>
      </c>
    </row>
    <row r="13" spans="1:16" x14ac:dyDescent="0.2">
      <c r="A13" s="107">
        <v>4</v>
      </c>
      <c r="B13" s="28" t="s">
        <v>10</v>
      </c>
      <c r="C13" s="108" t="s">
        <v>95</v>
      </c>
      <c r="D13" s="9">
        <v>41783988</v>
      </c>
      <c r="E13" s="9">
        <v>650415.12409452535</v>
      </c>
      <c r="F13" s="9">
        <v>2145516.6668333146</v>
      </c>
      <c r="G13" s="9">
        <v>2650683.0798835941</v>
      </c>
      <c r="H13" s="48">
        <v>1870844.4346424788</v>
      </c>
      <c r="I13" s="48">
        <v>-1092.7684310112902</v>
      </c>
      <c r="J13" s="10">
        <v>49100354.537022904</v>
      </c>
      <c r="K13" s="10">
        <v>49100354.537022904</v>
      </c>
      <c r="L13" s="33">
        <v>6.1532251855339941E-2</v>
      </c>
      <c r="N13" s="9">
        <v>-382681</v>
      </c>
      <c r="O13" s="13">
        <v>1891461000</v>
      </c>
      <c r="P13" s="19">
        <v>-2.02E-4</v>
      </c>
    </row>
    <row r="14" spans="1:16" x14ac:dyDescent="0.2">
      <c r="A14" s="107">
        <v>5</v>
      </c>
      <c r="B14" s="3" t="s">
        <v>12</v>
      </c>
      <c r="C14" s="108" t="s">
        <v>97</v>
      </c>
      <c r="D14" s="9">
        <v>33707192</v>
      </c>
      <c r="E14" s="9">
        <v>487461.89846681984</v>
      </c>
      <c r="F14" s="9">
        <v>872991.61980990588</v>
      </c>
      <c r="G14" s="9">
        <v>3466546.1345243594</v>
      </c>
      <c r="H14" s="48">
        <v>2264867.2534258175</v>
      </c>
      <c r="I14" s="48">
        <v>2904299.3948697066</v>
      </c>
      <c r="J14" s="10">
        <v>43703358.301096603</v>
      </c>
      <c r="K14" s="10">
        <v>43703358.301096603</v>
      </c>
      <c r="L14" s="33">
        <v>5.4768770516301239E-2</v>
      </c>
      <c r="N14" s="9">
        <v>-340618</v>
      </c>
      <c r="O14" s="13">
        <v>1428898000</v>
      </c>
      <c r="P14" s="19">
        <v>-2.3800000000000001E-4</v>
      </c>
    </row>
    <row r="15" spans="1:16" x14ac:dyDescent="0.2">
      <c r="A15" s="107">
        <v>6</v>
      </c>
      <c r="B15" s="3" t="s">
        <v>13</v>
      </c>
      <c r="C15" s="107">
        <v>40</v>
      </c>
      <c r="D15" s="9">
        <v>7700092</v>
      </c>
      <c r="E15" s="9">
        <v>246286.00980813801</v>
      </c>
      <c r="F15" s="9">
        <v>713905.42369938851</v>
      </c>
      <c r="G15" s="9">
        <v>1557877.5469059327</v>
      </c>
      <c r="H15" s="48">
        <v>-89146.838988050557</v>
      </c>
      <c r="I15" s="48">
        <v>1338664.0084107264</v>
      </c>
      <c r="J15" s="10">
        <v>11467678.149836134</v>
      </c>
      <c r="K15" s="10">
        <v>11467678.149836134</v>
      </c>
      <c r="L15" s="33">
        <v>1.4371221282722745E-2</v>
      </c>
      <c r="N15" s="9">
        <v>-89377</v>
      </c>
      <c r="O15" s="13">
        <v>681789000</v>
      </c>
      <c r="P15" s="19">
        <v>-1.3100000000000001E-4</v>
      </c>
    </row>
    <row r="16" spans="1:16" x14ac:dyDescent="0.2">
      <c r="A16" s="107">
        <v>7</v>
      </c>
      <c r="B16" s="3" t="s">
        <v>14</v>
      </c>
      <c r="C16" s="107" t="s">
        <v>5</v>
      </c>
      <c r="D16" s="9">
        <v>4750421</v>
      </c>
      <c r="E16" s="9">
        <v>215491.54959999816</v>
      </c>
      <c r="F16" s="48">
        <v>625225.8359265516</v>
      </c>
      <c r="G16" s="48">
        <v>1364361.8036800493</v>
      </c>
      <c r="H16" s="48">
        <v>-78073.236420715766</v>
      </c>
      <c r="I16" s="48">
        <v>2257760.3216687501</v>
      </c>
      <c r="J16" s="10">
        <v>9135187.2744546328</v>
      </c>
      <c r="K16" s="10">
        <v>9135187.2744546328</v>
      </c>
      <c r="L16" s="33">
        <v>1.1448158560517009E-2</v>
      </c>
      <c r="N16" s="9">
        <v>-71198</v>
      </c>
      <c r="O16" s="13">
        <v>648998000</v>
      </c>
      <c r="P16" s="19">
        <v>-1.1E-4</v>
      </c>
    </row>
    <row r="17" spans="1:16" x14ac:dyDescent="0.2">
      <c r="A17" s="107">
        <v>8</v>
      </c>
      <c r="B17" s="3" t="s">
        <v>15</v>
      </c>
      <c r="C17" s="107">
        <v>449</v>
      </c>
      <c r="D17" s="9">
        <v>7287130</v>
      </c>
      <c r="E17" s="9">
        <v>17380.000000000058</v>
      </c>
      <c r="F17" s="48">
        <v>34760.000000000116</v>
      </c>
      <c r="G17" s="48">
        <v>34760.000000000116</v>
      </c>
      <c r="H17" s="48">
        <v>34760.000000000116</v>
      </c>
      <c r="I17" s="48">
        <v>34760.000000000116</v>
      </c>
      <c r="J17" s="10">
        <v>7443550</v>
      </c>
      <c r="K17" s="10">
        <v>7443550</v>
      </c>
      <c r="L17" s="33">
        <v>9.3282094929163541E-3</v>
      </c>
      <c r="N17" s="9">
        <v>-58014</v>
      </c>
      <c r="O17" s="13">
        <v>2089170000</v>
      </c>
      <c r="P17" s="19">
        <v>-2.8E-5</v>
      </c>
    </row>
    <row r="18" spans="1:16" x14ac:dyDescent="0.2">
      <c r="A18" s="107">
        <v>9</v>
      </c>
      <c r="B18" t="s">
        <v>6</v>
      </c>
      <c r="C18" s="107" t="s">
        <v>16</v>
      </c>
      <c r="D18" s="9">
        <v>12151747</v>
      </c>
      <c r="E18" s="9">
        <v>169471.88842999935</v>
      </c>
      <c r="F18" s="48">
        <v>338943.7768599987</v>
      </c>
      <c r="G18" s="48">
        <v>338943.7768599987</v>
      </c>
      <c r="H18" s="48">
        <v>338943.7768599987</v>
      </c>
      <c r="I18" s="48">
        <v>338943.7768599987</v>
      </c>
      <c r="J18" s="10">
        <v>13676993.995869994</v>
      </c>
      <c r="K18" s="10">
        <v>13676993.995869994</v>
      </c>
      <c r="L18" s="33">
        <v>1.7139921841975193E-2</v>
      </c>
      <c r="N18" s="9">
        <v>-106597</v>
      </c>
      <c r="O18" s="13">
        <v>76423000</v>
      </c>
      <c r="P18" s="19">
        <v>-1.395E-3</v>
      </c>
    </row>
    <row r="19" spans="1:16" x14ac:dyDescent="0.2">
      <c r="A19" s="107">
        <v>10</v>
      </c>
      <c r="B19" t="s">
        <v>7</v>
      </c>
      <c r="C19" s="107"/>
      <c r="D19" s="9">
        <v>68570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v>68570</v>
      </c>
      <c r="K19" s="10">
        <v>0</v>
      </c>
      <c r="L19" s="33">
        <v>0</v>
      </c>
      <c r="N19" s="9">
        <v>0</v>
      </c>
      <c r="O19" s="13">
        <v>6991000</v>
      </c>
      <c r="P19" s="19">
        <v>0</v>
      </c>
    </row>
    <row r="20" spans="1:16" x14ac:dyDescent="0.2">
      <c r="A20" s="107">
        <v>11</v>
      </c>
      <c r="C20" s="107"/>
      <c r="D20" s="9"/>
      <c r="E20" s="9"/>
      <c r="F20" s="9"/>
      <c r="G20" s="9"/>
      <c r="H20" s="48"/>
      <c r="I20" s="48"/>
      <c r="O20" s="13"/>
    </row>
    <row r="21" spans="1:16" x14ac:dyDescent="0.2">
      <c r="A21" s="107">
        <v>12</v>
      </c>
      <c r="B21" s="28" t="s">
        <v>4</v>
      </c>
      <c r="C21" s="107"/>
      <c r="D21" s="9">
        <v>644234414</v>
      </c>
      <c r="E21" s="9">
        <v>21195714.186530419</v>
      </c>
      <c r="F21" s="9">
        <v>10800718.335467746</v>
      </c>
      <c r="G21" s="9">
        <v>54111647.476547793</v>
      </c>
      <c r="H21" s="9">
        <v>21469276.561104491</v>
      </c>
      <c r="I21" s="9">
        <v>46218080.825858124</v>
      </c>
      <c r="J21" s="9">
        <v>798029851.38550866</v>
      </c>
      <c r="K21" s="9">
        <v>797961281.38550866</v>
      </c>
      <c r="L21" s="33">
        <v>1</v>
      </c>
      <c r="M21" s="48">
        <v>-6219197.1793429432</v>
      </c>
      <c r="N21" s="10">
        <v>-6219197</v>
      </c>
      <c r="O21" s="13">
        <v>23332651000</v>
      </c>
      <c r="P21" s="19">
        <v>-2.6699999999999998E-4</v>
      </c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scale="50" orientation="landscape" r:id="rId1"/>
  <headerFooter>
    <oddFooter>&amp;L&amp;F
&amp;A&amp;CPage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CC006B38D0D1D4F99C14668A7ABA302" ma:contentTypeVersion="68" ma:contentTypeDescription="" ma:contentTypeScope="" ma:versionID="9280b1c0cde7b2417ad233390ec8e0e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2018-11-27T08:00:00+00:00</OpenedDate>
    <SignificantOrder xmlns="dc463f71-b30c-4ab2-9473-d307f9d35888">false</SignificantOrder>
    <Date1 xmlns="dc463f71-b30c-4ab2-9473-d307f9d35888">2018-11-27T08:00:00+00:00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180976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34444F2-B94B-4F17-9A14-2B69C90D1D92}"/>
</file>

<file path=customXml/itemProps2.xml><?xml version="1.0" encoding="utf-8"?>
<ds:datastoreItem xmlns:ds="http://schemas.openxmlformats.org/officeDocument/2006/customXml" ds:itemID="{841C4EA0-6935-41E3-B65B-812C3B132A8D}"/>
</file>

<file path=customXml/itemProps3.xml><?xml version="1.0" encoding="utf-8"?>
<ds:datastoreItem xmlns:ds="http://schemas.openxmlformats.org/officeDocument/2006/customXml" ds:itemID="{C1D735A4-AFF1-4920-94DE-03AAF4E15FFF}"/>
</file>

<file path=customXml/itemProps4.xml><?xml version="1.0" encoding="utf-8"?>
<ds:datastoreItem xmlns:ds="http://schemas.openxmlformats.org/officeDocument/2006/customXml" ds:itemID="{09C677D5-1F7A-480B-A74C-2BCEF87FD9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Lead Sheet</vt:lpstr>
      <vt:lpstr>Tariff Impacts</vt:lpstr>
      <vt:lpstr>Rate Spread &amp; Design</vt:lpstr>
      <vt:lpstr>Typical Res</vt:lpstr>
      <vt:lpstr>2019 Est Proforma Net Revenue</vt:lpstr>
      <vt:lpstr>Rate Credits for 2019</vt:lpstr>
      <vt:lpstr>2017 Merger Credit Impacts</vt:lpstr>
      <vt:lpstr>2018 Merger Credit Calculation</vt:lpstr>
      <vt:lpstr>'2017 Merger Credit Impacts'!Print_Area</vt:lpstr>
      <vt:lpstr>'Lead Sheet'!Print_Area</vt:lpstr>
      <vt:lpstr>'Rate Credits for 2019'!Print_Area</vt:lpstr>
      <vt:lpstr>'Rate Spread &amp; Design'!Print_Area</vt:lpstr>
      <vt:lpstr>'Tariff Impacts'!Print_Area</vt:lpstr>
      <vt:lpstr>'Typical Res'!Print_Area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SFree</cp:lastModifiedBy>
  <cp:lastPrinted>2018-11-26T17:07:36Z</cp:lastPrinted>
  <dcterms:created xsi:type="dcterms:W3CDTF">2008-10-31T16:39:21Z</dcterms:created>
  <dcterms:modified xsi:type="dcterms:W3CDTF">2018-11-27T23:23:57Z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0x0101006E56B4D1795A2E4DB2F0B01679ED314A008CC006B38D0D1D4F99C14668A7ABA302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