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w245\Desktop\"/>
    </mc:Choice>
  </mc:AlternateContent>
  <xr:revisionPtr revIDLastSave="0" documentId="10_ncr:100000_{46998C66-B67C-42BE-9C66-597F502AEA80}" xr6:coauthVersionLast="31" xr6:coauthVersionMax="31" xr10:uidLastSave="{00000000-0000-0000-0000-000000000000}"/>
  <bookViews>
    <workbookView xWindow="0" yWindow="0" windowWidth="25200" windowHeight="11760" firstSheet="2" activeTab="2" xr2:uid="{00000000-000D-0000-FFFF-FFFF00000000}"/>
  </bookViews>
  <sheets>
    <sheet name="Prop. Budget" sheetId="4" state="hidden" r:id="rId1"/>
    <sheet name="Reconcil" sheetId="7" state="hidden" r:id="rId2"/>
    <sheet name="19-21Budget1_July2018 " sheetId="22" r:id="rId3"/>
    <sheet name="BN17FM11" sheetId="5" state="hidden" r:id="rId4"/>
  </sheets>
  <definedNames>
    <definedName name="_xlnm.Print_Area" localSheetId="2">'19-21Budget1_July2018 '!$A$1:$G$124</definedName>
    <definedName name="_xlnm.Print_Area" localSheetId="3">BN17FM11!$A$1:$O$141</definedName>
    <definedName name="_xlnm.Print_Area" localSheetId="0">'Prop. Budget'!$A$1:$O$155</definedName>
    <definedName name="_xlnm.Print_Titles" localSheetId="2">'19-21Budget1_July2018 '!$1:$4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22" l="1"/>
  <c r="E15" i="22"/>
  <c r="G63" i="22"/>
  <c r="G60" i="22"/>
  <c r="G59" i="22"/>
  <c r="G58" i="22"/>
  <c r="G57" i="22"/>
  <c r="G56" i="22"/>
  <c r="G50" i="22"/>
  <c r="G49" i="22"/>
  <c r="G53" i="22"/>
  <c r="G39" i="22" l="1"/>
  <c r="G30" i="22"/>
  <c r="G29" i="22"/>
  <c r="G28" i="22"/>
  <c r="G27" i="22"/>
  <c r="G26" i="22"/>
  <c r="G25" i="22"/>
  <c r="G22" i="22"/>
  <c r="G21" i="22"/>
  <c r="G20" i="22"/>
  <c r="G19" i="22"/>
  <c r="G18" i="22"/>
  <c r="G17" i="22"/>
  <c r="G16" i="22"/>
  <c r="G84" i="22"/>
  <c r="G83" i="22"/>
  <c r="G73" i="22"/>
  <c r="G72" i="22"/>
  <c r="G71" i="22"/>
  <c r="G70" i="22"/>
  <c r="G95" i="22"/>
  <c r="G93" i="22"/>
  <c r="G67" i="22"/>
  <c r="G66" i="22"/>
  <c r="G9" i="22"/>
  <c r="G121" i="22"/>
  <c r="G118" i="22"/>
  <c r="G115" i="22"/>
  <c r="G110" i="22"/>
  <c r="G108" i="22"/>
  <c r="G105" i="22"/>
  <c r="G102" i="22"/>
  <c r="G87" i="22"/>
  <c r="G80" i="22"/>
  <c r="G77" i="22"/>
  <c r="G76" i="22"/>
  <c r="G36" i="22"/>
  <c r="G34" i="22"/>
  <c r="F107" i="22"/>
  <c r="F104" i="22"/>
  <c r="F101" i="22"/>
  <c r="F92" i="22"/>
  <c r="F98" i="22" s="1"/>
  <c r="F86" i="22"/>
  <c r="F82" i="22"/>
  <c r="F79" i="22"/>
  <c r="F75" i="22"/>
  <c r="F69" i="22"/>
  <c r="F46" i="22"/>
  <c r="F32" i="22"/>
  <c r="F24" i="22"/>
  <c r="F15" i="22"/>
  <c r="F40" i="22" s="1"/>
  <c r="E107" i="22"/>
  <c r="G107" i="22" s="1"/>
  <c r="E104" i="22"/>
  <c r="G104" i="22" s="1"/>
  <c r="E101" i="22"/>
  <c r="G101" i="22" s="1"/>
  <c r="E92" i="22"/>
  <c r="E86" i="22"/>
  <c r="G86" i="22" s="1"/>
  <c r="E82" i="22"/>
  <c r="E79" i="22"/>
  <c r="G79" i="22" s="1"/>
  <c r="E75" i="22"/>
  <c r="G75" i="22" s="1"/>
  <c r="E69" i="22"/>
  <c r="E46" i="22"/>
  <c r="G33" i="22"/>
  <c r="E24" i="22"/>
  <c r="F89" i="22" l="1"/>
  <c r="G46" i="22"/>
  <c r="G24" i="22"/>
  <c r="G15" i="22"/>
  <c r="G82" i="22"/>
  <c r="G92" i="22"/>
  <c r="G98" i="22" s="1"/>
  <c r="G69" i="22"/>
  <c r="F112" i="22"/>
  <c r="G112" i="22"/>
  <c r="E89" i="22"/>
  <c r="E112" i="22"/>
  <c r="E32" i="22"/>
  <c r="G32" i="22" s="1"/>
  <c r="E98" i="22"/>
  <c r="E40" i="22" l="1"/>
  <c r="E38" i="22" s="1"/>
  <c r="G89" i="22"/>
  <c r="F38" i="22"/>
  <c r="F42" i="22" s="1"/>
  <c r="G40" i="22"/>
  <c r="E42" i="22"/>
  <c r="F123" i="22" l="1"/>
  <c r="F10" i="22"/>
  <c r="F11" i="22" s="1"/>
  <c r="E123" i="22"/>
  <c r="E10" i="22"/>
  <c r="E11" i="22" s="1"/>
  <c r="G38" i="22"/>
  <c r="G42" i="22" s="1"/>
  <c r="G123" i="22" s="1"/>
  <c r="G11" i="22" l="1"/>
  <c r="O18" i="7" l="1"/>
  <c r="O24" i="7" s="1"/>
  <c r="O33" i="7" s="1"/>
  <c r="I30" i="7"/>
  <c r="J30" i="7"/>
  <c r="J23" i="7"/>
  <c r="I23" i="7"/>
  <c r="I12" i="7"/>
  <c r="I18" i="7" s="1"/>
  <c r="J12" i="7"/>
  <c r="I15" i="7"/>
  <c r="J15" i="7"/>
  <c r="K18" i="7"/>
  <c r="K21" i="7" s="1"/>
  <c r="K24" i="7" s="1"/>
  <c r="K33" i="7"/>
  <c r="L18" i="7"/>
  <c r="L21" i="7" s="1"/>
  <c r="L24" i="7" s="1"/>
  <c r="L33" i="7" s="1"/>
  <c r="M18" i="7"/>
  <c r="M21" i="7" s="1"/>
  <c r="M24" i="7" s="1"/>
  <c r="M33" i="7"/>
  <c r="N4" i="7"/>
  <c r="E51" i="7"/>
  <c r="D51" i="7"/>
  <c r="C50" i="7"/>
  <c r="C44" i="7"/>
  <c r="C51" i="7" s="1"/>
  <c r="C27" i="7"/>
  <c r="C17" i="7"/>
  <c r="C14" i="7"/>
  <c r="C29" i="7" s="1"/>
  <c r="B4" i="7"/>
  <c r="B14" i="7" s="1"/>
  <c r="I21" i="7"/>
  <c r="I24" i="7"/>
  <c r="J18" i="7"/>
  <c r="G43" i="4"/>
  <c r="O13" i="4"/>
  <c r="O15" i="4" s="1"/>
  <c r="M48" i="4"/>
  <c r="L48" i="4"/>
  <c r="K48" i="4"/>
  <c r="J48" i="4"/>
  <c r="G48" i="4"/>
  <c r="F48" i="4"/>
  <c r="N48" i="4"/>
  <c r="F132" i="5"/>
  <c r="M118" i="5"/>
  <c r="L118" i="5"/>
  <c r="N118" i="5"/>
  <c r="K118" i="5"/>
  <c r="J118" i="5"/>
  <c r="G118" i="5"/>
  <c r="F118" i="5"/>
  <c r="M115" i="5"/>
  <c r="N115" i="5" s="1"/>
  <c r="L115" i="5"/>
  <c r="K115" i="5"/>
  <c r="J115" i="5"/>
  <c r="G115" i="5"/>
  <c r="F115" i="5"/>
  <c r="M112" i="5"/>
  <c r="L112" i="5"/>
  <c r="N112" i="5" s="1"/>
  <c r="K112" i="5"/>
  <c r="J112" i="5"/>
  <c r="G112" i="5"/>
  <c r="F112" i="5"/>
  <c r="M107" i="5"/>
  <c r="L107" i="5"/>
  <c r="J107" i="5"/>
  <c r="G107" i="5"/>
  <c r="F107" i="5"/>
  <c r="M105" i="5"/>
  <c r="L105" i="5"/>
  <c r="N105" i="5"/>
  <c r="K105" i="5"/>
  <c r="J105" i="5"/>
  <c r="J104" i="5"/>
  <c r="G105" i="5"/>
  <c r="F105" i="5"/>
  <c r="I104" i="5"/>
  <c r="H104" i="5"/>
  <c r="F104" i="5"/>
  <c r="E104" i="5"/>
  <c r="M104" i="5" s="1"/>
  <c r="D104" i="5"/>
  <c r="L104" i="5"/>
  <c r="N104" i="5" s="1"/>
  <c r="M102" i="5"/>
  <c r="L102" i="5"/>
  <c r="N102" i="5"/>
  <c r="K102" i="5"/>
  <c r="J102" i="5"/>
  <c r="G102" i="5"/>
  <c r="F102" i="5"/>
  <c r="F100" i="5"/>
  <c r="M101" i="5"/>
  <c r="L101" i="5"/>
  <c r="K101" i="5"/>
  <c r="J101" i="5"/>
  <c r="J100" i="5" s="1"/>
  <c r="G101" i="5"/>
  <c r="F101" i="5"/>
  <c r="I100" i="5"/>
  <c r="I109" i="5" s="1"/>
  <c r="H100" i="5"/>
  <c r="G100" i="5"/>
  <c r="E100" i="5"/>
  <c r="D100" i="5"/>
  <c r="L100" i="5" s="1"/>
  <c r="L98" i="5"/>
  <c r="K98" i="5"/>
  <c r="J98" i="5"/>
  <c r="J97" i="5" s="1"/>
  <c r="E98" i="5"/>
  <c r="I97" i="5"/>
  <c r="H97" i="5"/>
  <c r="H109" i="5" s="1"/>
  <c r="D97" i="5"/>
  <c r="L97" i="5"/>
  <c r="M92" i="5"/>
  <c r="L92" i="5"/>
  <c r="N92" i="5" s="1"/>
  <c r="K92" i="5"/>
  <c r="J92" i="5"/>
  <c r="G92" i="5"/>
  <c r="F92" i="5"/>
  <c r="M91" i="5"/>
  <c r="N91" i="5" s="1"/>
  <c r="L91" i="5"/>
  <c r="K91" i="5"/>
  <c r="J91" i="5"/>
  <c r="G91" i="5"/>
  <c r="F91" i="5"/>
  <c r="I90" i="5"/>
  <c r="J90" i="5"/>
  <c r="J94" i="5" s="1"/>
  <c r="H90" i="5"/>
  <c r="H94" i="5"/>
  <c r="E90" i="5"/>
  <c r="D90" i="5"/>
  <c r="M86" i="5"/>
  <c r="L86" i="5"/>
  <c r="K86" i="5"/>
  <c r="J86" i="5"/>
  <c r="G86" i="5"/>
  <c r="F86" i="5"/>
  <c r="I85" i="5"/>
  <c r="H85" i="5"/>
  <c r="L85" i="5" s="1"/>
  <c r="E85" i="5"/>
  <c r="D85" i="5"/>
  <c r="M83" i="5"/>
  <c r="L83" i="5"/>
  <c r="N83" i="5" s="1"/>
  <c r="K83" i="5"/>
  <c r="J83" i="5"/>
  <c r="G83" i="5"/>
  <c r="F83" i="5"/>
  <c r="M82" i="5"/>
  <c r="N82" i="5"/>
  <c r="L82" i="5"/>
  <c r="K82" i="5"/>
  <c r="J82" i="5"/>
  <c r="G82" i="5"/>
  <c r="F82" i="5"/>
  <c r="M81" i="5"/>
  <c r="L81" i="5"/>
  <c r="K81" i="5"/>
  <c r="J81" i="5"/>
  <c r="G81" i="5"/>
  <c r="F81" i="5"/>
  <c r="N80" i="5"/>
  <c r="L80" i="5"/>
  <c r="I80" i="5"/>
  <c r="H80" i="5"/>
  <c r="J80" i="5"/>
  <c r="E80" i="5"/>
  <c r="D80" i="5"/>
  <c r="M78" i="5"/>
  <c r="L78" i="5"/>
  <c r="K78" i="5"/>
  <c r="J78" i="5"/>
  <c r="G78" i="5"/>
  <c r="F78" i="5"/>
  <c r="I77" i="5"/>
  <c r="H77" i="5"/>
  <c r="J77" i="5" s="1"/>
  <c r="F77" i="5"/>
  <c r="E77" i="5"/>
  <c r="D77" i="5"/>
  <c r="M75" i="5"/>
  <c r="L75" i="5"/>
  <c r="N75" i="5" s="1"/>
  <c r="K75" i="5"/>
  <c r="J75" i="5"/>
  <c r="G75" i="5"/>
  <c r="F75" i="5"/>
  <c r="N74" i="5"/>
  <c r="M74" i="5"/>
  <c r="L74" i="5"/>
  <c r="K74" i="5"/>
  <c r="J74" i="5"/>
  <c r="G74" i="5"/>
  <c r="F74" i="5"/>
  <c r="I73" i="5"/>
  <c r="H73" i="5"/>
  <c r="L73" i="5" s="1"/>
  <c r="E73" i="5"/>
  <c r="D73" i="5"/>
  <c r="M71" i="5"/>
  <c r="L71" i="5"/>
  <c r="N71" i="5" s="1"/>
  <c r="K71" i="5"/>
  <c r="G71" i="5"/>
  <c r="F71" i="5"/>
  <c r="J71" i="5" s="1"/>
  <c r="L70" i="5"/>
  <c r="K70" i="5"/>
  <c r="J70" i="5"/>
  <c r="E70" i="5"/>
  <c r="M70" i="5"/>
  <c r="N70" i="5"/>
  <c r="I69" i="5"/>
  <c r="H69" i="5"/>
  <c r="D69" i="5"/>
  <c r="L69" i="5"/>
  <c r="N69" i="5" s="1"/>
  <c r="M67" i="5"/>
  <c r="L67" i="5"/>
  <c r="K67" i="5"/>
  <c r="J67" i="5"/>
  <c r="G67" i="5"/>
  <c r="F67" i="5"/>
  <c r="M66" i="5"/>
  <c r="L66" i="5"/>
  <c r="N66" i="5" s="1"/>
  <c r="K66" i="5"/>
  <c r="J66" i="5"/>
  <c r="G66" i="5"/>
  <c r="F66" i="5"/>
  <c r="M65" i="5"/>
  <c r="L65" i="5"/>
  <c r="N65" i="5"/>
  <c r="K65" i="5"/>
  <c r="J65" i="5"/>
  <c r="G65" i="5"/>
  <c r="F65" i="5"/>
  <c r="M64" i="5"/>
  <c r="H64" i="5"/>
  <c r="L64" i="5"/>
  <c r="N64" i="5"/>
  <c r="G64" i="5"/>
  <c r="F64" i="5"/>
  <c r="M63" i="5"/>
  <c r="N63" i="5"/>
  <c r="L63" i="5"/>
  <c r="K63" i="5"/>
  <c r="J63" i="5"/>
  <c r="G63" i="5"/>
  <c r="F63" i="5"/>
  <c r="M62" i="5"/>
  <c r="L62" i="5"/>
  <c r="N62" i="5"/>
  <c r="K62" i="5"/>
  <c r="J62" i="5"/>
  <c r="G62" i="5"/>
  <c r="F62" i="5"/>
  <c r="M61" i="5"/>
  <c r="L61" i="5"/>
  <c r="N61" i="5"/>
  <c r="K61" i="5"/>
  <c r="J61" i="5"/>
  <c r="G61" i="5"/>
  <c r="F61" i="5"/>
  <c r="M60" i="5"/>
  <c r="L60" i="5"/>
  <c r="N60" i="5" s="1"/>
  <c r="K60" i="5"/>
  <c r="J60" i="5"/>
  <c r="G60" i="5"/>
  <c r="F60" i="5"/>
  <c r="M59" i="5"/>
  <c r="L59" i="5"/>
  <c r="N59" i="5" s="1"/>
  <c r="K59" i="5"/>
  <c r="J59" i="5"/>
  <c r="G59" i="5"/>
  <c r="F59" i="5"/>
  <c r="M58" i="5"/>
  <c r="L58" i="5"/>
  <c r="N58" i="5"/>
  <c r="K58" i="5"/>
  <c r="J58" i="5"/>
  <c r="G58" i="5"/>
  <c r="F58" i="5"/>
  <c r="M57" i="5"/>
  <c r="L57" i="5"/>
  <c r="K57" i="5"/>
  <c r="J57" i="5"/>
  <c r="G57" i="5"/>
  <c r="F57" i="5"/>
  <c r="I56" i="5"/>
  <c r="H56" i="5"/>
  <c r="J56" i="5"/>
  <c r="E56" i="5"/>
  <c r="M56" i="5" s="1"/>
  <c r="D56" i="5"/>
  <c r="M50" i="5"/>
  <c r="L50" i="5"/>
  <c r="N50" i="5"/>
  <c r="K50" i="5"/>
  <c r="J50" i="5"/>
  <c r="G50" i="5"/>
  <c r="F50" i="5"/>
  <c r="M49" i="5"/>
  <c r="L49" i="5"/>
  <c r="K49" i="5"/>
  <c r="J49" i="5"/>
  <c r="G49" i="5"/>
  <c r="F49" i="5"/>
  <c r="M48" i="5"/>
  <c r="L48" i="5"/>
  <c r="K48" i="5"/>
  <c r="J48" i="5"/>
  <c r="G48" i="5"/>
  <c r="F48" i="5"/>
  <c r="I47" i="5"/>
  <c r="H47" i="5"/>
  <c r="E47" i="5"/>
  <c r="D47" i="5"/>
  <c r="M45" i="5"/>
  <c r="L45" i="5"/>
  <c r="K45" i="5"/>
  <c r="J45" i="5"/>
  <c r="G45" i="5"/>
  <c r="F45" i="5"/>
  <c r="M44" i="5"/>
  <c r="L44" i="5"/>
  <c r="K44" i="5"/>
  <c r="J44" i="5"/>
  <c r="G44" i="5"/>
  <c r="F44" i="5"/>
  <c r="M43" i="5"/>
  <c r="L43" i="5"/>
  <c r="K43" i="5"/>
  <c r="J43" i="5"/>
  <c r="G43" i="5"/>
  <c r="F43" i="5"/>
  <c r="M42" i="5"/>
  <c r="L42" i="5"/>
  <c r="K42" i="5"/>
  <c r="J42" i="5"/>
  <c r="G42" i="5"/>
  <c r="F42" i="5"/>
  <c r="M41" i="5"/>
  <c r="L41" i="5"/>
  <c r="K41" i="5"/>
  <c r="J41" i="5"/>
  <c r="G41" i="5"/>
  <c r="F41" i="5"/>
  <c r="M40" i="5"/>
  <c r="L40" i="5"/>
  <c r="N40" i="5" s="1"/>
  <c r="K40" i="5"/>
  <c r="J40" i="5"/>
  <c r="G40" i="5"/>
  <c r="F40" i="5"/>
  <c r="I39" i="5"/>
  <c r="H39" i="5"/>
  <c r="G39" i="5"/>
  <c r="F39" i="5"/>
  <c r="E39" i="5"/>
  <c r="D39" i="5"/>
  <c r="M37" i="5"/>
  <c r="L37" i="5"/>
  <c r="N37" i="5" s="1"/>
  <c r="K37" i="5"/>
  <c r="J37" i="5"/>
  <c r="G37" i="5"/>
  <c r="F37" i="5"/>
  <c r="M36" i="5"/>
  <c r="L36" i="5"/>
  <c r="N36" i="5"/>
  <c r="K36" i="5"/>
  <c r="J36" i="5"/>
  <c r="G36" i="5"/>
  <c r="F36" i="5"/>
  <c r="L35" i="5"/>
  <c r="K35" i="5"/>
  <c r="J35" i="5"/>
  <c r="E35" i="5"/>
  <c r="M34" i="5"/>
  <c r="L34" i="5"/>
  <c r="N34" i="5" s="1"/>
  <c r="K34" i="5"/>
  <c r="J34" i="5"/>
  <c r="G34" i="5"/>
  <c r="F34" i="5"/>
  <c r="M33" i="5"/>
  <c r="L33" i="5"/>
  <c r="N33" i="5" s="1"/>
  <c r="K33" i="5"/>
  <c r="J33" i="5"/>
  <c r="G33" i="5"/>
  <c r="F33" i="5"/>
  <c r="M32" i="5"/>
  <c r="L32" i="5"/>
  <c r="K32" i="5"/>
  <c r="J32" i="5"/>
  <c r="G32" i="5"/>
  <c r="F32" i="5"/>
  <c r="M31" i="5"/>
  <c r="L31" i="5"/>
  <c r="N31" i="5" s="1"/>
  <c r="K31" i="5"/>
  <c r="J31" i="5"/>
  <c r="G31" i="5"/>
  <c r="F31" i="5"/>
  <c r="M30" i="5"/>
  <c r="L30" i="5"/>
  <c r="K30" i="5"/>
  <c r="J30" i="5"/>
  <c r="G30" i="5"/>
  <c r="F30" i="5"/>
  <c r="I29" i="5"/>
  <c r="K29" i="5"/>
  <c r="H29" i="5"/>
  <c r="D29" i="5"/>
  <c r="M27" i="5"/>
  <c r="N27" i="5" s="1"/>
  <c r="L27" i="5"/>
  <c r="K27" i="5"/>
  <c r="J27" i="5"/>
  <c r="G27" i="5"/>
  <c r="F27" i="5"/>
  <c r="N26" i="5"/>
  <c r="M26" i="5"/>
  <c r="L26" i="5"/>
  <c r="K26" i="5"/>
  <c r="J26" i="5"/>
  <c r="G26" i="5"/>
  <c r="F26" i="5"/>
  <c r="L25" i="5"/>
  <c r="K25" i="5"/>
  <c r="J25" i="5"/>
  <c r="E25" i="5"/>
  <c r="E19" i="5" s="1"/>
  <c r="M24" i="5"/>
  <c r="L24" i="5"/>
  <c r="K24" i="5"/>
  <c r="J24" i="5"/>
  <c r="G24" i="5"/>
  <c r="F24" i="5"/>
  <c r="M23" i="5"/>
  <c r="L23" i="5"/>
  <c r="N23" i="5"/>
  <c r="K23" i="5"/>
  <c r="J23" i="5"/>
  <c r="G23" i="5"/>
  <c r="F23" i="5"/>
  <c r="M22" i="5"/>
  <c r="L22" i="5"/>
  <c r="K22" i="5"/>
  <c r="J22" i="5"/>
  <c r="G22" i="5"/>
  <c r="F22" i="5"/>
  <c r="M21" i="5"/>
  <c r="L21" i="5"/>
  <c r="N21" i="5" s="1"/>
  <c r="K21" i="5"/>
  <c r="J21" i="5"/>
  <c r="G21" i="5"/>
  <c r="F21" i="5"/>
  <c r="M20" i="5"/>
  <c r="L20" i="5"/>
  <c r="K20" i="5"/>
  <c r="J20" i="5"/>
  <c r="G20" i="5"/>
  <c r="F20" i="5"/>
  <c r="I19" i="5"/>
  <c r="H19" i="5"/>
  <c r="D19" i="5"/>
  <c r="I14" i="5"/>
  <c r="K14" i="5"/>
  <c r="E14" i="5"/>
  <c r="D14" i="5"/>
  <c r="I12" i="5"/>
  <c r="K12" i="5" s="1"/>
  <c r="H12" i="5"/>
  <c r="J12" i="5" s="1"/>
  <c r="E12" i="5"/>
  <c r="G12" i="5" s="1"/>
  <c r="D12" i="5"/>
  <c r="I11" i="5"/>
  <c r="H11" i="5"/>
  <c r="L11" i="5" s="1"/>
  <c r="G11" i="5"/>
  <c r="F11" i="5"/>
  <c r="G8" i="5"/>
  <c r="K4" i="5"/>
  <c r="K8" i="5"/>
  <c r="F131" i="4"/>
  <c r="M117" i="4"/>
  <c r="L117" i="4"/>
  <c r="K117" i="4"/>
  <c r="J117" i="4"/>
  <c r="G117" i="4"/>
  <c r="F117" i="4"/>
  <c r="M114" i="4"/>
  <c r="L114" i="4"/>
  <c r="N114" i="4" s="1"/>
  <c r="K114" i="4"/>
  <c r="J114" i="4"/>
  <c r="G114" i="4"/>
  <c r="F114" i="4"/>
  <c r="M111" i="4"/>
  <c r="L111" i="4"/>
  <c r="K111" i="4"/>
  <c r="J111" i="4"/>
  <c r="G111" i="4"/>
  <c r="F111" i="4"/>
  <c r="M106" i="4"/>
  <c r="L106" i="4"/>
  <c r="J106" i="4"/>
  <c r="G106" i="4"/>
  <c r="F106" i="4"/>
  <c r="M104" i="4"/>
  <c r="N104" i="4" s="1"/>
  <c r="L104" i="4"/>
  <c r="K104" i="4"/>
  <c r="J104" i="4"/>
  <c r="J103" i="4" s="1"/>
  <c r="G104" i="4"/>
  <c r="F104" i="4"/>
  <c r="F103" i="4" s="1"/>
  <c r="I103" i="4"/>
  <c r="H103" i="4"/>
  <c r="L103" i="4" s="1"/>
  <c r="N103" i="4" s="1"/>
  <c r="E103" i="4"/>
  <c r="D103" i="4"/>
  <c r="M101" i="4"/>
  <c r="L101" i="4"/>
  <c r="N101" i="4" s="1"/>
  <c r="K101" i="4"/>
  <c r="J101" i="4"/>
  <c r="G101" i="4"/>
  <c r="F101" i="4"/>
  <c r="F99" i="4" s="1"/>
  <c r="M100" i="4"/>
  <c r="L100" i="4"/>
  <c r="K100" i="4"/>
  <c r="J100" i="4"/>
  <c r="J99" i="4" s="1"/>
  <c r="G100" i="4"/>
  <c r="F100" i="4"/>
  <c r="I99" i="4"/>
  <c r="H99" i="4"/>
  <c r="E99" i="4"/>
  <c r="D99" i="4"/>
  <c r="L99" i="4" s="1"/>
  <c r="L97" i="4"/>
  <c r="K97" i="4"/>
  <c r="J97" i="4"/>
  <c r="J96" i="4"/>
  <c r="E97" i="4"/>
  <c r="I96" i="4"/>
  <c r="H96" i="4"/>
  <c r="D96" i="4"/>
  <c r="M91" i="4"/>
  <c r="L91" i="4"/>
  <c r="K91" i="4"/>
  <c r="J91" i="4"/>
  <c r="G91" i="4"/>
  <c r="F91" i="4"/>
  <c r="M90" i="4"/>
  <c r="L90" i="4"/>
  <c r="K90" i="4"/>
  <c r="J90" i="4"/>
  <c r="G90" i="4"/>
  <c r="F90" i="4"/>
  <c r="I89" i="4"/>
  <c r="H89" i="4"/>
  <c r="J89" i="4" s="1"/>
  <c r="J93" i="4" s="1"/>
  <c r="H93" i="4"/>
  <c r="E89" i="4"/>
  <c r="E93" i="4" s="1"/>
  <c r="D89" i="4"/>
  <c r="D93" i="4"/>
  <c r="M85" i="4"/>
  <c r="L85" i="4"/>
  <c r="K85" i="4"/>
  <c r="J85" i="4"/>
  <c r="G85" i="4"/>
  <c r="F85" i="4"/>
  <c r="I84" i="4"/>
  <c r="H84" i="4"/>
  <c r="J84" i="4" s="1"/>
  <c r="E84" i="4"/>
  <c r="D84" i="4"/>
  <c r="M82" i="4"/>
  <c r="L82" i="4"/>
  <c r="K82" i="4"/>
  <c r="J82" i="4"/>
  <c r="G82" i="4"/>
  <c r="F82" i="4"/>
  <c r="M81" i="4"/>
  <c r="L81" i="4"/>
  <c r="K81" i="4"/>
  <c r="J81" i="4"/>
  <c r="G81" i="4"/>
  <c r="F81" i="4"/>
  <c r="M80" i="4"/>
  <c r="N80" i="4" s="1"/>
  <c r="L80" i="4"/>
  <c r="K80" i="4"/>
  <c r="J80" i="4"/>
  <c r="G80" i="4"/>
  <c r="F80" i="4"/>
  <c r="I79" i="4"/>
  <c r="H79" i="4"/>
  <c r="L79" i="4" s="1"/>
  <c r="E79" i="4"/>
  <c r="D79" i="4"/>
  <c r="M77" i="4"/>
  <c r="L77" i="4"/>
  <c r="K77" i="4"/>
  <c r="J77" i="4"/>
  <c r="G77" i="4"/>
  <c r="F77" i="4"/>
  <c r="I76" i="4"/>
  <c r="M76" i="4" s="1"/>
  <c r="H76" i="4"/>
  <c r="E76" i="4"/>
  <c r="D76" i="4"/>
  <c r="M74" i="4"/>
  <c r="L74" i="4"/>
  <c r="K74" i="4"/>
  <c r="J74" i="4"/>
  <c r="G74" i="4"/>
  <c r="F74" i="4"/>
  <c r="M73" i="4"/>
  <c r="L73" i="4"/>
  <c r="K73" i="4"/>
  <c r="J73" i="4"/>
  <c r="G73" i="4"/>
  <c r="F73" i="4"/>
  <c r="F72" i="4" s="1"/>
  <c r="I72" i="4"/>
  <c r="M72" i="4" s="1"/>
  <c r="H72" i="4"/>
  <c r="E72" i="4"/>
  <c r="D72" i="4"/>
  <c r="D87" i="4" s="1"/>
  <c r="M70" i="4"/>
  <c r="L70" i="4"/>
  <c r="K70" i="4"/>
  <c r="G70" i="4"/>
  <c r="F70" i="4"/>
  <c r="J70" i="4" s="1"/>
  <c r="L69" i="4"/>
  <c r="K69" i="4"/>
  <c r="J69" i="4"/>
  <c r="E69" i="4"/>
  <c r="M69" i="4" s="1"/>
  <c r="N69" i="4" s="1"/>
  <c r="I68" i="4"/>
  <c r="M68" i="4" s="1"/>
  <c r="H68" i="4"/>
  <c r="D68" i="4"/>
  <c r="M66" i="4"/>
  <c r="L66" i="4"/>
  <c r="N66" i="4" s="1"/>
  <c r="K66" i="4"/>
  <c r="J66" i="4"/>
  <c r="G66" i="4"/>
  <c r="F66" i="4"/>
  <c r="M65" i="4"/>
  <c r="N65" i="4" s="1"/>
  <c r="L65" i="4"/>
  <c r="K65" i="4"/>
  <c r="J65" i="4"/>
  <c r="G65" i="4"/>
  <c r="F65" i="4"/>
  <c r="M64" i="4"/>
  <c r="L64" i="4"/>
  <c r="N64" i="4" s="1"/>
  <c r="K64" i="4"/>
  <c r="J64" i="4"/>
  <c r="G64" i="4"/>
  <c r="F64" i="4"/>
  <c r="M63" i="4"/>
  <c r="N63" i="4" s="1"/>
  <c r="L63" i="4"/>
  <c r="G63" i="4"/>
  <c r="F63" i="4"/>
  <c r="M62" i="4"/>
  <c r="N62" i="4" s="1"/>
  <c r="L62" i="4"/>
  <c r="K62" i="4"/>
  <c r="J62" i="4"/>
  <c r="G62" i="4"/>
  <c r="F62" i="4"/>
  <c r="M61" i="4"/>
  <c r="L61" i="4"/>
  <c r="N61" i="4" s="1"/>
  <c r="K61" i="4"/>
  <c r="J61" i="4"/>
  <c r="G61" i="4"/>
  <c r="F61" i="4"/>
  <c r="M60" i="4"/>
  <c r="N60" i="4" s="1"/>
  <c r="L60" i="4"/>
  <c r="K60" i="4"/>
  <c r="J60" i="4"/>
  <c r="G60" i="4"/>
  <c r="F60" i="4"/>
  <c r="M59" i="4"/>
  <c r="L59" i="4"/>
  <c r="N59" i="4" s="1"/>
  <c r="K59" i="4"/>
  <c r="J59" i="4"/>
  <c r="G59" i="4"/>
  <c r="F59" i="4"/>
  <c r="M58" i="4"/>
  <c r="N58" i="4" s="1"/>
  <c r="L58" i="4"/>
  <c r="K58" i="4"/>
  <c r="J58" i="4"/>
  <c r="G58" i="4"/>
  <c r="F58" i="4"/>
  <c r="M57" i="4"/>
  <c r="L57" i="4"/>
  <c r="N57" i="4" s="1"/>
  <c r="K57" i="4"/>
  <c r="J57" i="4"/>
  <c r="G57" i="4"/>
  <c r="F57" i="4"/>
  <c r="M56" i="4"/>
  <c r="N56" i="4" s="1"/>
  <c r="L56" i="4"/>
  <c r="K56" i="4"/>
  <c r="J56" i="4"/>
  <c r="G56" i="4"/>
  <c r="F56" i="4"/>
  <c r="I55" i="4"/>
  <c r="H55" i="4"/>
  <c r="K55" i="4" s="1"/>
  <c r="E55" i="4"/>
  <c r="G55" i="4" s="1"/>
  <c r="D55" i="4"/>
  <c r="M49" i="4"/>
  <c r="L49" i="4"/>
  <c r="N49" i="4" s="1"/>
  <c r="K49" i="4"/>
  <c r="J49" i="4"/>
  <c r="G49" i="4"/>
  <c r="F49" i="4"/>
  <c r="I47" i="4"/>
  <c r="J47" i="4" s="1"/>
  <c r="H47" i="4"/>
  <c r="E47" i="4"/>
  <c r="D47" i="4"/>
  <c r="G47" i="4" s="1"/>
  <c r="M45" i="4"/>
  <c r="N45" i="4" s="1"/>
  <c r="L45" i="4"/>
  <c r="K45" i="4"/>
  <c r="J45" i="4"/>
  <c r="G45" i="4"/>
  <c r="F45" i="4"/>
  <c r="M44" i="4"/>
  <c r="L44" i="4"/>
  <c r="N44" i="4" s="1"/>
  <c r="K44" i="4"/>
  <c r="J44" i="4"/>
  <c r="G44" i="4"/>
  <c r="F44" i="4"/>
  <c r="M43" i="4"/>
  <c r="N43" i="4" s="1"/>
  <c r="L43" i="4"/>
  <c r="K43" i="4"/>
  <c r="J43" i="4"/>
  <c r="F43" i="4"/>
  <c r="M42" i="4"/>
  <c r="L42" i="4"/>
  <c r="N42" i="4"/>
  <c r="K42" i="4"/>
  <c r="J42" i="4"/>
  <c r="G42" i="4"/>
  <c r="F42" i="4"/>
  <c r="M41" i="4"/>
  <c r="N41" i="4" s="1"/>
  <c r="L41" i="4"/>
  <c r="K41" i="4"/>
  <c r="J41" i="4"/>
  <c r="G41" i="4"/>
  <c r="F41" i="4"/>
  <c r="M40" i="4"/>
  <c r="L40" i="4"/>
  <c r="N40" i="4" s="1"/>
  <c r="K40" i="4"/>
  <c r="J40" i="4"/>
  <c r="G40" i="4"/>
  <c r="F40" i="4"/>
  <c r="I39" i="4"/>
  <c r="H39" i="4"/>
  <c r="E39" i="4"/>
  <c r="D39" i="4"/>
  <c r="L39" i="4" s="1"/>
  <c r="M37" i="4"/>
  <c r="L37" i="4"/>
  <c r="K37" i="4"/>
  <c r="J37" i="4"/>
  <c r="G37" i="4"/>
  <c r="F37" i="4"/>
  <c r="M36" i="4"/>
  <c r="L36" i="4"/>
  <c r="N36" i="4" s="1"/>
  <c r="K36" i="4"/>
  <c r="J36" i="4"/>
  <c r="G36" i="4"/>
  <c r="F36" i="4"/>
  <c r="L35" i="4"/>
  <c r="K35" i="4"/>
  <c r="J35" i="4"/>
  <c r="E35" i="4"/>
  <c r="G35" i="4" s="1"/>
  <c r="F35" i="4"/>
  <c r="M34" i="4"/>
  <c r="L34" i="4"/>
  <c r="K34" i="4"/>
  <c r="J34" i="4"/>
  <c r="G34" i="4"/>
  <c r="F34" i="4"/>
  <c r="M33" i="4"/>
  <c r="L33" i="4"/>
  <c r="N33" i="4" s="1"/>
  <c r="K33" i="4"/>
  <c r="J33" i="4"/>
  <c r="G33" i="4"/>
  <c r="F33" i="4"/>
  <c r="M32" i="4"/>
  <c r="L32" i="4"/>
  <c r="K32" i="4"/>
  <c r="J32" i="4"/>
  <c r="G32" i="4"/>
  <c r="F32" i="4"/>
  <c r="M31" i="4"/>
  <c r="L31" i="4"/>
  <c r="N31" i="4" s="1"/>
  <c r="K31" i="4"/>
  <c r="J31" i="4"/>
  <c r="G31" i="4"/>
  <c r="F31" i="4"/>
  <c r="M30" i="4"/>
  <c r="L30" i="4"/>
  <c r="K30" i="4"/>
  <c r="J30" i="4"/>
  <c r="G30" i="4"/>
  <c r="F30" i="4"/>
  <c r="I29" i="4"/>
  <c r="J29" i="4" s="1"/>
  <c r="H29" i="4"/>
  <c r="D29" i="4"/>
  <c r="M27" i="4"/>
  <c r="L27" i="4"/>
  <c r="N27" i="4" s="1"/>
  <c r="K27" i="4"/>
  <c r="J27" i="4"/>
  <c r="G27" i="4"/>
  <c r="F27" i="4"/>
  <c r="M26" i="4"/>
  <c r="L26" i="4"/>
  <c r="K26" i="4"/>
  <c r="J26" i="4"/>
  <c r="G26" i="4"/>
  <c r="F26" i="4"/>
  <c r="L25" i="4"/>
  <c r="K25" i="4"/>
  <c r="J25" i="4"/>
  <c r="E25" i="4"/>
  <c r="E19" i="4"/>
  <c r="M24" i="4"/>
  <c r="N24" i="4" s="1"/>
  <c r="L24" i="4"/>
  <c r="K24" i="4"/>
  <c r="J24" i="4"/>
  <c r="G24" i="4"/>
  <c r="F24" i="4"/>
  <c r="M23" i="4"/>
  <c r="L23" i="4"/>
  <c r="N23" i="4" s="1"/>
  <c r="K23" i="4"/>
  <c r="J23" i="4"/>
  <c r="G23" i="4"/>
  <c r="F23" i="4"/>
  <c r="M22" i="4"/>
  <c r="N22" i="4" s="1"/>
  <c r="L22" i="4"/>
  <c r="K22" i="4"/>
  <c r="J22" i="4"/>
  <c r="G22" i="4"/>
  <c r="F22" i="4"/>
  <c r="M21" i="4"/>
  <c r="L21" i="4"/>
  <c r="N21" i="4" s="1"/>
  <c r="K21" i="4"/>
  <c r="J21" i="4"/>
  <c r="G21" i="4"/>
  <c r="F21" i="4"/>
  <c r="M20" i="4"/>
  <c r="N20" i="4" s="1"/>
  <c r="L20" i="4"/>
  <c r="K20" i="4"/>
  <c r="J20" i="4"/>
  <c r="G20" i="4"/>
  <c r="F20" i="4"/>
  <c r="I19" i="4"/>
  <c r="H19" i="4"/>
  <c r="D19" i="4"/>
  <c r="F19" i="4" s="1"/>
  <c r="I14" i="4"/>
  <c r="K14" i="4"/>
  <c r="E14" i="4"/>
  <c r="D14" i="4"/>
  <c r="L14" i="4" s="1"/>
  <c r="I12" i="4"/>
  <c r="H12" i="4"/>
  <c r="L12" i="4" s="1"/>
  <c r="E12" i="4"/>
  <c r="G12" i="4" s="1"/>
  <c r="D12" i="4"/>
  <c r="I11" i="4"/>
  <c r="M11" i="4"/>
  <c r="H11" i="4"/>
  <c r="L11" i="4" s="1"/>
  <c r="N11" i="4" s="1"/>
  <c r="G11" i="4"/>
  <c r="F11" i="4"/>
  <c r="G8" i="4"/>
  <c r="K4" i="4"/>
  <c r="K8" i="4"/>
  <c r="L68" i="4"/>
  <c r="N68" i="4" s="1"/>
  <c r="N22" i="5"/>
  <c r="N44" i="5"/>
  <c r="N49" i="5"/>
  <c r="N101" i="5"/>
  <c r="N107" i="5"/>
  <c r="N70" i="4"/>
  <c r="F12" i="5"/>
  <c r="J14" i="5"/>
  <c r="M25" i="5"/>
  <c r="N25" i="5"/>
  <c r="J39" i="5"/>
  <c r="N48" i="5"/>
  <c r="F73" i="5"/>
  <c r="D109" i="5"/>
  <c r="D10" i="5"/>
  <c r="G104" i="5"/>
  <c r="L14" i="5"/>
  <c r="N42" i="5"/>
  <c r="N57" i="5"/>
  <c r="J73" i="5"/>
  <c r="M77" i="5"/>
  <c r="L90" i="5"/>
  <c r="N20" i="5"/>
  <c r="L39" i="5"/>
  <c r="N41" i="5"/>
  <c r="K19" i="5"/>
  <c r="N32" i="5"/>
  <c r="N67" i="5"/>
  <c r="M73" i="5"/>
  <c r="N81" i="5"/>
  <c r="M100" i="5"/>
  <c r="N37" i="4"/>
  <c r="M12" i="4"/>
  <c r="N12" i="4" s="1"/>
  <c r="F84" i="4"/>
  <c r="N85" i="4"/>
  <c r="N91" i="4"/>
  <c r="G25" i="4"/>
  <c r="J72" i="4"/>
  <c r="M25" i="4"/>
  <c r="N25" i="4"/>
  <c r="L72" i="4"/>
  <c r="N72" i="4" s="1"/>
  <c r="N73" i="4"/>
  <c r="M84" i="4"/>
  <c r="F39" i="4"/>
  <c r="M14" i="4"/>
  <c r="N74" i="4"/>
  <c r="N82" i="4"/>
  <c r="N117" i="4"/>
  <c r="N100" i="4"/>
  <c r="N77" i="4"/>
  <c r="N81" i="4"/>
  <c r="J12" i="4"/>
  <c r="N26" i="4"/>
  <c r="N106" i="4"/>
  <c r="F12" i="4"/>
  <c r="M99" i="4"/>
  <c r="J68" i="4"/>
  <c r="G99" i="4"/>
  <c r="N32" i="4"/>
  <c r="I87" i="4"/>
  <c r="K87" i="4" s="1"/>
  <c r="F89" i="4"/>
  <c r="F93" i="4"/>
  <c r="N111" i="4"/>
  <c r="J63" i="4"/>
  <c r="F76" i="4"/>
  <c r="G89" i="4"/>
  <c r="M103" i="4"/>
  <c r="K12" i="4"/>
  <c r="F25" i="4"/>
  <c r="K63" i="4"/>
  <c r="L84" i="4"/>
  <c r="N84" i="4" s="1"/>
  <c r="N79" i="4"/>
  <c r="F14" i="4"/>
  <c r="N30" i="4"/>
  <c r="N34" i="4"/>
  <c r="M47" i="4"/>
  <c r="G103" i="4"/>
  <c r="F47" i="4"/>
  <c r="L47" i="4"/>
  <c r="H51" i="4"/>
  <c r="K29" i="4"/>
  <c r="G19" i="5"/>
  <c r="F19" i="5"/>
  <c r="I10" i="5"/>
  <c r="L12" i="5"/>
  <c r="N12" i="5"/>
  <c r="F70" i="5"/>
  <c r="F69" i="5"/>
  <c r="M90" i="5"/>
  <c r="M94" i="5"/>
  <c r="D94" i="5"/>
  <c r="M47" i="5"/>
  <c r="G70" i="5"/>
  <c r="G80" i="5"/>
  <c r="H88" i="5"/>
  <c r="E94" i="5"/>
  <c r="L29" i="5"/>
  <c r="M12" i="5"/>
  <c r="J19" i="5"/>
  <c r="F25" i="5"/>
  <c r="K56" i="5"/>
  <c r="J64" i="5"/>
  <c r="G25" i="5"/>
  <c r="K64" i="5"/>
  <c r="I52" i="5"/>
  <c r="E69" i="5"/>
  <c r="I94" i="5"/>
  <c r="G93" i="4"/>
  <c r="G19" i="4"/>
  <c r="M19" i="4"/>
  <c r="L29" i="4"/>
  <c r="D51" i="4"/>
  <c r="D9" i="4" s="1"/>
  <c r="D13" i="4" s="1"/>
  <c r="D15" i="4" s="1"/>
  <c r="F69" i="4"/>
  <c r="F68" i="4"/>
  <c r="M89" i="4"/>
  <c r="M93" i="4"/>
  <c r="I108" i="4"/>
  <c r="J19" i="4"/>
  <c r="J39" i="4"/>
  <c r="G69" i="4"/>
  <c r="G79" i="4"/>
  <c r="H87" i="4"/>
  <c r="H9" i="4" s="1"/>
  <c r="J9" i="4" s="1"/>
  <c r="J11" i="4"/>
  <c r="J76" i="4"/>
  <c r="D108" i="4"/>
  <c r="D10" i="4" s="1"/>
  <c r="K19" i="4"/>
  <c r="J14" i="4"/>
  <c r="M35" i="4"/>
  <c r="K11" i="4"/>
  <c r="J79" i="4"/>
  <c r="E68" i="4"/>
  <c r="I93" i="4"/>
  <c r="N73" i="5"/>
  <c r="G94" i="5"/>
  <c r="N99" i="4"/>
  <c r="E88" i="5"/>
  <c r="M69" i="5"/>
  <c r="G69" i="5"/>
  <c r="E87" i="4"/>
  <c r="G87" i="4" s="1"/>
  <c r="G68" i="4"/>
  <c r="I10" i="4"/>
  <c r="K9" i="4"/>
  <c r="H10" i="5" l="1"/>
  <c r="K109" i="5"/>
  <c r="J109" i="5"/>
  <c r="N35" i="4"/>
  <c r="M39" i="4"/>
  <c r="K39" i="4"/>
  <c r="L96" i="4"/>
  <c r="H108" i="4"/>
  <c r="F47" i="5"/>
  <c r="L47" i="5"/>
  <c r="N47" i="5" s="1"/>
  <c r="D52" i="5"/>
  <c r="L109" i="5"/>
  <c r="J21" i="7"/>
  <c r="J24" i="7" s="1"/>
  <c r="J33" i="7" s="1"/>
  <c r="N18" i="7"/>
  <c r="L94" i="5"/>
  <c r="N90" i="5"/>
  <c r="N94" i="5" s="1"/>
  <c r="L9" i="4"/>
  <c r="K11" i="5"/>
  <c r="M11" i="5"/>
  <c r="J11" i="5"/>
  <c r="I13" i="5"/>
  <c r="F56" i="5"/>
  <c r="G56" i="5"/>
  <c r="D88" i="5"/>
  <c r="G88" i="5" s="1"/>
  <c r="L56" i="5"/>
  <c r="F14" i="7"/>
  <c r="B29" i="7"/>
  <c r="N47" i="4"/>
  <c r="F55" i="4"/>
  <c r="M55" i="4"/>
  <c r="M87" i="4" s="1"/>
  <c r="K47" i="4"/>
  <c r="N39" i="4"/>
  <c r="F14" i="5"/>
  <c r="M14" i="5"/>
  <c r="N14" i="5" s="1"/>
  <c r="G14" i="5"/>
  <c r="L19" i="5"/>
  <c r="H52" i="5"/>
  <c r="F35" i="5"/>
  <c r="E29" i="5"/>
  <c r="M35" i="5"/>
  <c r="N35" i="5" s="1"/>
  <c r="G35" i="5"/>
  <c r="F85" i="5"/>
  <c r="M85" i="5"/>
  <c r="N85" i="5" s="1"/>
  <c r="M19" i="5"/>
  <c r="G47" i="5"/>
  <c r="M98" i="5"/>
  <c r="N98" i="5" s="1"/>
  <c r="E97" i="5"/>
  <c r="F98" i="5"/>
  <c r="F97" i="5" s="1"/>
  <c r="G98" i="5"/>
  <c r="I13" i="4"/>
  <c r="L55" i="4"/>
  <c r="G14" i="4"/>
  <c r="E29" i="4"/>
  <c r="L19" i="4"/>
  <c r="G39" i="4"/>
  <c r="L89" i="4"/>
  <c r="F79" i="4"/>
  <c r="M79" i="4"/>
  <c r="E96" i="4"/>
  <c r="F97" i="4"/>
  <c r="F96" i="4" s="1"/>
  <c r="G97" i="4"/>
  <c r="M97" i="4"/>
  <c r="N97" i="4"/>
  <c r="N11" i="5"/>
  <c r="N30" i="5"/>
  <c r="N43" i="5"/>
  <c r="N45" i="5"/>
  <c r="J88" i="5"/>
  <c r="L77" i="5"/>
  <c r="N77" i="5" s="1"/>
  <c r="G77" i="5"/>
  <c r="M80" i="5"/>
  <c r="M88" i="5" s="1"/>
  <c r="F80" i="5"/>
  <c r="G90" i="5"/>
  <c r="F90" i="5"/>
  <c r="F94" i="5" s="1"/>
  <c r="N100" i="5"/>
  <c r="N24" i="7"/>
  <c r="I33" i="7"/>
  <c r="N33" i="7" s="1"/>
  <c r="N14" i="4"/>
  <c r="K68" i="4"/>
  <c r="E52" i="5"/>
  <c r="I51" i="4"/>
  <c r="J55" i="4"/>
  <c r="J87" i="4" s="1"/>
  <c r="J85" i="5"/>
  <c r="L76" i="4"/>
  <c r="N76" i="4" s="1"/>
  <c r="G76" i="4"/>
  <c r="N90" i="4"/>
  <c r="N24" i="5"/>
  <c r="J29" i="5"/>
  <c r="K39" i="5"/>
  <c r="M39" i="5"/>
  <c r="N39" i="5" s="1"/>
  <c r="J47" i="5"/>
  <c r="K47" i="5"/>
  <c r="K69" i="5"/>
  <c r="I88" i="5"/>
  <c r="K88" i="5" s="1"/>
  <c r="J69" i="5"/>
  <c r="N78" i="5"/>
  <c r="N86" i="5"/>
  <c r="G29" i="4" l="1"/>
  <c r="F29" i="4"/>
  <c r="E51" i="4"/>
  <c r="M29" i="4"/>
  <c r="I15" i="4"/>
  <c r="L88" i="5"/>
  <c r="N56" i="5"/>
  <c r="N88" i="5" s="1"/>
  <c r="H10" i="4"/>
  <c r="J108" i="4"/>
  <c r="K108" i="4"/>
  <c r="E9" i="5"/>
  <c r="G52" i="5"/>
  <c r="K52" i="5"/>
  <c r="J52" i="5"/>
  <c r="H9" i="5"/>
  <c r="L108" i="4"/>
  <c r="N96" i="4"/>
  <c r="K10" i="5"/>
  <c r="J10" i="5"/>
  <c r="M96" i="4"/>
  <c r="M108" i="4" s="1"/>
  <c r="E108" i="4"/>
  <c r="G96" i="4"/>
  <c r="L87" i="4"/>
  <c r="N55" i="4"/>
  <c r="N87" i="4" s="1"/>
  <c r="L52" i="5"/>
  <c r="N19" i="5"/>
  <c r="F87" i="4"/>
  <c r="F29" i="7"/>
  <c r="B51" i="7"/>
  <c r="J51" i="4"/>
  <c r="K51" i="4"/>
  <c r="I15" i="5"/>
  <c r="F52" i="5"/>
  <c r="D9" i="5"/>
  <c r="N89" i="4"/>
  <c r="N93" i="4" s="1"/>
  <c r="L93" i="4"/>
  <c r="N21" i="7"/>
  <c r="L51" i="4"/>
  <c r="N19" i="4"/>
  <c r="E109" i="5"/>
  <c r="G97" i="5"/>
  <c r="M97" i="5"/>
  <c r="M29" i="5"/>
  <c r="N29" i="5" s="1"/>
  <c r="F29" i="5"/>
  <c r="G29" i="5"/>
  <c r="L10" i="5"/>
  <c r="F88" i="5"/>
  <c r="G108" i="4" l="1"/>
  <c r="E10" i="4"/>
  <c r="F108" i="4"/>
  <c r="J10" i="4"/>
  <c r="J13" i="4" s="1"/>
  <c r="J15" i="4" s="1"/>
  <c r="H13" i="4"/>
  <c r="L10" i="4"/>
  <c r="K10" i="4"/>
  <c r="J9" i="5"/>
  <c r="J13" i="5" s="1"/>
  <c r="J15" i="5" s="1"/>
  <c r="H13" i="5"/>
  <c r="K9" i="5"/>
  <c r="M9" i="5"/>
  <c r="G9" i="5"/>
  <c r="M52" i="5"/>
  <c r="M51" i="4"/>
  <c r="N51" i="4" s="1"/>
  <c r="N29" i="4"/>
  <c r="M109" i="5"/>
  <c r="N109" i="5" s="1"/>
  <c r="N97" i="5"/>
  <c r="L9" i="5"/>
  <c r="F9" i="5"/>
  <c r="D13" i="5"/>
  <c r="D15" i="5" s="1"/>
  <c r="N108" i="4"/>
  <c r="G51" i="4"/>
  <c r="E9" i="4"/>
  <c r="F51" i="4"/>
  <c r="E10" i="5"/>
  <c r="G109" i="5"/>
  <c r="F109" i="5"/>
  <c r="B54" i="7"/>
  <c r="F51" i="7"/>
  <c r="N52" i="5"/>
  <c r="M9" i="4" l="1"/>
  <c r="G9" i="4"/>
  <c r="E13" i="4"/>
  <c r="F9" i="4"/>
  <c r="J16" i="4"/>
  <c r="H15" i="5"/>
  <c r="K15" i="5" s="1"/>
  <c r="K13" i="5"/>
  <c r="L13" i="5"/>
  <c r="N9" i="5"/>
  <c r="N13" i="5" s="1"/>
  <c r="N15" i="5" s="1"/>
  <c r="M10" i="4"/>
  <c r="N10" i="4" s="1"/>
  <c r="G10" i="4"/>
  <c r="F10" i="4"/>
  <c r="L13" i="4"/>
  <c r="H15" i="4"/>
  <c r="K15" i="4" s="1"/>
  <c r="K13" i="4"/>
  <c r="M10" i="5"/>
  <c r="N10" i="5" s="1"/>
  <c r="G10" i="5"/>
  <c r="F10" i="5"/>
  <c r="F13" i="5" s="1"/>
  <c r="F15" i="5" s="1"/>
  <c r="E13" i="5"/>
  <c r="F134" i="5" l="1"/>
  <c r="F137" i="5" s="1"/>
  <c r="F139" i="5" s="1"/>
  <c r="L15" i="5"/>
  <c r="F13" i="4"/>
  <c r="F133" i="4"/>
  <c r="F136" i="4" s="1"/>
  <c r="F138" i="4" s="1"/>
  <c r="L15" i="4"/>
  <c r="E15" i="4"/>
  <c r="G15" i="4" s="1"/>
  <c r="G13" i="4"/>
  <c r="G13" i="5"/>
  <c r="E15" i="5"/>
  <c r="G15" i="5" s="1"/>
  <c r="M13" i="5"/>
  <c r="M15" i="5" s="1"/>
  <c r="M13" i="4"/>
  <c r="M15" i="4" s="1"/>
  <c r="N9" i="4"/>
  <c r="N13" i="4" s="1"/>
  <c r="N15" i="4" s="1"/>
  <c r="F15" i="4" l="1"/>
  <c r="F16" i="4"/>
  <c r="N1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Vik, Suzette (MIL)</author>
  </authors>
  <commentList>
    <comment ref="D6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Vik, Suzette (MIL):</t>
        </r>
        <r>
          <rPr>
            <sz val="9"/>
            <color indexed="81"/>
            <rFont val="Tahoma"/>
            <family val="2"/>
          </rPr>
          <t xml:space="preserve">
7/08/2016 - Per Sharon the total contract amount should be $24,632</t>
        </r>
      </text>
    </comment>
    <comment ref="B6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Vik, Suzette (MIL):</t>
        </r>
        <r>
          <rPr>
            <sz val="9"/>
            <color indexed="81"/>
            <rFont val="Tahoma"/>
            <family val="2"/>
          </rPr>
          <t xml:space="preserve">
CE - Cultural Effect Consulting
TTY-Teletypwriter (telephone device for the hearing-impaired)</t>
        </r>
      </text>
    </comment>
    <comment ref="B7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Vik, Suzette (MIL):</t>
        </r>
        <r>
          <rPr>
            <sz val="9"/>
            <color indexed="81"/>
            <rFont val="Tahoma"/>
            <family val="2"/>
          </rPr>
          <t xml:space="preserve">
Criminal Justice Training Commission </t>
        </r>
      </text>
    </comment>
    <comment ref="D9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Vik, Suzette (MIL):</t>
        </r>
        <r>
          <rPr>
            <sz val="9"/>
            <color indexed="81"/>
            <rFont val="Tahoma"/>
            <family val="2"/>
          </rPr>
          <t xml:space="preserve">
7/08/2016 - Per Sharon the total contract amount is $9,361,007
</t>
        </r>
      </text>
    </comment>
    <comment ref="B9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Vik, Suzette (MIL):</t>
        </r>
        <r>
          <rPr>
            <sz val="9"/>
            <color indexed="81"/>
            <rFont val="Tahoma"/>
            <family val="2"/>
          </rPr>
          <t xml:space="preserve">
CB and ER</t>
        </r>
      </text>
    </comment>
    <comment ref="B10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Vik, Suzette (MIL):</t>
        </r>
        <r>
          <rPr>
            <sz val="9"/>
            <color indexed="81"/>
            <rFont val="Tahoma"/>
            <family val="2"/>
          </rPr>
          <t xml:space="preserve">
CE</t>
        </r>
      </text>
    </comment>
    <comment ref="B10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Vik, Suzette (MIL):</t>
        </r>
        <r>
          <rPr>
            <sz val="9"/>
            <color indexed="81"/>
            <rFont val="Tahoma"/>
            <family val="2"/>
          </rPr>
          <t xml:space="preserve">
N</t>
        </r>
      </text>
    </comment>
    <comment ref="B11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Vik, Suzette (MIL):</t>
        </r>
        <r>
          <rPr>
            <sz val="9"/>
            <color indexed="81"/>
            <rFont val="Tahoma"/>
            <family val="2"/>
          </rPr>
          <t xml:space="preserve">
Contract with Okanogan county for full amount of $1,850,000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Vik, Suzette (MIL)</author>
  </authors>
  <commentList>
    <comment ref="B70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Vik, Suzette (MIL):</t>
        </r>
        <r>
          <rPr>
            <sz val="9"/>
            <color indexed="81"/>
            <rFont val="Tahoma"/>
            <family val="2"/>
          </rPr>
          <t xml:space="preserve">
CE - Cultural Effect Consulting
TTY-Teletypwriter (telephone device for the hearing-impaired)</t>
        </r>
      </text>
    </comment>
    <comment ref="B7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Vik, Suzette (MIL):</t>
        </r>
        <r>
          <rPr>
            <sz val="9"/>
            <color indexed="81"/>
            <rFont val="Tahoma"/>
            <family val="2"/>
          </rPr>
          <t xml:space="preserve">
Criminal Justice Training Commission </t>
        </r>
      </text>
    </comment>
    <comment ref="B9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Vik, Suzette (MIL):</t>
        </r>
        <r>
          <rPr>
            <sz val="9"/>
            <color indexed="81"/>
            <rFont val="Tahoma"/>
            <family val="2"/>
          </rPr>
          <t xml:space="preserve">
CB and ER</t>
        </r>
      </text>
    </comment>
    <comment ref="B101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Vik, Suzette (MIL):</t>
        </r>
        <r>
          <rPr>
            <sz val="9"/>
            <color indexed="81"/>
            <rFont val="Tahoma"/>
            <family val="2"/>
          </rPr>
          <t xml:space="preserve">
CE</t>
        </r>
      </text>
    </comment>
    <comment ref="B105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Vik, Suzette (MIL):</t>
        </r>
        <r>
          <rPr>
            <sz val="9"/>
            <color indexed="81"/>
            <rFont val="Tahoma"/>
            <family val="2"/>
          </rPr>
          <t xml:space="preserve">
N</t>
        </r>
      </text>
    </comment>
  </commentList>
</comments>
</file>

<file path=xl/sharedStrings.xml><?xml version="1.0" encoding="utf-8"?>
<sst xmlns="http://schemas.openxmlformats.org/spreadsheetml/2006/main" count="705" uniqueCount="315">
  <si>
    <t>STATE ENHANCED 911 COORDINATION OFFICE</t>
  </si>
  <si>
    <t>Benefits</t>
  </si>
  <si>
    <t>NOTES:</t>
  </si>
  <si>
    <t>A</t>
  </si>
  <si>
    <t>050/450</t>
  </si>
  <si>
    <t>B</t>
  </si>
  <si>
    <t>E</t>
  </si>
  <si>
    <t>EG</t>
  </si>
  <si>
    <t>EM</t>
  </si>
  <si>
    <t>Travel</t>
  </si>
  <si>
    <t>Equipment</t>
  </si>
  <si>
    <t>Indirects</t>
  </si>
  <si>
    <t>N</t>
  </si>
  <si>
    <t>77289</t>
  </si>
  <si>
    <t>77687</t>
  </si>
  <si>
    <t>77689</t>
  </si>
  <si>
    <t>77692</t>
  </si>
  <si>
    <r>
      <t xml:space="preserve">NG </t>
    </r>
    <r>
      <rPr>
        <sz val="11"/>
        <color rgb="FF00CC00"/>
        <rFont val="Calibri"/>
        <family val="2"/>
        <scheme val="minor"/>
      </rPr>
      <t>Wireline</t>
    </r>
    <r>
      <rPr>
        <sz val="11"/>
        <rFont val="Calibri"/>
        <family val="2"/>
        <scheme val="minor"/>
      </rPr>
      <t xml:space="preserve"> Aggregation Points (NGAPS) </t>
    </r>
  </si>
  <si>
    <t>050</t>
  </si>
  <si>
    <t>77695</t>
  </si>
  <si>
    <r>
      <t xml:space="preserve">NG </t>
    </r>
    <r>
      <rPr>
        <sz val="11"/>
        <color rgb="FF00CC00"/>
        <rFont val="Calibri"/>
        <family val="2"/>
        <scheme val="minor"/>
      </rPr>
      <t>Wireless</t>
    </r>
    <r>
      <rPr>
        <sz val="11"/>
        <color theme="1"/>
        <rFont val="Calibri"/>
        <family val="2"/>
        <scheme val="minor"/>
      </rPr>
      <t xml:space="preserve"> Aggregation Points (NGAPS)</t>
    </r>
  </si>
  <si>
    <t>77693</t>
  </si>
  <si>
    <t>NG Psap Connectivity</t>
  </si>
  <si>
    <t>77694</t>
  </si>
  <si>
    <t xml:space="preserve">Cultural Effect Consulting (TTY Training) </t>
  </si>
  <si>
    <t>G</t>
  </si>
  <si>
    <t>STATEWIDE SERVICES</t>
  </si>
  <si>
    <t>FINANCIAL ASSISTANCE TO COUNTIES</t>
  </si>
  <si>
    <t>Telephone Equipment</t>
  </si>
  <si>
    <t>J</t>
  </si>
  <si>
    <t xml:space="preserve"> </t>
  </si>
  <si>
    <t>STATE ENHANCED 911 COORDINATOR'S OFFICE</t>
  </si>
  <si>
    <t>BIENNIUM 2015-17 BUDGET STATUS - ALL FUNDING SOURCES INCLUDED</t>
  </si>
  <si>
    <t>AS OF FISCAL MONTH 11 - MAY 2016</t>
  </si>
  <si>
    <t>SECO BUDGET - ALL FUNDING SOURCES INCLUDED</t>
  </si>
  <si>
    <t>STATE FISCAL YEAR 2016</t>
  </si>
  <si>
    <t>STATE FISCAL YEAR 2017</t>
  </si>
  <si>
    <t>BN 2015-17</t>
  </si>
  <si>
    <t>Notes</t>
  </si>
  <si>
    <t>SFY16 Allotment</t>
  </si>
  <si>
    <t>SFY16 Expenditures</t>
  </si>
  <si>
    <t>SFY16 
Allotment Balance</t>
  </si>
  <si>
    <t xml:space="preserve">% Exp. Target </t>
  </si>
  <si>
    <t>SFY17 Allotment</t>
  </si>
  <si>
    <t>SFY17 Expenditures</t>
  </si>
  <si>
    <t>SFY17 
Allotment Balance</t>
  </si>
  <si>
    <t>% Exp Target</t>
  </si>
  <si>
    <t>TOTAL BIENNIUM BUDGET</t>
  </si>
  <si>
    <t>BN2015-17 Expenditures</t>
  </si>
  <si>
    <t>BN2015-17 
Allotment Balance</t>
  </si>
  <si>
    <t>FUND</t>
  </si>
  <si>
    <t>FUNDING SOURCES</t>
  </si>
  <si>
    <t>BN Budget</t>
  </si>
  <si>
    <t>03F</t>
  </si>
  <si>
    <t>Baseline Spending Authority</t>
  </si>
  <si>
    <t>Enhanced 911 Network Modernization</t>
  </si>
  <si>
    <t>Next Generation 911 Modernization (Supp)</t>
  </si>
  <si>
    <t>Cardiac Arrest Response Pilot Program</t>
  </si>
  <si>
    <t>TOTAL E911 FUND SPENDING AUTHORITY</t>
  </si>
  <si>
    <t>05H</t>
  </si>
  <si>
    <t>Okanogan/Ferry Co Disaster Relief</t>
  </si>
  <si>
    <t>SECO BIENNIUM BUDGET TOTAL-ALL FUNDS</t>
  </si>
  <si>
    <t>Total E911 Funds Unspent or Unallotted</t>
  </si>
  <si>
    <t>BASELINE SPENDING AUTHORITY BUDGET BREAKDOWN</t>
  </si>
  <si>
    <t>PI</t>
  </si>
  <si>
    <t>WA MILITARY DEPARTMENT OPERATION COSTS</t>
  </si>
  <si>
    <t>SECO OPERATION COSTS</t>
  </si>
  <si>
    <t>77681</t>
  </si>
  <si>
    <t>Salary</t>
  </si>
  <si>
    <t>* Added additional positions</t>
  </si>
  <si>
    <t>Jan = (1) EMPS3, Feb-Jun all new added</t>
  </si>
  <si>
    <t>Contracts</t>
  </si>
  <si>
    <t xml:space="preserve"> Empl Training</t>
  </si>
  <si>
    <t>EM Attorney General</t>
  </si>
  <si>
    <t>Goods &amp; Services</t>
  </si>
  <si>
    <t>SECO IT OPERATION COSTS</t>
  </si>
  <si>
    <t>77679</t>
  </si>
  <si>
    <t>EMD OPERATION COSTS</t>
  </si>
  <si>
    <t>745DO</t>
  </si>
  <si>
    <t>Salary &amp; Benefits</t>
  </si>
  <si>
    <t>Johanna and Hollie</t>
  </si>
  <si>
    <t>755DO</t>
  </si>
  <si>
    <t>77680</t>
  </si>
  <si>
    <t>Kurt Hardin and Robert Ezelle</t>
  </si>
  <si>
    <t>27160</t>
  </si>
  <si>
    <t>27610</t>
  </si>
  <si>
    <t>Fin Admin Svcs E911</t>
  </si>
  <si>
    <t>27630</t>
  </si>
  <si>
    <t>HR Admin Svcs E911</t>
  </si>
  <si>
    <t xml:space="preserve">WA MILITARY DEPARTMENT INDIRECT COSTS </t>
  </si>
  <si>
    <t>77104</t>
  </si>
  <si>
    <t>Pooled  Costs</t>
  </si>
  <si>
    <t>Xerox Corp - Misc Maint. Agree.</t>
  </si>
  <si>
    <t>79998</t>
  </si>
  <si>
    <t>Agency Indirect (11%)</t>
  </si>
  <si>
    <t>14.6% to 10.5% to 11%</t>
  </si>
  <si>
    <t>E911 STATE OFFICE TOTALS</t>
  </si>
  <si>
    <t>PASS-THROUGH FUNDS</t>
  </si>
  <si>
    <t>STATEWIDE NETWORK &amp; DATABASE</t>
  </si>
  <si>
    <t>77284</t>
  </si>
  <si>
    <t>NG Wireline End Office</t>
  </si>
  <si>
    <t>77286</t>
  </si>
  <si>
    <t>E911 Long Distance</t>
  </si>
  <si>
    <t>Legacy Ali/Dms Database</t>
  </si>
  <si>
    <t xml:space="preserve"> Legacy Redundant Tandem (NGAP/LNG Connect)</t>
  </si>
  <si>
    <t>77688</t>
  </si>
  <si>
    <t>Legacy Intertandem</t>
  </si>
  <si>
    <t>Legacy Night Services</t>
  </si>
  <si>
    <t>77690</t>
  </si>
  <si>
    <t>NG Host / Remote Network</t>
  </si>
  <si>
    <t>NG Database</t>
  </si>
  <si>
    <t>E911 STATEWIDE CONTRACTED SERVICES</t>
  </si>
  <si>
    <t>77684</t>
  </si>
  <si>
    <t xml:space="preserve"> CJTC Training Contracts</t>
  </si>
  <si>
    <t>E911 PUBLIC EDUCATION</t>
  </si>
  <si>
    <t>77683</t>
  </si>
  <si>
    <t>EMERGENCY RESERVE</t>
  </si>
  <si>
    <t>77691</t>
  </si>
  <si>
    <t xml:space="preserve">TERT Deploy/Emergency </t>
  </si>
  <si>
    <t>SECO ADVISORY COMMITTEE</t>
  </si>
  <si>
    <t>77682</t>
  </si>
  <si>
    <t>Grants (N)</t>
  </si>
  <si>
    <t>PSAP REGIONALIZATION STUDIES</t>
  </si>
  <si>
    <t>77686</t>
  </si>
  <si>
    <t>PSAP Regionalization Studies</t>
  </si>
  <si>
    <t>STATEWIDE SERVICES TOTAL</t>
  </si>
  <si>
    <t>COUNTY/WSP CPD/OPERATIONAL CONTRACTS</t>
  </si>
  <si>
    <t>77281</t>
  </si>
  <si>
    <t>CPD / Operations 20/80</t>
  </si>
  <si>
    <t>77282</t>
  </si>
  <si>
    <t>Operations Equipment</t>
  </si>
  <si>
    <t>JV'ing these expenses to 77281</t>
  </si>
  <si>
    <t>FINANCIAL ASSISTANCE TOTAL</t>
  </si>
  <si>
    <t>ENHANCED 911 NETWORK MODERNIZATION (PASS-THROUGH)</t>
  </si>
  <si>
    <t>FEASIBILITY STUDIES AND CONSULTANT SERVICES</t>
  </si>
  <si>
    <t>77200</t>
  </si>
  <si>
    <t>NG911 Studies/Consultants</t>
  </si>
  <si>
    <t>ESINET ENHANCEMENTS</t>
  </si>
  <si>
    <t>ESInet RFP Review (SAAG)</t>
  </si>
  <si>
    <t>NG911 Applications</t>
  </si>
  <si>
    <t>NG911 PSAP EQUIPMENT</t>
  </si>
  <si>
    <t xml:space="preserve">7/08/16-Per Sharon-total contracts </t>
  </si>
  <si>
    <t>so far = $3,604,079</t>
  </si>
  <si>
    <t>E911 NETWORK MODERNIZATION TOTAL</t>
  </si>
  <si>
    <t>NEXT GENERATION 911 MODERNIZATION - SUPPLEMENTAL</t>
  </si>
  <si>
    <t>77299</t>
  </si>
  <si>
    <t>Enhanced 911 Ntwrk Mod. - Supplemental</t>
  </si>
  <si>
    <t>I assumed this is Object N-so I didn’t</t>
  </si>
  <si>
    <t>calculate any Indirects</t>
  </si>
  <si>
    <t>CARDIAC ARREST RESPONSE PILOT PROGRAM</t>
  </si>
  <si>
    <t>77400</t>
  </si>
  <si>
    <t>OKANOGAN/FERRY COUNTY DISASTER RELIEF (Fund 05H-Disaster Response Account)</t>
  </si>
  <si>
    <t>77001</t>
  </si>
  <si>
    <t>Okanogan/Ferry County Disaster Relief</t>
  </si>
  <si>
    <t>SFY16 NOTES:</t>
  </si>
  <si>
    <t>FUND 03F - ENHANCED 911 ACCOUNT</t>
  </si>
  <si>
    <t>PROJECTED ACCOUNT BALANCE</t>
  </si>
  <si>
    <t>AT THE END OF BIENNIUM 2015-17</t>
  </si>
  <si>
    <t>CATEGORIES</t>
  </si>
  <si>
    <t>AMOUNTS</t>
  </si>
  <si>
    <t>Fund Balance at Start of BN</t>
  </si>
  <si>
    <t>Recovery of Prior Period Expenditures</t>
  </si>
  <si>
    <t>Excise Telephone Taxes Received To Date</t>
  </si>
  <si>
    <t>Projected Revenue Receipt thru June 2017 (per DOR)</t>
  </si>
  <si>
    <t>TOTAL PROJECTED REVENUE</t>
  </si>
  <si>
    <t>Appropriation to SECO</t>
  </si>
  <si>
    <t>Appropriation to WA Military Department</t>
  </si>
  <si>
    <t>Appropriation to WA State Patrol</t>
  </si>
  <si>
    <t>TOTAL APPROPRIATIONS FROM ACCOUNT</t>
  </si>
  <si>
    <t>PROJECTED ACCOUNT BALANCE (REVENUE MINUS APPROPRIATIONS)</t>
  </si>
  <si>
    <t>77690 - the total budget amount should have been $25,427</t>
  </si>
  <si>
    <t xml:space="preserve">77104 - (07/12/16) Johanna JV'ed $1,853 expenses from 050/450 to 650 - to spend down the Director's Office budget. </t>
  </si>
  <si>
    <t>77281 - total budget amount should have been $9,330,960</t>
  </si>
  <si>
    <t>77200 - total Telephone Equipment contract amount so far is $3,604,079</t>
  </si>
  <si>
    <t>NG911 PSAP Connectivity</t>
  </si>
  <si>
    <t>NG911 Database</t>
  </si>
  <si>
    <t>ESInet RFP Review (SAAG)-Gallitano</t>
  </si>
  <si>
    <t>NG911 Modernization</t>
  </si>
  <si>
    <t>Governor's Proposed Budget</t>
  </si>
  <si>
    <t>Senate Proposed Budget</t>
  </si>
  <si>
    <t>Biennium 2015-17 Reconciliation from Rich Shimizu</t>
  </si>
  <si>
    <t>Biennium 2017-19 Proposed Reconciliation from Vik</t>
  </si>
  <si>
    <t>Budget Reconciliation</t>
  </si>
  <si>
    <t>650</t>
  </si>
  <si>
    <t>170</t>
  </si>
  <si>
    <t>130</t>
  </si>
  <si>
    <t>Balance</t>
  </si>
  <si>
    <t>1A0</t>
  </si>
  <si>
    <t>VRS 4P</t>
  </si>
  <si>
    <t>CF Adjustments</t>
  </si>
  <si>
    <t xml:space="preserve">     02 GFS/E911 Fund Shift</t>
  </si>
  <si>
    <t xml:space="preserve">     05 NG911 Capability</t>
  </si>
  <si>
    <t xml:space="preserve">     19 Enhanced 911 Network Modernization</t>
  </si>
  <si>
    <t xml:space="preserve">     92E Legal Services</t>
  </si>
  <si>
    <r>
      <t xml:space="preserve">      20 Emergency Operations Fund Shift  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</si>
  <si>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92J CTS Central Services</t>
  </si>
  <si>
    <t xml:space="preserve">      CA1 Cardiac Arrest Response Pilot</t>
  </si>
  <si>
    <t xml:space="preserve">     92K DES Central Services</t>
  </si>
  <si>
    <t xml:space="preserve">      G05 Biennialize Employee PEB Rate</t>
  </si>
  <si>
    <t xml:space="preserve">     92M Biennized Step M</t>
  </si>
  <si>
    <t xml:space="preserve">      G09 WFSE General Government</t>
  </si>
  <si>
    <t xml:space="preserve">     G05 Biennized PEB Rate</t>
  </si>
  <si>
    <r>
      <t xml:space="preserve">      GEP Fund Shift   </t>
    </r>
    <r>
      <rPr>
        <vertAlign val="superscript"/>
        <sz val="11"/>
        <color theme="1"/>
        <rFont val="Calibri"/>
        <family val="2"/>
        <scheme val="minor"/>
      </rPr>
      <t>2</t>
    </r>
  </si>
  <si>
    <t>Base Budget</t>
  </si>
  <si>
    <t xml:space="preserve">      GL1 WPEA General Government</t>
  </si>
  <si>
    <t xml:space="preserve">      GL9 Non-Rep General Wage Increase</t>
  </si>
  <si>
    <t>Maintenance Adjustments</t>
  </si>
  <si>
    <t xml:space="preserve">      GZA2 Moore v HCA Settlement</t>
  </si>
  <si>
    <t xml:space="preserve">     91 Workers Comp</t>
  </si>
  <si>
    <t xml:space="preserve">      M4 NG911 Modernization</t>
  </si>
  <si>
    <t xml:space="preserve">     92A State Data Center</t>
  </si>
  <si>
    <t>Carryforward Level Fund Totals</t>
  </si>
  <si>
    <t xml:space="preserve">     92B CTS Rate Adjustment</t>
  </si>
  <si>
    <t xml:space="preserve">     92D Audit Services</t>
  </si>
  <si>
    <t xml:space="preserve">      RE NG911 &amp; ESInet implementation</t>
  </si>
  <si>
    <t>Carryforward Plus Workload Changes Fund Total</t>
  </si>
  <si>
    <t xml:space="preserve">     92F Office of Chief Information Office</t>
  </si>
  <si>
    <t xml:space="preserve">      9P Pension and DRS Rate Changes</t>
  </si>
  <si>
    <t>Maintenance level Fund Total</t>
  </si>
  <si>
    <t xml:space="preserve">     92T Time, Leave and Attendance System</t>
  </si>
  <si>
    <t xml:space="preserve">     92X Self Insurance Liability Premium</t>
  </si>
  <si>
    <t xml:space="preserve">     9D Pension and DRS</t>
  </si>
  <si>
    <t xml:space="preserve">     AD E911 &amp; NG911 M&amp;O</t>
  </si>
  <si>
    <t>Maintenance Budget</t>
  </si>
  <si>
    <t xml:space="preserve">      G06 State Public Employee Benefits Rate</t>
  </si>
  <si>
    <t xml:space="preserve">      G6A State Represented Emp Benefits Rate</t>
  </si>
  <si>
    <t xml:space="preserve">     92C Archives/Records Management</t>
  </si>
  <si>
    <t>2017-19 Budget Fund Summary Total</t>
  </si>
  <si>
    <t>1.   $8M 001-1 GFS-Basic Account-State. $606K 163-1 Worker/Community Right to Know Account-State</t>
  </si>
  <si>
    <t xml:space="preserve">     92L Core Financial Systems Replacement</t>
  </si>
  <si>
    <t>2.   Fund 05H-1 Disaster Response Account-State</t>
  </si>
  <si>
    <t xml:space="preserve">     92P Fleet Program Rate Reduction</t>
  </si>
  <si>
    <t xml:space="preserve">     92X Self-Insurance Liability Premium</t>
  </si>
  <si>
    <t xml:space="preserve">     CA1 Cardiac Arrest Response Pilot</t>
  </si>
  <si>
    <t xml:space="preserve">     G06 WFSE General Government</t>
  </si>
  <si>
    <t xml:space="preserve">     G09 WFSE General Government</t>
  </si>
  <si>
    <t xml:space="preserve">     G19 Enhanced 911 Network Modernization</t>
  </si>
  <si>
    <t xml:space="preserve">   </t>
  </si>
  <si>
    <t xml:space="preserve">     G20 Emergency Operations Fund Shift</t>
  </si>
  <si>
    <t xml:space="preserve">     G6A State Represented Emp Benefit Rate</t>
  </si>
  <si>
    <t xml:space="preserve">     GGG Nonrep Job Class Specific</t>
  </si>
  <si>
    <t xml:space="preserve">     GL1 WPEA General Government</t>
  </si>
  <si>
    <t xml:space="preserve">   GL9 General Wage Incr-State Employees</t>
  </si>
  <si>
    <t>Approved Budget</t>
  </si>
  <si>
    <t>Note:  $400,000 is assigned to Administration</t>
  </si>
  <si>
    <t>EMD Budget 050/450</t>
  </si>
  <si>
    <t>79681</t>
  </si>
  <si>
    <t>79679</t>
  </si>
  <si>
    <t>DIRECTOR'S OFFICE COSTS</t>
  </si>
  <si>
    <t>79680</t>
  </si>
  <si>
    <t>T</t>
  </si>
  <si>
    <t>79104</t>
  </si>
  <si>
    <t>79697</t>
  </si>
  <si>
    <t>79698</t>
  </si>
  <si>
    <t>79699</t>
  </si>
  <si>
    <t>ESINET Administrative Fee</t>
  </si>
  <si>
    <t>7969A</t>
  </si>
  <si>
    <t>ESINET Implementation NRC</t>
  </si>
  <si>
    <t>7969B</t>
  </si>
  <si>
    <t>ESINET Transition</t>
  </si>
  <si>
    <t>79684</t>
  </si>
  <si>
    <t>79683</t>
  </si>
  <si>
    <t>79691</t>
  </si>
  <si>
    <t xml:space="preserve">E911 TERT Deploy/Emergency </t>
  </si>
  <si>
    <t>79682</t>
  </si>
  <si>
    <t>79686</t>
  </si>
  <si>
    <t>E911 PSAP Regionalization Studies</t>
  </si>
  <si>
    <t>79281</t>
  </si>
  <si>
    <t>E911 County Contracts</t>
  </si>
  <si>
    <t>79283</t>
  </si>
  <si>
    <t>NG Host/Remote Network</t>
  </si>
  <si>
    <t>79696</t>
  </si>
  <si>
    <t xml:space="preserve"> Yr2 allotments to be completed</t>
  </si>
  <si>
    <t>*New PCs for new hires?</t>
  </si>
  <si>
    <t>* Without ITS5 - Security added</t>
  </si>
  <si>
    <t>Kurt Hardin</t>
  </si>
  <si>
    <t>70000</t>
  </si>
  <si>
    <t>EMD Division Adjustment</t>
  </si>
  <si>
    <t>Agency Indirect (10.5%)</t>
  </si>
  <si>
    <t>Reduced from 14.6% to 10.5%</t>
  </si>
  <si>
    <t xml:space="preserve">CEC (TTY Training) </t>
  </si>
  <si>
    <t>* Off site meeting rooms</t>
  </si>
  <si>
    <t>Thurston County Commissioners</t>
  </si>
  <si>
    <t>7969C</t>
  </si>
  <si>
    <t>7928A</t>
  </si>
  <si>
    <t>E911 Financial Assist to Counties</t>
  </si>
  <si>
    <t>20610</t>
  </si>
  <si>
    <t xml:space="preserve">SECO BUDGET - E911 FUND (03F) </t>
  </si>
  <si>
    <t>NETWORK &amp; DATABASE BUDGET TOTALS</t>
  </si>
  <si>
    <t>79689</t>
  </si>
  <si>
    <t>ESINET Core Services</t>
  </si>
  <si>
    <t>PSAP ALI</t>
  </si>
  <si>
    <t>79687</t>
  </si>
  <si>
    <t>7969D</t>
  </si>
  <si>
    <t>A,B,E</t>
  </si>
  <si>
    <t>Salary &amp; Benefits + Goods &amp; Services</t>
  </si>
  <si>
    <t>Washington Technology Solutions - SLA</t>
  </si>
  <si>
    <t>NG911 Wireline End Office</t>
  </si>
  <si>
    <t>NG911 NGAP to LNG Connectivity</t>
  </si>
  <si>
    <t>NG911 Wireline Aggregation Points (NGAPS)</t>
  </si>
  <si>
    <t>NG911 Wireless Aggregation Points (NGAPS)</t>
  </si>
  <si>
    <t>ESINET I</t>
  </si>
  <si>
    <t>ESINET II</t>
  </si>
  <si>
    <t>CARRIER COSTS</t>
  </si>
  <si>
    <t xml:space="preserve">E911 Legacy ANI/ALI (Wireline Carrier charges) </t>
  </si>
  <si>
    <t>PSAP Connectivity and Core Share</t>
  </si>
  <si>
    <t>BIENNIUM 19-21</t>
  </si>
  <si>
    <t xml:space="preserve">SFY20 </t>
  </si>
  <si>
    <t xml:space="preserve">SFY21 </t>
  </si>
  <si>
    <t>SECO BUDGET BREAKDOWN</t>
  </si>
  <si>
    <t>TOTAL</t>
  </si>
  <si>
    <t>Current Carry Forward</t>
  </si>
  <si>
    <t>Additional Spending Authority Needed</t>
  </si>
  <si>
    <t>Agency Indirect (15.3%)</t>
  </si>
  <si>
    <t xml:space="preserve">BIENNIUM 2019-21 PROJECTED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</si>
</sst>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"/>
    <numFmt numFmtId="168" formatCode="&quot;$&quot;#,##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CC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2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u/>
      <sz val="16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5" tint="0.79998168889431442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7" fillId="0" borderId="0"/>
    <xf numFmtId="0" fontId="30" fillId="15" borderId="0" applyNumberFormat="0" applyBorder="0" applyAlignment="0" applyProtection="0"/>
  </cellStyleXfs>
  <cellXfs count="416">
    <xf numFmtId="0" fontId="0" fillId="0" borderId="0" xfId="0"/>
    <xf numFmtId="0" fontId="2" fillId="0" borderId="0" xfId="0" applyFont="1"/>
    <xf numFmtId="0" fontId="0" fillId="0" borderId="0" xfId="0" applyFill="1"/>
    <xf numFmtId="41" fontId="0" fillId="0" borderId="0" xfId="0" applyNumberFormat="1"/>
    <xf numFmtId="41" fontId="0" fillId="0" borderId="0" xfId="0" applyNumberFormat="1" applyFill="1"/>
    <xf numFmtId="41" fontId="0" fillId="0" borderId="0" xfId="0" applyNumberFormat="1" applyBorder="1"/>
    <xf numFmtId="0" fontId="0" fillId="0" borderId="0" xfId="0" applyBorder="1"/>
    <xf numFmtId="41" fontId="0" fillId="0" borderId="0" xfId="0" applyNumberFormat="1" applyFont="1" applyFill="1" applyBorder="1"/>
    <xf numFmtId="49" fontId="0" fillId="0" borderId="0" xfId="0" applyNumberFormat="1" applyFill="1" applyAlignment="1">
      <alignment horizontal="center"/>
    </xf>
    <xf numFmtId="9" fontId="9" fillId="0" borderId="0" xfId="3" applyNumberFormat="1" applyFont="1"/>
    <xf numFmtId="0" fontId="9" fillId="0" borderId="0" xfId="0" applyFont="1"/>
    <xf numFmtId="0" fontId="12" fillId="0" borderId="0" xfId="0" applyFont="1"/>
    <xf numFmtId="0" fontId="2" fillId="7" borderId="12" xfId="0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0" fontId="15" fillId="0" borderId="0" xfId="0" applyFont="1"/>
    <xf numFmtId="0" fontId="1" fillId="6" borderId="16" xfId="0" applyFont="1" applyFill="1" applyBorder="1" applyAlignment="1">
      <alignment horizontal="center" wrapText="1"/>
    </xf>
    <xf numFmtId="0" fontId="1" fillId="7" borderId="16" xfId="0" applyFont="1" applyFill="1" applyBorder="1" applyAlignment="1">
      <alignment horizontal="center" wrapText="1"/>
    </xf>
    <xf numFmtId="0" fontId="17" fillId="0" borderId="0" xfId="0" applyFont="1" applyFill="1"/>
    <xf numFmtId="49" fontId="1" fillId="0" borderId="20" xfId="0" applyNumberFormat="1" applyFont="1" applyFill="1" applyBorder="1" applyAlignment="1">
      <alignment horizontal="center" shrinkToFit="1"/>
    </xf>
    <xf numFmtId="3" fontId="1" fillId="0" borderId="21" xfId="0" applyNumberFormat="1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9" fontId="1" fillId="6" borderId="25" xfId="0" applyNumberFormat="1" applyFont="1" applyFill="1" applyBorder="1" applyAlignment="1">
      <alignment horizontal="center" wrapText="1"/>
    </xf>
    <xf numFmtId="9" fontId="1" fillId="7" borderId="25" xfId="3" applyFont="1" applyFill="1" applyBorder="1" applyAlignment="1">
      <alignment horizontal="center" wrapText="1"/>
    </xf>
    <xf numFmtId="49" fontId="0" fillId="0" borderId="20" xfId="0" applyNumberFormat="1" applyFill="1" applyBorder="1" applyAlignment="1">
      <alignment horizontal="center"/>
    </xf>
    <xf numFmtId="3" fontId="0" fillId="0" borderId="29" xfId="0" applyNumberFormat="1" applyFont="1" applyBorder="1" applyAlignment="1">
      <alignment horizontal="right"/>
    </xf>
    <xf numFmtId="41" fontId="0" fillId="9" borderId="30" xfId="2" applyNumberFormat="1" applyFont="1" applyFill="1" applyBorder="1"/>
    <xf numFmtId="41" fontId="0" fillId="9" borderId="31" xfId="2" applyNumberFormat="1" applyFont="1" applyFill="1" applyBorder="1"/>
    <xf numFmtId="9" fontId="0" fillId="9" borderId="32" xfId="3" applyFont="1" applyFill="1" applyBorder="1" applyAlignment="1">
      <alignment horizontal="center"/>
    </xf>
    <xf numFmtId="41" fontId="0" fillId="10" borderId="30" xfId="2" applyNumberFormat="1" applyFont="1" applyFill="1" applyBorder="1"/>
    <xf numFmtId="41" fontId="0" fillId="10" borderId="31" xfId="2" applyNumberFormat="1" applyFont="1" applyFill="1" applyBorder="1"/>
    <xf numFmtId="9" fontId="0" fillId="10" borderId="32" xfId="3" applyFont="1" applyFill="1" applyBorder="1" applyAlignment="1">
      <alignment horizontal="center"/>
    </xf>
    <xf numFmtId="41" fontId="0" fillId="11" borderId="30" xfId="2" applyNumberFormat="1" applyFont="1" applyFill="1" applyBorder="1"/>
    <xf numFmtId="41" fontId="0" fillId="11" borderId="31" xfId="2" applyNumberFormat="1" applyFont="1" applyFill="1" applyBorder="1"/>
    <xf numFmtId="41" fontId="0" fillId="11" borderId="33" xfId="0" applyNumberFormat="1" applyFont="1" applyFill="1" applyBorder="1"/>
    <xf numFmtId="0" fontId="18" fillId="0" borderId="0" xfId="0" applyFont="1"/>
    <xf numFmtId="3" fontId="0" fillId="0" borderId="21" xfId="0" applyNumberFormat="1" applyFont="1" applyBorder="1" applyAlignment="1">
      <alignment horizontal="right"/>
    </xf>
    <xf numFmtId="3" fontId="0" fillId="0" borderId="34" xfId="0" applyNumberFormat="1" applyFont="1" applyBorder="1" applyAlignment="1">
      <alignment horizontal="right"/>
    </xf>
    <xf numFmtId="41" fontId="0" fillId="9" borderId="35" xfId="2" applyNumberFormat="1" applyFont="1" applyFill="1" applyBorder="1"/>
    <xf numFmtId="41" fontId="0" fillId="9" borderId="20" xfId="2" applyNumberFormat="1" applyFont="1" applyFill="1" applyBorder="1"/>
    <xf numFmtId="41" fontId="0" fillId="10" borderId="35" xfId="2" applyNumberFormat="1" applyFont="1" applyFill="1" applyBorder="1"/>
    <xf numFmtId="41" fontId="0" fillId="10" borderId="20" xfId="2" applyNumberFormat="1" applyFont="1" applyFill="1" applyBorder="1"/>
    <xf numFmtId="41" fontId="0" fillId="11" borderId="35" xfId="2" applyNumberFormat="1" applyFont="1" applyFill="1" applyBorder="1"/>
    <xf numFmtId="41" fontId="0" fillId="11" borderId="20" xfId="2" applyNumberFormat="1" applyFont="1" applyFill="1" applyBorder="1"/>
    <xf numFmtId="41" fontId="0" fillId="11" borderId="36" xfId="0" applyNumberFormat="1" applyFont="1" applyFill="1" applyBorder="1"/>
    <xf numFmtId="3" fontId="0" fillId="0" borderId="37" xfId="0" applyNumberFormat="1" applyFont="1" applyBorder="1" applyAlignment="1">
      <alignment horizontal="right"/>
    </xf>
    <xf numFmtId="41" fontId="0" fillId="9" borderId="38" xfId="2" applyNumberFormat="1" applyFont="1" applyFill="1" applyBorder="1"/>
    <xf numFmtId="41" fontId="0" fillId="9" borderId="39" xfId="2" applyNumberFormat="1" applyFont="1" applyFill="1" applyBorder="1"/>
    <xf numFmtId="41" fontId="0" fillId="10" borderId="38" xfId="2" applyNumberFormat="1" applyFont="1" applyFill="1" applyBorder="1"/>
    <xf numFmtId="41" fontId="0" fillId="11" borderId="38" xfId="2" applyNumberFormat="1" applyFont="1" applyFill="1" applyBorder="1"/>
    <xf numFmtId="41" fontId="0" fillId="9" borderId="40" xfId="2" applyNumberFormat="1" applyFont="1" applyFill="1" applyBorder="1"/>
    <xf numFmtId="41" fontId="0" fillId="9" borderId="41" xfId="2" applyNumberFormat="1" applyFont="1" applyFill="1" applyBorder="1"/>
    <xf numFmtId="9" fontId="0" fillId="9" borderId="42" xfId="3" applyFont="1" applyFill="1" applyBorder="1" applyAlignment="1">
      <alignment horizontal="center"/>
    </xf>
    <xf numFmtId="41" fontId="0" fillId="10" borderId="40" xfId="2" applyNumberFormat="1" applyFont="1" applyFill="1" applyBorder="1"/>
    <xf numFmtId="41" fontId="0" fillId="10" borderId="41" xfId="2" applyNumberFormat="1" applyFont="1" applyFill="1" applyBorder="1"/>
    <xf numFmtId="9" fontId="0" fillId="10" borderId="42" xfId="3" applyFont="1" applyFill="1" applyBorder="1" applyAlignment="1">
      <alignment horizontal="center"/>
    </xf>
    <xf numFmtId="41" fontId="0" fillId="11" borderId="43" xfId="2" applyNumberFormat="1" applyFont="1" applyFill="1" applyBorder="1"/>
    <xf numFmtId="41" fontId="0" fillId="11" borderId="41" xfId="2" applyNumberFormat="1" applyFont="1" applyFill="1" applyBorder="1"/>
    <xf numFmtId="41" fontId="0" fillId="11" borderId="44" xfId="0" applyNumberFormat="1" applyFont="1" applyFill="1" applyBorder="1"/>
    <xf numFmtId="3" fontId="1" fillId="0" borderId="22" xfId="0" applyNumberFormat="1" applyFont="1" applyBorder="1" applyAlignment="1">
      <alignment horizontal="right"/>
    </xf>
    <xf numFmtId="41" fontId="1" fillId="9" borderId="30" xfId="2" applyNumberFormat="1" applyFont="1" applyFill="1" applyBorder="1"/>
    <xf numFmtId="41" fontId="1" fillId="9" borderId="31" xfId="2" applyNumberFormat="1" applyFont="1" applyFill="1" applyBorder="1"/>
    <xf numFmtId="9" fontId="1" fillId="9" borderId="32" xfId="3" applyFont="1" applyFill="1" applyBorder="1" applyAlignment="1">
      <alignment horizontal="center"/>
    </xf>
    <xf numFmtId="41" fontId="1" fillId="10" borderId="45" xfId="2" applyNumberFormat="1" applyFont="1" applyFill="1" applyBorder="1"/>
    <xf numFmtId="41" fontId="1" fillId="10" borderId="31" xfId="2" applyNumberFormat="1" applyFont="1" applyFill="1" applyBorder="1"/>
    <xf numFmtId="9" fontId="1" fillId="10" borderId="32" xfId="3" applyFont="1" applyFill="1" applyBorder="1" applyAlignment="1">
      <alignment horizontal="center"/>
    </xf>
    <xf numFmtId="41" fontId="1" fillId="11" borderId="45" xfId="2" applyNumberFormat="1" applyFont="1" applyFill="1" applyBorder="1"/>
    <xf numFmtId="41" fontId="1" fillId="11" borderId="31" xfId="2" applyNumberFormat="1" applyFont="1" applyFill="1" applyBorder="1"/>
    <xf numFmtId="41" fontId="1" fillId="11" borderId="33" xfId="0" applyNumberFormat="1" applyFont="1" applyFill="1" applyBorder="1"/>
    <xf numFmtId="41" fontId="0" fillId="10" borderId="46" xfId="2" applyNumberFormat="1" applyFont="1" applyFill="1" applyBorder="1"/>
    <xf numFmtId="41" fontId="0" fillId="11" borderId="46" xfId="2" applyNumberFormat="1" applyFont="1" applyFill="1" applyBorder="1"/>
    <xf numFmtId="3" fontId="1" fillId="0" borderId="0" xfId="0" applyNumberFormat="1" applyFont="1" applyBorder="1" applyAlignment="1">
      <alignment horizontal="right"/>
    </xf>
    <xf numFmtId="41" fontId="2" fillId="6" borderId="47" xfId="2" applyNumberFormat="1" applyFont="1" applyFill="1" applyBorder="1"/>
    <xf numFmtId="41" fontId="2" fillId="6" borderId="48" xfId="2" applyNumberFormat="1" applyFont="1" applyFill="1" applyBorder="1"/>
    <xf numFmtId="9" fontId="1" fillId="6" borderId="25" xfId="3" applyFont="1" applyFill="1" applyBorder="1" applyAlignment="1">
      <alignment horizontal="center"/>
    </xf>
    <xf numFmtId="41" fontId="2" fillId="7" borderId="49" xfId="2" applyNumberFormat="1" applyFont="1" applyFill="1" applyBorder="1"/>
    <xf numFmtId="41" fontId="2" fillId="7" borderId="48" xfId="2" applyNumberFormat="1" applyFont="1" applyFill="1" applyBorder="1"/>
    <xf numFmtId="41" fontId="2" fillId="7" borderId="50" xfId="2" applyNumberFormat="1" applyFont="1" applyFill="1" applyBorder="1" applyAlignment="1">
      <alignment horizontal="center"/>
    </xf>
    <xf numFmtId="41" fontId="2" fillId="8" borderId="49" xfId="2" applyNumberFormat="1" applyFont="1" applyFill="1" applyBorder="1"/>
    <xf numFmtId="41" fontId="2" fillId="8" borderId="48" xfId="2" applyNumberFormat="1" applyFont="1" applyFill="1" applyBorder="1"/>
    <xf numFmtId="41" fontId="2" fillId="8" borderId="51" xfId="0" applyNumberFormat="1" applyFont="1" applyFill="1" applyBorder="1"/>
    <xf numFmtId="3" fontId="1" fillId="0" borderId="0" xfId="0" applyNumberFormat="1" applyFont="1" applyBorder="1" applyAlignment="1">
      <alignment horizontal="center"/>
    </xf>
    <xf numFmtId="49" fontId="1" fillId="0" borderId="0" xfId="0" applyNumberFormat="1" applyFont="1" applyFill="1" applyAlignment="1">
      <alignment horizontal="center" shrinkToFit="1"/>
    </xf>
    <xf numFmtId="3" fontId="19" fillId="0" borderId="29" xfId="0" applyNumberFormat="1" applyFont="1" applyFill="1" applyBorder="1" applyAlignment="1">
      <alignment horizontal="right"/>
    </xf>
    <xf numFmtId="3" fontId="19" fillId="0" borderId="22" xfId="0" applyNumberFormat="1" applyFont="1" applyFill="1" applyBorder="1" applyAlignment="1">
      <alignment horizontal="right"/>
    </xf>
    <xf numFmtId="41" fontId="1" fillId="9" borderId="52" xfId="2" applyNumberFormat="1" applyFont="1" applyFill="1" applyBorder="1"/>
    <xf numFmtId="41" fontId="1" fillId="9" borderId="53" xfId="2" applyNumberFormat="1" applyFont="1" applyFill="1" applyBorder="1"/>
    <xf numFmtId="9" fontId="1" fillId="9" borderId="54" xfId="3" applyFont="1" applyFill="1" applyBorder="1" applyAlignment="1">
      <alignment horizontal="center"/>
    </xf>
    <xf numFmtId="41" fontId="1" fillId="10" borderId="55" xfId="2" applyNumberFormat="1" applyFont="1" applyFill="1" applyBorder="1"/>
    <xf numFmtId="41" fontId="1" fillId="10" borderId="53" xfId="2" applyNumberFormat="1" applyFont="1" applyFill="1" applyBorder="1"/>
    <xf numFmtId="9" fontId="1" fillId="10" borderId="54" xfId="3" applyFont="1" applyFill="1" applyBorder="1" applyAlignment="1">
      <alignment horizontal="center"/>
    </xf>
    <xf numFmtId="41" fontId="1" fillId="11" borderId="55" xfId="2" applyNumberFormat="1" applyFont="1" applyFill="1" applyBorder="1"/>
    <xf numFmtId="41" fontId="1" fillId="11" borderId="53" xfId="2" applyNumberFormat="1" applyFont="1" applyFill="1" applyBorder="1"/>
    <xf numFmtId="3" fontId="0" fillId="0" borderId="21" xfId="0" applyNumberFormat="1" applyFill="1" applyBorder="1" applyAlignment="1">
      <alignment horizontal="right"/>
    </xf>
    <xf numFmtId="3" fontId="0" fillId="0" borderId="34" xfId="0" applyNumberFormat="1" applyFill="1" applyBorder="1" applyAlignment="1">
      <alignment horizontal="right"/>
    </xf>
    <xf numFmtId="41" fontId="0" fillId="10" borderId="56" xfId="2" applyNumberFormat="1" applyFont="1" applyFill="1" applyBorder="1"/>
    <xf numFmtId="41" fontId="0" fillId="11" borderId="56" xfId="2" applyNumberFormat="1" applyFont="1" applyFill="1" applyBorder="1"/>
    <xf numFmtId="41" fontId="0" fillId="9" borderId="35" xfId="0" applyNumberFormat="1" applyFill="1" applyBorder="1"/>
    <xf numFmtId="41" fontId="0" fillId="9" borderId="20" xfId="0" applyNumberFormat="1" applyFill="1" applyBorder="1"/>
    <xf numFmtId="41" fontId="0" fillId="10" borderId="56" xfId="0" applyNumberFormat="1" applyFill="1" applyBorder="1"/>
    <xf numFmtId="41" fontId="0" fillId="10" borderId="20" xfId="0" applyNumberFormat="1" applyFill="1" applyBorder="1"/>
    <xf numFmtId="0" fontId="18" fillId="0" borderId="0" xfId="0" applyFont="1" applyFill="1"/>
    <xf numFmtId="3" fontId="1" fillId="0" borderId="21" xfId="0" applyNumberFormat="1" applyFont="1" applyFill="1" applyBorder="1"/>
    <xf numFmtId="3" fontId="1" fillId="0" borderId="37" xfId="0" applyNumberFormat="1" applyFont="1" applyFill="1" applyBorder="1"/>
    <xf numFmtId="41" fontId="0" fillId="9" borderId="57" xfId="2" applyNumberFormat="1" applyFont="1" applyFill="1" applyBorder="1"/>
    <xf numFmtId="41" fontId="0" fillId="9" borderId="58" xfId="2" applyNumberFormat="1" applyFont="1" applyFill="1" applyBorder="1"/>
    <xf numFmtId="41" fontId="0" fillId="9" borderId="59" xfId="2" applyNumberFormat="1" applyFont="1" applyFill="1" applyBorder="1"/>
    <xf numFmtId="41" fontId="0" fillId="10" borderId="60" xfId="2" applyNumberFormat="1" applyFont="1" applyFill="1" applyBorder="1"/>
    <xf numFmtId="41" fontId="0" fillId="10" borderId="58" xfId="2" applyNumberFormat="1" applyFont="1" applyFill="1" applyBorder="1"/>
    <xf numFmtId="41" fontId="0" fillId="10" borderId="59" xfId="0" applyNumberFormat="1" applyFill="1" applyBorder="1"/>
    <xf numFmtId="41" fontId="0" fillId="11" borderId="60" xfId="2" applyNumberFormat="1" applyFont="1" applyFill="1" applyBorder="1"/>
    <xf numFmtId="41" fontId="0" fillId="11" borderId="58" xfId="2" applyNumberFormat="1" applyFont="1" applyFill="1" applyBorder="1"/>
    <xf numFmtId="41" fontId="0" fillId="11" borderId="61" xfId="0" applyNumberFormat="1" applyFill="1" applyBorder="1"/>
    <xf numFmtId="3" fontId="19" fillId="0" borderId="21" xfId="0" applyNumberFormat="1" applyFont="1" applyFill="1" applyBorder="1" applyAlignment="1">
      <alignment horizontal="right"/>
    </xf>
    <xf numFmtId="41" fontId="1" fillId="11" borderId="62" xfId="0" applyNumberFormat="1" applyFont="1" applyFill="1" applyBorder="1"/>
    <xf numFmtId="41" fontId="0" fillId="11" borderId="56" xfId="0" applyNumberFormat="1" applyFill="1" applyBorder="1"/>
    <xf numFmtId="41" fontId="0" fillId="11" borderId="20" xfId="0" applyNumberFormat="1" applyFill="1" applyBorder="1"/>
    <xf numFmtId="49" fontId="0" fillId="0" borderId="20" xfId="0" applyNumberFormat="1" applyFont="1" applyFill="1" applyBorder="1" applyAlignment="1">
      <alignment horizontal="center"/>
    </xf>
    <xf numFmtId="3" fontId="0" fillId="0" borderId="21" xfId="0" applyNumberFormat="1" applyFont="1" applyFill="1" applyBorder="1" applyAlignment="1">
      <alignment horizontal="right"/>
    </xf>
    <xf numFmtId="3" fontId="0" fillId="0" borderId="34" xfId="0" applyNumberFormat="1" applyFont="1" applyFill="1" applyBorder="1" applyAlignment="1">
      <alignment horizontal="right"/>
    </xf>
    <xf numFmtId="0" fontId="0" fillId="0" borderId="21" xfId="0" applyFill="1" applyBorder="1" applyAlignment="1">
      <alignment horizontal="right"/>
    </xf>
    <xf numFmtId="0" fontId="0" fillId="0" borderId="37" xfId="0" applyFill="1" applyBorder="1" applyAlignment="1">
      <alignment horizontal="right"/>
    </xf>
    <xf numFmtId="3" fontId="19" fillId="0" borderId="21" xfId="0" applyNumberFormat="1" applyFont="1" applyFill="1" applyBorder="1" applyAlignment="1">
      <alignment horizontal="right" wrapText="1"/>
    </xf>
    <xf numFmtId="3" fontId="19" fillId="0" borderId="22" xfId="0" applyNumberFormat="1" applyFont="1" applyFill="1" applyBorder="1" applyAlignment="1">
      <alignment horizontal="right" wrapText="1"/>
    </xf>
    <xf numFmtId="41" fontId="16" fillId="10" borderId="53" xfId="2" applyNumberFormat="1" applyFont="1" applyFill="1" applyBorder="1"/>
    <xf numFmtId="41" fontId="16" fillId="11" borderId="53" xfId="2" applyNumberFormat="1" applyFont="1" applyFill="1" applyBorder="1"/>
    <xf numFmtId="41" fontId="20" fillId="9" borderId="35" xfId="2" applyNumberFormat="1" applyFont="1" applyFill="1" applyBorder="1"/>
    <xf numFmtId="41" fontId="20" fillId="9" borderId="20" xfId="2" applyNumberFormat="1" applyFont="1" applyFill="1" applyBorder="1"/>
    <xf numFmtId="41" fontId="20" fillId="10" borderId="56" xfId="2" applyNumberFormat="1" applyFont="1" applyFill="1" applyBorder="1"/>
    <xf numFmtId="41" fontId="20" fillId="10" borderId="20" xfId="2" applyNumberFormat="1" applyFont="1" applyFill="1" applyBorder="1"/>
    <xf numFmtId="41" fontId="20" fillId="11" borderId="56" xfId="2" applyNumberFormat="1" applyFont="1" applyFill="1" applyBorder="1"/>
    <xf numFmtId="41" fontId="20" fillId="11" borderId="20" xfId="2" applyNumberFormat="1" applyFont="1" applyFill="1" applyBorder="1"/>
    <xf numFmtId="49" fontId="20" fillId="0" borderId="20" xfId="0" applyNumberFormat="1" applyFont="1" applyFill="1" applyBorder="1" applyAlignment="1">
      <alignment horizontal="center"/>
    </xf>
    <xf numFmtId="0" fontId="21" fillId="0" borderId="0" xfId="0" applyFont="1"/>
    <xf numFmtId="49" fontId="22" fillId="0" borderId="20" xfId="0" applyNumberFormat="1" applyFont="1" applyFill="1" applyBorder="1" applyAlignment="1">
      <alignment horizontal="center" wrapText="1"/>
    </xf>
    <xf numFmtId="3" fontId="22" fillId="0" borderId="21" xfId="0" applyNumberFormat="1" applyFont="1" applyFill="1" applyBorder="1" applyAlignment="1">
      <alignment horizontal="right"/>
    </xf>
    <xf numFmtId="3" fontId="22" fillId="0" borderId="37" xfId="0" applyNumberFormat="1" applyFont="1" applyFill="1" applyBorder="1" applyAlignment="1">
      <alignment horizontal="right"/>
    </xf>
    <xf numFmtId="0" fontId="23" fillId="0" borderId="0" xfId="0" applyFont="1"/>
    <xf numFmtId="49" fontId="8" fillId="0" borderId="20" xfId="0" applyNumberFormat="1" applyFont="1" applyFill="1" applyBorder="1" applyAlignment="1">
      <alignment horizontal="center" wrapText="1"/>
    </xf>
    <xf numFmtId="3" fontId="2" fillId="0" borderId="21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41" fontId="2" fillId="9" borderId="47" xfId="0" applyNumberFormat="1" applyFont="1" applyFill="1" applyBorder="1"/>
    <xf numFmtId="41" fontId="2" fillId="9" borderId="48" xfId="0" applyNumberFormat="1" applyFont="1" applyFill="1" applyBorder="1"/>
    <xf numFmtId="9" fontId="2" fillId="9" borderId="50" xfId="3" applyFont="1" applyFill="1" applyBorder="1" applyAlignment="1">
      <alignment horizontal="center"/>
    </xf>
    <xf numFmtId="41" fontId="2" fillId="10" borderId="49" xfId="0" applyNumberFormat="1" applyFont="1" applyFill="1" applyBorder="1"/>
    <xf numFmtId="41" fontId="2" fillId="10" borderId="48" xfId="0" applyNumberFormat="1" applyFont="1" applyFill="1" applyBorder="1"/>
    <xf numFmtId="9" fontId="2" fillId="10" borderId="50" xfId="3" applyFont="1" applyFill="1" applyBorder="1" applyAlignment="1">
      <alignment horizontal="center"/>
    </xf>
    <xf numFmtId="41" fontId="2" fillId="11" borderId="49" xfId="0" applyNumberFormat="1" applyFont="1" applyFill="1" applyBorder="1"/>
    <xf numFmtId="41" fontId="2" fillId="11" borderId="48" xfId="0" applyNumberFormat="1" applyFont="1" applyFill="1" applyBorder="1"/>
    <xf numFmtId="41" fontId="2" fillId="11" borderId="51" xfId="0" applyNumberFormat="1" applyFont="1" applyFill="1" applyBorder="1"/>
    <xf numFmtId="49" fontId="8" fillId="0" borderId="0" xfId="0" applyNumberFormat="1" applyFont="1" applyFill="1" applyAlignment="1">
      <alignment horizontal="center" wrapText="1"/>
    </xf>
    <xf numFmtId="3" fontId="0" fillId="0" borderId="0" xfId="0" applyNumberFormat="1" applyFill="1" applyAlignment="1">
      <alignment horizontal="right"/>
    </xf>
    <xf numFmtId="3" fontId="0" fillId="0" borderId="0" xfId="0" applyNumberFormat="1" applyFill="1"/>
    <xf numFmtId="3" fontId="20" fillId="0" borderId="21" xfId="0" applyNumberFormat="1" applyFont="1" applyFill="1" applyBorder="1" applyAlignment="1">
      <alignment horizontal="right"/>
    </xf>
    <xf numFmtId="3" fontId="20" fillId="0" borderId="34" xfId="0" applyNumberFormat="1" applyFont="1" applyFill="1" applyBorder="1" applyAlignment="1">
      <alignment horizontal="right"/>
    </xf>
    <xf numFmtId="3" fontId="0" fillId="0" borderId="37" xfId="0" applyNumberFormat="1" applyFill="1" applyBorder="1" applyAlignment="1">
      <alignment horizontal="right"/>
    </xf>
    <xf numFmtId="49" fontId="1" fillId="0" borderId="20" xfId="0" applyNumberFormat="1" applyFont="1" applyFill="1" applyBorder="1" applyAlignment="1">
      <alignment horizontal="center"/>
    </xf>
    <xf numFmtId="9" fontId="1" fillId="10" borderId="65" xfId="3" applyFont="1" applyFill="1" applyBorder="1" applyAlignment="1">
      <alignment horizontal="center"/>
    </xf>
    <xf numFmtId="9" fontId="0" fillId="10" borderId="66" xfId="3" applyFont="1" applyFill="1" applyBorder="1" applyAlignment="1">
      <alignment horizontal="center"/>
    </xf>
    <xf numFmtId="9" fontId="0" fillId="9" borderId="25" xfId="3" applyFont="1" applyFill="1" applyBorder="1" applyAlignment="1">
      <alignment horizontal="center"/>
    </xf>
    <xf numFmtId="9" fontId="0" fillId="10" borderId="50" xfId="3" applyFont="1" applyFill="1" applyBorder="1" applyAlignment="1">
      <alignment horizontal="center"/>
    </xf>
    <xf numFmtId="41" fontId="0" fillId="11" borderId="61" xfId="0" applyNumberFormat="1" applyFont="1" applyFill="1" applyBorder="1"/>
    <xf numFmtId="3" fontId="19" fillId="0" borderId="0" xfId="0" applyNumberFormat="1" applyFont="1" applyFill="1" applyBorder="1" applyAlignment="1">
      <alignment horizontal="right"/>
    </xf>
    <xf numFmtId="41" fontId="1" fillId="9" borderId="67" xfId="2" applyNumberFormat="1" applyFont="1" applyFill="1" applyBorder="1"/>
    <xf numFmtId="41" fontId="1" fillId="9" borderId="68" xfId="2" applyNumberFormat="1" applyFont="1" applyFill="1" applyBorder="1"/>
    <xf numFmtId="41" fontId="0" fillId="11" borderId="69" xfId="0" applyNumberFormat="1" applyFont="1" applyFill="1" applyBorder="1"/>
    <xf numFmtId="41" fontId="0" fillId="11" borderId="70" xfId="0" applyNumberFormat="1" applyFont="1" applyFill="1" applyBorder="1"/>
    <xf numFmtId="41" fontId="0" fillId="10" borderId="59" xfId="0" applyNumberFormat="1" applyFont="1" applyFill="1" applyBorder="1"/>
    <xf numFmtId="3" fontId="0" fillId="0" borderId="0" xfId="0" applyNumberFormat="1" applyFill="1" applyBorder="1" applyAlignment="1">
      <alignment horizontal="right"/>
    </xf>
    <xf numFmtId="3" fontId="0" fillId="0" borderId="0" xfId="0" applyNumberFormat="1" applyFill="1" applyBorder="1"/>
    <xf numFmtId="9" fontId="0" fillId="0" borderId="0" xfId="0" applyNumberFormat="1" applyFill="1"/>
    <xf numFmtId="3" fontId="19" fillId="0" borderId="37" xfId="0" applyNumberFormat="1" applyFont="1" applyFill="1" applyBorder="1" applyAlignment="1">
      <alignment horizontal="right"/>
    </xf>
    <xf numFmtId="41" fontId="0" fillId="9" borderId="71" xfId="2" applyNumberFormat="1" applyFont="1" applyFill="1" applyBorder="1"/>
    <xf numFmtId="41" fontId="0" fillId="10" borderId="72" xfId="2" applyNumberFormat="1" applyFont="1" applyFill="1" applyBorder="1"/>
    <xf numFmtId="41" fontId="0" fillId="10" borderId="39" xfId="2" applyNumberFormat="1" applyFont="1" applyFill="1" applyBorder="1"/>
    <xf numFmtId="41" fontId="0" fillId="10" borderId="71" xfId="0" applyNumberFormat="1" applyFill="1" applyBorder="1"/>
    <xf numFmtId="41" fontId="0" fillId="11" borderId="72" xfId="2" applyNumberFormat="1" applyFont="1" applyFill="1" applyBorder="1"/>
    <xf numFmtId="41" fontId="0" fillId="11" borderId="39" xfId="2" applyNumberFormat="1" applyFont="1" applyFill="1" applyBorder="1"/>
    <xf numFmtId="41" fontId="0" fillId="11" borderId="70" xfId="0" applyNumberFormat="1" applyFill="1" applyBorder="1"/>
    <xf numFmtId="3" fontId="1" fillId="0" borderId="21" xfId="0" applyNumberFormat="1" applyFont="1" applyFill="1" applyBorder="1" applyAlignment="1">
      <alignment horizontal="right"/>
    </xf>
    <xf numFmtId="3" fontId="1" fillId="0" borderId="34" xfId="0" applyNumberFormat="1" applyFont="1" applyFill="1" applyBorder="1" applyAlignment="1">
      <alignment horizontal="right"/>
    </xf>
    <xf numFmtId="41" fontId="1" fillId="9" borderId="35" xfId="2" applyNumberFormat="1" applyFont="1" applyFill="1" applyBorder="1"/>
    <xf numFmtId="41" fontId="1" fillId="9" borderId="20" xfId="2" applyNumberFormat="1" applyFont="1" applyFill="1" applyBorder="1"/>
    <xf numFmtId="41" fontId="1" fillId="10" borderId="56" xfId="2" applyNumberFormat="1" applyFont="1" applyFill="1" applyBorder="1"/>
    <xf numFmtId="41" fontId="1" fillId="10" borderId="20" xfId="2" applyNumberFormat="1" applyFont="1" applyFill="1" applyBorder="1"/>
    <xf numFmtId="41" fontId="1" fillId="11" borderId="56" xfId="2" applyNumberFormat="1" applyFont="1" applyFill="1" applyBorder="1"/>
    <xf numFmtId="41" fontId="1" fillId="11" borderId="20" xfId="2" applyNumberFormat="1" applyFont="1" applyFill="1" applyBorder="1"/>
    <xf numFmtId="0" fontId="25" fillId="0" borderId="0" xfId="0" applyFont="1"/>
    <xf numFmtId="3" fontId="0" fillId="0" borderId="21" xfId="0" applyNumberFormat="1" applyFill="1" applyBorder="1" applyAlignment="1">
      <alignment horizontal="left"/>
    </xf>
    <xf numFmtId="3" fontId="0" fillId="0" borderId="37" xfId="0" applyNumberFormat="1" applyFill="1" applyBorder="1" applyAlignment="1">
      <alignment horizontal="left"/>
    </xf>
    <xf numFmtId="3" fontId="2" fillId="0" borderId="0" xfId="0" applyNumberFormat="1" applyFont="1" applyFill="1" applyAlignment="1">
      <alignment horizontal="right"/>
    </xf>
    <xf numFmtId="41" fontId="2" fillId="0" borderId="0" xfId="0" applyNumberFormat="1" applyFont="1" applyFill="1" applyBorder="1"/>
    <xf numFmtId="41" fontId="0" fillId="9" borderId="73" xfId="0" applyNumberFormat="1" applyFont="1" applyFill="1" applyBorder="1"/>
    <xf numFmtId="41" fontId="0" fillId="9" borderId="74" xfId="0" applyNumberFormat="1" applyFont="1" applyFill="1" applyBorder="1"/>
    <xf numFmtId="9" fontId="1" fillId="9" borderId="75" xfId="3" applyFont="1" applyFill="1" applyBorder="1" applyAlignment="1">
      <alignment horizontal="center"/>
    </xf>
    <xf numFmtId="41" fontId="0" fillId="10" borderId="76" xfId="0" applyNumberFormat="1" applyFont="1" applyFill="1" applyBorder="1"/>
    <xf numFmtId="41" fontId="0" fillId="10" borderId="74" xfId="0" applyNumberFormat="1" applyFont="1" applyFill="1" applyBorder="1"/>
    <xf numFmtId="9" fontId="1" fillId="10" borderId="75" xfId="3" applyFont="1" applyFill="1" applyBorder="1" applyAlignment="1">
      <alignment horizontal="center"/>
    </xf>
    <xf numFmtId="41" fontId="0" fillId="11" borderId="10" xfId="0" applyNumberFormat="1" applyFont="1" applyFill="1" applyBorder="1"/>
    <xf numFmtId="41" fontId="0" fillId="11" borderId="74" xfId="0" applyNumberFormat="1" applyFont="1" applyFill="1" applyBorder="1"/>
    <xf numFmtId="41" fontId="15" fillId="11" borderId="51" xfId="0" applyNumberFormat="1" applyFont="1" applyFill="1" applyBorder="1"/>
    <xf numFmtId="49" fontId="20" fillId="0" borderId="0" xfId="0" applyNumberFormat="1" applyFont="1" applyFill="1" applyAlignment="1">
      <alignment horizontal="center"/>
    </xf>
    <xf numFmtId="41" fontId="0" fillId="0" borderId="0" xfId="2" applyNumberFormat="1" applyFont="1" applyFill="1" applyBorder="1"/>
    <xf numFmtId="0" fontId="0" fillId="0" borderId="0" xfId="0" applyFill="1" applyBorder="1" applyAlignment="1">
      <alignment horizontal="right"/>
    </xf>
    <xf numFmtId="164" fontId="0" fillId="0" borderId="0" xfId="0" applyNumberFormat="1" applyFill="1" applyBorder="1"/>
    <xf numFmtId="49" fontId="0" fillId="0" borderId="5" xfId="0" applyNumberFormat="1" applyFill="1" applyBorder="1" applyAlignment="1">
      <alignment horizontal="center"/>
    </xf>
    <xf numFmtId="164" fontId="0" fillId="0" borderId="6" xfId="0" applyNumberFormat="1" applyFill="1" applyBorder="1"/>
    <xf numFmtId="49" fontId="1" fillId="0" borderId="80" xfId="0" applyNumberFormat="1" applyFont="1" applyFill="1" applyBorder="1" applyAlignment="1">
      <alignment horizontal="right"/>
    </xf>
    <xf numFmtId="41" fontId="0" fillId="0" borderId="81" xfId="0" applyNumberFormat="1" applyBorder="1"/>
    <xf numFmtId="49" fontId="2" fillId="0" borderId="81" xfId="0" applyNumberFormat="1" applyFont="1" applyFill="1" applyBorder="1" applyAlignment="1">
      <alignment horizontal="right"/>
    </xf>
    <xf numFmtId="41" fontId="15" fillId="0" borderId="81" xfId="0" applyNumberFormat="1" applyFont="1" applyBorder="1"/>
    <xf numFmtId="0" fontId="2" fillId="0" borderId="81" xfId="0" applyFont="1" applyFill="1" applyBorder="1" applyAlignment="1">
      <alignment horizontal="right"/>
    </xf>
    <xf numFmtId="164" fontId="0" fillId="0" borderId="34" xfId="0" applyNumberFormat="1" applyFill="1" applyBorder="1"/>
    <xf numFmtId="164" fontId="0" fillId="0" borderId="82" xfId="0" applyNumberFormat="1" applyFill="1" applyBorder="1"/>
    <xf numFmtId="0" fontId="0" fillId="0" borderId="5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165" fontId="7" fillId="0" borderId="0" xfId="1" quotePrefix="1" applyNumberFormat="1" applyFont="1" applyFill="1" applyBorder="1"/>
    <xf numFmtId="0" fontId="0" fillId="0" borderId="80" xfId="0" applyFont="1" applyFill="1" applyBorder="1" applyAlignment="1">
      <alignment horizontal="right"/>
    </xf>
    <xf numFmtId="41" fontId="0" fillId="0" borderId="34" xfId="0" applyNumberFormat="1" applyBorder="1"/>
    <xf numFmtId="0" fontId="0" fillId="0" borderId="34" xfId="0" applyFont="1" applyFill="1" applyBorder="1" applyAlignment="1">
      <alignment horizontal="right"/>
    </xf>
    <xf numFmtId="165" fontId="7" fillId="0" borderId="34" xfId="1" quotePrefix="1" applyNumberFormat="1" applyFont="1" applyFill="1" applyBorder="1"/>
    <xf numFmtId="41" fontId="0" fillId="0" borderId="83" xfId="0" applyNumberFormat="1" applyBorder="1"/>
    <xf numFmtId="165" fontId="7" fillId="0" borderId="83" xfId="1" quotePrefix="1" applyNumberFormat="1" applyFont="1" applyFill="1" applyBorder="1"/>
    <xf numFmtId="0" fontId="1" fillId="0" borderId="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165" fontId="1" fillId="0" borderId="0" xfId="1" quotePrefix="1" applyNumberFormat="1" applyFont="1" applyFill="1" applyBorder="1"/>
    <xf numFmtId="0" fontId="0" fillId="0" borderId="34" xfId="0" applyBorder="1" applyAlignment="1">
      <alignment horizontal="right"/>
    </xf>
    <xf numFmtId="0" fontId="0" fillId="0" borderId="34" xfId="0" applyBorder="1"/>
    <xf numFmtId="164" fontId="0" fillId="0" borderId="34" xfId="0" applyNumberFormat="1" applyFill="1" applyBorder="1" applyAlignment="1">
      <alignment horizontal="right"/>
    </xf>
    <xf numFmtId="0" fontId="0" fillId="0" borderId="84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83" xfId="0" applyBorder="1"/>
    <xf numFmtId="0" fontId="0" fillId="0" borderId="80" xfId="0" applyFont="1" applyFill="1" applyBorder="1"/>
    <xf numFmtId="0" fontId="0" fillId="0" borderId="34" xfId="0" applyFill="1" applyBorder="1" applyAlignment="1">
      <alignment horizontal="right"/>
    </xf>
    <xf numFmtId="0" fontId="0" fillId="0" borderId="37" xfId="0" applyBorder="1"/>
    <xf numFmtId="0" fontId="7" fillId="0" borderId="37" xfId="0" applyFont="1" applyFill="1" applyBorder="1"/>
    <xf numFmtId="0" fontId="1" fillId="0" borderId="85" xfId="0" applyFont="1" applyFill="1" applyBorder="1"/>
    <xf numFmtId="0" fontId="15" fillId="0" borderId="83" xfId="0" applyFont="1" applyBorder="1" applyAlignment="1">
      <alignment horizontal="right"/>
    </xf>
    <xf numFmtId="0" fontId="1" fillId="0" borderId="83" xfId="0" applyFont="1" applyFill="1" applyBorder="1" applyAlignment="1">
      <alignment horizontal="right"/>
    </xf>
    <xf numFmtId="0" fontId="15" fillId="0" borderId="86" xfId="0" applyFont="1" applyBorder="1"/>
    <xf numFmtId="165" fontId="2" fillId="0" borderId="86" xfId="0" applyNumberFormat="1" applyFont="1" applyFill="1" applyBorder="1"/>
    <xf numFmtId="164" fontId="0" fillId="0" borderId="1" xfId="0" applyNumberFormat="1" applyFill="1" applyBorder="1"/>
    <xf numFmtId="164" fontId="0" fillId="0" borderId="4" xfId="0" applyNumberFormat="1" applyFill="1" applyBorder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49" fontId="0" fillId="13" borderId="20" xfId="0" applyNumberFormat="1" applyFill="1" applyBorder="1" applyAlignment="1">
      <alignment horizontal="center"/>
    </xf>
    <xf numFmtId="49" fontId="0" fillId="13" borderId="20" xfId="0" applyNumberFormat="1" applyFont="1" applyFill="1" applyBorder="1" applyAlignment="1">
      <alignment horizontal="center"/>
    </xf>
    <xf numFmtId="49" fontId="20" fillId="13" borderId="20" xfId="0" applyNumberFormat="1" applyFont="1" applyFill="1" applyBorder="1" applyAlignment="1">
      <alignment horizontal="center"/>
    </xf>
    <xf numFmtId="49" fontId="19" fillId="0" borderId="0" xfId="0" applyNumberFormat="1" applyFont="1" applyFill="1" applyAlignment="1">
      <alignment horizontal="left"/>
    </xf>
    <xf numFmtId="41" fontId="0" fillId="0" borderId="0" xfId="0" applyNumberFormat="1" applyAlignment="1">
      <alignment horizontal="center"/>
    </xf>
    <xf numFmtId="41" fontId="0" fillId="0" borderId="87" xfId="0" applyNumberFormat="1" applyBorder="1" applyAlignment="1">
      <alignment horizontal="center"/>
    </xf>
    <xf numFmtId="41" fontId="1" fillId="0" borderId="0" xfId="0" applyNumberFormat="1" applyFont="1" applyAlignment="1">
      <alignment horizontal="center"/>
    </xf>
    <xf numFmtId="41" fontId="1" fillId="0" borderId="88" xfId="0" applyNumberFormat="1" applyFont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0" fontId="2" fillId="0" borderId="87" xfId="0" applyFont="1" applyFill="1" applyBorder="1" applyAlignment="1">
      <alignment horizontal="right"/>
    </xf>
    <xf numFmtId="49" fontId="0" fillId="0" borderId="0" xfId="0" applyNumberFormat="1" applyFill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1" fontId="0" fillId="0" borderId="0" xfId="0" applyNumberFormat="1" applyAlignment="1">
      <alignment vertical="center"/>
    </xf>
    <xf numFmtId="41" fontId="18" fillId="0" borderId="0" xfId="0" applyNumberFormat="1" applyFont="1" applyAlignment="1">
      <alignment vertical="center"/>
    </xf>
    <xf numFmtId="3" fontId="2" fillId="0" borderId="89" xfId="0" applyNumberFormat="1" applyFont="1" applyFill="1" applyBorder="1" applyAlignment="1">
      <alignment horizontal="right"/>
    </xf>
    <xf numFmtId="41" fontId="2" fillId="9" borderId="73" xfId="0" applyNumberFormat="1" applyFont="1" applyFill="1" applyBorder="1"/>
    <xf numFmtId="41" fontId="2" fillId="9" borderId="74" xfId="0" applyNumberFormat="1" applyFont="1" applyFill="1" applyBorder="1"/>
    <xf numFmtId="9" fontId="2" fillId="9" borderId="75" xfId="3" applyFont="1" applyFill="1" applyBorder="1" applyAlignment="1">
      <alignment horizontal="center"/>
    </xf>
    <xf numFmtId="41" fontId="2" fillId="10" borderId="76" xfId="0" applyNumberFormat="1" applyFont="1" applyFill="1" applyBorder="1"/>
    <xf numFmtId="41" fontId="2" fillId="10" borderId="74" xfId="0" applyNumberFormat="1" applyFont="1" applyFill="1" applyBorder="1"/>
    <xf numFmtId="9" fontId="2" fillId="10" borderId="75" xfId="3" applyFont="1" applyFill="1" applyBorder="1" applyAlignment="1">
      <alignment horizontal="center"/>
    </xf>
    <xf numFmtId="41" fontId="2" fillId="11" borderId="76" xfId="0" applyNumberFormat="1" applyFont="1" applyFill="1" applyBorder="1"/>
    <xf numFmtId="41" fontId="2" fillId="11" borderId="74" xfId="0" applyNumberFormat="1" applyFont="1" applyFill="1" applyBorder="1"/>
    <xf numFmtId="41" fontId="2" fillId="11" borderId="91" xfId="0" applyNumberFormat="1" applyFont="1" applyFill="1" applyBorder="1"/>
    <xf numFmtId="49" fontId="0" fillId="0" borderId="0" xfId="0" applyNumberForma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0" fontId="1" fillId="0" borderId="1" xfId="0" quotePrefix="1" applyFont="1" applyBorder="1" applyAlignment="1">
      <alignment horizontal="center"/>
    </xf>
    <xf numFmtId="43" fontId="0" fillId="0" borderId="0" xfId="1" applyFont="1"/>
    <xf numFmtId="165" fontId="0" fillId="0" borderId="0" xfId="1" applyNumberFormat="1" applyFont="1"/>
    <xf numFmtId="165" fontId="0" fillId="0" borderId="0" xfId="0" applyNumberFormat="1"/>
    <xf numFmtId="43" fontId="0" fillId="0" borderId="0" xfId="1" applyFont="1" applyBorder="1"/>
    <xf numFmtId="166" fontId="0" fillId="0" borderId="0" xfId="0" applyNumberFormat="1"/>
    <xf numFmtId="165" fontId="1" fillId="0" borderId="2" xfId="1" applyNumberFormat="1" applyFont="1" applyBorder="1"/>
    <xf numFmtId="43" fontId="1" fillId="0" borderId="0" xfId="1" applyFont="1" applyBorder="1"/>
    <xf numFmtId="165" fontId="1" fillId="0" borderId="2" xfId="0" applyNumberFormat="1" applyFont="1" applyBorder="1"/>
    <xf numFmtId="0" fontId="0" fillId="5" borderId="0" xfId="0" applyFill="1"/>
    <xf numFmtId="0" fontId="0" fillId="0" borderId="1" xfId="0" applyBorder="1"/>
    <xf numFmtId="165" fontId="0" fillId="0" borderId="1" xfId="1" applyNumberFormat="1" applyFont="1" applyBorder="1"/>
    <xf numFmtId="0" fontId="19" fillId="0" borderId="0" xfId="0" applyFont="1"/>
    <xf numFmtId="49" fontId="0" fillId="0" borderId="0" xfId="0" applyNumberFormat="1" applyFill="1" applyBorder="1" applyAlignment="1">
      <alignment horizontal="center"/>
    </xf>
    <xf numFmtId="41" fontId="0" fillId="9" borderId="0" xfId="0" applyNumberFormat="1" applyFont="1" applyFill="1" applyBorder="1"/>
    <xf numFmtId="41" fontId="0" fillId="10" borderId="0" xfId="0" applyNumberFormat="1" applyFont="1" applyFill="1" applyBorder="1"/>
    <xf numFmtId="41" fontId="0" fillId="11" borderId="0" xfId="0" applyNumberFormat="1" applyFont="1" applyFill="1" applyBorder="1"/>
    <xf numFmtId="165" fontId="1" fillId="0" borderId="0" xfId="1" applyNumberFormat="1" applyFont="1"/>
    <xf numFmtId="165" fontId="1" fillId="11" borderId="2" xfId="1" applyNumberFormat="1" applyFont="1" applyFill="1" applyBorder="1"/>
    <xf numFmtId="0" fontId="0" fillId="11" borderId="0" xfId="0" applyFill="1"/>
    <xf numFmtId="165" fontId="0" fillId="11" borderId="0" xfId="1" applyNumberFormat="1" applyFont="1" applyFill="1"/>
    <xf numFmtId="0" fontId="0" fillId="13" borderId="0" xfId="0" applyFill="1"/>
    <xf numFmtId="165" fontId="0" fillId="13" borderId="0" xfId="1" applyNumberFormat="1" applyFont="1" applyFill="1"/>
    <xf numFmtId="165" fontId="1" fillId="13" borderId="0" xfId="0" applyNumberFormat="1" applyFont="1" applyFill="1"/>
    <xf numFmtId="165" fontId="1" fillId="0" borderId="0" xfId="1" applyNumberFormat="1" applyFont="1" applyFill="1"/>
    <xf numFmtId="3" fontId="1" fillId="0" borderId="37" xfId="0" applyNumberFormat="1" applyFont="1" applyFill="1" applyBorder="1" applyAlignment="1">
      <alignment horizontal="right"/>
    </xf>
    <xf numFmtId="41" fontId="1" fillId="0" borderId="0" xfId="0" applyNumberFormat="1" applyFont="1"/>
    <xf numFmtId="41" fontId="1" fillId="10" borderId="52" xfId="2" applyNumberFormat="1" applyFont="1" applyFill="1" applyBorder="1"/>
    <xf numFmtId="49" fontId="1" fillId="0" borderId="21" xfId="0" applyNumberFormat="1" applyFont="1" applyFill="1" applyBorder="1" applyAlignment="1">
      <alignment horizontal="center" shrinkToFit="1"/>
    </xf>
    <xf numFmtId="49" fontId="0" fillId="0" borderId="29" xfId="0" applyNumberFormat="1" applyFill="1" applyBorder="1" applyAlignment="1">
      <alignment horizontal="center"/>
    </xf>
    <xf numFmtId="49" fontId="0" fillId="0" borderId="21" xfId="0" applyNumberFormat="1" applyFill="1" applyBorder="1" applyAlignment="1">
      <alignment horizontal="center"/>
    </xf>
    <xf numFmtId="49" fontId="0" fillId="0" borderId="21" xfId="0" applyNumberFormat="1" applyFont="1" applyFill="1" applyBorder="1" applyAlignment="1">
      <alignment horizontal="center"/>
    </xf>
    <xf numFmtId="49" fontId="20" fillId="0" borderId="21" xfId="0" applyNumberFormat="1" applyFont="1" applyFill="1" applyBorder="1" applyAlignment="1">
      <alignment horizontal="center"/>
    </xf>
    <xf numFmtId="49" fontId="22" fillId="0" borderId="21" xfId="0" applyNumberFormat="1" applyFont="1" applyFill="1" applyBorder="1" applyAlignment="1">
      <alignment horizontal="center" wrapText="1"/>
    </xf>
    <xf numFmtId="49" fontId="8" fillId="0" borderId="21" xfId="0" applyNumberFormat="1" applyFont="1" applyFill="1" applyBorder="1" applyAlignment="1">
      <alignment horizontal="center" wrapText="1"/>
    </xf>
    <xf numFmtId="49" fontId="1" fillId="0" borderId="21" xfId="0" applyNumberFormat="1" applyFont="1" applyFill="1" applyBorder="1" applyAlignment="1">
      <alignment horizontal="center"/>
    </xf>
    <xf numFmtId="49" fontId="0" fillId="0" borderId="29" xfId="0" quotePrefix="1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34" xfId="0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 vertical="top" wrapText="1"/>
    </xf>
    <xf numFmtId="165" fontId="0" fillId="0" borderId="0" xfId="1" applyNumberFormat="1" applyFont="1" applyAlignment="1">
      <alignment vertical="center"/>
    </xf>
    <xf numFmtId="3" fontId="2" fillId="0" borderId="21" xfId="0" applyNumberFormat="1" applyFont="1" applyBorder="1" applyAlignment="1">
      <alignment horizontal="right"/>
    </xf>
    <xf numFmtId="3" fontId="2" fillId="0" borderId="22" xfId="0" applyNumberFormat="1" applyFont="1" applyBorder="1" applyAlignment="1">
      <alignment horizontal="right"/>
    </xf>
    <xf numFmtId="41" fontId="0" fillId="10" borderId="57" xfId="2" applyNumberFormat="1" applyFont="1" applyFill="1" applyBorder="1"/>
    <xf numFmtId="41" fontId="0" fillId="10" borderId="45" xfId="2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 vertical="top" wrapText="1"/>
    </xf>
    <xf numFmtId="3" fontId="31" fillId="15" borderId="21" xfId="5" applyNumberFormat="1" applyFont="1" applyBorder="1" applyAlignment="1">
      <alignment horizontal="right"/>
    </xf>
    <xf numFmtId="3" fontId="0" fillId="0" borderId="89" xfId="0" applyNumberFormat="1" applyFill="1" applyBorder="1" applyAlignment="1">
      <alignment horizontal="right"/>
    </xf>
    <xf numFmtId="41" fontId="0" fillId="0" borderId="94" xfId="0" applyNumberFormat="1" applyBorder="1"/>
    <xf numFmtId="41" fontId="0" fillId="0" borderId="94" xfId="0" applyNumberFormat="1" applyFont="1" applyBorder="1" applyAlignment="1">
      <alignment horizontal="right"/>
    </xf>
    <xf numFmtId="3" fontId="0" fillId="0" borderId="94" xfId="0" applyNumberFormat="1" applyFill="1" applyBorder="1" applyAlignment="1">
      <alignment horizontal="right"/>
    </xf>
    <xf numFmtId="3" fontId="0" fillId="0" borderId="94" xfId="0" applyNumberFormat="1" applyFont="1" applyFill="1" applyBorder="1" applyAlignment="1">
      <alignment horizontal="right"/>
    </xf>
    <xf numFmtId="3" fontId="0" fillId="0" borderId="29" xfId="0" applyNumberFormat="1" applyFill="1" applyBorder="1" applyAlignment="1">
      <alignment horizontal="right"/>
    </xf>
    <xf numFmtId="41" fontId="0" fillId="0" borderId="94" xfId="0" applyNumberFormat="1" applyBorder="1" applyAlignment="1">
      <alignment horizontal="right"/>
    </xf>
    <xf numFmtId="0" fontId="19" fillId="0" borderId="94" xfId="0" applyNumberFormat="1" applyFont="1" applyBorder="1" applyAlignment="1">
      <alignment horizontal="right"/>
    </xf>
    <xf numFmtId="3" fontId="19" fillId="0" borderId="94" xfId="0" applyNumberFormat="1" applyFont="1" applyFill="1" applyBorder="1" applyAlignment="1">
      <alignment horizontal="right"/>
    </xf>
    <xf numFmtId="41" fontId="1" fillId="11" borderId="95" xfId="2" applyNumberFormat="1" applyFont="1" applyFill="1" applyBorder="1"/>
    <xf numFmtId="41" fontId="1" fillId="11" borderId="96" xfId="2" applyNumberFormat="1" applyFont="1" applyFill="1" applyBorder="1"/>
    <xf numFmtId="41" fontId="0" fillId="11" borderId="97" xfId="2" applyNumberFormat="1" applyFont="1" applyFill="1" applyBorder="1"/>
    <xf numFmtId="41" fontId="1" fillId="11" borderId="97" xfId="2" applyNumberFormat="1" applyFont="1" applyFill="1" applyBorder="1"/>
    <xf numFmtId="41" fontId="0" fillId="11" borderId="96" xfId="2" applyNumberFormat="1" applyFont="1" applyFill="1" applyBorder="1"/>
    <xf numFmtId="41" fontId="7" fillId="11" borderId="96" xfId="2" applyNumberFormat="1" applyFont="1" applyFill="1" applyBorder="1"/>
    <xf numFmtId="41" fontId="0" fillId="11" borderId="98" xfId="2" applyNumberFormat="1" applyFont="1" applyFill="1" applyBorder="1"/>
    <xf numFmtId="41" fontId="0" fillId="11" borderId="99" xfId="2" applyNumberFormat="1" applyFont="1" applyFill="1" applyBorder="1"/>
    <xf numFmtId="41" fontId="2" fillId="11" borderId="11" xfId="0" applyNumberFormat="1" applyFont="1" applyFill="1" applyBorder="1"/>
    <xf numFmtId="41" fontId="0" fillId="11" borderId="97" xfId="0" applyNumberFormat="1" applyFill="1" applyBorder="1"/>
    <xf numFmtId="41" fontId="20" fillId="11" borderId="97" xfId="2" applyNumberFormat="1" applyFont="1" applyFill="1" applyBorder="1"/>
    <xf numFmtId="41" fontId="2" fillId="11" borderId="79" xfId="0" applyNumberFormat="1" applyFont="1" applyFill="1" applyBorder="1"/>
    <xf numFmtId="41" fontId="0" fillId="9" borderId="52" xfId="2" applyNumberFormat="1" applyFont="1" applyFill="1" applyBorder="1"/>
    <xf numFmtId="41" fontId="0" fillId="10" borderId="52" xfId="2" applyNumberFormat="1" applyFont="1" applyFill="1" applyBorder="1"/>
    <xf numFmtId="41" fontId="0" fillId="11" borderId="100" xfId="2" applyNumberFormat="1" applyFont="1" applyFill="1" applyBorder="1"/>
    <xf numFmtId="41" fontId="0" fillId="11" borderId="93" xfId="2" applyNumberFormat="1" applyFont="1" applyFill="1" applyBorder="1"/>
    <xf numFmtId="41" fontId="2" fillId="9" borderId="92" xfId="2" applyNumberFormat="1" applyFont="1" applyFill="1" applyBorder="1"/>
    <xf numFmtId="41" fontId="2" fillId="10" borderId="92" xfId="2" applyNumberFormat="1" applyFont="1" applyFill="1" applyBorder="1"/>
    <xf numFmtId="41" fontId="2" fillId="11" borderId="92" xfId="2" applyNumberFormat="1" applyFont="1" applyFill="1" applyBorder="1"/>
    <xf numFmtId="3" fontId="2" fillId="16" borderId="21" xfId="0" applyNumberFormat="1" applyFont="1" applyFill="1" applyBorder="1" applyAlignment="1">
      <alignment horizontal="right"/>
    </xf>
    <xf numFmtId="3" fontId="1" fillId="16" borderId="21" xfId="0" applyNumberFormat="1" applyFont="1" applyFill="1" applyBorder="1" applyAlignment="1">
      <alignment horizontal="right"/>
    </xf>
    <xf numFmtId="168" fontId="0" fillId="0" borderId="0" xfId="0" applyNumberFormat="1"/>
    <xf numFmtId="0" fontId="10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3" fontId="13" fillId="5" borderId="9" xfId="0" applyNumberFormat="1" applyFont="1" applyFill="1" applyBorder="1" applyAlignment="1">
      <alignment horizontal="center"/>
    </xf>
    <xf numFmtId="3" fontId="13" fillId="5" borderId="10" xfId="0" applyNumberFormat="1" applyFont="1" applyFill="1" applyBorder="1" applyAlignment="1">
      <alignment horizontal="center"/>
    </xf>
    <xf numFmtId="3" fontId="13" fillId="5" borderId="11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 vertical="top" wrapText="1"/>
    </xf>
    <xf numFmtId="0" fontId="2" fillId="6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14" fillId="8" borderId="13" xfId="0" applyFont="1" applyFill="1" applyBorder="1" applyAlignment="1">
      <alignment horizontal="center"/>
    </xf>
    <xf numFmtId="0" fontId="14" fillId="8" borderId="10" xfId="0" applyFont="1" applyFill="1" applyBorder="1" applyAlignment="1">
      <alignment horizontal="center"/>
    </xf>
    <xf numFmtId="0" fontId="14" fillId="8" borderId="11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 wrapText="1"/>
    </xf>
    <xf numFmtId="0" fontId="1" fillId="6" borderId="23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  <xf numFmtId="0" fontId="1" fillId="6" borderId="24" xfId="0" applyFont="1" applyFill="1" applyBorder="1" applyAlignment="1">
      <alignment horizontal="center" wrapText="1"/>
    </xf>
    <xf numFmtId="0" fontId="1" fillId="7" borderId="17" xfId="0" applyFont="1" applyFill="1" applyBorder="1" applyAlignment="1">
      <alignment horizontal="center" wrapText="1"/>
    </xf>
    <xf numFmtId="0" fontId="1" fillId="7" borderId="26" xfId="0" applyFont="1" applyFill="1" applyBorder="1" applyAlignment="1">
      <alignment horizontal="center" wrapText="1"/>
    </xf>
    <xf numFmtId="0" fontId="1" fillId="7" borderId="15" xfId="0" applyFont="1" applyFill="1" applyBorder="1" applyAlignment="1">
      <alignment horizontal="center" wrapText="1"/>
    </xf>
    <xf numFmtId="0" fontId="1" fillId="7" borderId="24" xfId="0" applyFont="1" applyFill="1" applyBorder="1" applyAlignment="1">
      <alignment horizontal="center" wrapText="1"/>
    </xf>
    <xf numFmtId="0" fontId="16" fillId="8" borderId="18" xfId="0" applyFont="1" applyFill="1" applyBorder="1" applyAlignment="1">
      <alignment horizontal="center" wrapText="1"/>
    </xf>
    <xf numFmtId="0" fontId="16" fillId="8" borderId="27" xfId="0" applyFont="1" applyFill="1" applyBorder="1" applyAlignment="1">
      <alignment horizontal="center" wrapText="1"/>
    </xf>
    <xf numFmtId="0" fontId="1" fillId="8" borderId="15" xfId="0" applyFont="1" applyFill="1" applyBorder="1" applyAlignment="1">
      <alignment horizontal="center" wrapText="1"/>
    </xf>
    <xf numFmtId="0" fontId="1" fillId="8" borderId="24" xfId="0" applyFont="1" applyFill="1" applyBorder="1" applyAlignment="1">
      <alignment horizontal="center" wrapText="1"/>
    </xf>
    <xf numFmtId="0" fontId="1" fillId="8" borderId="19" xfId="0" applyFont="1" applyFill="1" applyBorder="1" applyAlignment="1">
      <alignment horizontal="center" wrapText="1"/>
    </xf>
    <xf numFmtId="0" fontId="1" fillId="8" borderId="28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right"/>
    </xf>
    <xf numFmtId="3" fontId="2" fillId="12" borderId="7" xfId="0" applyNumberFormat="1" applyFont="1" applyFill="1" applyBorder="1" applyAlignment="1">
      <alignment horizontal="center"/>
    </xf>
    <xf numFmtId="3" fontId="2" fillId="12" borderId="1" xfId="0" applyNumberFormat="1" applyFont="1" applyFill="1" applyBorder="1" applyAlignment="1">
      <alignment horizontal="center"/>
    </xf>
    <xf numFmtId="3" fontId="2" fillId="12" borderId="0" xfId="0" applyNumberFormat="1" applyFont="1" applyFill="1" applyBorder="1" applyAlignment="1">
      <alignment horizontal="center"/>
    </xf>
    <xf numFmtId="3" fontId="2" fillId="12" borderId="6" xfId="0" applyNumberFormat="1" applyFont="1" applyFill="1" applyBorder="1" applyAlignment="1">
      <alignment horizontal="center"/>
    </xf>
    <xf numFmtId="3" fontId="2" fillId="12" borderId="90" xfId="0" applyNumberFormat="1" applyFont="1" applyFill="1" applyBorder="1" applyAlignment="1">
      <alignment horizontal="center"/>
    </xf>
    <xf numFmtId="3" fontId="2" fillId="12" borderId="8" xfId="0" applyNumberFormat="1" applyFont="1" applyFill="1" applyBorder="1" applyAlignment="1">
      <alignment horizontal="center"/>
    </xf>
    <xf numFmtId="0" fontId="11" fillId="10" borderId="14" xfId="0" applyFont="1" applyFill="1" applyBorder="1" applyAlignment="1">
      <alignment horizontal="center"/>
    </xf>
    <xf numFmtId="0" fontId="11" fillId="10" borderId="18" xfId="0" applyFont="1" applyFill="1" applyBorder="1" applyAlignment="1">
      <alignment horizontal="center"/>
    </xf>
    <xf numFmtId="0" fontId="11" fillId="10" borderId="77" xfId="0" applyFont="1" applyFill="1" applyBorder="1" applyAlignment="1">
      <alignment horizontal="center"/>
    </xf>
    <xf numFmtId="0" fontId="26" fillId="10" borderId="78" xfId="0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center" vertical="center"/>
    </xf>
    <xf numFmtId="0" fontId="26" fillId="10" borderId="3" xfId="0" applyFont="1" applyFill="1" applyBorder="1" applyAlignment="1">
      <alignment horizontal="center" vertical="center"/>
    </xf>
    <xf numFmtId="0" fontId="26" fillId="10" borderId="23" xfId="0" applyFont="1" applyFill="1" applyBorder="1" applyAlignment="1">
      <alignment horizontal="center" vertical="center"/>
    </xf>
    <xf numFmtId="0" fontId="26" fillId="10" borderId="27" xfId="0" applyFont="1" applyFill="1" applyBorder="1" applyAlignment="1">
      <alignment horizontal="center" vertical="center"/>
    </xf>
    <xf numFmtId="0" fontId="26" fillId="10" borderId="79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right"/>
    </xf>
    <xf numFmtId="0" fontId="7" fillId="0" borderId="37" xfId="0" applyFont="1" applyFill="1" applyBorder="1" applyAlignment="1">
      <alignment horizontal="right"/>
    </xf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14" borderId="17" xfId="0" applyFont="1" applyFill="1" applyBorder="1" applyAlignment="1">
      <alignment horizontal="center" vertical="center" wrapText="1"/>
    </xf>
    <xf numFmtId="0" fontId="1" fillId="14" borderId="26" xfId="0" applyFont="1" applyFill="1" applyBorder="1" applyAlignment="1">
      <alignment horizontal="center" vertical="center" wrapText="1"/>
    </xf>
    <xf numFmtId="3" fontId="2" fillId="12" borderId="9" xfId="0" applyNumberFormat="1" applyFont="1" applyFill="1" applyBorder="1" applyAlignment="1">
      <alignment horizontal="center"/>
    </xf>
    <xf numFmtId="3" fontId="2" fillId="12" borderId="10" xfId="0" applyNumberFormat="1" applyFont="1" applyFill="1" applyBorder="1" applyAlignment="1">
      <alignment horizontal="center"/>
    </xf>
    <xf numFmtId="3" fontId="2" fillId="12" borderId="2" xfId="0" applyNumberFormat="1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3" fontId="13" fillId="5" borderId="0" xfId="0" applyNumberFormat="1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3" fontId="2" fillId="12" borderId="63" xfId="0" applyNumberFormat="1" applyFont="1" applyFill="1" applyBorder="1" applyAlignment="1">
      <alignment horizontal="center"/>
    </xf>
    <xf numFmtId="3" fontId="2" fillId="12" borderId="18" xfId="0" applyNumberFormat="1" applyFont="1" applyFill="1" applyBorder="1" applyAlignment="1">
      <alignment horizontal="center"/>
    </xf>
    <xf numFmtId="3" fontId="2" fillId="12" borderId="64" xfId="0" applyNumberFormat="1" applyFont="1" applyFill="1" applyBorder="1" applyAlignment="1">
      <alignment horizontal="center"/>
    </xf>
    <xf numFmtId="3" fontId="2" fillId="12" borderId="0" xfId="0" applyNumberFormat="1" applyFont="1" applyFill="1" applyAlignment="1">
      <alignment horizontal="center"/>
    </xf>
  </cellXfs>
  <cellStyles count="6">
    <cellStyle name="Comma" xfId="1" builtinId="3"/>
    <cellStyle name="Currency" xfId="2" builtinId="4"/>
    <cellStyle name="Neutral" xfId="5" builtinId="28"/>
    <cellStyle name="Normal" xfId="0" builtinId="0"/>
    <cellStyle name="Normal 2" xfId="4" xr:uid="{00000000-0005-0000-0000-000004000000}"/>
    <cellStyle name="Percent" xfId="3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AD94EA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O154"/>
  <sheetViews>
    <sheetView showGridLines="0" topLeftCell="A21" zoomScaleNormal="100" workbookViewId="0">
      <selection activeCell="F96" sqref="F96"/>
    </sheetView>
  </sheetViews>
  <sheetFormatPr defaultRowHeight="14.6" x14ac:dyDescent="0.4"/>
  <cols>
    <col min="1" max="1" width="6.3046875" style="8" customWidth="1"/>
    <col min="2" max="2" width="40.15234375" style="242" customWidth="1"/>
    <col min="3" max="3" width="0.3046875" style="242" customWidth="1"/>
    <col min="4" max="4" width="12.69140625" customWidth="1"/>
    <col min="5" max="5" width="12.84375" customWidth="1"/>
    <col min="6" max="6" width="12.69140625" customWidth="1"/>
    <col min="7" max="7" width="7" customWidth="1"/>
    <col min="8" max="8" width="12.84375" bestFit="1" customWidth="1"/>
    <col min="9" max="9" width="12" bestFit="1" customWidth="1"/>
    <col min="10" max="10" width="12.84375" customWidth="1"/>
    <col min="11" max="11" width="6.69140625" customWidth="1"/>
    <col min="12" max="12" width="13.3046875" customWidth="1"/>
    <col min="13" max="13" width="12.84375" customWidth="1"/>
    <col min="14" max="14" width="12.69140625" customWidth="1"/>
    <col min="15" max="15" width="31.3046875" bestFit="1" customWidth="1"/>
  </cols>
  <sheetData>
    <row r="1" spans="1:15" ht="28.2" customHeight="1" x14ac:dyDescent="0.4">
      <c r="A1" s="350" t="s">
        <v>31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</row>
    <row r="2" spans="1:15" ht="19.2" customHeight="1" x14ac:dyDescent="0.4">
      <c r="A2" s="351" t="s">
        <v>32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</row>
    <row r="3" spans="1:15" ht="19.2" customHeight="1" x14ac:dyDescent="0.4">
      <c r="A3" s="351" t="s">
        <v>33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</row>
    <row r="4" spans="1:15" ht="18.899999999999999" thickBot="1" x14ac:dyDescent="0.55000000000000004">
      <c r="B4"/>
      <c r="C4"/>
      <c r="G4" s="9"/>
      <c r="K4" s="10">
        <f>0/24</f>
        <v>0</v>
      </c>
      <c r="O4" s="11"/>
    </row>
    <row r="5" spans="1:15" ht="21" thickBot="1" x14ac:dyDescent="0.6">
      <c r="B5" s="352" t="s">
        <v>34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4"/>
      <c r="O5" s="11"/>
    </row>
    <row r="6" spans="1:15" s="14" customFormat="1" ht="18.899999999999999" thickBot="1" x14ac:dyDescent="0.5">
      <c r="A6" s="355"/>
      <c r="B6" s="355"/>
      <c r="C6" s="310"/>
      <c r="D6" s="356" t="s">
        <v>35</v>
      </c>
      <c r="E6" s="357"/>
      <c r="F6" s="357"/>
      <c r="G6" s="358"/>
      <c r="H6" s="359" t="s">
        <v>36</v>
      </c>
      <c r="I6" s="359"/>
      <c r="J6" s="359"/>
      <c r="K6" s="12"/>
      <c r="L6" s="360" t="s">
        <v>37</v>
      </c>
      <c r="M6" s="361"/>
      <c r="N6" s="362"/>
      <c r="O6" s="252" t="s">
        <v>38</v>
      </c>
    </row>
    <row r="7" spans="1:15" ht="31.5" customHeight="1" x14ac:dyDescent="0.4">
      <c r="A7" s="355"/>
      <c r="B7" s="355"/>
      <c r="C7" s="310"/>
      <c r="D7" s="366" t="s">
        <v>39</v>
      </c>
      <c r="E7" s="368" t="s">
        <v>40</v>
      </c>
      <c r="F7" s="368" t="s">
        <v>41</v>
      </c>
      <c r="G7" s="15" t="s">
        <v>42</v>
      </c>
      <c r="H7" s="370" t="s">
        <v>43</v>
      </c>
      <c r="I7" s="372" t="s">
        <v>44</v>
      </c>
      <c r="J7" s="372" t="s">
        <v>45</v>
      </c>
      <c r="K7" s="16" t="s">
        <v>46</v>
      </c>
      <c r="L7" s="374" t="s">
        <v>47</v>
      </c>
      <c r="M7" s="376" t="s">
        <v>48</v>
      </c>
      <c r="N7" s="378" t="s">
        <v>49</v>
      </c>
      <c r="O7" s="17"/>
    </row>
    <row r="8" spans="1:15" ht="15" customHeight="1" thickBot="1" x14ac:dyDescent="0.5">
      <c r="A8" s="18" t="s">
        <v>50</v>
      </c>
      <c r="B8" s="19" t="s">
        <v>51</v>
      </c>
      <c r="C8" s="20"/>
      <c r="D8" s="367"/>
      <c r="E8" s="369"/>
      <c r="F8" s="369"/>
      <c r="G8" s="21">
        <f>11/12</f>
        <v>0.91666666666666663</v>
      </c>
      <c r="H8" s="371"/>
      <c r="I8" s="373"/>
      <c r="J8" s="373"/>
      <c r="K8" s="22">
        <f>K4</f>
        <v>0</v>
      </c>
      <c r="L8" s="375"/>
      <c r="M8" s="377"/>
      <c r="N8" s="379"/>
      <c r="O8" s="253" t="s">
        <v>52</v>
      </c>
    </row>
    <row r="9" spans="1:15" ht="15.75" customHeight="1" x14ac:dyDescent="0.4">
      <c r="A9" s="23" t="s">
        <v>53</v>
      </c>
      <c r="B9" s="24" t="s">
        <v>54</v>
      </c>
      <c r="C9" s="20"/>
      <c r="D9" s="25">
        <f>D51+D87+D93</f>
        <v>23367912</v>
      </c>
      <c r="E9" s="26">
        <f>E51+E87+E93</f>
        <v>17733260.84</v>
      </c>
      <c r="F9" s="26">
        <f>D9-E9</f>
        <v>5634651.1600000001</v>
      </c>
      <c r="G9" s="27">
        <f>IFERROR(E9/D9,"0")</f>
        <v>0.75887228777650306</v>
      </c>
      <c r="H9" s="28">
        <f>H51+H87+H93</f>
        <v>11663178</v>
      </c>
      <c r="I9" s="29">
        <v>0</v>
      </c>
      <c r="J9" s="29">
        <f>H9-I9</f>
        <v>11663178</v>
      </c>
      <c r="K9" s="30">
        <f>IFERROR(I9/H9,"0")</f>
        <v>0</v>
      </c>
      <c r="L9" s="31">
        <f t="shared" ref="L9:M12" si="0">D9+H9</f>
        <v>35031090</v>
      </c>
      <c r="M9" s="32">
        <f t="shared" si="0"/>
        <v>17733260.84</v>
      </c>
      <c r="N9" s="33">
        <f>L9-M9</f>
        <v>17297829.16</v>
      </c>
      <c r="O9" s="248">
        <v>43112619</v>
      </c>
    </row>
    <row r="10" spans="1:15" ht="15.75" customHeight="1" x14ac:dyDescent="0.4">
      <c r="A10" s="23" t="s">
        <v>53</v>
      </c>
      <c r="B10" s="35" t="s">
        <v>55</v>
      </c>
      <c r="C10" s="36"/>
      <c r="D10" s="37">
        <f>D108</f>
        <v>4000000</v>
      </c>
      <c r="E10" s="38">
        <f>E108</f>
        <v>912837.87</v>
      </c>
      <c r="F10" s="38">
        <f>D10-E10</f>
        <v>3087162.13</v>
      </c>
      <c r="G10" s="27">
        <f>IFERROR(E10/D10,0)</f>
        <v>0.22820946749999999</v>
      </c>
      <c r="H10" s="39">
        <f>H108</f>
        <v>0</v>
      </c>
      <c r="I10" s="40">
        <f>I108</f>
        <v>0</v>
      </c>
      <c r="J10" s="40">
        <f t="shared" ref="J10:J12" si="1">H10-I10</f>
        <v>0</v>
      </c>
      <c r="K10" s="30">
        <f>IFERROR(I10/H10,0)</f>
        <v>0</v>
      </c>
      <c r="L10" s="41">
        <f t="shared" si="0"/>
        <v>4000000</v>
      </c>
      <c r="M10" s="42">
        <f t="shared" si="0"/>
        <v>912837.87</v>
      </c>
      <c r="N10" s="43">
        <f t="shared" ref="N10:N12" si="2">L10-M10</f>
        <v>3087162.13</v>
      </c>
      <c r="O10" s="248">
        <v>5000000</v>
      </c>
    </row>
    <row r="11" spans="1:15" ht="15.75" customHeight="1" x14ac:dyDescent="0.4">
      <c r="A11" s="23" t="s">
        <v>53</v>
      </c>
      <c r="B11" s="35" t="s">
        <v>56</v>
      </c>
      <c r="C11" s="44"/>
      <c r="D11" s="45">
        <v>0</v>
      </c>
      <c r="E11" s="46">
        <v>0</v>
      </c>
      <c r="F11" s="38">
        <f>D11-E11</f>
        <v>0</v>
      </c>
      <c r="G11" s="27">
        <f>IFERROR(E11/D11,0)</f>
        <v>0</v>
      </c>
      <c r="H11" s="47">
        <f>H111</f>
        <v>5679000</v>
      </c>
      <c r="I11" s="40">
        <f>I111</f>
        <v>0</v>
      </c>
      <c r="J11" s="40">
        <f t="shared" si="1"/>
        <v>5679000</v>
      </c>
      <c r="K11" s="30">
        <f>IFERROR(I11/H11,0)</f>
        <v>0</v>
      </c>
      <c r="L11" s="48">
        <f t="shared" si="0"/>
        <v>5679000</v>
      </c>
      <c r="M11" s="42">
        <f t="shared" si="0"/>
        <v>0</v>
      </c>
      <c r="N11" s="43">
        <f t="shared" si="2"/>
        <v>5679000</v>
      </c>
      <c r="O11" s="248">
        <v>5679000</v>
      </c>
    </row>
    <row r="12" spans="1:15" ht="15.75" customHeight="1" x14ac:dyDescent="0.4">
      <c r="A12" s="23" t="s">
        <v>53</v>
      </c>
      <c r="B12" s="35" t="s">
        <v>57</v>
      </c>
      <c r="C12" s="44"/>
      <c r="D12" s="49">
        <f>D114</f>
        <v>130000</v>
      </c>
      <c r="E12" s="50">
        <f>E114</f>
        <v>0</v>
      </c>
      <c r="F12" s="50">
        <f>D12-E12</f>
        <v>130000</v>
      </c>
      <c r="G12" s="51">
        <f>IFERROR(E12/D12,0)</f>
        <v>0</v>
      </c>
      <c r="H12" s="52">
        <f>H114</f>
        <v>0</v>
      </c>
      <c r="I12" s="53">
        <f>I114</f>
        <v>0</v>
      </c>
      <c r="J12" s="53">
        <f t="shared" si="1"/>
        <v>0</v>
      </c>
      <c r="K12" s="54">
        <f>IFERROR(I12/H12,0)</f>
        <v>0</v>
      </c>
      <c r="L12" s="55">
        <f t="shared" si="0"/>
        <v>130000</v>
      </c>
      <c r="M12" s="56">
        <f t="shared" si="0"/>
        <v>0</v>
      </c>
      <c r="N12" s="57">
        <f t="shared" si="2"/>
        <v>130000</v>
      </c>
      <c r="O12" s="249">
        <v>130000</v>
      </c>
    </row>
    <row r="13" spans="1:15" ht="15.75" customHeight="1" x14ac:dyDescent="0.4">
      <c r="A13" s="23"/>
      <c r="B13" s="19" t="s">
        <v>58</v>
      </c>
      <c r="C13" s="58"/>
      <c r="D13" s="59">
        <f>SUM(D9:D12)</f>
        <v>27497912</v>
      </c>
      <c r="E13" s="60">
        <f t="shared" ref="E13:N13" si="3">SUM(E9:E12)</f>
        <v>18646098.710000001</v>
      </c>
      <c r="F13" s="60">
        <f>SUM(F9:F12)</f>
        <v>8851813.2899999991</v>
      </c>
      <c r="G13" s="61">
        <f t="shared" ref="G13:G15" si="4">E13/D13</f>
        <v>0.67809143872451116</v>
      </c>
      <c r="H13" s="62">
        <f t="shared" si="3"/>
        <v>17342178</v>
      </c>
      <c r="I13" s="63">
        <f t="shared" si="3"/>
        <v>0</v>
      </c>
      <c r="J13" s="63">
        <f t="shared" si="3"/>
        <v>17342178</v>
      </c>
      <c r="K13" s="64">
        <f t="shared" ref="K13:K15" si="5">I13/H13</f>
        <v>0</v>
      </c>
      <c r="L13" s="65">
        <f t="shared" si="3"/>
        <v>44840090</v>
      </c>
      <c r="M13" s="66">
        <f t="shared" si="3"/>
        <v>18646098.710000001</v>
      </c>
      <c r="N13" s="67">
        <f t="shared" si="3"/>
        <v>26193991.289999999</v>
      </c>
      <c r="O13" s="250">
        <f>SUM(O9:O12)</f>
        <v>53921619</v>
      </c>
    </row>
    <row r="14" spans="1:15" ht="15.75" customHeight="1" x14ac:dyDescent="0.4">
      <c r="A14" s="23" t="s">
        <v>59</v>
      </c>
      <c r="B14" s="35" t="s">
        <v>60</v>
      </c>
      <c r="C14" s="44"/>
      <c r="D14" s="49">
        <f>D117</f>
        <v>600000</v>
      </c>
      <c r="E14" s="50">
        <f>E117</f>
        <v>30325.75</v>
      </c>
      <c r="F14" s="50">
        <f>D14-E14</f>
        <v>569674.25</v>
      </c>
      <c r="G14" s="51">
        <f t="shared" si="4"/>
        <v>5.0542916666666667E-2</v>
      </c>
      <c r="H14" s="68">
        <v>1250000</v>
      </c>
      <c r="I14" s="53">
        <f>I117</f>
        <v>0</v>
      </c>
      <c r="J14" s="53">
        <f>H14-I14</f>
        <v>1250000</v>
      </c>
      <c r="K14" s="54">
        <f t="shared" si="5"/>
        <v>0</v>
      </c>
      <c r="L14" s="69">
        <f>D14+H14</f>
        <v>1850000</v>
      </c>
      <c r="M14" s="56">
        <f>E14+I14</f>
        <v>30325.75</v>
      </c>
      <c r="N14" s="57">
        <f>L14-M14</f>
        <v>1819674.25</v>
      </c>
      <c r="O14" s="248">
        <v>1850000</v>
      </c>
    </row>
    <row r="15" spans="1:15" ht="18.45" customHeight="1" thickBot="1" x14ac:dyDescent="0.5">
      <c r="A15" s="23"/>
      <c r="B15" s="19" t="s">
        <v>61</v>
      </c>
      <c r="C15" s="70"/>
      <c r="D15" s="71">
        <f>SUM(D13:D14)</f>
        <v>28097912</v>
      </c>
      <c r="E15" s="72">
        <f t="shared" ref="E15:N15" si="6">SUM(E13:E14)</f>
        <v>18676424.460000001</v>
      </c>
      <c r="F15" s="72">
        <f>SUM(F13:F14)</f>
        <v>9421487.5399999991</v>
      </c>
      <c r="G15" s="73">
        <f t="shared" si="4"/>
        <v>0.66469083040761179</v>
      </c>
      <c r="H15" s="74">
        <f t="shared" si="6"/>
        <v>18592178</v>
      </c>
      <c r="I15" s="75">
        <f>SUM(I13:I14)</f>
        <v>0</v>
      </c>
      <c r="J15" s="75">
        <f t="shared" si="6"/>
        <v>18592178</v>
      </c>
      <c r="K15" s="76">
        <f t="shared" si="5"/>
        <v>0</v>
      </c>
      <c r="L15" s="77">
        <f t="shared" si="6"/>
        <v>46690090</v>
      </c>
      <c r="M15" s="78">
        <f t="shared" si="6"/>
        <v>18676424.460000001</v>
      </c>
      <c r="N15" s="79">
        <f t="shared" si="6"/>
        <v>28013665.539999999</v>
      </c>
      <c r="O15" s="251">
        <f>SUM(O13:O14)</f>
        <v>55771619</v>
      </c>
    </row>
    <row r="16" spans="1:15" s="256" customFormat="1" ht="24.45" customHeight="1" thickBot="1" x14ac:dyDescent="0.45">
      <c r="A16" s="254"/>
      <c r="B16" s="255" t="s">
        <v>62</v>
      </c>
      <c r="C16" s="255"/>
      <c r="F16" s="257">
        <f>F13</f>
        <v>8851813.2899999991</v>
      </c>
      <c r="J16" s="257">
        <f>BN17FM11!H13-'Prop. Budget'!H13</f>
        <v>9081529.3999999985</v>
      </c>
      <c r="L16" s="257"/>
      <c r="M16" s="257"/>
      <c r="N16" s="257">
        <f>F16+J16</f>
        <v>17933342.689999998</v>
      </c>
      <c r="O16" s="258"/>
    </row>
    <row r="17" spans="1:15" ht="22.95" customHeight="1" thickBot="1" x14ac:dyDescent="0.6">
      <c r="B17" s="352" t="s">
        <v>63</v>
      </c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4"/>
      <c r="O17" s="34"/>
    </row>
    <row r="18" spans="1:15" ht="18.899999999999999" thickBot="1" x14ac:dyDescent="0.55000000000000004">
      <c r="A18" s="81" t="s">
        <v>64</v>
      </c>
      <c r="B18" s="363" t="s">
        <v>65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5"/>
      <c r="O18" s="34"/>
    </row>
    <row r="19" spans="1:15" ht="15" customHeight="1" x14ac:dyDescent="0.4">
      <c r="A19" s="23"/>
      <c r="B19" s="82" t="s">
        <v>66</v>
      </c>
      <c r="C19" s="83"/>
      <c r="D19" s="84">
        <f>SUM(D20:D27)</f>
        <v>657510</v>
      </c>
      <c r="E19" s="85">
        <f>SUM(E20:E27)</f>
        <v>561505.54999999993</v>
      </c>
      <c r="F19" s="85">
        <f t="shared" ref="F19:F27" si="7">D19-E19</f>
        <v>96004.45000000007</v>
      </c>
      <c r="G19" s="86">
        <f>E19/D19</f>
        <v>0.85398784809356498</v>
      </c>
      <c r="H19" s="87">
        <f t="shared" ref="H19:I19" si="8">SUM(H20:H27)</f>
        <v>872652</v>
      </c>
      <c r="I19" s="88">
        <f t="shared" si="8"/>
        <v>0</v>
      </c>
      <c r="J19" s="88">
        <f>H19-I19</f>
        <v>872652</v>
      </c>
      <c r="K19" s="89">
        <f>I19/H19</f>
        <v>0</v>
      </c>
      <c r="L19" s="90">
        <f>D19+H19</f>
        <v>1530162</v>
      </c>
      <c r="M19" s="91">
        <f>E19+I19</f>
        <v>561505.54999999993</v>
      </c>
      <c r="N19" s="67">
        <f>L19-M19</f>
        <v>968656.45000000007</v>
      </c>
      <c r="O19" s="34"/>
    </row>
    <row r="20" spans="1:15" ht="13.2" customHeight="1" x14ac:dyDescent="0.4">
      <c r="A20" s="244" t="s">
        <v>67</v>
      </c>
      <c r="B20" s="92" t="s">
        <v>68</v>
      </c>
      <c r="C20" s="93"/>
      <c r="D20" s="37">
        <v>433419</v>
      </c>
      <c r="E20" s="38">
        <v>360799.88</v>
      </c>
      <c r="F20" s="38">
        <f t="shared" si="7"/>
        <v>72619.12</v>
      </c>
      <c r="G20" s="27">
        <f t="shared" ref="G20:G27" si="9">IFERROR(E20/D20,0)</f>
        <v>0.83245053862428742</v>
      </c>
      <c r="H20" s="94">
        <v>582176</v>
      </c>
      <c r="I20" s="40">
        <v>0</v>
      </c>
      <c r="J20" s="40">
        <f>H20-I20</f>
        <v>582176</v>
      </c>
      <c r="K20" s="30">
        <f t="shared" ref="K20:K27" si="10">IFERROR(I20/H20,0)</f>
        <v>0</v>
      </c>
      <c r="L20" s="95">
        <f>D20+H20</f>
        <v>1015595</v>
      </c>
      <c r="M20" s="42">
        <f>E20+I20</f>
        <v>360799.88</v>
      </c>
      <c r="N20" s="43">
        <f>L20-M20</f>
        <v>654795.12</v>
      </c>
      <c r="O20" s="34" t="s">
        <v>69</v>
      </c>
    </row>
    <row r="21" spans="1:15" ht="13.2" customHeight="1" x14ac:dyDescent="0.4">
      <c r="A21" s="244" t="s">
        <v>67</v>
      </c>
      <c r="B21" s="92" t="s">
        <v>1</v>
      </c>
      <c r="C21" s="93"/>
      <c r="D21" s="37">
        <v>161092</v>
      </c>
      <c r="E21" s="38">
        <v>130495.5</v>
      </c>
      <c r="F21" s="38">
        <f t="shared" si="7"/>
        <v>30596.5</v>
      </c>
      <c r="G21" s="27">
        <f t="shared" si="9"/>
        <v>0.81006815980930147</v>
      </c>
      <c r="H21" s="94">
        <v>210476</v>
      </c>
      <c r="I21" s="40">
        <v>0</v>
      </c>
      <c r="J21" s="40">
        <f t="shared" ref="J21:J27" si="11">H21-I21</f>
        <v>210476</v>
      </c>
      <c r="K21" s="30">
        <f t="shared" si="10"/>
        <v>0</v>
      </c>
      <c r="L21" s="95">
        <f t="shared" ref="L21:M27" si="12">D21+H21</f>
        <v>371568</v>
      </c>
      <c r="M21" s="42">
        <f t="shared" si="12"/>
        <v>130495.5</v>
      </c>
      <c r="N21" s="43">
        <f t="shared" ref="N21:N27" si="13">L21-M21</f>
        <v>241072.5</v>
      </c>
      <c r="O21" s="34" t="s">
        <v>70</v>
      </c>
    </row>
    <row r="22" spans="1:15" ht="13.2" customHeight="1" x14ac:dyDescent="0.4">
      <c r="A22" s="244" t="s">
        <v>67</v>
      </c>
      <c r="B22" s="92" t="s">
        <v>71</v>
      </c>
      <c r="C22" s="93"/>
      <c r="D22" s="96">
        <v>0</v>
      </c>
      <c r="E22" s="97">
        <v>12.5</v>
      </c>
      <c r="F22" s="97">
        <f t="shared" si="7"/>
        <v>-12.5</v>
      </c>
      <c r="G22" s="27">
        <f t="shared" si="9"/>
        <v>0</v>
      </c>
      <c r="H22" s="94">
        <v>0</v>
      </c>
      <c r="I22" s="99">
        <v>0</v>
      </c>
      <c r="J22" s="99">
        <f t="shared" si="11"/>
        <v>0</v>
      </c>
      <c r="K22" s="30">
        <f t="shared" si="10"/>
        <v>0</v>
      </c>
      <c r="L22" s="95">
        <f t="shared" si="12"/>
        <v>0</v>
      </c>
      <c r="M22" s="42">
        <f t="shared" si="12"/>
        <v>12.5</v>
      </c>
      <c r="N22" s="43">
        <f t="shared" si="13"/>
        <v>-12.5</v>
      </c>
      <c r="O22" s="100"/>
    </row>
    <row r="23" spans="1:15" ht="13.2" customHeight="1" x14ac:dyDescent="0.4">
      <c r="A23" s="244" t="s">
        <v>67</v>
      </c>
      <c r="B23" s="92" t="s">
        <v>72</v>
      </c>
      <c r="C23" s="93"/>
      <c r="D23" s="37">
        <v>7000</v>
      </c>
      <c r="E23" s="38">
        <v>2577.79</v>
      </c>
      <c r="F23" s="38">
        <f t="shared" si="7"/>
        <v>4422.21</v>
      </c>
      <c r="G23" s="27">
        <f t="shared" si="9"/>
        <v>0.3682557142857143</v>
      </c>
      <c r="H23" s="94">
        <v>6000</v>
      </c>
      <c r="I23" s="40">
        <v>0</v>
      </c>
      <c r="J23" s="40">
        <f t="shared" si="11"/>
        <v>6000</v>
      </c>
      <c r="K23" s="30">
        <f t="shared" si="10"/>
        <v>0</v>
      </c>
      <c r="L23" s="95">
        <f t="shared" si="12"/>
        <v>13000</v>
      </c>
      <c r="M23" s="42">
        <f t="shared" si="12"/>
        <v>2577.79</v>
      </c>
      <c r="N23" s="43">
        <f t="shared" si="13"/>
        <v>10422.209999999999</v>
      </c>
      <c r="O23" s="100"/>
    </row>
    <row r="24" spans="1:15" ht="13.2" customHeight="1" x14ac:dyDescent="0.4">
      <c r="A24" s="244" t="s">
        <v>67</v>
      </c>
      <c r="B24" s="92" t="s">
        <v>73</v>
      </c>
      <c r="C24" s="93"/>
      <c r="D24" s="37">
        <v>30000</v>
      </c>
      <c r="E24" s="38">
        <v>33726.639999999999</v>
      </c>
      <c r="F24" s="38">
        <f t="shared" si="7"/>
        <v>-3726.6399999999994</v>
      </c>
      <c r="G24" s="27">
        <f t="shared" si="9"/>
        <v>1.1242213333333333</v>
      </c>
      <c r="H24" s="94">
        <v>36000</v>
      </c>
      <c r="I24" s="40">
        <v>0</v>
      </c>
      <c r="J24" s="40">
        <f t="shared" si="11"/>
        <v>36000</v>
      </c>
      <c r="K24" s="30">
        <f t="shared" si="10"/>
        <v>0</v>
      </c>
      <c r="L24" s="95">
        <f t="shared" si="12"/>
        <v>66000</v>
      </c>
      <c r="M24" s="42">
        <f t="shared" si="12"/>
        <v>33726.639999999999</v>
      </c>
      <c r="N24" s="43">
        <f t="shared" si="13"/>
        <v>32273.360000000001</v>
      </c>
      <c r="O24" s="100"/>
    </row>
    <row r="25" spans="1:15" ht="13.2" customHeight="1" x14ac:dyDescent="0.4">
      <c r="A25" s="244" t="s">
        <v>67</v>
      </c>
      <c r="B25" s="92" t="s">
        <v>74</v>
      </c>
      <c r="C25" s="93"/>
      <c r="D25" s="37">
        <v>6000</v>
      </c>
      <c r="E25" s="38">
        <f>-E23-E24+46573.94</f>
        <v>10269.510000000002</v>
      </c>
      <c r="F25" s="38">
        <f t="shared" si="7"/>
        <v>-4269.510000000002</v>
      </c>
      <c r="G25" s="27">
        <f t="shared" si="9"/>
        <v>1.7115850000000004</v>
      </c>
      <c r="H25" s="94">
        <v>14000</v>
      </c>
      <c r="I25" s="40">
        <v>0</v>
      </c>
      <c r="J25" s="40">
        <f t="shared" si="11"/>
        <v>14000</v>
      </c>
      <c r="K25" s="30">
        <f t="shared" si="10"/>
        <v>0</v>
      </c>
      <c r="L25" s="95">
        <f t="shared" si="12"/>
        <v>20000</v>
      </c>
      <c r="M25" s="42">
        <f t="shared" si="12"/>
        <v>10269.510000000002</v>
      </c>
      <c r="N25" s="43">
        <f t="shared" si="13"/>
        <v>9730.489999999998</v>
      </c>
      <c r="O25" s="34"/>
    </row>
    <row r="26" spans="1:15" ht="13.2" customHeight="1" x14ac:dyDescent="0.4">
      <c r="A26" s="244" t="s">
        <v>67</v>
      </c>
      <c r="B26" s="92" t="s">
        <v>9</v>
      </c>
      <c r="C26" s="93"/>
      <c r="D26" s="37">
        <v>15000</v>
      </c>
      <c r="E26" s="38">
        <v>14551.66</v>
      </c>
      <c r="F26" s="38">
        <f t="shared" si="7"/>
        <v>448.34000000000015</v>
      </c>
      <c r="G26" s="27">
        <f t="shared" si="9"/>
        <v>0.97011066666666668</v>
      </c>
      <c r="H26" s="94">
        <v>16000</v>
      </c>
      <c r="I26" s="40">
        <v>0</v>
      </c>
      <c r="J26" s="40">
        <f t="shared" si="11"/>
        <v>16000</v>
      </c>
      <c r="K26" s="30">
        <f t="shared" si="10"/>
        <v>0</v>
      </c>
      <c r="L26" s="95">
        <f t="shared" si="12"/>
        <v>31000</v>
      </c>
      <c r="M26" s="42">
        <f t="shared" si="12"/>
        <v>14551.66</v>
      </c>
      <c r="N26" s="43">
        <f t="shared" si="13"/>
        <v>16448.34</v>
      </c>
      <c r="O26" s="100"/>
    </row>
    <row r="27" spans="1:15" ht="13.2" customHeight="1" x14ac:dyDescent="0.4">
      <c r="A27" s="244" t="s">
        <v>67</v>
      </c>
      <c r="B27" s="92" t="s">
        <v>10</v>
      </c>
      <c r="C27" s="93"/>
      <c r="D27" s="37">
        <v>4999</v>
      </c>
      <c r="E27" s="38">
        <v>9072.07</v>
      </c>
      <c r="F27" s="38">
        <f t="shared" si="7"/>
        <v>-4073.0699999999997</v>
      </c>
      <c r="G27" s="27">
        <f t="shared" si="9"/>
        <v>1.8147769553910782</v>
      </c>
      <c r="H27" s="94">
        <v>8000</v>
      </c>
      <c r="I27" s="40">
        <v>0</v>
      </c>
      <c r="J27" s="40">
        <f t="shared" si="11"/>
        <v>8000</v>
      </c>
      <c r="K27" s="30">
        <f t="shared" si="10"/>
        <v>0</v>
      </c>
      <c r="L27" s="95">
        <f t="shared" si="12"/>
        <v>12999</v>
      </c>
      <c r="M27" s="42">
        <f t="shared" si="12"/>
        <v>9072.07</v>
      </c>
      <c r="N27" s="43">
        <f t="shared" si="13"/>
        <v>3926.9300000000003</v>
      </c>
      <c r="O27" s="100"/>
    </row>
    <row r="28" spans="1:15" ht="12.45" customHeight="1" thickBot="1" x14ac:dyDescent="0.45">
      <c r="A28" s="23"/>
      <c r="B28" s="101"/>
      <c r="C28" s="102"/>
      <c r="D28" s="103"/>
      <c r="E28" s="104"/>
      <c r="F28" s="104"/>
      <c r="G28" s="105"/>
      <c r="H28" s="106"/>
      <c r="I28" s="107"/>
      <c r="J28" s="107"/>
      <c r="K28" s="108"/>
      <c r="L28" s="109"/>
      <c r="M28" s="110"/>
      <c r="N28" s="111"/>
      <c r="O28" s="34"/>
    </row>
    <row r="29" spans="1:15" ht="15" customHeight="1" x14ac:dyDescent="0.4">
      <c r="A29" s="23"/>
      <c r="B29" s="112" t="s">
        <v>75</v>
      </c>
      <c r="C29" s="83"/>
      <c r="D29" s="84">
        <f>SUM(D30:D37)</f>
        <v>356753</v>
      </c>
      <c r="E29" s="85">
        <f>SUM(E30:E37)</f>
        <v>321283.27</v>
      </c>
      <c r="F29" s="85">
        <f t="shared" ref="F29:F37" si="14">D29-E29</f>
        <v>35469.729999999981</v>
      </c>
      <c r="G29" s="61">
        <f>E29/D29</f>
        <v>0.9005762250072179</v>
      </c>
      <c r="H29" s="87">
        <f t="shared" ref="H29:I29" si="15">SUM(H30:H37)</f>
        <v>533936</v>
      </c>
      <c r="I29" s="88">
        <f t="shared" si="15"/>
        <v>0</v>
      </c>
      <c r="J29" s="88">
        <f>H29-I29</f>
        <v>533936</v>
      </c>
      <c r="K29" s="64">
        <f>I29/H29</f>
        <v>0</v>
      </c>
      <c r="L29" s="90">
        <f t="shared" ref="L29:M37" si="16">D29+H29</f>
        <v>890689</v>
      </c>
      <c r="M29" s="91">
        <f t="shared" si="16"/>
        <v>321283.27</v>
      </c>
      <c r="N29" s="113">
        <f>L29-M29</f>
        <v>569405.73</v>
      </c>
      <c r="O29" s="34"/>
    </row>
    <row r="30" spans="1:15" ht="13.95" customHeight="1" x14ac:dyDescent="0.4">
      <c r="A30" s="244" t="s">
        <v>76</v>
      </c>
      <c r="B30" s="92" t="s">
        <v>68</v>
      </c>
      <c r="C30" s="93"/>
      <c r="D30" s="37">
        <v>251098</v>
      </c>
      <c r="E30" s="38">
        <v>226935.85</v>
      </c>
      <c r="F30" s="38">
        <f t="shared" si="14"/>
        <v>24162.149999999994</v>
      </c>
      <c r="G30" s="27">
        <f t="shared" ref="G30:G37" si="17">IFERROR(E30/D30,0)</f>
        <v>0.90377402448446431</v>
      </c>
      <c r="H30" s="94">
        <v>381190</v>
      </c>
      <c r="I30" s="40">
        <v>0</v>
      </c>
      <c r="J30" s="40">
        <f>H30-I30</f>
        <v>381190</v>
      </c>
      <c r="K30" s="30">
        <f t="shared" ref="K30:K37" si="18">IFERROR(I30/H30,0)</f>
        <v>0</v>
      </c>
      <c r="L30" s="95">
        <f t="shared" si="16"/>
        <v>632288</v>
      </c>
      <c r="M30" s="42">
        <f t="shared" si="16"/>
        <v>226935.85</v>
      </c>
      <c r="N30" s="43">
        <f>L30-M30</f>
        <v>405352.15</v>
      </c>
      <c r="O30" s="34"/>
    </row>
    <row r="31" spans="1:15" ht="13.95" customHeight="1" x14ac:dyDescent="0.4">
      <c r="A31" s="244" t="s">
        <v>76</v>
      </c>
      <c r="B31" s="92" t="s">
        <v>1</v>
      </c>
      <c r="C31" s="93"/>
      <c r="D31" s="37">
        <v>77290</v>
      </c>
      <c r="E31" s="38">
        <v>70615.94</v>
      </c>
      <c r="F31" s="38">
        <f t="shared" si="14"/>
        <v>6674.0599999999977</v>
      </c>
      <c r="G31" s="27">
        <f t="shared" si="17"/>
        <v>0.91364911372751978</v>
      </c>
      <c r="H31" s="94">
        <v>123246</v>
      </c>
      <c r="I31" s="40">
        <v>0</v>
      </c>
      <c r="J31" s="40">
        <f t="shared" ref="J31:J37" si="19">H31-I31</f>
        <v>123246</v>
      </c>
      <c r="K31" s="30">
        <f t="shared" si="18"/>
        <v>0</v>
      </c>
      <c r="L31" s="95">
        <f t="shared" si="16"/>
        <v>200536</v>
      </c>
      <c r="M31" s="42">
        <f t="shared" si="16"/>
        <v>70615.94</v>
      </c>
      <c r="N31" s="43">
        <f t="shared" ref="N31:N37" si="20">L31-M31</f>
        <v>129920.06</v>
      </c>
      <c r="O31" s="34"/>
    </row>
    <row r="32" spans="1:15" ht="13.95" customHeight="1" x14ac:dyDescent="0.4">
      <c r="A32" s="244" t="s">
        <v>76</v>
      </c>
      <c r="B32" s="92" t="s">
        <v>71</v>
      </c>
      <c r="C32" s="93"/>
      <c r="D32" s="96">
        <v>0</v>
      </c>
      <c r="E32" s="97">
        <v>0</v>
      </c>
      <c r="F32" s="97">
        <f t="shared" si="14"/>
        <v>0</v>
      </c>
      <c r="G32" s="27">
        <f t="shared" si="17"/>
        <v>0</v>
      </c>
      <c r="H32" s="98">
        <v>0</v>
      </c>
      <c r="I32" s="99">
        <v>0</v>
      </c>
      <c r="J32" s="99">
        <f t="shared" si="19"/>
        <v>0</v>
      </c>
      <c r="K32" s="30">
        <f t="shared" si="18"/>
        <v>0</v>
      </c>
      <c r="L32" s="114">
        <f t="shared" si="16"/>
        <v>0</v>
      </c>
      <c r="M32" s="115">
        <f t="shared" si="16"/>
        <v>0</v>
      </c>
      <c r="N32" s="43">
        <f t="shared" si="20"/>
        <v>0</v>
      </c>
      <c r="O32" s="34"/>
    </row>
    <row r="33" spans="1:15" ht="13.95" customHeight="1" x14ac:dyDescent="0.4">
      <c r="A33" s="244" t="s">
        <v>76</v>
      </c>
      <c r="B33" s="92" t="s">
        <v>72</v>
      </c>
      <c r="C33" s="93"/>
      <c r="D33" s="37">
        <v>5000</v>
      </c>
      <c r="E33" s="38">
        <v>2428.9899999999998</v>
      </c>
      <c r="F33" s="38">
        <f t="shared" si="14"/>
        <v>2571.0100000000002</v>
      </c>
      <c r="G33" s="27">
        <f t="shared" si="17"/>
        <v>0.48579799999999995</v>
      </c>
      <c r="H33" s="94">
        <v>4000</v>
      </c>
      <c r="I33" s="40">
        <v>0</v>
      </c>
      <c r="J33" s="40">
        <f t="shared" si="19"/>
        <v>4000</v>
      </c>
      <c r="K33" s="30">
        <f t="shared" si="18"/>
        <v>0</v>
      </c>
      <c r="L33" s="95">
        <f t="shared" si="16"/>
        <v>9000</v>
      </c>
      <c r="M33" s="42">
        <f t="shared" si="16"/>
        <v>2428.9899999999998</v>
      </c>
      <c r="N33" s="43">
        <f t="shared" si="20"/>
        <v>6571.01</v>
      </c>
      <c r="O33" s="34"/>
    </row>
    <row r="34" spans="1:15" ht="13.95" customHeight="1" x14ac:dyDescent="0.4">
      <c r="A34" s="244" t="s">
        <v>76</v>
      </c>
      <c r="B34" s="92" t="s">
        <v>73</v>
      </c>
      <c r="C34" s="93"/>
      <c r="D34" s="37">
        <v>0</v>
      </c>
      <c r="E34" s="38">
        <v>0</v>
      </c>
      <c r="F34" s="38">
        <f t="shared" si="14"/>
        <v>0</v>
      </c>
      <c r="G34" s="27">
        <f t="shared" si="17"/>
        <v>0</v>
      </c>
      <c r="H34" s="94">
        <v>0</v>
      </c>
      <c r="I34" s="40">
        <v>0</v>
      </c>
      <c r="J34" s="40">
        <f t="shared" si="19"/>
        <v>0</v>
      </c>
      <c r="K34" s="30">
        <f t="shared" si="18"/>
        <v>0</v>
      </c>
      <c r="L34" s="95">
        <f t="shared" si="16"/>
        <v>0</v>
      </c>
      <c r="M34" s="42">
        <f t="shared" si="16"/>
        <v>0</v>
      </c>
      <c r="N34" s="43">
        <f t="shared" si="20"/>
        <v>0</v>
      </c>
      <c r="O34" s="34"/>
    </row>
    <row r="35" spans="1:15" ht="13.95" customHeight="1" x14ac:dyDescent="0.4">
      <c r="A35" s="244" t="s">
        <v>76</v>
      </c>
      <c r="B35" s="92" t="s">
        <v>74</v>
      </c>
      <c r="C35" s="93"/>
      <c r="D35" s="37">
        <v>10865</v>
      </c>
      <c r="E35" s="38">
        <f>-E33+14643.12</f>
        <v>12214.130000000001</v>
      </c>
      <c r="F35" s="38">
        <f t="shared" si="14"/>
        <v>-1349.130000000001</v>
      </c>
      <c r="G35" s="27">
        <f t="shared" si="17"/>
        <v>1.1241721122871606</v>
      </c>
      <c r="H35" s="94">
        <v>13000</v>
      </c>
      <c r="I35" s="40">
        <v>0</v>
      </c>
      <c r="J35" s="40">
        <f t="shared" si="19"/>
        <v>13000</v>
      </c>
      <c r="K35" s="30">
        <f t="shared" si="18"/>
        <v>0</v>
      </c>
      <c r="L35" s="95">
        <f t="shared" si="16"/>
        <v>23865</v>
      </c>
      <c r="M35" s="42">
        <f t="shared" si="16"/>
        <v>12214.130000000001</v>
      </c>
      <c r="N35" s="43">
        <f t="shared" si="20"/>
        <v>11650.869999999999</v>
      </c>
      <c r="O35" s="34"/>
    </row>
    <row r="36" spans="1:15" ht="13.95" customHeight="1" x14ac:dyDescent="0.4">
      <c r="A36" s="244" t="s">
        <v>76</v>
      </c>
      <c r="B36" s="92" t="s">
        <v>9</v>
      </c>
      <c r="C36" s="93"/>
      <c r="D36" s="37">
        <v>7500</v>
      </c>
      <c r="E36" s="38">
        <v>6764.63</v>
      </c>
      <c r="F36" s="38">
        <f t="shared" si="14"/>
        <v>735.36999999999989</v>
      </c>
      <c r="G36" s="27">
        <f t="shared" si="17"/>
        <v>0.90195066666666668</v>
      </c>
      <c r="H36" s="94">
        <v>7500</v>
      </c>
      <c r="I36" s="40">
        <v>0</v>
      </c>
      <c r="J36" s="40">
        <f t="shared" si="19"/>
        <v>7500</v>
      </c>
      <c r="K36" s="30">
        <f t="shared" si="18"/>
        <v>0</v>
      </c>
      <c r="L36" s="95">
        <f t="shared" si="16"/>
        <v>15000</v>
      </c>
      <c r="M36" s="42">
        <f t="shared" si="16"/>
        <v>6764.63</v>
      </c>
      <c r="N36" s="43">
        <f t="shared" si="20"/>
        <v>8235.369999999999</v>
      </c>
      <c r="O36" s="34"/>
    </row>
    <row r="37" spans="1:15" ht="13.95" customHeight="1" x14ac:dyDescent="0.4">
      <c r="A37" s="244" t="s">
        <v>76</v>
      </c>
      <c r="B37" s="92" t="s">
        <v>10</v>
      </c>
      <c r="C37" s="93"/>
      <c r="D37" s="37">
        <v>5000</v>
      </c>
      <c r="E37" s="38">
        <v>2323.73</v>
      </c>
      <c r="F37" s="38">
        <f t="shared" si="14"/>
        <v>2676.27</v>
      </c>
      <c r="G37" s="27">
        <f t="shared" si="17"/>
        <v>0.46474599999999999</v>
      </c>
      <c r="H37" s="94">
        <v>5000</v>
      </c>
      <c r="I37" s="40">
        <v>0</v>
      </c>
      <c r="J37" s="40">
        <f t="shared" si="19"/>
        <v>5000</v>
      </c>
      <c r="K37" s="30">
        <f t="shared" si="18"/>
        <v>0</v>
      </c>
      <c r="L37" s="95">
        <f t="shared" si="16"/>
        <v>10000</v>
      </c>
      <c r="M37" s="42">
        <f t="shared" si="16"/>
        <v>2323.73</v>
      </c>
      <c r="N37" s="43">
        <f t="shared" si="20"/>
        <v>7676.27</v>
      </c>
      <c r="O37" s="34"/>
    </row>
    <row r="38" spans="1:15" ht="12.45" customHeight="1" thickBot="1" x14ac:dyDescent="0.45">
      <c r="A38" s="23"/>
      <c r="B38" s="101"/>
      <c r="C38" s="102"/>
      <c r="D38" s="103"/>
      <c r="E38" s="104"/>
      <c r="F38" s="104"/>
      <c r="G38" s="105"/>
      <c r="H38" s="106"/>
      <c r="I38" s="107"/>
      <c r="J38" s="107"/>
      <c r="K38" s="108"/>
      <c r="L38" s="109"/>
      <c r="M38" s="110"/>
      <c r="N38" s="111"/>
      <c r="O38" s="34"/>
    </row>
    <row r="39" spans="1:15" ht="15" customHeight="1" x14ac:dyDescent="0.4">
      <c r="A39" s="23"/>
      <c r="B39" s="112" t="s">
        <v>77</v>
      </c>
      <c r="C39" s="83"/>
      <c r="D39" s="84">
        <f>SUM(D40:D44)</f>
        <v>269314</v>
      </c>
      <c r="E39" s="85">
        <f>SUM(E40:E45)</f>
        <v>129803.59</v>
      </c>
      <c r="F39" s="85">
        <f t="shared" ref="F39:F45" si="21">D39-E39</f>
        <v>139510.41</v>
      </c>
      <c r="G39" s="61">
        <f>E39/D39</f>
        <v>0.48197861975240797</v>
      </c>
      <c r="H39" s="87">
        <f>SUM(H40:H45)</f>
        <v>270216</v>
      </c>
      <c r="I39" s="88">
        <f>SUM(I40:I41)</f>
        <v>0</v>
      </c>
      <c r="J39" s="88">
        <f>H39-I39</f>
        <v>270216</v>
      </c>
      <c r="K39" s="64">
        <f>I39/H39</f>
        <v>0</v>
      </c>
      <c r="L39" s="90">
        <f t="shared" ref="L39:M43" si="22">D39+H39</f>
        <v>539530</v>
      </c>
      <c r="M39" s="91">
        <f t="shared" si="22"/>
        <v>129803.59</v>
      </c>
      <c r="N39" s="113">
        <f>L39-M39</f>
        <v>409726.41000000003</v>
      </c>
      <c r="O39" s="34"/>
    </row>
    <row r="40" spans="1:15" ht="13.95" customHeight="1" x14ac:dyDescent="0.4">
      <c r="A40" s="245" t="s">
        <v>78</v>
      </c>
      <c r="B40" s="117" t="s">
        <v>79</v>
      </c>
      <c r="C40" s="118"/>
      <c r="D40" s="37">
        <v>23863</v>
      </c>
      <c r="E40" s="38">
        <v>13010.88</v>
      </c>
      <c r="F40" s="38">
        <f t="shared" si="21"/>
        <v>10852.12</v>
      </c>
      <c r="G40" s="27">
        <f t="shared" ref="G40:G45" si="23">IFERROR(E40/D40,0)</f>
        <v>0.54523236810124454</v>
      </c>
      <c r="H40" s="94">
        <v>0</v>
      </c>
      <c r="I40" s="40">
        <v>0</v>
      </c>
      <c r="J40" s="40">
        <f>H40-I40</f>
        <v>0</v>
      </c>
      <c r="K40" s="30">
        <f t="shared" ref="K40:K45" si="24">IFERROR(I40/H40,0)</f>
        <v>0</v>
      </c>
      <c r="L40" s="95">
        <f t="shared" si="22"/>
        <v>23863</v>
      </c>
      <c r="M40" s="42">
        <f t="shared" si="22"/>
        <v>13010.88</v>
      </c>
      <c r="N40" s="43">
        <f>L40-M40</f>
        <v>10852.12</v>
      </c>
      <c r="O40" s="34" t="s">
        <v>80</v>
      </c>
    </row>
    <row r="41" spans="1:15" ht="13.95" customHeight="1" x14ac:dyDescent="0.4">
      <c r="A41" s="245" t="s">
        <v>81</v>
      </c>
      <c r="B41" s="117" t="s">
        <v>79</v>
      </c>
      <c r="C41" s="118"/>
      <c r="D41" s="37">
        <v>12109</v>
      </c>
      <c r="E41" s="38">
        <v>8481.76</v>
      </c>
      <c r="F41" s="38">
        <f t="shared" si="21"/>
        <v>3627.24</v>
      </c>
      <c r="G41" s="27">
        <f t="shared" si="23"/>
        <v>0.70045090428606827</v>
      </c>
      <c r="H41" s="94">
        <v>25217</v>
      </c>
      <c r="I41" s="40">
        <v>0</v>
      </c>
      <c r="J41" s="40">
        <f t="shared" ref="J41:J45" si="25">H41-I41</f>
        <v>25217</v>
      </c>
      <c r="K41" s="30">
        <f t="shared" si="24"/>
        <v>0</v>
      </c>
      <c r="L41" s="95">
        <f t="shared" si="22"/>
        <v>37326</v>
      </c>
      <c r="M41" s="42">
        <f t="shared" si="22"/>
        <v>8481.76</v>
      </c>
      <c r="N41" s="43">
        <f t="shared" ref="N41:N45" si="26">L41-M41</f>
        <v>28844.239999999998</v>
      </c>
      <c r="O41" s="34" t="s">
        <v>80</v>
      </c>
    </row>
    <row r="42" spans="1:15" ht="13.95" customHeight="1" x14ac:dyDescent="0.4">
      <c r="A42" s="245" t="s">
        <v>82</v>
      </c>
      <c r="B42" s="117" t="s">
        <v>79</v>
      </c>
      <c r="C42" s="118"/>
      <c r="D42" s="37">
        <v>33346</v>
      </c>
      <c r="E42" s="38">
        <v>34242.839999999997</v>
      </c>
      <c r="F42" s="38">
        <f t="shared" si="21"/>
        <v>-896.83999999999651</v>
      </c>
      <c r="G42" s="27">
        <f t="shared" si="23"/>
        <v>1.026894979907635</v>
      </c>
      <c r="H42" s="94">
        <v>44995</v>
      </c>
      <c r="I42" s="40"/>
      <c r="J42" s="40">
        <f t="shared" si="25"/>
        <v>44995</v>
      </c>
      <c r="K42" s="30">
        <f t="shared" si="24"/>
        <v>0</v>
      </c>
      <c r="L42" s="95">
        <f t="shared" si="22"/>
        <v>78341</v>
      </c>
      <c r="M42" s="42">
        <f t="shared" si="22"/>
        <v>34242.839999999997</v>
      </c>
      <c r="N42" s="43">
        <f t="shared" si="26"/>
        <v>44098.16</v>
      </c>
      <c r="O42" s="34" t="s">
        <v>83</v>
      </c>
    </row>
    <row r="43" spans="1:15" ht="13.95" customHeight="1" x14ac:dyDescent="0.4">
      <c r="A43" s="245" t="s">
        <v>84</v>
      </c>
      <c r="B43" s="117" t="s">
        <v>11</v>
      </c>
      <c r="C43" s="118"/>
      <c r="D43" s="37">
        <v>0</v>
      </c>
      <c r="E43" s="38">
        <v>8510.3700000000008</v>
      </c>
      <c r="F43" s="38">
        <f t="shared" si="21"/>
        <v>-8510.3700000000008</v>
      </c>
      <c r="G43" s="27">
        <f t="shared" si="23"/>
        <v>0</v>
      </c>
      <c r="H43" s="94">
        <v>0</v>
      </c>
      <c r="I43" s="40">
        <v>0</v>
      </c>
      <c r="J43" s="40">
        <f t="shared" si="25"/>
        <v>0</v>
      </c>
      <c r="K43" s="30">
        <f t="shared" si="24"/>
        <v>0</v>
      </c>
      <c r="L43" s="95">
        <f t="shared" si="22"/>
        <v>0</v>
      </c>
      <c r="M43" s="42">
        <f t="shared" si="22"/>
        <v>8510.3700000000008</v>
      </c>
      <c r="N43" s="43">
        <f t="shared" si="26"/>
        <v>-8510.3700000000008</v>
      </c>
      <c r="O43" s="34"/>
    </row>
    <row r="44" spans="1:15" ht="13.95" customHeight="1" x14ac:dyDescent="0.4">
      <c r="A44" s="244" t="s">
        <v>85</v>
      </c>
      <c r="B44" s="92" t="s">
        <v>86</v>
      </c>
      <c r="C44" s="93"/>
      <c r="D44" s="96">
        <v>199996</v>
      </c>
      <c r="E44" s="97">
        <v>62831.01</v>
      </c>
      <c r="F44" s="97">
        <f t="shared" si="21"/>
        <v>137164.99</v>
      </c>
      <c r="G44" s="27">
        <f t="shared" si="23"/>
        <v>0.31416133322666456</v>
      </c>
      <c r="H44" s="98">
        <v>200004</v>
      </c>
      <c r="I44" s="99">
        <v>0</v>
      </c>
      <c r="J44" s="99">
        <f t="shared" si="25"/>
        <v>200004</v>
      </c>
      <c r="K44" s="30">
        <f t="shared" si="24"/>
        <v>0</v>
      </c>
      <c r="L44" s="114">
        <f>D44+H44</f>
        <v>400000</v>
      </c>
      <c r="M44" s="115">
        <f>E44+I44</f>
        <v>62831.01</v>
      </c>
      <c r="N44" s="43">
        <f t="shared" si="26"/>
        <v>337168.99</v>
      </c>
      <c r="O44" s="34"/>
    </row>
    <row r="45" spans="1:15" ht="13.95" customHeight="1" x14ac:dyDescent="0.4">
      <c r="A45" s="244" t="s">
        <v>87</v>
      </c>
      <c r="B45" s="92" t="s">
        <v>88</v>
      </c>
      <c r="C45" s="93"/>
      <c r="D45" s="96">
        <v>0</v>
      </c>
      <c r="E45" s="97">
        <v>2726.73</v>
      </c>
      <c r="F45" s="97">
        <f t="shared" si="21"/>
        <v>-2726.73</v>
      </c>
      <c r="G45" s="27">
        <f t="shared" si="23"/>
        <v>0</v>
      </c>
      <c r="H45" s="98">
        <v>0</v>
      </c>
      <c r="I45" s="99"/>
      <c r="J45" s="99">
        <f t="shared" si="25"/>
        <v>0</v>
      </c>
      <c r="K45" s="30">
        <f t="shared" si="24"/>
        <v>0</v>
      </c>
      <c r="L45" s="114">
        <f>D45+H45</f>
        <v>0</v>
      </c>
      <c r="M45" s="115">
        <f>E45+I45</f>
        <v>2726.73</v>
      </c>
      <c r="N45" s="43">
        <f t="shared" si="26"/>
        <v>-2726.73</v>
      </c>
      <c r="O45" s="34"/>
    </row>
    <row r="46" spans="1:15" ht="12.45" customHeight="1" thickBot="1" x14ac:dyDescent="0.45">
      <c r="A46" s="23"/>
      <c r="B46" s="119"/>
      <c r="C46" s="120"/>
      <c r="D46" s="103"/>
      <c r="E46" s="104"/>
      <c r="F46" s="104"/>
      <c r="G46" s="105"/>
      <c r="H46" s="106"/>
      <c r="I46" s="107"/>
      <c r="J46" s="107"/>
      <c r="K46" s="108"/>
      <c r="L46" s="109"/>
      <c r="M46" s="110"/>
      <c r="N46" s="111"/>
      <c r="O46" s="34"/>
    </row>
    <row r="47" spans="1:15" ht="15" customHeight="1" x14ac:dyDescent="0.4">
      <c r="A47" s="23"/>
      <c r="B47" s="121" t="s">
        <v>89</v>
      </c>
      <c r="C47" s="122"/>
      <c r="D47" s="84">
        <f>SUM(D48:D49)</f>
        <v>308646</v>
      </c>
      <c r="E47" s="85">
        <f>SUM(E48:E49)</f>
        <v>140604.19</v>
      </c>
      <c r="F47" s="85">
        <f>D47-E47</f>
        <v>168041.81</v>
      </c>
      <c r="G47" s="61">
        <f>E47/D47</f>
        <v>0.45555163520667691</v>
      </c>
      <c r="H47" s="87">
        <f>SUM(H48:H49)</f>
        <v>177487</v>
      </c>
      <c r="I47" s="123">
        <f>SUM(I48:I49)</f>
        <v>0</v>
      </c>
      <c r="J47" s="123">
        <f>H47-I47</f>
        <v>177487</v>
      </c>
      <c r="K47" s="64">
        <f>I47/H47</f>
        <v>0</v>
      </c>
      <c r="L47" s="90">
        <f t="shared" ref="L47:M49" si="27">D47+H47</f>
        <v>486133</v>
      </c>
      <c r="M47" s="124">
        <f t="shared" si="27"/>
        <v>140604.19</v>
      </c>
      <c r="N47" s="113">
        <f>L47-M47</f>
        <v>345528.81</v>
      </c>
      <c r="O47" s="34"/>
    </row>
    <row r="48" spans="1:15" ht="13.95" customHeight="1" x14ac:dyDescent="0.4">
      <c r="A48" s="246" t="s">
        <v>90</v>
      </c>
      <c r="B48" s="92" t="s">
        <v>91</v>
      </c>
      <c r="C48" s="93"/>
      <c r="D48" s="125">
        <v>5156</v>
      </c>
      <c r="E48" s="126">
        <v>1572.51</v>
      </c>
      <c r="F48" s="126">
        <f>D48-E48</f>
        <v>3583.49</v>
      </c>
      <c r="G48" s="27">
        <f t="shared" ref="G48" si="28">IFERROR(E48/D48,0)</f>
        <v>0.30498642358417377</v>
      </c>
      <c r="H48" s="127">
        <v>2400</v>
      </c>
      <c r="I48" s="128">
        <v>0</v>
      </c>
      <c r="J48" s="128">
        <f>H48-I48</f>
        <v>2400</v>
      </c>
      <c r="K48" s="30">
        <f t="shared" ref="K48" si="29">IFERROR(I48/H48,0)</f>
        <v>0</v>
      </c>
      <c r="L48" s="129">
        <f t="shared" ref="L48" si="30">D48+H48</f>
        <v>7556</v>
      </c>
      <c r="M48" s="130">
        <f t="shared" ref="M48" si="31">E48+I48</f>
        <v>1572.51</v>
      </c>
      <c r="N48" s="33">
        <f t="shared" ref="N48" si="32">L48-M48</f>
        <v>5983.49</v>
      </c>
      <c r="O48" s="132" t="s">
        <v>92</v>
      </c>
    </row>
    <row r="49" spans="1:15" ht="13.95" customHeight="1" x14ac:dyDescent="0.4">
      <c r="A49" s="246" t="s">
        <v>93</v>
      </c>
      <c r="B49" s="92" t="s">
        <v>94</v>
      </c>
      <c r="C49" s="93"/>
      <c r="D49" s="125">
        <v>303490</v>
      </c>
      <c r="E49" s="126">
        <v>139031.67999999999</v>
      </c>
      <c r="F49" s="126">
        <f>D49-E49</f>
        <v>164458.32</v>
      </c>
      <c r="G49" s="27">
        <f t="shared" ref="G49" si="33">IFERROR(E49/D49,0)</f>
        <v>0.45810959174931626</v>
      </c>
      <c r="H49" s="127">
        <v>175087</v>
      </c>
      <c r="I49" s="128">
        <v>0</v>
      </c>
      <c r="J49" s="128">
        <f>H49-I49</f>
        <v>175087</v>
      </c>
      <c r="K49" s="30">
        <f t="shared" ref="K49" si="34">IFERROR(I49/H49,0)</f>
        <v>0</v>
      </c>
      <c r="L49" s="129">
        <f t="shared" si="27"/>
        <v>478577</v>
      </c>
      <c r="M49" s="130">
        <f t="shared" si="27"/>
        <v>139031.67999999999</v>
      </c>
      <c r="N49" s="33">
        <f t="shared" ref="N49" si="35">L49-M49</f>
        <v>339545.32</v>
      </c>
      <c r="O49" s="34" t="s">
        <v>95</v>
      </c>
    </row>
    <row r="50" spans="1:15" ht="12.45" customHeight="1" thickBot="1" x14ac:dyDescent="0.45">
      <c r="A50" s="133"/>
      <c r="B50" s="134"/>
      <c r="C50" s="135"/>
      <c r="D50" s="103"/>
      <c r="E50" s="104"/>
      <c r="F50" s="104"/>
      <c r="G50" s="105"/>
      <c r="H50" s="106"/>
      <c r="I50" s="107"/>
      <c r="J50" s="107"/>
      <c r="K50" s="108"/>
      <c r="L50" s="109"/>
      <c r="M50" s="110"/>
      <c r="N50" s="111"/>
      <c r="O50" s="136"/>
    </row>
    <row r="51" spans="1:15" ht="16.3" thickBot="1" x14ac:dyDescent="0.5">
      <c r="A51" s="137"/>
      <c r="B51" s="138" t="s">
        <v>96</v>
      </c>
      <c r="C51" s="139"/>
      <c r="D51" s="140">
        <f>(D19+D29+D39+D47)</f>
        <v>1592223</v>
      </c>
      <c r="E51" s="141">
        <f>(E19+E29+E39+E47)</f>
        <v>1153196.5999999999</v>
      </c>
      <c r="F51" s="141">
        <f>D51-E51</f>
        <v>439026.40000000014</v>
      </c>
      <c r="G51" s="142">
        <f>E51/D51</f>
        <v>0.72426827146699924</v>
      </c>
      <c r="H51" s="143">
        <f>(H19+H29+H39+H47)</f>
        <v>1854291</v>
      </c>
      <c r="I51" s="144">
        <f>I19+I29+I39+I47</f>
        <v>0</v>
      </c>
      <c r="J51" s="144">
        <f>H51-I51</f>
        <v>1854291</v>
      </c>
      <c r="K51" s="145">
        <f>I51/H51</f>
        <v>0</v>
      </c>
      <c r="L51" s="146">
        <f>L19+L29+L39+L47</f>
        <v>3446514</v>
      </c>
      <c r="M51" s="147">
        <f>M19+M29+M39+M47</f>
        <v>1153196.5999999999</v>
      </c>
      <c r="N51" s="148">
        <f>L51-M51</f>
        <v>2293317.4000000004</v>
      </c>
      <c r="O51" s="34"/>
    </row>
    <row r="52" spans="1:15" ht="17.149999999999999" customHeight="1" thickBot="1" x14ac:dyDescent="0.45">
      <c r="A52" s="149"/>
      <c r="B52" s="150"/>
      <c r="C52" s="150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34"/>
    </row>
    <row r="53" spans="1:15" ht="18.899999999999999" thickBot="1" x14ac:dyDescent="0.55000000000000004">
      <c r="A53" s="149"/>
      <c r="B53" s="363" t="s">
        <v>97</v>
      </c>
      <c r="C53" s="364"/>
      <c r="D53" s="364"/>
      <c r="E53" s="364"/>
      <c r="F53" s="364"/>
      <c r="G53" s="364"/>
      <c r="H53" s="364"/>
      <c r="I53" s="364"/>
      <c r="J53" s="364"/>
      <c r="K53" s="364"/>
      <c r="L53" s="364"/>
      <c r="M53" s="364"/>
      <c r="N53" s="365"/>
      <c r="O53" s="34"/>
    </row>
    <row r="54" spans="1:15" s="2" customFormat="1" ht="16.3" thickBot="1" x14ac:dyDescent="0.5">
      <c r="A54" s="149"/>
      <c r="B54" s="381" t="s">
        <v>26</v>
      </c>
      <c r="C54" s="382"/>
      <c r="D54" s="383"/>
      <c r="E54" s="383"/>
      <c r="F54" s="383"/>
      <c r="G54" s="383"/>
      <c r="H54" s="383"/>
      <c r="I54" s="383"/>
      <c r="J54" s="383"/>
      <c r="K54" s="383"/>
      <c r="L54" s="383"/>
      <c r="M54" s="383"/>
      <c r="N54" s="384"/>
      <c r="O54" s="100"/>
    </row>
    <row r="55" spans="1:15" ht="12.45" customHeight="1" x14ac:dyDescent="0.4">
      <c r="A55" s="23"/>
      <c r="B55" s="82" t="s">
        <v>98</v>
      </c>
      <c r="C55" s="83"/>
      <c r="D55" s="84">
        <f>SUM(D56:D66)</f>
        <v>11422800</v>
      </c>
      <c r="E55" s="85">
        <f>SUM(E56:E67)</f>
        <v>9598243.7400000002</v>
      </c>
      <c r="F55" s="85">
        <f t="shared" ref="F55:F66" si="36">D55-E55</f>
        <v>1824556.2599999998</v>
      </c>
      <c r="G55" s="86">
        <f>E55/D55</f>
        <v>0.84027066393528738</v>
      </c>
      <c r="H55" s="87">
        <f>SUM(H56:H66)</f>
        <v>25427</v>
      </c>
      <c r="I55" s="88">
        <f>SUM(I56:I66)</f>
        <v>0</v>
      </c>
      <c r="J55" s="88">
        <f>H55-I55</f>
        <v>25427</v>
      </c>
      <c r="K55" s="89">
        <f>I55/H55</f>
        <v>0</v>
      </c>
      <c r="L55" s="90">
        <f t="shared" ref="L55:M66" si="37">D55+H55</f>
        <v>11448227</v>
      </c>
      <c r="M55" s="91">
        <f t="shared" si="37"/>
        <v>9598243.7400000002</v>
      </c>
      <c r="N55" s="113">
        <f>L55-M55</f>
        <v>1849983.2599999998</v>
      </c>
      <c r="O55" s="132"/>
    </row>
    <row r="56" spans="1:15" ht="13.2" customHeight="1" x14ac:dyDescent="0.4">
      <c r="A56" s="23" t="s">
        <v>99</v>
      </c>
      <c r="B56" s="92" t="s">
        <v>100</v>
      </c>
      <c r="C56" s="93"/>
      <c r="D56" s="37">
        <v>1476000</v>
      </c>
      <c r="E56" s="38">
        <v>1406884.05</v>
      </c>
      <c r="F56" s="38">
        <f t="shared" si="36"/>
        <v>69115.949999999953</v>
      </c>
      <c r="G56" s="27">
        <f t="shared" ref="G56:G66" si="38">IFERROR(E56/D56,0)</f>
        <v>0.95317347560975618</v>
      </c>
      <c r="H56" s="94">
        <v>0</v>
      </c>
      <c r="I56" s="40">
        <v>0</v>
      </c>
      <c r="J56" s="40">
        <f>H56-I56</f>
        <v>0</v>
      </c>
      <c r="K56" s="30">
        <f t="shared" ref="K56:K66" si="39">IFERROR(I56/H56,0)</f>
        <v>0</v>
      </c>
      <c r="L56" s="95">
        <f t="shared" si="37"/>
        <v>1476000</v>
      </c>
      <c r="M56" s="42">
        <f t="shared" si="37"/>
        <v>1406884.05</v>
      </c>
      <c r="N56" s="43">
        <f>L56-M56</f>
        <v>69115.949999999953</v>
      </c>
      <c r="O56" s="34"/>
    </row>
    <row r="57" spans="1:15" ht="13.2" customHeight="1" x14ac:dyDescent="0.4">
      <c r="A57" s="131" t="s">
        <v>101</v>
      </c>
      <c r="B57" s="152" t="s">
        <v>102</v>
      </c>
      <c r="C57" s="153"/>
      <c r="D57" s="37">
        <v>19200</v>
      </c>
      <c r="E57" s="38">
        <v>11276.82</v>
      </c>
      <c r="F57" s="38">
        <f t="shared" si="36"/>
        <v>7923.18</v>
      </c>
      <c r="G57" s="27">
        <f t="shared" si="38"/>
        <v>0.58733437499999996</v>
      </c>
      <c r="H57" s="94">
        <v>0</v>
      </c>
      <c r="I57" s="40">
        <v>0</v>
      </c>
      <c r="J57" s="40">
        <f t="shared" ref="J57:J66" si="40">H57-I57</f>
        <v>0</v>
      </c>
      <c r="K57" s="30">
        <f t="shared" si="39"/>
        <v>0</v>
      </c>
      <c r="L57" s="95">
        <f t="shared" si="37"/>
        <v>19200</v>
      </c>
      <c r="M57" s="42">
        <f t="shared" si="37"/>
        <v>11276.82</v>
      </c>
      <c r="N57" s="43">
        <f t="shared" ref="N57:N66" si="41">L57-M57</f>
        <v>7923.18</v>
      </c>
      <c r="O57" s="34"/>
    </row>
    <row r="58" spans="1:15" ht="13.2" customHeight="1" x14ac:dyDescent="0.4">
      <c r="A58" s="23" t="s">
        <v>13</v>
      </c>
      <c r="B58" s="92" t="s">
        <v>103</v>
      </c>
      <c r="C58" s="93"/>
      <c r="D58" s="96">
        <v>780000</v>
      </c>
      <c r="E58" s="97">
        <v>764614.81</v>
      </c>
      <c r="F58" s="97">
        <f t="shared" si="36"/>
        <v>15385.189999999944</v>
      </c>
      <c r="G58" s="27">
        <f t="shared" si="38"/>
        <v>0.98027539743589753</v>
      </c>
      <c r="H58" s="94">
        <v>0</v>
      </c>
      <c r="I58" s="99">
        <v>0</v>
      </c>
      <c r="J58" s="99">
        <f t="shared" si="40"/>
        <v>0</v>
      </c>
      <c r="K58" s="30">
        <f t="shared" si="39"/>
        <v>0</v>
      </c>
      <c r="L58" s="95">
        <f t="shared" si="37"/>
        <v>780000</v>
      </c>
      <c r="M58" s="42">
        <f t="shared" si="37"/>
        <v>764614.81</v>
      </c>
      <c r="N58" s="43">
        <f t="shared" si="41"/>
        <v>15385.189999999944</v>
      </c>
      <c r="O58" s="34"/>
    </row>
    <row r="59" spans="1:15" ht="13.2" customHeight="1" x14ac:dyDescent="0.4">
      <c r="A59" s="116" t="s">
        <v>14</v>
      </c>
      <c r="B59" s="92" t="s">
        <v>104</v>
      </c>
      <c r="C59" s="93"/>
      <c r="D59" s="37">
        <v>696000</v>
      </c>
      <c r="E59" s="38">
        <v>454097.95</v>
      </c>
      <c r="F59" s="38">
        <f t="shared" si="36"/>
        <v>241902.05</v>
      </c>
      <c r="G59" s="27">
        <f t="shared" si="38"/>
        <v>0.6524395833333333</v>
      </c>
      <c r="H59" s="94">
        <v>0</v>
      </c>
      <c r="I59" s="40">
        <v>0</v>
      </c>
      <c r="J59" s="40">
        <f t="shared" si="40"/>
        <v>0</v>
      </c>
      <c r="K59" s="30">
        <f t="shared" si="39"/>
        <v>0</v>
      </c>
      <c r="L59" s="95">
        <f t="shared" si="37"/>
        <v>696000</v>
      </c>
      <c r="M59" s="42">
        <f t="shared" si="37"/>
        <v>454097.95</v>
      </c>
      <c r="N59" s="43">
        <f t="shared" si="41"/>
        <v>241902.05</v>
      </c>
      <c r="O59" s="34"/>
    </row>
    <row r="60" spans="1:15" ht="13.2" customHeight="1" x14ac:dyDescent="0.4">
      <c r="A60" s="116" t="s">
        <v>105</v>
      </c>
      <c r="B60" s="92" t="s">
        <v>106</v>
      </c>
      <c r="C60" s="93"/>
      <c r="D60" s="37">
        <v>0</v>
      </c>
      <c r="E60" s="38">
        <v>0</v>
      </c>
      <c r="F60" s="38">
        <f t="shared" si="36"/>
        <v>0</v>
      </c>
      <c r="G60" s="27">
        <f t="shared" si="38"/>
        <v>0</v>
      </c>
      <c r="H60" s="94">
        <v>0</v>
      </c>
      <c r="I60" s="40">
        <v>0</v>
      </c>
      <c r="J60" s="40">
        <f t="shared" si="40"/>
        <v>0</v>
      </c>
      <c r="K60" s="30">
        <f t="shared" si="39"/>
        <v>0</v>
      </c>
      <c r="L60" s="95">
        <f t="shared" si="37"/>
        <v>0</v>
      </c>
      <c r="M60" s="42">
        <f t="shared" si="37"/>
        <v>0</v>
      </c>
      <c r="N60" s="43">
        <f t="shared" si="41"/>
        <v>0</v>
      </c>
      <c r="O60" s="34"/>
    </row>
    <row r="61" spans="1:15" ht="13.2" customHeight="1" x14ac:dyDescent="0.4">
      <c r="A61" s="23" t="s">
        <v>15</v>
      </c>
      <c r="B61" s="92" t="s">
        <v>107</v>
      </c>
      <c r="C61" s="93"/>
      <c r="D61" s="37">
        <v>25200</v>
      </c>
      <c r="E61" s="38">
        <v>16246.33</v>
      </c>
      <c r="F61" s="38">
        <f t="shared" si="36"/>
        <v>8953.67</v>
      </c>
      <c r="G61" s="27">
        <f t="shared" si="38"/>
        <v>0.64469563492063486</v>
      </c>
      <c r="H61" s="94">
        <v>0</v>
      </c>
      <c r="I61" s="40">
        <v>0</v>
      </c>
      <c r="J61" s="40">
        <f t="shared" si="40"/>
        <v>0</v>
      </c>
      <c r="K61" s="30">
        <f t="shared" si="39"/>
        <v>0</v>
      </c>
      <c r="L61" s="95">
        <f t="shared" si="37"/>
        <v>25200</v>
      </c>
      <c r="M61" s="42">
        <f t="shared" si="37"/>
        <v>16246.33</v>
      </c>
      <c r="N61" s="43">
        <f t="shared" si="41"/>
        <v>8953.67</v>
      </c>
      <c r="O61" s="34"/>
    </row>
    <row r="62" spans="1:15" ht="13.2" customHeight="1" x14ac:dyDescent="0.4">
      <c r="A62" s="244" t="s">
        <v>108</v>
      </c>
      <c r="B62" s="152" t="s">
        <v>109</v>
      </c>
      <c r="C62" s="153"/>
      <c r="D62" s="37">
        <v>14400</v>
      </c>
      <c r="E62" s="38">
        <v>19255.919999999998</v>
      </c>
      <c r="F62" s="38">
        <f t="shared" si="36"/>
        <v>-4855.9199999999983</v>
      </c>
      <c r="G62" s="27">
        <f t="shared" si="38"/>
        <v>1.3372166666666665</v>
      </c>
      <c r="H62" s="94">
        <v>25427</v>
      </c>
      <c r="I62" s="40">
        <v>0</v>
      </c>
      <c r="J62" s="40">
        <f t="shared" si="40"/>
        <v>25427</v>
      </c>
      <c r="K62" s="30">
        <f t="shared" si="39"/>
        <v>0</v>
      </c>
      <c r="L62" s="95">
        <f t="shared" si="37"/>
        <v>39827</v>
      </c>
      <c r="M62" s="42">
        <f t="shared" si="37"/>
        <v>19255.919999999998</v>
      </c>
      <c r="N62" s="43">
        <f t="shared" si="41"/>
        <v>20571.080000000002</v>
      </c>
      <c r="O62" s="34"/>
    </row>
    <row r="63" spans="1:15" ht="13.2" customHeight="1" x14ac:dyDescent="0.4">
      <c r="A63" s="23" t="s">
        <v>16</v>
      </c>
      <c r="B63" s="152" t="s">
        <v>17</v>
      </c>
      <c r="C63" s="153"/>
      <c r="D63" s="37">
        <v>900000</v>
      </c>
      <c r="E63" s="38">
        <v>639652.17000000004</v>
      </c>
      <c r="F63" s="38">
        <f t="shared" si="36"/>
        <v>260347.82999999996</v>
      </c>
      <c r="G63" s="27">
        <f t="shared" si="38"/>
        <v>0.71072463333333336</v>
      </c>
      <c r="H63" s="94">
        <v>0</v>
      </c>
      <c r="I63" s="40">
        <v>0</v>
      </c>
      <c r="J63" s="40">
        <f t="shared" si="40"/>
        <v>0</v>
      </c>
      <c r="K63" s="30">
        <f t="shared" si="39"/>
        <v>0</v>
      </c>
      <c r="L63" s="95">
        <f t="shared" si="37"/>
        <v>900000</v>
      </c>
      <c r="M63" s="42">
        <f t="shared" si="37"/>
        <v>639652.17000000004</v>
      </c>
      <c r="N63" s="43">
        <f t="shared" si="41"/>
        <v>260347.82999999996</v>
      </c>
      <c r="O63" s="34"/>
    </row>
    <row r="64" spans="1:15" s="3" customFormat="1" ht="13.2" customHeight="1" x14ac:dyDescent="0.4">
      <c r="A64" s="23" t="s">
        <v>19</v>
      </c>
      <c r="B64" s="92" t="s">
        <v>20</v>
      </c>
      <c r="C64" s="93"/>
      <c r="D64" s="37">
        <v>1392000</v>
      </c>
      <c r="E64" s="38">
        <v>875056.98</v>
      </c>
      <c r="F64" s="38">
        <f t="shared" si="36"/>
        <v>516943.02</v>
      </c>
      <c r="G64" s="27">
        <f t="shared" si="38"/>
        <v>0.62863288793103445</v>
      </c>
      <c r="H64" s="94">
        <v>0</v>
      </c>
      <c r="I64" s="40"/>
      <c r="J64" s="40">
        <f t="shared" si="40"/>
        <v>0</v>
      </c>
      <c r="K64" s="30">
        <f t="shared" si="39"/>
        <v>0</v>
      </c>
      <c r="L64" s="95">
        <f t="shared" si="37"/>
        <v>1392000</v>
      </c>
      <c r="M64" s="42">
        <f t="shared" si="37"/>
        <v>875056.98</v>
      </c>
      <c r="N64" s="43">
        <f t="shared" si="41"/>
        <v>516943.02</v>
      </c>
      <c r="O64" s="34"/>
    </row>
    <row r="65" spans="1:15" s="3" customFormat="1" ht="13.2" customHeight="1" x14ac:dyDescent="0.4">
      <c r="A65" s="23" t="s">
        <v>21</v>
      </c>
      <c r="B65" s="92" t="s">
        <v>22</v>
      </c>
      <c r="C65" s="93"/>
      <c r="D65" s="37">
        <v>1800000</v>
      </c>
      <c r="E65" s="38">
        <v>1882079.32</v>
      </c>
      <c r="F65" s="38">
        <f t="shared" si="36"/>
        <v>-82079.320000000065</v>
      </c>
      <c r="G65" s="27">
        <f t="shared" si="38"/>
        <v>1.0455996222222224</v>
      </c>
      <c r="H65" s="94">
        <v>0</v>
      </c>
      <c r="I65" s="40">
        <v>0</v>
      </c>
      <c r="J65" s="40">
        <f t="shared" si="40"/>
        <v>0</v>
      </c>
      <c r="K65" s="30">
        <f t="shared" si="39"/>
        <v>0</v>
      </c>
      <c r="L65" s="95">
        <f t="shared" si="37"/>
        <v>1800000</v>
      </c>
      <c r="M65" s="42">
        <f t="shared" si="37"/>
        <v>1882079.32</v>
      </c>
      <c r="N65" s="43">
        <f t="shared" si="41"/>
        <v>-82079.320000000065</v>
      </c>
      <c r="O65" s="34"/>
    </row>
    <row r="66" spans="1:15" s="3" customFormat="1" ht="13.2" customHeight="1" x14ac:dyDescent="0.4">
      <c r="A66" s="23" t="s">
        <v>23</v>
      </c>
      <c r="B66" s="92" t="s">
        <v>110</v>
      </c>
      <c r="C66" s="93"/>
      <c r="D66" s="37">
        <v>4320000</v>
      </c>
      <c r="E66" s="38">
        <v>3529079.39</v>
      </c>
      <c r="F66" s="38">
        <f t="shared" si="36"/>
        <v>790920.60999999987</v>
      </c>
      <c r="G66" s="27">
        <f t="shared" si="38"/>
        <v>0.81691652546296301</v>
      </c>
      <c r="H66" s="94">
        <v>0</v>
      </c>
      <c r="I66" s="40">
        <v>0</v>
      </c>
      <c r="J66" s="40">
        <f t="shared" si="40"/>
        <v>0</v>
      </c>
      <c r="K66" s="30">
        <f t="shared" si="39"/>
        <v>0</v>
      </c>
      <c r="L66" s="95">
        <f t="shared" si="37"/>
        <v>4320000</v>
      </c>
      <c r="M66" s="42">
        <f t="shared" si="37"/>
        <v>3529079.39</v>
      </c>
      <c r="N66" s="43">
        <f t="shared" si="41"/>
        <v>790920.60999999987</v>
      </c>
      <c r="O66" s="34"/>
    </row>
    <row r="67" spans="1:15" s="3" customFormat="1" ht="12.45" customHeight="1" thickBot="1" x14ac:dyDescent="0.45">
      <c r="A67" s="23"/>
      <c r="B67" s="92"/>
      <c r="C67" s="154"/>
      <c r="D67" s="103"/>
      <c r="E67" s="104"/>
      <c r="F67" s="104"/>
      <c r="G67" s="105"/>
      <c r="H67" s="106"/>
      <c r="I67" s="107"/>
      <c r="J67" s="107"/>
      <c r="K67" s="108"/>
      <c r="L67" s="109"/>
      <c r="M67" s="110"/>
      <c r="N67" s="111"/>
      <c r="O67" s="136"/>
    </row>
    <row r="68" spans="1:15" s="3" customFormat="1" ht="15" customHeight="1" x14ac:dyDescent="0.4">
      <c r="A68" s="23"/>
      <c r="B68" s="112" t="s">
        <v>111</v>
      </c>
      <c r="C68" s="83"/>
      <c r="D68" s="84">
        <f t="shared" ref="D68:I68" si="42">SUM(D69:D70)</f>
        <v>440000</v>
      </c>
      <c r="E68" s="85">
        <f t="shared" si="42"/>
        <v>302822.42000000004</v>
      </c>
      <c r="F68" s="85">
        <f t="shared" si="42"/>
        <v>137177.57999999999</v>
      </c>
      <c r="G68" s="86">
        <f>E68/D68</f>
        <v>0.68823277272727279</v>
      </c>
      <c r="H68" s="87">
        <f t="shared" si="42"/>
        <v>440000</v>
      </c>
      <c r="I68" s="88">
        <f t="shared" si="42"/>
        <v>0</v>
      </c>
      <c r="J68" s="88">
        <f>SUM(J69:J70)</f>
        <v>327462.51</v>
      </c>
      <c r="K68" s="64">
        <f>I68/H68</f>
        <v>0</v>
      </c>
      <c r="L68" s="90">
        <f t="shared" ref="L68:M70" si="43">D68+H68</f>
        <v>880000</v>
      </c>
      <c r="M68" s="91">
        <f t="shared" si="43"/>
        <v>302822.42000000004</v>
      </c>
      <c r="N68" s="113">
        <f>L68-M68</f>
        <v>577177.57999999996</v>
      </c>
      <c r="O68" s="34"/>
    </row>
    <row r="69" spans="1:15" s="3" customFormat="1" ht="13.2" customHeight="1" x14ac:dyDescent="0.4">
      <c r="A69" s="244" t="s">
        <v>112</v>
      </c>
      <c r="B69" s="92" t="s">
        <v>24</v>
      </c>
      <c r="C69" s="93"/>
      <c r="D69" s="37">
        <v>100000</v>
      </c>
      <c r="E69" s="38">
        <f>68762.69+6597.22</f>
        <v>75359.91</v>
      </c>
      <c r="F69" s="38">
        <f>D69-E69</f>
        <v>24640.089999999997</v>
      </c>
      <c r="G69" s="27">
        <f t="shared" ref="G69:G70" si="44">IFERROR(E69/D69,0)</f>
        <v>0.75359910000000008</v>
      </c>
      <c r="H69" s="94">
        <v>100000</v>
      </c>
      <c r="I69" s="40">
        <v>0</v>
      </c>
      <c r="J69" s="40">
        <f>H69-I69</f>
        <v>100000</v>
      </c>
      <c r="K69" s="30">
        <f t="shared" ref="K69:K70" si="45">IFERROR(I69/H69,0)</f>
        <v>0</v>
      </c>
      <c r="L69" s="95">
        <f t="shared" si="43"/>
        <v>200000</v>
      </c>
      <c r="M69" s="42">
        <f t="shared" si="43"/>
        <v>75359.91</v>
      </c>
      <c r="N69" s="43">
        <f>L69-M69</f>
        <v>124640.09</v>
      </c>
      <c r="O69" s="34"/>
    </row>
    <row r="70" spans="1:15" s="3" customFormat="1" ht="13.2" customHeight="1" x14ac:dyDescent="0.4">
      <c r="A70" s="244" t="s">
        <v>112</v>
      </c>
      <c r="B70" s="92" t="s">
        <v>113</v>
      </c>
      <c r="C70" s="93"/>
      <c r="D70" s="37">
        <v>340000</v>
      </c>
      <c r="E70" s="38">
        <v>227462.51</v>
      </c>
      <c r="F70" s="38">
        <f>D70-E70</f>
        <v>112537.48999999999</v>
      </c>
      <c r="G70" s="27">
        <f t="shared" si="44"/>
        <v>0.66900738235294122</v>
      </c>
      <c r="H70" s="94">
        <v>340000</v>
      </c>
      <c r="I70" s="40">
        <v>0</v>
      </c>
      <c r="J70" s="40">
        <f>D70-F70</f>
        <v>227462.51</v>
      </c>
      <c r="K70" s="30">
        <f t="shared" si="45"/>
        <v>0</v>
      </c>
      <c r="L70" s="95">
        <f t="shared" si="43"/>
        <v>680000</v>
      </c>
      <c r="M70" s="42">
        <f t="shared" si="43"/>
        <v>227462.51</v>
      </c>
      <c r="N70" s="43">
        <f>L70-M70</f>
        <v>452537.49</v>
      </c>
      <c r="O70" s="34"/>
    </row>
    <row r="71" spans="1:15" s="3" customFormat="1" ht="12.45" customHeight="1" thickBot="1" x14ac:dyDescent="0.45">
      <c r="A71" s="244"/>
      <c r="B71" s="92"/>
      <c r="C71" s="154"/>
      <c r="D71" s="103"/>
      <c r="E71" s="104"/>
      <c r="F71" s="104"/>
      <c r="G71" s="105"/>
      <c r="H71" s="106"/>
      <c r="I71" s="107"/>
      <c r="J71" s="107"/>
      <c r="K71" s="108"/>
      <c r="L71" s="109"/>
      <c r="M71" s="110"/>
      <c r="N71" s="111"/>
      <c r="O71" s="34"/>
    </row>
    <row r="72" spans="1:15" s="3" customFormat="1" ht="15" customHeight="1" x14ac:dyDescent="0.4">
      <c r="A72" s="23"/>
      <c r="B72" s="112" t="s">
        <v>114</v>
      </c>
      <c r="C72" s="83"/>
      <c r="D72" s="84">
        <f>SUM(D73+D74)</f>
        <v>750</v>
      </c>
      <c r="E72" s="85">
        <f>SUM(E73+E74)</f>
        <v>750</v>
      </c>
      <c r="F72" s="85">
        <f>SUM(F73+F74)</f>
        <v>0</v>
      </c>
      <c r="G72" s="86">
        <v>0</v>
      </c>
      <c r="H72" s="87">
        <f t="shared" ref="H72" si="46">SUM(H73+H74)</f>
        <v>0</v>
      </c>
      <c r="I72" s="88">
        <f>SUM(I73+I74)</f>
        <v>0</v>
      </c>
      <c r="J72" s="88">
        <f>SUM(J73+J74)</f>
        <v>0</v>
      </c>
      <c r="K72" s="64">
        <v>0</v>
      </c>
      <c r="L72" s="90">
        <f t="shared" ref="L72:M74" si="47">D72+H72</f>
        <v>750</v>
      </c>
      <c r="M72" s="91">
        <f t="shared" si="47"/>
        <v>750</v>
      </c>
      <c r="N72" s="113">
        <f>L72-M72</f>
        <v>0</v>
      </c>
      <c r="O72" s="136"/>
    </row>
    <row r="73" spans="1:15" s="3" customFormat="1" ht="13.2" customHeight="1" x14ac:dyDescent="0.4">
      <c r="A73" s="23" t="s">
        <v>115</v>
      </c>
      <c r="B73" s="92" t="s">
        <v>74</v>
      </c>
      <c r="C73" s="93"/>
      <c r="D73" s="37">
        <v>750</v>
      </c>
      <c r="E73" s="38">
        <v>750</v>
      </c>
      <c r="F73" s="38">
        <f>D73-E73</f>
        <v>0</v>
      </c>
      <c r="G73" s="27">
        <f t="shared" ref="G73:G74" si="48">IFERROR(E73/D73,0)</f>
        <v>1</v>
      </c>
      <c r="H73" s="94">
        <v>0</v>
      </c>
      <c r="I73" s="40">
        <v>0</v>
      </c>
      <c r="J73" s="40">
        <f>H73-I73</f>
        <v>0</v>
      </c>
      <c r="K73" s="30">
        <f t="shared" ref="K73:K74" si="49">IFERROR(I73/H73,0)</f>
        <v>0</v>
      </c>
      <c r="L73" s="95">
        <f t="shared" si="47"/>
        <v>750</v>
      </c>
      <c r="M73" s="42">
        <f t="shared" si="47"/>
        <v>750</v>
      </c>
      <c r="N73" s="43">
        <f>L73-M73</f>
        <v>0</v>
      </c>
      <c r="O73" s="34"/>
    </row>
    <row r="74" spans="1:15" s="3" customFormat="1" ht="13.2" customHeight="1" x14ac:dyDescent="0.4">
      <c r="A74" s="23" t="s">
        <v>115</v>
      </c>
      <c r="B74" s="92" t="s">
        <v>71</v>
      </c>
      <c r="C74" s="93"/>
      <c r="D74" s="37">
        <v>0</v>
      </c>
      <c r="E74" s="38">
        <v>0</v>
      </c>
      <c r="F74" s="38">
        <f>D74-E74</f>
        <v>0</v>
      </c>
      <c r="G74" s="27">
        <f t="shared" si="48"/>
        <v>0</v>
      </c>
      <c r="H74" s="94">
        <v>0</v>
      </c>
      <c r="I74" s="40">
        <v>0</v>
      </c>
      <c r="J74" s="40">
        <f>H74-I74</f>
        <v>0</v>
      </c>
      <c r="K74" s="30">
        <f t="shared" si="49"/>
        <v>0</v>
      </c>
      <c r="L74" s="95">
        <f t="shared" si="47"/>
        <v>0</v>
      </c>
      <c r="M74" s="42">
        <f t="shared" si="47"/>
        <v>0</v>
      </c>
      <c r="N74" s="43">
        <f>L74-M74</f>
        <v>0</v>
      </c>
      <c r="O74" s="34"/>
    </row>
    <row r="75" spans="1:15" s="3" customFormat="1" ht="12.45" customHeight="1" thickBot="1" x14ac:dyDescent="0.45">
      <c r="A75" s="155"/>
      <c r="B75" s="92"/>
      <c r="C75" s="154"/>
      <c r="D75" s="103"/>
      <c r="E75" s="104"/>
      <c r="F75" s="104"/>
      <c r="G75" s="105"/>
      <c r="H75" s="106"/>
      <c r="I75" s="107"/>
      <c r="J75" s="107"/>
      <c r="K75" s="108"/>
      <c r="L75" s="109"/>
      <c r="M75" s="110"/>
      <c r="N75" s="111"/>
      <c r="O75" s="34"/>
    </row>
    <row r="76" spans="1:15" s="3" customFormat="1" ht="15" customHeight="1" x14ac:dyDescent="0.4">
      <c r="A76" s="23"/>
      <c r="B76" s="121" t="s">
        <v>116</v>
      </c>
      <c r="C76" s="122"/>
      <c r="D76" s="84">
        <f t="shared" ref="D76:I76" si="50">D77</f>
        <v>50000</v>
      </c>
      <c r="E76" s="85">
        <f>E77</f>
        <v>0</v>
      </c>
      <c r="F76" s="85">
        <f>D76-E76</f>
        <v>50000</v>
      </c>
      <c r="G76" s="86">
        <f>E76/D76</f>
        <v>0</v>
      </c>
      <c r="H76" s="87">
        <f t="shared" si="50"/>
        <v>0</v>
      </c>
      <c r="I76" s="88">
        <f t="shared" si="50"/>
        <v>0</v>
      </c>
      <c r="J76" s="88">
        <f>H76-I76</f>
        <v>0</v>
      </c>
      <c r="K76" s="64">
        <v>0</v>
      </c>
      <c r="L76" s="90">
        <f>D76+H76</f>
        <v>50000</v>
      </c>
      <c r="M76" s="91">
        <f>E76+I76</f>
        <v>0</v>
      </c>
      <c r="N76" s="113">
        <f>L76-M76</f>
        <v>50000</v>
      </c>
      <c r="O76" s="34"/>
    </row>
    <row r="77" spans="1:15" s="3" customFormat="1" ht="13.2" customHeight="1" x14ac:dyDescent="0.4">
      <c r="A77" s="244" t="s">
        <v>117</v>
      </c>
      <c r="B77" s="92" t="s">
        <v>118</v>
      </c>
      <c r="C77" s="93"/>
      <c r="D77" s="37">
        <v>50000</v>
      </c>
      <c r="E77" s="38">
        <v>0</v>
      </c>
      <c r="F77" s="38">
        <f>D77-E77</f>
        <v>50000</v>
      </c>
      <c r="G77" s="27">
        <f t="shared" ref="G77" si="51">IFERROR(E77/D77,0)</f>
        <v>0</v>
      </c>
      <c r="H77" s="94">
        <v>0</v>
      </c>
      <c r="I77" s="40">
        <v>0</v>
      </c>
      <c r="J77" s="40">
        <f>H77-I77</f>
        <v>0</v>
      </c>
      <c r="K77" s="30">
        <f t="shared" ref="K77" si="52">IFERROR(I77/H77,0)</f>
        <v>0</v>
      </c>
      <c r="L77" s="95">
        <f>D77+H77</f>
        <v>50000</v>
      </c>
      <c r="M77" s="42">
        <f>E77+I77</f>
        <v>0</v>
      </c>
      <c r="N77" s="43">
        <f>L77-M77</f>
        <v>50000</v>
      </c>
      <c r="O77" s="34"/>
    </row>
    <row r="78" spans="1:15" s="3" customFormat="1" ht="12.45" customHeight="1" thickBot="1" x14ac:dyDescent="0.45">
      <c r="A78" s="155"/>
      <c r="B78" s="101"/>
      <c r="C78" s="102"/>
      <c r="D78" s="103"/>
      <c r="E78" s="104"/>
      <c r="F78" s="104"/>
      <c r="G78" s="105"/>
      <c r="H78" s="106"/>
      <c r="I78" s="107"/>
      <c r="J78" s="107"/>
      <c r="K78" s="108"/>
      <c r="L78" s="109"/>
      <c r="M78" s="110"/>
      <c r="N78" s="111"/>
      <c r="O78" s="34"/>
    </row>
    <row r="79" spans="1:15" s="3" customFormat="1" ht="15" customHeight="1" x14ac:dyDescent="0.4">
      <c r="A79" s="23"/>
      <c r="B79" s="112" t="s">
        <v>119</v>
      </c>
      <c r="C79" s="83"/>
      <c r="D79" s="84">
        <f t="shared" ref="D79:H79" si="53">SUM(D80:D82)</f>
        <v>23500</v>
      </c>
      <c r="E79" s="85">
        <f t="shared" si="53"/>
        <v>7444.9</v>
      </c>
      <c r="F79" s="85">
        <f>D79-E79</f>
        <v>16055.1</v>
      </c>
      <c r="G79" s="86">
        <f>E79/D79</f>
        <v>0.31680425531914891</v>
      </c>
      <c r="H79" s="87">
        <f t="shared" si="53"/>
        <v>12500</v>
      </c>
      <c r="I79" s="88">
        <f t="shared" ref="I79" si="54">SUM(I80:I82)</f>
        <v>0</v>
      </c>
      <c r="J79" s="88">
        <f>H79-I79</f>
        <v>12500</v>
      </c>
      <c r="K79" s="156">
        <v>0</v>
      </c>
      <c r="L79" s="90">
        <f t="shared" ref="L79:M82" si="55">D79+H79</f>
        <v>36000</v>
      </c>
      <c r="M79" s="91">
        <f t="shared" si="55"/>
        <v>7444.9</v>
      </c>
      <c r="N79" s="113">
        <f>L79-M80</f>
        <v>35337.64</v>
      </c>
      <c r="O79" s="34"/>
    </row>
    <row r="80" spans="1:15" s="3" customFormat="1" ht="13.2" customHeight="1" x14ac:dyDescent="0.4">
      <c r="A80" s="244" t="s">
        <v>120</v>
      </c>
      <c r="B80" s="92" t="s">
        <v>74</v>
      </c>
      <c r="C80" s="93"/>
      <c r="D80" s="37">
        <v>0</v>
      </c>
      <c r="E80" s="38">
        <v>662.36</v>
      </c>
      <c r="F80" s="38">
        <f>D80-E80</f>
        <v>-662.36</v>
      </c>
      <c r="G80" s="27">
        <f t="shared" ref="G80:G82" si="56">IFERROR(E80/D80,0)</f>
        <v>0</v>
      </c>
      <c r="H80" s="94">
        <v>1500</v>
      </c>
      <c r="I80" s="40">
        <v>0</v>
      </c>
      <c r="J80" s="40">
        <f>H80-I80</f>
        <v>1500</v>
      </c>
      <c r="K80" s="157">
        <f t="shared" ref="K80:K82" si="57">IFERROR(I80/H80,0)</f>
        <v>0</v>
      </c>
      <c r="L80" s="95">
        <f t="shared" si="55"/>
        <v>1500</v>
      </c>
      <c r="M80" s="42">
        <f t="shared" si="55"/>
        <v>662.36</v>
      </c>
      <c r="N80" s="43">
        <f>L80-M80</f>
        <v>837.64</v>
      </c>
      <c r="O80" s="34"/>
    </row>
    <row r="81" spans="1:15" s="3" customFormat="1" ht="13.2" customHeight="1" x14ac:dyDescent="0.4">
      <c r="A81" s="244" t="s">
        <v>120</v>
      </c>
      <c r="B81" s="92" t="s">
        <v>9</v>
      </c>
      <c r="C81" s="93"/>
      <c r="D81" s="37">
        <v>0</v>
      </c>
      <c r="E81" s="38">
        <v>6782.54</v>
      </c>
      <c r="F81" s="38">
        <f>D81-E81</f>
        <v>-6782.54</v>
      </c>
      <c r="G81" s="27">
        <f t="shared" si="56"/>
        <v>0</v>
      </c>
      <c r="H81" s="94">
        <v>11000</v>
      </c>
      <c r="I81" s="40">
        <v>0</v>
      </c>
      <c r="J81" s="40">
        <f>H81-I81</f>
        <v>11000</v>
      </c>
      <c r="K81" s="157">
        <f t="shared" si="57"/>
        <v>0</v>
      </c>
      <c r="L81" s="95">
        <f t="shared" si="55"/>
        <v>11000</v>
      </c>
      <c r="M81" s="42">
        <f t="shared" si="55"/>
        <v>6782.54</v>
      </c>
      <c r="N81" s="43">
        <f t="shared" ref="N81:N82" si="58">L81-M81</f>
        <v>4217.46</v>
      </c>
      <c r="O81" s="34"/>
    </row>
    <row r="82" spans="1:15" s="3" customFormat="1" ht="13.2" customHeight="1" x14ac:dyDescent="0.4">
      <c r="A82" s="244" t="s">
        <v>120</v>
      </c>
      <c r="B82" s="92" t="s">
        <v>121</v>
      </c>
      <c r="C82" s="93"/>
      <c r="D82" s="37">
        <v>23500</v>
      </c>
      <c r="E82" s="38">
        <v>0</v>
      </c>
      <c r="F82" s="38">
        <f>D82-E82</f>
        <v>23500</v>
      </c>
      <c r="G82" s="27">
        <f t="shared" si="56"/>
        <v>0</v>
      </c>
      <c r="H82" s="94">
        <v>0</v>
      </c>
      <c r="I82" s="40">
        <v>0</v>
      </c>
      <c r="J82" s="40">
        <f>H82-I82</f>
        <v>0</v>
      </c>
      <c r="K82" s="157">
        <f t="shared" si="57"/>
        <v>0</v>
      </c>
      <c r="L82" s="95">
        <f t="shared" si="55"/>
        <v>23500</v>
      </c>
      <c r="M82" s="42">
        <f t="shared" si="55"/>
        <v>0</v>
      </c>
      <c r="N82" s="43">
        <f t="shared" si="58"/>
        <v>23500</v>
      </c>
      <c r="O82" s="34"/>
    </row>
    <row r="83" spans="1:15" s="3" customFormat="1" ht="12.45" customHeight="1" thickBot="1" x14ac:dyDescent="0.45">
      <c r="A83" s="23"/>
      <c r="B83" s="92"/>
      <c r="C83" s="154"/>
      <c r="D83" s="103"/>
      <c r="E83" s="104"/>
      <c r="F83" s="104"/>
      <c r="G83" s="158"/>
      <c r="H83" s="106"/>
      <c r="I83" s="107"/>
      <c r="J83" s="107"/>
      <c r="K83" s="159"/>
      <c r="L83" s="109"/>
      <c r="M83" s="110"/>
      <c r="N83" s="160"/>
      <c r="O83" s="34"/>
    </row>
    <row r="84" spans="1:15" s="3" customFormat="1" ht="15" customHeight="1" x14ac:dyDescent="0.4">
      <c r="A84" s="23"/>
      <c r="B84" s="112" t="s">
        <v>122</v>
      </c>
      <c r="C84" s="161"/>
      <c r="D84" s="162">
        <f>SUM(D85)</f>
        <v>6800</v>
      </c>
      <c r="E84" s="163">
        <f>SUM(E85)</f>
        <v>0</v>
      </c>
      <c r="F84" s="163">
        <f>D84-E84</f>
        <v>6800</v>
      </c>
      <c r="G84" s="61">
        <v>0</v>
      </c>
      <c r="H84" s="87">
        <f>SUM(H85)</f>
        <v>0</v>
      </c>
      <c r="I84" s="88">
        <f>SUM(I85)</f>
        <v>0</v>
      </c>
      <c r="J84" s="88">
        <f>H84-I84</f>
        <v>0</v>
      </c>
      <c r="K84" s="89">
        <v>0</v>
      </c>
      <c r="L84" s="65">
        <f>D84+H84</f>
        <v>6800</v>
      </c>
      <c r="M84" s="66">
        <f>E84+I84</f>
        <v>0</v>
      </c>
      <c r="N84" s="164">
        <f>L84-M84</f>
        <v>6800</v>
      </c>
      <c r="O84" s="34"/>
    </row>
    <row r="85" spans="1:15" s="3" customFormat="1" ht="13.2" customHeight="1" x14ac:dyDescent="0.4">
      <c r="A85" s="244" t="s">
        <v>123</v>
      </c>
      <c r="B85" s="92" t="s">
        <v>124</v>
      </c>
      <c r="C85" s="154"/>
      <c r="D85" s="45">
        <v>6800</v>
      </c>
      <c r="E85" s="46">
        <v>0</v>
      </c>
      <c r="F85" s="46">
        <f>D85-E85</f>
        <v>6800</v>
      </c>
      <c r="G85" s="27">
        <f t="shared" ref="G85" si="59">IFERROR(E85/D85,0)</f>
        <v>0</v>
      </c>
      <c r="H85" s="94">
        <v>0</v>
      </c>
      <c r="I85" s="40">
        <v>0</v>
      </c>
      <c r="J85" s="40">
        <f>H85-I85</f>
        <v>0</v>
      </c>
      <c r="K85" s="30">
        <f t="shared" ref="K85" si="60">IFERROR(I85/H85,0)</f>
        <v>0</v>
      </c>
      <c r="L85" s="95">
        <f>D85+H85</f>
        <v>6800</v>
      </c>
      <c r="M85" s="42">
        <f>E85+I85</f>
        <v>0</v>
      </c>
      <c r="N85" s="165">
        <f>L85-M85</f>
        <v>6800</v>
      </c>
      <c r="O85" s="34"/>
    </row>
    <row r="86" spans="1:15" s="3" customFormat="1" ht="12.45" customHeight="1" thickBot="1" x14ac:dyDescent="0.45">
      <c r="A86" s="23"/>
      <c r="B86" s="92"/>
      <c r="C86" s="154"/>
      <c r="D86" s="103"/>
      <c r="E86" s="104"/>
      <c r="F86" s="104"/>
      <c r="G86" s="105"/>
      <c r="H86" s="106"/>
      <c r="I86" s="107"/>
      <c r="J86" s="107"/>
      <c r="K86" s="108"/>
      <c r="L86" s="109"/>
      <c r="M86" s="110"/>
      <c r="N86" s="111"/>
      <c r="O86" s="34"/>
    </row>
    <row r="87" spans="1:15" s="3" customFormat="1" ht="17.7" customHeight="1" thickBot="1" x14ac:dyDescent="0.5">
      <c r="A87" s="23"/>
      <c r="B87" s="259" t="s">
        <v>125</v>
      </c>
      <c r="C87" s="139"/>
      <c r="D87" s="260">
        <f>D55+D68+D72+D76+D79+D84</f>
        <v>11943850</v>
      </c>
      <c r="E87" s="261">
        <f>E55+E68+E72+E76+E79+E84</f>
        <v>9909261.0600000005</v>
      </c>
      <c r="F87" s="261">
        <f>F55+F68+F72+F76+F79+F84</f>
        <v>2034588.94</v>
      </c>
      <c r="G87" s="262">
        <f>E87/D87</f>
        <v>0.82965384360989136</v>
      </c>
      <c r="H87" s="263">
        <f>H55+H68+H72+H76+H79+H84</f>
        <v>477927</v>
      </c>
      <c r="I87" s="264">
        <f>I55+I68+I72+I76+I79+I84</f>
        <v>0</v>
      </c>
      <c r="J87" s="264">
        <f>J55+J68+J72+J76+J79+J84</f>
        <v>365389.51</v>
      </c>
      <c r="K87" s="265">
        <f>I87/H87</f>
        <v>0</v>
      </c>
      <c r="L87" s="266">
        <f>L55+L68+L72+L76+L79+L84</f>
        <v>12421777</v>
      </c>
      <c r="M87" s="267">
        <f>M55+M68+M72+M76+M79</f>
        <v>9909261.0600000005</v>
      </c>
      <c r="N87" s="268">
        <f>N55+N68+N72+N76+N79</f>
        <v>2512498.48</v>
      </c>
      <c r="O87" s="34"/>
    </row>
    <row r="88" spans="1:15" s="3" customFormat="1" ht="16.3" thickBot="1" x14ac:dyDescent="0.5">
      <c r="A88" s="8"/>
      <c r="B88" s="385" t="s">
        <v>27</v>
      </c>
      <c r="C88" s="386"/>
      <c r="D88" s="383"/>
      <c r="E88" s="383"/>
      <c r="F88" s="383"/>
      <c r="G88" s="383"/>
      <c r="H88" s="383"/>
      <c r="I88" s="383"/>
      <c r="J88" s="383"/>
      <c r="K88" s="383"/>
      <c r="L88" s="383"/>
      <c r="M88" s="383"/>
      <c r="N88" s="384"/>
      <c r="O88" s="34"/>
    </row>
    <row r="89" spans="1:15" s="3" customFormat="1" ht="12.45" customHeight="1" x14ac:dyDescent="0.4">
      <c r="A89" s="23"/>
      <c r="B89" s="82" t="s">
        <v>126</v>
      </c>
      <c r="C89" s="83"/>
      <c r="D89" s="84">
        <f>SUM(D90:D91)</f>
        <v>9831839</v>
      </c>
      <c r="E89" s="85">
        <f>SUM(E90:E91)</f>
        <v>6670803.1800000006</v>
      </c>
      <c r="F89" s="85">
        <f>D89-E89</f>
        <v>3161035.8199999994</v>
      </c>
      <c r="G89" s="86">
        <f>E89/D89</f>
        <v>0.6784898715286124</v>
      </c>
      <c r="H89" s="87">
        <f t="shared" ref="H89:I89" si="61">SUM(H90:H91)</f>
        <v>9330960</v>
      </c>
      <c r="I89" s="88">
        <f t="shared" si="61"/>
        <v>0</v>
      </c>
      <c r="J89" s="88">
        <f>H89-I89</f>
        <v>9330960</v>
      </c>
      <c r="K89" s="89">
        <v>0</v>
      </c>
      <c r="L89" s="90">
        <f t="shared" ref="L89:M91" si="62">D89+H89</f>
        <v>19162799</v>
      </c>
      <c r="M89" s="91">
        <f t="shared" si="62"/>
        <v>6670803.1800000006</v>
      </c>
      <c r="N89" s="113">
        <f>L89-M89</f>
        <v>12491995.82</v>
      </c>
      <c r="O89" s="34"/>
    </row>
    <row r="90" spans="1:15" s="3" customFormat="1" ht="13.2" customHeight="1" x14ac:dyDescent="0.4">
      <c r="A90" s="244" t="s">
        <v>127</v>
      </c>
      <c r="B90" s="92" t="s">
        <v>128</v>
      </c>
      <c r="C90" s="93"/>
      <c r="D90" s="37">
        <v>9831839</v>
      </c>
      <c r="E90" s="38">
        <v>6622034.3600000003</v>
      </c>
      <c r="F90" s="38">
        <f>D90-E90</f>
        <v>3209804.6399999997</v>
      </c>
      <c r="G90" s="27">
        <f t="shared" ref="G90:G91" si="63">IFERROR(E90/D90,0)</f>
        <v>0.67352957671499714</v>
      </c>
      <c r="H90" s="94">
        <v>9330960</v>
      </c>
      <c r="I90" s="40">
        <v>0</v>
      </c>
      <c r="J90" s="40">
        <f>H90-I90</f>
        <v>9330960</v>
      </c>
      <c r="K90" s="30">
        <f t="shared" ref="K90:K91" si="64">IFERROR(I90/H90,0)</f>
        <v>0</v>
      </c>
      <c r="L90" s="95">
        <f t="shared" si="62"/>
        <v>19162799</v>
      </c>
      <c r="M90" s="42">
        <f t="shared" si="62"/>
        <v>6622034.3600000003</v>
      </c>
      <c r="N90" s="43">
        <f>L90-M90</f>
        <v>12540764.640000001</v>
      </c>
      <c r="O90" s="136"/>
    </row>
    <row r="91" spans="1:15" s="3" customFormat="1" ht="13.2" customHeight="1" x14ac:dyDescent="0.4">
      <c r="A91" s="244" t="s">
        <v>129</v>
      </c>
      <c r="B91" s="92" t="s">
        <v>130</v>
      </c>
      <c r="C91" s="93"/>
      <c r="D91" s="37">
        <v>0</v>
      </c>
      <c r="E91" s="38">
        <v>48768.82</v>
      </c>
      <c r="F91" s="38">
        <f>D91-E91</f>
        <v>-48768.82</v>
      </c>
      <c r="G91" s="27">
        <f t="shared" si="63"/>
        <v>0</v>
      </c>
      <c r="H91" s="94">
        <v>0</v>
      </c>
      <c r="I91" s="40">
        <v>0</v>
      </c>
      <c r="J91" s="40">
        <f>H91-I91</f>
        <v>0</v>
      </c>
      <c r="K91" s="30">
        <f t="shared" si="64"/>
        <v>0</v>
      </c>
      <c r="L91" s="95">
        <f t="shared" si="62"/>
        <v>0</v>
      </c>
      <c r="M91" s="42">
        <f t="shared" si="62"/>
        <v>48768.82</v>
      </c>
      <c r="N91" s="43">
        <f>L91-M91</f>
        <v>-48768.82</v>
      </c>
      <c r="O91" s="132" t="s">
        <v>131</v>
      </c>
    </row>
    <row r="92" spans="1:15" s="3" customFormat="1" ht="12.45" customHeight="1" thickBot="1" x14ac:dyDescent="0.45">
      <c r="A92" s="23"/>
      <c r="B92" s="92"/>
      <c r="C92" s="154"/>
      <c r="D92" s="103"/>
      <c r="E92" s="104"/>
      <c r="F92" s="104"/>
      <c r="G92" s="105"/>
      <c r="H92" s="106"/>
      <c r="I92" s="107"/>
      <c r="J92" s="107"/>
      <c r="K92" s="166"/>
      <c r="L92" s="109"/>
      <c r="M92" s="110"/>
      <c r="N92" s="160"/>
      <c r="O92" s="136"/>
    </row>
    <row r="93" spans="1:15" s="3" customFormat="1" ht="16.3" thickBot="1" x14ac:dyDescent="0.5">
      <c r="A93" s="23"/>
      <c r="B93" s="138" t="s">
        <v>132</v>
      </c>
      <c r="C93" s="139"/>
      <c r="D93" s="140">
        <f t="shared" ref="D93:N93" si="65">D89</f>
        <v>9831839</v>
      </c>
      <c r="E93" s="141">
        <f t="shared" si="65"/>
        <v>6670803.1800000006</v>
      </c>
      <c r="F93" s="141">
        <f t="shared" si="65"/>
        <v>3161035.8199999994</v>
      </c>
      <c r="G93" s="142">
        <f>E93/D93</f>
        <v>0.6784898715286124</v>
      </c>
      <c r="H93" s="143">
        <f t="shared" si="65"/>
        <v>9330960</v>
      </c>
      <c r="I93" s="144">
        <f t="shared" si="65"/>
        <v>0</v>
      </c>
      <c r="J93" s="144">
        <f t="shared" si="65"/>
        <v>9330960</v>
      </c>
      <c r="K93" s="145">
        <v>0</v>
      </c>
      <c r="L93" s="146">
        <f t="shared" si="65"/>
        <v>19162799</v>
      </c>
      <c r="M93" s="147">
        <f t="shared" si="65"/>
        <v>6670803.1800000006</v>
      </c>
      <c r="N93" s="148">
        <f t="shared" si="65"/>
        <v>12491995.82</v>
      </c>
      <c r="O93" s="34"/>
    </row>
    <row r="94" spans="1:15" s="3" customFormat="1" ht="15" thickBot="1" x14ac:dyDescent="0.45">
      <c r="A94" s="8"/>
      <c r="B94" s="167"/>
      <c r="C94" s="167"/>
      <c r="D94" s="168"/>
      <c r="E94" s="168"/>
      <c r="F94" s="168"/>
      <c r="G94" s="168"/>
      <c r="H94" s="151"/>
      <c r="I94" s="151"/>
      <c r="J94" s="151"/>
      <c r="K94" s="151"/>
      <c r="L94" s="169"/>
      <c r="M94" s="169"/>
      <c r="N94" s="169"/>
      <c r="O94" s="34"/>
    </row>
    <row r="95" spans="1:15" s="3" customFormat="1" ht="21" thickBot="1" x14ac:dyDescent="0.6">
      <c r="A95" s="8"/>
      <c r="B95" s="352" t="s">
        <v>133</v>
      </c>
      <c r="C95" s="353"/>
      <c r="D95" s="353"/>
      <c r="E95" s="353"/>
      <c r="F95" s="353"/>
      <c r="G95" s="353"/>
      <c r="H95" s="353"/>
      <c r="I95" s="353"/>
      <c r="J95" s="353"/>
      <c r="K95" s="353"/>
      <c r="L95" s="353"/>
      <c r="M95" s="353"/>
      <c r="N95" s="354"/>
      <c r="O95" s="34"/>
    </row>
    <row r="96" spans="1:15" ht="12.45" customHeight="1" x14ac:dyDescent="0.4">
      <c r="A96" s="23"/>
      <c r="B96" s="82" t="s">
        <v>134</v>
      </c>
      <c r="C96" s="83"/>
      <c r="D96" s="84">
        <f t="shared" ref="D96:J96" si="66">SUM(D97:D97)</f>
        <v>78000</v>
      </c>
      <c r="E96" s="85">
        <f t="shared" si="66"/>
        <v>55437.52</v>
      </c>
      <c r="F96" s="85">
        <f t="shared" si="66"/>
        <v>22562.480000000003</v>
      </c>
      <c r="G96" s="86">
        <f>E96/D96</f>
        <v>0.71073743589743588</v>
      </c>
      <c r="H96" s="87">
        <f t="shared" si="66"/>
        <v>0</v>
      </c>
      <c r="I96" s="88">
        <f t="shared" si="66"/>
        <v>0</v>
      </c>
      <c r="J96" s="88">
        <f t="shared" si="66"/>
        <v>0</v>
      </c>
      <c r="K96" s="89">
        <v>0</v>
      </c>
      <c r="L96" s="90">
        <f>D96+H96</f>
        <v>78000</v>
      </c>
      <c r="M96" s="91">
        <f>E96+I96</f>
        <v>55437.52</v>
      </c>
      <c r="N96" s="113">
        <f>L96-M96</f>
        <v>22562.480000000003</v>
      </c>
      <c r="O96" s="136"/>
    </row>
    <row r="97" spans="1:15" ht="13.2" customHeight="1" x14ac:dyDescent="0.4">
      <c r="A97" s="131" t="s">
        <v>135</v>
      </c>
      <c r="B97" s="92" t="s">
        <v>136</v>
      </c>
      <c r="C97" s="93"/>
      <c r="D97" s="37">
        <v>78000</v>
      </c>
      <c r="E97" s="38">
        <f>39743.6+15693.92</f>
        <v>55437.52</v>
      </c>
      <c r="F97" s="38">
        <f>D97-E97</f>
        <v>22562.480000000003</v>
      </c>
      <c r="G97" s="27">
        <f t="shared" ref="G97" si="67">IFERROR(E97/D97,0)</f>
        <v>0.71073743589743588</v>
      </c>
      <c r="H97" s="94">
        <v>0</v>
      </c>
      <c r="I97" s="40">
        <v>0</v>
      </c>
      <c r="J97" s="40">
        <f>H97-I97</f>
        <v>0</v>
      </c>
      <c r="K97" s="30">
        <f t="shared" ref="K97" si="68">IFERROR(I97/H97,0)</f>
        <v>0</v>
      </c>
      <c r="L97" s="95">
        <f>D97+H97</f>
        <v>78000</v>
      </c>
      <c r="M97" s="42">
        <f>E97+I97</f>
        <v>55437.52</v>
      </c>
      <c r="N97" s="43">
        <f>L97-M97</f>
        <v>22562.480000000003</v>
      </c>
      <c r="O97" s="34"/>
    </row>
    <row r="98" spans="1:15" ht="13.2" customHeight="1" thickBot="1" x14ac:dyDescent="0.45">
      <c r="A98" s="131"/>
      <c r="B98" s="92"/>
      <c r="C98" s="154"/>
      <c r="D98" s="103"/>
      <c r="E98" s="104"/>
      <c r="F98" s="104"/>
      <c r="G98" s="105"/>
      <c r="H98" s="106"/>
      <c r="I98" s="107"/>
      <c r="J98" s="107"/>
      <c r="K98" s="108"/>
      <c r="L98" s="109"/>
      <c r="M98" s="110"/>
      <c r="N98" s="111"/>
      <c r="O98" s="34"/>
    </row>
    <row r="99" spans="1:15" ht="16.399999999999999" customHeight="1" x14ac:dyDescent="0.4">
      <c r="A99" s="131"/>
      <c r="B99" s="112" t="s">
        <v>137</v>
      </c>
      <c r="C99" s="83"/>
      <c r="D99" s="59">
        <f>SUM(D100:D101)</f>
        <v>200000</v>
      </c>
      <c r="E99" s="60">
        <f>SUM(E100:E101)</f>
        <v>53874.44</v>
      </c>
      <c r="F99" s="60">
        <f>SUM(F100:F101)</f>
        <v>146125.56</v>
      </c>
      <c r="G99" s="86">
        <f>E99/D99</f>
        <v>0.26937220000000001</v>
      </c>
      <c r="H99" s="62">
        <f t="shared" ref="H99:I99" si="69">SUM(H100:H101)</f>
        <v>0</v>
      </c>
      <c r="I99" s="63">
        <f t="shared" si="69"/>
        <v>0</v>
      </c>
      <c r="J99" s="63">
        <f>SUM(J100:J100)</f>
        <v>0</v>
      </c>
      <c r="K99" s="89">
        <v>0</v>
      </c>
      <c r="L99" s="65">
        <f t="shared" ref="L99:M101" si="70">D99+H99</f>
        <v>200000</v>
      </c>
      <c r="M99" s="66">
        <f t="shared" si="70"/>
        <v>53874.44</v>
      </c>
      <c r="N99" s="67">
        <f>L99-M99</f>
        <v>146125.56</v>
      </c>
      <c r="O99" s="34"/>
    </row>
    <row r="100" spans="1:15" ht="13.2" customHeight="1" x14ac:dyDescent="0.4">
      <c r="A100" s="131" t="s">
        <v>135</v>
      </c>
      <c r="B100" s="92" t="s">
        <v>138</v>
      </c>
      <c r="C100" s="93"/>
      <c r="D100" s="37">
        <v>200000</v>
      </c>
      <c r="E100" s="38">
        <v>53874.44</v>
      </c>
      <c r="F100" s="38">
        <f>D100-E100</f>
        <v>146125.56</v>
      </c>
      <c r="G100" s="27">
        <f t="shared" ref="G100:G101" si="71">IFERROR(E100/D100,0)</f>
        <v>0.26937220000000001</v>
      </c>
      <c r="H100" s="94">
        <v>0</v>
      </c>
      <c r="I100" s="40">
        <v>0</v>
      </c>
      <c r="J100" s="40">
        <f>H100-I100</f>
        <v>0</v>
      </c>
      <c r="K100" s="30">
        <f t="shared" ref="K100:K101" si="72">IFERROR(I100/H100,0)</f>
        <v>0</v>
      </c>
      <c r="L100" s="95">
        <f t="shared" si="70"/>
        <v>200000</v>
      </c>
      <c r="M100" s="42">
        <f t="shared" si="70"/>
        <v>53874.44</v>
      </c>
      <c r="N100" s="43">
        <f>L100-M100</f>
        <v>146125.56</v>
      </c>
      <c r="O100" s="34"/>
    </row>
    <row r="101" spans="1:15" ht="13.2" customHeight="1" x14ac:dyDescent="0.4">
      <c r="A101" s="131"/>
      <c r="B101" s="92" t="s">
        <v>139</v>
      </c>
      <c r="C101" s="93"/>
      <c r="D101" s="37">
        <v>0</v>
      </c>
      <c r="E101" s="38">
        <v>0</v>
      </c>
      <c r="F101" s="38">
        <f>D101-E101</f>
        <v>0</v>
      </c>
      <c r="G101" s="27">
        <f t="shared" si="71"/>
        <v>0</v>
      </c>
      <c r="H101" s="94">
        <v>0</v>
      </c>
      <c r="I101" s="40">
        <v>0</v>
      </c>
      <c r="J101" s="40">
        <f>H101-I101</f>
        <v>0</v>
      </c>
      <c r="K101" s="30">
        <f t="shared" si="72"/>
        <v>0</v>
      </c>
      <c r="L101" s="95">
        <f t="shared" si="70"/>
        <v>0</v>
      </c>
      <c r="M101" s="42">
        <f t="shared" si="70"/>
        <v>0</v>
      </c>
      <c r="N101" s="43">
        <f>L101-M101</f>
        <v>0</v>
      </c>
      <c r="O101" s="136"/>
    </row>
    <row r="102" spans="1:15" ht="12.45" customHeight="1" thickBot="1" x14ac:dyDescent="0.45">
      <c r="A102" s="131"/>
      <c r="B102" s="112"/>
      <c r="C102" s="170"/>
      <c r="D102" s="45"/>
      <c r="E102" s="46"/>
      <c r="F102" s="46"/>
      <c r="G102" s="171"/>
      <c r="H102" s="172"/>
      <c r="I102" s="173"/>
      <c r="J102" s="173"/>
      <c r="K102" s="174"/>
      <c r="L102" s="175"/>
      <c r="M102" s="176"/>
      <c r="N102" s="177"/>
      <c r="O102" s="34"/>
    </row>
    <row r="103" spans="1:15" ht="16.399999999999999" customHeight="1" x14ac:dyDescent="0.4">
      <c r="A103" s="131"/>
      <c r="B103" s="112" t="s">
        <v>140</v>
      </c>
      <c r="C103" s="83"/>
      <c r="D103" s="84">
        <f>SUM(D104:D105)</f>
        <v>3722000</v>
      </c>
      <c r="E103" s="85">
        <f>SUM(E104:E105)</f>
        <v>787566.36</v>
      </c>
      <c r="F103" s="85">
        <f>SUM(F104:F105)</f>
        <v>2934433.64</v>
      </c>
      <c r="G103" s="86">
        <f>E103/D103</f>
        <v>0.2115976249328318</v>
      </c>
      <c r="H103" s="87">
        <f>SUM(H104:H105)</f>
        <v>0</v>
      </c>
      <c r="I103" s="88">
        <f>SUM(I104:I105)</f>
        <v>0</v>
      </c>
      <c r="J103" s="88">
        <f>SUM(J104:J107)</f>
        <v>0</v>
      </c>
      <c r="K103" s="89">
        <v>0</v>
      </c>
      <c r="L103" s="90">
        <f t="shared" ref="L103:M106" si="73">D103+H103</f>
        <v>3722000</v>
      </c>
      <c r="M103" s="91">
        <f t="shared" si="73"/>
        <v>787566.36</v>
      </c>
      <c r="N103" s="113">
        <f>L103-M103</f>
        <v>2934433.64</v>
      </c>
      <c r="O103" s="136"/>
    </row>
    <row r="104" spans="1:15" ht="13.2" customHeight="1" x14ac:dyDescent="0.4">
      <c r="A104" s="131" t="s">
        <v>135</v>
      </c>
      <c r="B104" s="152" t="s">
        <v>28</v>
      </c>
      <c r="C104" s="153"/>
      <c r="D104" s="37">
        <v>3722000</v>
      </c>
      <c r="E104" s="38">
        <v>787566.36</v>
      </c>
      <c r="F104" s="38">
        <f>D104-E104</f>
        <v>2934433.64</v>
      </c>
      <c r="G104" s="27">
        <f t="shared" ref="G104" si="74">IFERROR(E104/D104,0)</f>
        <v>0.2115976249328318</v>
      </c>
      <c r="H104" s="94">
        <v>0</v>
      </c>
      <c r="I104" s="40">
        <v>0</v>
      </c>
      <c r="J104" s="40">
        <f>H104-I104</f>
        <v>0</v>
      </c>
      <c r="K104" s="30">
        <f t="shared" ref="K104" si="75">IFERROR(I104/H104,0)</f>
        <v>0</v>
      </c>
      <c r="L104" s="95">
        <f t="shared" si="73"/>
        <v>3722000</v>
      </c>
      <c r="M104" s="42">
        <f t="shared" si="73"/>
        <v>787566.36</v>
      </c>
      <c r="N104" s="43">
        <f>L104-M104</f>
        <v>2934433.64</v>
      </c>
      <c r="O104" s="34" t="s">
        <v>141</v>
      </c>
    </row>
    <row r="105" spans="1:15" ht="13.2" customHeight="1" x14ac:dyDescent="0.4">
      <c r="A105" s="131"/>
      <c r="B105" s="92"/>
      <c r="C105" s="93"/>
      <c r="D105" s="37"/>
      <c r="E105" s="38"/>
      <c r="F105" s="38"/>
      <c r="G105" s="27"/>
      <c r="H105" s="94"/>
      <c r="I105" s="40"/>
      <c r="J105" s="40"/>
      <c r="K105" s="30"/>
      <c r="L105" s="95"/>
      <c r="M105" s="42"/>
      <c r="N105" s="43"/>
      <c r="O105" s="132" t="s">
        <v>142</v>
      </c>
    </row>
    <row r="106" spans="1:15" ht="13.2" customHeight="1" x14ac:dyDescent="0.4">
      <c r="A106" s="131" t="s">
        <v>135</v>
      </c>
      <c r="B106" s="178" t="s">
        <v>11</v>
      </c>
      <c r="C106" s="179"/>
      <c r="D106" s="180">
        <v>0</v>
      </c>
      <c r="E106" s="181">
        <v>15959.55</v>
      </c>
      <c r="F106" s="181">
        <f>D106-E106</f>
        <v>-15959.55</v>
      </c>
      <c r="G106" s="27">
        <f t="shared" ref="G106" si="76">IFERROR(E106/D106,0)</f>
        <v>0</v>
      </c>
      <c r="H106" s="182">
        <v>0</v>
      </c>
      <c r="I106" s="183">
        <v>0</v>
      </c>
      <c r="J106" s="183">
        <f t="shared" ref="J106" si="77">H106-I106</f>
        <v>0</v>
      </c>
      <c r="K106" s="64">
        <v>0</v>
      </c>
      <c r="L106" s="184">
        <f t="shared" si="73"/>
        <v>0</v>
      </c>
      <c r="M106" s="185">
        <f t="shared" si="73"/>
        <v>15959.55</v>
      </c>
      <c r="N106" s="43">
        <f t="shared" ref="N106" si="78">L106-M106</f>
        <v>-15959.55</v>
      </c>
      <c r="O106" s="186"/>
    </row>
    <row r="107" spans="1:15" ht="13.2" customHeight="1" thickBot="1" x14ac:dyDescent="0.45">
      <c r="A107" s="23"/>
      <c r="B107" s="187"/>
      <c r="C107" s="188"/>
      <c r="D107" s="103"/>
      <c r="E107" s="104"/>
      <c r="F107" s="104"/>
      <c r="G107" s="105"/>
      <c r="H107" s="106"/>
      <c r="I107" s="107"/>
      <c r="J107" s="107"/>
      <c r="K107" s="108"/>
      <c r="L107" s="109"/>
      <c r="M107" s="110"/>
      <c r="N107" s="111"/>
      <c r="O107" s="34"/>
    </row>
    <row r="108" spans="1:15" ht="16.3" thickBot="1" x14ac:dyDescent="0.5">
      <c r="A108" s="23"/>
      <c r="B108" s="138" t="s">
        <v>143</v>
      </c>
      <c r="C108" s="139"/>
      <c r="D108" s="140">
        <f>D96+D99+D103+D106</f>
        <v>4000000</v>
      </c>
      <c r="E108" s="141">
        <f>E96+E99+E103+E106</f>
        <v>912837.87</v>
      </c>
      <c r="F108" s="141">
        <f>D108-E108</f>
        <v>3087162.13</v>
      </c>
      <c r="G108" s="142">
        <f>E108/D108</f>
        <v>0.22820946749999999</v>
      </c>
      <c r="H108" s="143">
        <f>H96+H99+H103+H106</f>
        <v>0</v>
      </c>
      <c r="I108" s="144">
        <f>I96+I99+I103+I106</f>
        <v>0</v>
      </c>
      <c r="J108" s="144">
        <f>H108-I108</f>
        <v>0</v>
      </c>
      <c r="K108" s="145">
        <f>IFERROR(I108/H108,0)</f>
        <v>0</v>
      </c>
      <c r="L108" s="146">
        <f>L96+L99+L103</f>
        <v>4000000</v>
      </c>
      <c r="M108" s="147">
        <f>M96+M99+M103</f>
        <v>896878.32</v>
      </c>
      <c r="N108" s="148">
        <f>L108-M108</f>
        <v>3103121.68</v>
      </c>
      <c r="O108" s="34"/>
    </row>
    <row r="109" spans="1:15" s="2" customFormat="1" ht="23.15" customHeight="1" thickBot="1" x14ac:dyDescent="0.5">
      <c r="A109" s="8"/>
      <c r="B109" s="189"/>
      <c r="C109" s="189"/>
      <c r="D109" s="190"/>
      <c r="E109" s="190"/>
      <c r="F109" s="190"/>
      <c r="G109" s="190"/>
      <c r="H109" s="190"/>
      <c r="I109" s="190"/>
      <c r="J109" s="190"/>
      <c r="K109" s="190"/>
      <c r="L109" s="190"/>
      <c r="M109" s="190"/>
      <c r="N109" s="190"/>
      <c r="O109" s="100"/>
    </row>
    <row r="110" spans="1:15" ht="21" thickBot="1" x14ac:dyDescent="0.6">
      <c r="B110" s="352" t="s">
        <v>144</v>
      </c>
      <c r="C110" s="353"/>
      <c r="D110" s="353"/>
      <c r="E110" s="353"/>
      <c r="F110" s="353"/>
      <c r="G110" s="353"/>
      <c r="H110" s="353"/>
      <c r="I110" s="353"/>
      <c r="J110" s="353"/>
      <c r="K110" s="353"/>
      <c r="L110" s="353"/>
      <c r="M110" s="353"/>
      <c r="N110" s="354"/>
      <c r="O110" s="34"/>
    </row>
    <row r="111" spans="1:15" ht="14.25" customHeight="1" thickBot="1" x14ac:dyDescent="0.5">
      <c r="A111" s="244" t="s">
        <v>145</v>
      </c>
      <c r="B111" s="92" t="s">
        <v>146</v>
      </c>
      <c r="C111" s="167"/>
      <c r="D111" s="191">
        <v>0</v>
      </c>
      <c r="E111" s="192">
        <v>0</v>
      </c>
      <c r="F111" s="192">
        <f>D111-E111</f>
        <v>0</v>
      </c>
      <c r="G111" s="193" t="str">
        <f>IFERROR(E111/D111,"0%")</f>
        <v>0%</v>
      </c>
      <c r="H111" s="194">
        <v>5679000</v>
      </c>
      <c r="I111" s="195">
        <v>0</v>
      </c>
      <c r="J111" s="195">
        <f>H111-I111</f>
        <v>5679000</v>
      </c>
      <c r="K111" s="196">
        <f>IFERROR(I111/H111,"0%")</f>
        <v>0</v>
      </c>
      <c r="L111" s="197">
        <f>D111+H111</f>
        <v>5679000</v>
      </c>
      <c r="M111" s="198">
        <f>E111+I111</f>
        <v>0</v>
      </c>
      <c r="N111" s="199">
        <f>L111-M111</f>
        <v>5679000</v>
      </c>
      <c r="O111" s="34" t="s">
        <v>147</v>
      </c>
    </row>
    <row r="112" spans="1:15" s="2" customFormat="1" ht="21.75" customHeight="1" thickBot="1" x14ac:dyDescent="0.5">
      <c r="A112" s="8"/>
      <c r="B112" s="189"/>
      <c r="C112" s="189"/>
      <c r="D112" s="190"/>
      <c r="E112" s="190"/>
      <c r="F112" s="190"/>
      <c r="G112" s="190"/>
      <c r="H112" s="190"/>
      <c r="I112" s="190"/>
      <c r="J112" s="190"/>
      <c r="K112" s="190"/>
      <c r="L112" s="190"/>
      <c r="M112" s="190"/>
      <c r="N112" s="190"/>
      <c r="O112" s="100" t="s">
        <v>148</v>
      </c>
    </row>
    <row r="113" spans="1:15" ht="21" thickBot="1" x14ac:dyDescent="0.6">
      <c r="B113" s="352" t="s">
        <v>149</v>
      </c>
      <c r="C113" s="353"/>
      <c r="D113" s="353"/>
      <c r="E113" s="353"/>
      <c r="F113" s="353"/>
      <c r="G113" s="353"/>
      <c r="H113" s="353"/>
      <c r="I113" s="353"/>
      <c r="J113" s="353"/>
      <c r="K113" s="353"/>
      <c r="L113" s="353"/>
      <c r="M113" s="353"/>
      <c r="N113" s="354"/>
      <c r="O113" s="34"/>
    </row>
    <row r="114" spans="1:15" ht="14.25" customHeight="1" thickBot="1" x14ac:dyDescent="0.5">
      <c r="A114" s="244" t="s">
        <v>150</v>
      </c>
      <c r="B114" s="92" t="s">
        <v>57</v>
      </c>
      <c r="C114" s="167"/>
      <c r="D114" s="191">
        <v>130000</v>
      </c>
      <c r="E114" s="192">
        <v>0</v>
      </c>
      <c r="F114" s="192">
        <f>D114-E114</f>
        <v>130000</v>
      </c>
      <c r="G114" s="193">
        <f>IFERROR(E114/D114,"0%")</f>
        <v>0</v>
      </c>
      <c r="H114" s="194">
        <v>0</v>
      </c>
      <c r="I114" s="195">
        <v>0</v>
      </c>
      <c r="J114" s="195">
        <f>H114-I114</f>
        <v>0</v>
      </c>
      <c r="K114" s="196" t="str">
        <f>IFERROR(I114/H114,"0%")</f>
        <v>0%</v>
      </c>
      <c r="L114" s="197">
        <f>D114+H114</f>
        <v>130000</v>
      </c>
      <c r="M114" s="198">
        <f>E114+I114</f>
        <v>0</v>
      </c>
      <c r="N114" s="199">
        <f>L114-M114</f>
        <v>130000</v>
      </c>
      <c r="O114" s="34"/>
    </row>
    <row r="115" spans="1:15" s="3" customFormat="1" ht="21.75" customHeight="1" thickBot="1" x14ac:dyDescent="0.45">
      <c r="A115" s="200"/>
      <c r="B115" s="167"/>
      <c r="C115" s="167"/>
      <c r="D115" s="201"/>
      <c r="E115" s="201"/>
      <c r="F115" s="201"/>
      <c r="G115" s="201"/>
      <c r="H115" s="201"/>
      <c r="I115" s="201"/>
      <c r="J115" s="7"/>
      <c r="K115" s="7"/>
      <c r="L115" s="201"/>
      <c r="M115" s="201"/>
      <c r="N115" s="7"/>
      <c r="O115" s="34"/>
    </row>
    <row r="116" spans="1:15" s="3" customFormat="1" ht="21" thickBot="1" x14ac:dyDescent="0.6">
      <c r="A116" s="8"/>
      <c r="B116" s="352" t="s">
        <v>151</v>
      </c>
      <c r="C116" s="353"/>
      <c r="D116" s="353"/>
      <c r="E116" s="353"/>
      <c r="F116" s="353"/>
      <c r="G116" s="353"/>
      <c r="H116" s="353"/>
      <c r="I116" s="353"/>
      <c r="J116" s="353"/>
      <c r="K116" s="353"/>
      <c r="L116" s="353"/>
      <c r="M116" s="353"/>
      <c r="N116" s="354"/>
      <c r="O116" s="34"/>
    </row>
    <row r="117" spans="1:15" s="3" customFormat="1" ht="14.25" customHeight="1" thickBot="1" x14ac:dyDescent="0.5">
      <c r="A117" s="244" t="s">
        <v>152</v>
      </c>
      <c r="B117" s="92" t="s">
        <v>153</v>
      </c>
      <c r="C117" s="167"/>
      <c r="D117" s="191">
        <v>600000</v>
      </c>
      <c r="E117" s="192">
        <v>30325.75</v>
      </c>
      <c r="F117" s="192">
        <f>D117-E117</f>
        <v>569674.25</v>
      </c>
      <c r="G117" s="193">
        <f>IFERROR(E117/D117,"0%")</f>
        <v>5.0542916666666667E-2</v>
      </c>
      <c r="H117" s="194">
        <v>1250000</v>
      </c>
      <c r="I117" s="195">
        <v>0</v>
      </c>
      <c r="J117" s="195">
        <f>H117-I117</f>
        <v>1250000</v>
      </c>
      <c r="K117" s="196">
        <f>IFERROR(I117/H117,"0%")</f>
        <v>0</v>
      </c>
      <c r="L117" s="197">
        <f>D117+H117</f>
        <v>1850000</v>
      </c>
      <c r="M117" s="198">
        <f>E117+I117</f>
        <v>30325.75</v>
      </c>
      <c r="N117" s="199">
        <f>L117-M117</f>
        <v>1819674.25</v>
      </c>
      <c r="O117" s="34"/>
    </row>
    <row r="118" spans="1:15" s="3" customFormat="1" ht="17.899999999999999" customHeight="1" x14ac:dyDescent="0.4">
      <c r="A118" s="8"/>
      <c r="B118" s="202"/>
      <c r="C118" s="202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34"/>
    </row>
    <row r="119" spans="1:15" s="3" customFormat="1" ht="17.899999999999999" customHeight="1" x14ac:dyDescent="0.4">
      <c r="A119" s="8"/>
      <c r="B119" s="202"/>
      <c r="C119" s="202"/>
      <c r="D119" s="203"/>
      <c r="E119" s="203"/>
      <c r="F119" s="203"/>
      <c r="G119" s="203"/>
      <c r="H119" s="203"/>
      <c r="I119" s="203"/>
      <c r="J119" s="203"/>
      <c r="K119" s="203"/>
      <c r="L119" s="203"/>
      <c r="M119" s="203"/>
      <c r="N119" s="203"/>
      <c r="O119" s="34"/>
    </row>
    <row r="120" spans="1:15" s="3" customFormat="1" ht="17.899999999999999" customHeight="1" x14ac:dyDescent="0.4">
      <c r="A120" s="247" t="s">
        <v>154</v>
      </c>
      <c r="B120" s="202"/>
      <c r="C120" s="202"/>
      <c r="D120" s="203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34"/>
    </row>
    <row r="121" spans="1:15" s="3" customFormat="1" ht="17.899999999999999" hidden="1" customHeight="1" thickBot="1" x14ac:dyDescent="0.45">
      <c r="A121" s="8"/>
      <c r="B121" s="202"/>
      <c r="C121" s="202"/>
      <c r="D121" s="203"/>
      <c r="E121" s="203"/>
      <c r="F121" s="203"/>
      <c r="G121" s="203"/>
      <c r="H121" s="203"/>
      <c r="I121" s="203"/>
      <c r="J121" s="203"/>
      <c r="K121" s="203"/>
      <c r="L121" s="203"/>
      <c r="M121" s="203"/>
      <c r="N121" s="203"/>
      <c r="O121" s="34"/>
    </row>
    <row r="122" spans="1:15" s="3" customFormat="1" ht="23.15" hidden="1" x14ac:dyDescent="0.6">
      <c r="A122" s="387" t="s">
        <v>155</v>
      </c>
      <c r="B122" s="388"/>
      <c r="C122" s="388"/>
      <c r="D122" s="388"/>
      <c r="E122" s="388"/>
      <c r="F122" s="388"/>
      <c r="G122" s="388"/>
      <c r="H122" s="388"/>
      <c r="I122" s="388"/>
      <c r="J122" s="388"/>
      <c r="K122" s="388"/>
      <c r="L122" s="388"/>
      <c r="M122" s="388"/>
      <c r="N122" s="389"/>
      <c r="O122" s="34"/>
    </row>
    <row r="123" spans="1:15" s="3" customFormat="1" ht="20.6" hidden="1" x14ac:dyDescent="0.4">
      <c r="A123" s="390" t="s">
        <v>156</v>
      </c>
      <c r="B123" s="391"/>
      <c r="C123" s="391"/>
      <c r="D123" s="391"/>
      <c r="E123" s="391"/>
      <c r="F123" s="391"/>
      <c r="G123" s="391"/>
      <c r="H123" s="391"/>
      <c r="I123" s="391"/>
      <c r="J123" s="391"/>
      <c r="K123" s="391"/>
      <c r="L123" s="391"/>
      <c r="M123" s="391"/>
      <c r="N123" s="392"/>
      <c r="O123" s="34"/>
    </row>
    <row r="124" spans="1:15" s="3" customFormat="1" ht="21" hidden="1" thickBot="1" x14ac:dyDescent="0.45">
      <c r="A124" s="393" t="s">
        <v>157</v>
      </c>
      <c r="B124" s="394"/>
      <c r="C124" s="394"/>
      <c r="D124" s="394"/>
      <c r="E124" s="394"/>
      <c r="F124" s="394"/>
      <c r="G124" s="394"/>
      <c r="H124" s="394"/>
      <c r="I124" s="394"/>
      <c r="J124" s="394"/>
      <c r="K124" s="394"/>
      <c r="L124" s="394"/>
      <c r="M124" s="394"/>
      <c r="N124" s="395"/>
      <c r="O124" s="34"/>
    </row>
    <row r="125" spans="1:15" s="3" customFormat="1" ht="15.75" hidden="1" customHeight="1" x14ac:dyDescent="0.4">
      <c r="A125" s="204"/>
      <c r="B125" s="202"/>
      <c r="C125" s="202"/>
      <c r="D125" s="203"/>
      <c r="E125" s="203"/>
      <c r="F125" s="203"/>
      <c r="G125" s="203"/>
      <c r="H125" s="203"/>
      <c r="I125" s="203"/>
      <c r="J125" s="203"/>
      <c r="K125" s="203"/>
      <c r="L125" s="203"/>
      <c r="M125" s="203"/>
      <c r="N125" s="205"/>
      <c r="O125" s="34"/>
    </row>
    <row r="126" spans="1:15" s="3" customFormat="1" ht="15.75" hidden="1" customHeight="1" thickBot="1" x14ac:dyDescent="0.5">
      <c r="A126" s="206"/>
      <c r="B126" s="207"/>
      <c r="C126" s="207"/>
      <c r="D126" s="208" t="s">
        <v>158</v>
      </c>
      <c r="E126" s="209"/>
      <c r="F126" s="210" t="s">
        <v>159</v>
      </c>
      <c r="G126" s="396"/>
      <c r="H126" s="396"/>
      <c r="I126" s="211"/>
      <c r="J126" s="211"/>
      <c r="K126" s="211"/>
      <c r="L126" s="211"/>
      <c r="M126" s="211"/>
      <c r="N126" s="212"/>
      <c r="O126" s="34"/>
    </row>
    <row r="127" spans="1:15" s="3" customFormat="1" ht="15.75" hidden="1" customHeight="1" x14ac:dyDescent="0.4">
      <c r="A127" s="213"/>
      <c r="B127" s="5"/>
      <c r="C127" s="5"/>
      <c r="D127" s="214" t="s">
        <v>160</v>
      </c>
      <c r="E127" s="5"/>
      <c r="F127" s="215">
        <v>8867998.6400000006</v>
      </c>
      <c r="G127" s="380"/>
      <c r="H127" s="380"/>
      <c r="I127" s="203"/>
      <c r="J127" s="203"/>
      <c r="K127" s="203"/>
      <c r="L127" s="203"/>
      <c r="M127" s="203"/>
      <c r="N127" s="205"/>
      <c r="O127" s="34"/>
    </row>
    <row r="128" spans="1:15" s="3" customFormat="1" ht="15.75" hidden="1" customHeight="1" x14ac:dyDescent="0.4">
      <c r="A128" s="216"/>
      <c r="B128" s="217"/>
      <c r="C128" s="217"/>
      <c r="D128" s="218" t="s">
        <v>161</v>
      </c>
      <c r="E128" s="217"/>
      <c r="F128" s="219">
        <v>4349.99</v>
      </c>
      <c r="G128" s="396"/>
      <c r="H128" s="396"/>
      <c r="I128" s="211"/>
      <c r="J128" s="211"/>
      <c r="K128" s="211"/>
      <c r="L128" s="211"/>
      <c r="M128" s="211"/>
      <c r="N128" s="212"/>
      <c r="O128" s="34"/>
    </row>
    <row r="129" spans="1:15" s="3" customFormat="1" ht="15.75" hidden="1" customHeight="1" x14ac:dyDescent="0.4">
      <c r="A129" s="213"/>
      <c r="B129" s="5"/>
      <c r="C129" s="5"/>
      <c r="D129" s="214" t="s">
        <v>162</v>
      </c>
      <c r="E129" s="5"/>
      <c r="F129" s="215">
        <v>23092974.5</v>
      </c>
      <c r="G129" s="396"/>
      <c r="H129" s="396"/>
      <c r="I129" s="211"/>
      <c r="J129" s="211"/>
      <c r="K129" s="211"/>
      <c r="L129" s="211"/>
      <c r="M129" s="211"/>
      <c r="N129" s="212"/>
      <c r="O129" s="34"/>
    </row>
    <row r="130" spans="1:15" s="3" customFormat="1" ht="15.75" hidden="1" customHeight="1" x14ac:dyDescent="0.4">
      <c r="A130" s="216"/>
      <c r="B130" s="217"/>
      <c r="C130" s="217"/>
      <c r="D130" s="218" t="s">
        <v>163</v>
      </c>
      <c r="E130" s="220"/>
      <c r="F130" s="221">
        <v>27642000</v>
      </c>
      <c r="G130" s="396"/>
      <c r="H130" s="396"/>
      <c r="I130" s="211"/>
      <c r="J130" s="211"/>
      <c r="K130" s="211"/>
      <c r="L130" s="211"/>
      <c r="M130" s="211"/>
      <c r="N130" s="212"/>
      <c r="O130" s="34"/>
    </row>
    <row r="131" spans="1:15" s="3" customFormat="1" ht="15.75" hidden="1" customHeight="1" x14ac:dyDescent="0.4">
      <c r="A131" s="222"/>
      <c r="B131" s="5"/>
      <c r="C131" s="5"/>
      <c r="D131" s="223" t="s">
        <v>164</v>
      </c>
      <c r="E131" s="5"/>
      <c r="F131" s="224">
        <f>SUM(F127:F130)</f>
        <v>59607323.130000003</v>
      </c>
      <c r="G131" s="396"/>
      <c r="H131" s="396"/>
      <c r="I131" s="211"/>
      <c r="J131" s="211"/>
      <c r="K131" s="211"/>
      <c r="L131" s="211"/>
      <c r="M131" s="211"/>
      <c r="N131" s="212"/>
      <c r="O131" s="34"/>
    </row>
    <row r="132" spans="1:15" ht="15.75" hidden="1" customHeight="1" x14ac:dyDescent="0.4">
      <c r="A132" s="216"/>
      <c r="B132" s="225"/>
      <c r="C132" s="225"/>
      <c r="D132" s="218"/>
      <c r="E132" s="226"/>
      <c r="F132" s="219"/>
      <c r="G132" s="309"/>
      <c r="H132" s="227"/>
      <c r="I132" s="211"/>
      <c r="J132" s="211"/>
      <c r="K132" s="211"/>
      <c r="L132" s="211"/>
      <c r="M132" s="211"/>
      <c r="N132" s="212"/>
      <c r="O132" s="34"/>
    </row>
    <row r="133" spans="1:15" ht="15.75" hidden="1" customHeight="1" x14ac:dyDescent="0.4">
      <c r="A133" s="216"/>
      <c r="B133" s="225"/>
      <c r="C133" s="225"/>
      <c r="D133" s="218" t="s">
        <v>165</v>
      </c>
      <c r="E133" s="226"/>
      <c r="F133" s="219">
        <f>L13</f>
        <v>44840090</v>
      </c>
      <c r="G133" s="397"/>
      <c r="H133" s="397"/>
      <c r="I133" s="211"/>
      <c r="J133" s="211"/>
      <c r="K133" s="211"/>
      <c r="L133" s="211"/>
      <c r="M133" s="211"/>
      <c r="N133" s="212"/>
      <c r="O133" s="34"/>
    </row>
    <row r="134" spans="1:15" ht="15.75" hidden="1" customHeight="1" x14ac:dyDescent="0.4">
      <c r="A134" s="228"/>
      <c r="B134" s="229"/>
      <c r="C134" s="229"/>
      <c r="D134" s="214" t="s">
        <v>166</v>
      </c>
      <c r="E134" s="6"/>
      <c r="F134" s="215">
        <v>2672381</v>
      </c>
      <c r="G134" s="396"/>
      <c r="H134" s="396"/>
      <c r="I134" s="211"/>
      <c r="J134" s="211"/>
      <c r="K134" s="211"/>
      <c r="L134" s="211"/>
      <c r="M134" s="211"/>
      <c r="N134" s="212"/>
      <c r="O134" s="34"/>
    </row>
    <row r="135" spans="1:15" ht="15.75" hidden="1" customHeight="1" x14ac:dyDescent="0.4">
      <c r="A135" s="216"/>
      <c r="B135" s="225"/>
      <c r="C135" s="225"/>
      <c r="D135" s="218" t="s">
        <v>167</v>
      </c>
      <c r="E135" s="230"/>
      <c r="F135" s="221">
        <v>3230000</v>
      </c>
      <c r="G135" s="396"/>
      <c r="H135" s="396"/>
      <c r="I135" s="211"/>
      <c r="J135" s="211"/>
      <c r="K135" s="211"/>
      <c r="L135" s="211"/>
      <c r="M135" s="211"/>
      <c r="N135" s="212"/>
      <c r="O135" s="34"/>
    </row>
    <row r="136" spans="1:15" ht="15.75" hidden="1" customHeight="1" x14ac:dyDescent="0.4">
      <c r="A136" s="222"/>
      <c r="B136" s="229"/>
      <c r="C136" s="229"/>
      <c r="D136" s="223" t="s">
        <v>168</v>
      </c>
      <c r="E136" s="6"/>
      <c r="F136" s="224">
        <f>SUM(F133:F135)</f>
        <v>50742471</v>
      </c>
      <c r="G136" s="396"/>
      <c r="H136" s="396"/>
      <c r="I136" s="203"/>
      <c r="J136" s="203"/>
      <c r="K136" s="203"/>
      <c r="L136" s="203"/>
      <c r="M136" s="203"/>
      <c r="N136" s="205"/>
      <c r="O136" s="34"/>
    </row>
    <row r="137" spans="1:15" ht="15.75" hidden="1" customHeight="1" x14ac:dyDescent="0.4">
      <c r="A137" s="231"/>
      <c r="B137" s="225"/>
      <c r="C137" s="225"/>
      <c r="D137" s="232"/>
      <c r="E137" s="233"/>
      <c r="F137" s="234"/>
      <c r="G137" s="396"/>
      <c r="H137" s="396"/>
      <c r="I137" s="211"/>
      <c r="J137" s="211"/>
      <c r="K137" s="211"/>
      <c r="L137" s="211"/>
      <c r="M137" s="211"/>
      <c r="N137" s="212"/>
      <c r="O137" s="34"/>
    </row>
    <row r="138" spans="1:15" ht="17.149999999999999" hidden="1" customHeight="1" thickBot="1" x14ac:dyDescent="0.5">
      <c r="A138" s="235"/>
      <c r="B138" s="236"/>
      <c r="C138" s="236"/>
      <c r="D138" s="237" t="s">
        <v>169</v>
      </c>
      <c r="E138" s="238"/>
      <c r="F138" s="239">
        <f>F131-F136</f>
        <v>8864852.1300000027</v>
      </c>
      <c r="G138" s="240"/>
      <c r="H138" s="240"/>
      <c r="I138" s="240"/>
      <c r="J138" s="240"/>
      <c r="K138" s="240"/>
      <c r="L138" s="240"/>
      <c r="M138" s="240"/>
      <c r="N138" s="241"/>
      <c r="O138" s="34"/>
    </row>
    <row r="139" spans="1:15" hidden="1" x14ac:dyDescent="0.4">
      <c r="C139" s="243"/>
      <c r="D139" s="243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34"/>
    </row>
    <row r="140" spans="1:15" hidden="1" x14ac:dyDescent="0.4">
      <c r="B140" s="243"/>
      <c r="C140" s="243"/>
      <c r="D140" s="203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34"/>
    </row>
    <row r="141" spans="1:15" hidden="1" x14ac:dyDescent="0.4">
      <c r="B141" s="243"/>
      <c r="C141" s="243"/>
      <c r="D141" s="203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34"/>
    </row>
    <row r="142" spans="1:15" hidden="1" x14ac:dyDescent="0.4">
      <c r="B142" s="243"/>
      <c r="C142" s="243"/>
      <c r="D142" s="203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34"/>
    </row>
    <row r="143" spans="1:15" hidden="1" x14ac:dyDescent="0.4">
      <c r="B143" s="243"/>
      <c r="C143" s="243"/>
      <c r="D143" s="203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34"/>
    </row>
    <row r="144" spans="1:15" hidden="1" x14ac:dyDescent="0.4">
      <c r="A144"/>
      <c r="B144" s="243"/>
      <c r="C144" s="243"/>
      <c r="D144" s="203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34"/>
    </row>
    <row r="145" spans="1:15" hidden="1" x14ac:dyDescent="0.4">
      <c r="A145"/>
      <c r="B145" s="243"/>
      <c r="C145" s="243"/>
      <c r="D145" s="203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34"/>
    </row>
    <row r="146" spans="1:15" hidden="1" x14ac:dyDescent="0.4">
      <c r="A146"/>
      <c r="B146" s="243"/>
      <c r="C146" s="243"/>
      <c r="D146" s="203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34"/>
    </row>
    <row r="147" spans="1:15" hidden="1" x14ac:dyDescent="0.4">
      <c r="A147"/>
      <c r="B147" s="243"/>
      <c r="C147" s="243"/>
      <c r="D147" s="203"/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34"/>
    </row>
    <row r="148" spans="1:15" hidden="1" x14ac:dyDescent="0.4">
      <c r="A148"/>
      <c r="B148" s="243"/>
      <c r="C148" s="243"/>
      <c r="D148" s="203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34"/>
    </row>
    <row r="149" spans="1:15" hidden="1" x14ac:dyDescent="0.4">
      <c r="A149"/>
      <c r="B149" s="243"/>
      <c r="C149" s="243"/>
      <c r="D149" s="203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34"/>
    </row>
    <row r="150" spans="1:15" hidden="1" x14ac:dyDescent="0.4">
      <c r="A150"/>
      <c r="B150" s="243"/>
      <c r="C150" s="243"/>
      <c r="D150" s="203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34"/>
    </row>
    <row r="151" spans="1:15" x14ac:dyDescent="0.4">
      <c r="A151" t="s">
        <v>170</v>
      </c>
      <c r="B151" s="243"/>
      <c r="C151" s="243"/>
      <c r="D151" s="203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34"/>
    </row>
    <row r="152" spans="1:15" x14ac:dyDescent="0.4">
      <c r="A152" t="s">
        <v>171</v>
      </c>
      <c r="B152" s="243"/>
      <c r="C152" s="243"/>
      <c r="D152" s="203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</row>
    <row r="153" spans="1:15" x14ac:dyDescent="0.4">
      <c r="A153" t="s">
        <v>172</v>
      </c>
      <c r="B153" s="243"/>
      <c r="C153" s="243"/>
      <c r="D153" s="203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34"/>
    </row>
    <row r="154" spans="1:15" x14ac:dyDescent="0.4">
      <c r="A154" t="s">
        <v>173</v>
      </c>
      <c r="B154" s="243"/>
      <c r="C154" s="243"/>
      <c r="D154" s="203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</row>
  </sheetData>
  <mergeCells count="41">
    <mergeCell ref="G135:H135"/>
    <mergeCell ref="G136:H136"/>
    <mergeCell ref="G137:H137"/>
    <mergeCell ref="G128:H128"/>
    <mergeCell ref="G129:H129"/>
    <mergeCell ref="G130:H130"/>
    <mergeCell ref="G131:H131"/>
    <mergeCell ref="G133:H133"/>
    <mergeCell ref="G134:H134"/>
    <mergeCell ref="G127:H127"/>
    <mergeCell ref="B53:N53"/>
    <mergeCell ref="B54:N54"/>
    <mergeCell ref="B88:N88"/>
    <mergeCell ref="B95:N95"/>
    <mergeCell ref="B110:N110"/>
    <mergeCell ref="B113:N113"/>
    <mergeCell ref="B116:N116"/>
    <mergeCell ref="A122:N122"/>
    <mergeCell ref="A123:N123"/>
    <mergeCell ref="A124:N124"/>
    <mergeCell ref="G126:H126"/>
    <mergeCell ref="B18:N18"/>
    <mergeCell ref="A7:B7"/>
    <mergeCell ref="D7:D8"/>
    <mergeCell ref="E7:E8"/>
    <mergeCell ref="F7:F8"/>
    <mergeCell ref="H7:H8"/>
    <mergeCell ref="I7:I8"/>
    <mergeCell ref="J7:J8"/>
    <mergeCell ref="L7:L8"/>
    <mergeCell ref="M7:M8"/>
    <mergeCell ref="N7:N8"/>
    <mergeCell ref="B17:N17"/>
    <mergeCell ref="A1:O1"/>
    <mergeCell ref="A2:O2"/>
    <mergeCell ref="A3:O3"/>
    <mergeCell ref="B5:N5"/>
    <mergeCell ref="A6:B6"/>
    <mergeCell ref="D6:G6"/>
    <mergeCell ref="H6:J6"/>
    <mergeCell ref="L6:N6"/>
  </mergeCells>
  <conditionalFormatting sqref="F138">
    <cfRule type="cellIs" dxfId="1" priority="1" operator="lessThan">
      <formula>0</formula>
    </cfRule>
  </conditionalFormatting>
  <printOptions horizontalCentered="1"/>
  <pageMargins left="0.2" right="0.2" top="0.25" bottom="0.15" header="0.3" footer="0.3"/>
  <pageSetup paperSize="17" scale="65" orientation="portrait" r:id="rId1"/>
  <rowBreaks count="1" manualBreakCount="1">
    <brk id="117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P54"/>
  <sheetViews>
    <sheetView topLeftCell="B1" workbookViewId="0">
      <selection activeCell="H31" sqref="H31"/>
    </sheetView>
  </sheetViews>
  <sheetFormatPr defaultRowHeight="14.6" x14ac:dyDescent="0.4"/>
  <cols>
    <col min="1" max="1" width="38.69140625" customWidth="1"/>
    <col min="2" max="2" width="12.3046875" bestFit="1" customWidth="1"/>
    <col min="3" max="4" width="12.3046875" customWidth="1"/>
    <col min="5" max="5" width="10.69140625" bestFit="1" customWidth="1"/>
    <col min="6" max="6" width="11.69140625" customWidth="1"/>
    <col min="7" max="7" width="0.3046875" customWidth="1"/>
    <col min="8" max="8" width="43.3046875" bestFit="1" customWidth="1"/>
    <col min="9" max="10" width="11.15234375" bestFit="1" customWidth="1"/>
    <col min="11" max="11" width="10.69140625" bestFit="1" customWidth="1"/>
    <col min="12" max="12" width="11.15234375" bestFit="1" customWidth="1"/>
    <col min="13" max="13" width="11.15234375" customWidth="1"/>
    <col min="14" max="14" width="11.15234375" bestFit="1" customWidth="1"/>
    <col min="15" max="15" width="12.69140625" bestFit="1" customWidth="1"/>
  </cols>
  <sheetData>
    <row r="1" spans="1:15" ht="18.45" x14ac:dyDescent="0.5">
      <c r="A1" s="398" t="s">
        <v>180</v>
      </c>
      <c r="B1" s="398"/>
      <c r="C1" s="398"/>
      <c r="D1" s="398"/>
      <c r="E1" s="398"/>
      <c r="F1" s="398"/>
      <c r="G1" s="280"/>
      <c r="H1" s="399" t="s">
        <v>181</v>
      </c>
      <c r="I1" s="399"/>
      <c r="J1" s="399"/>
      <c r="K1" s="399"/>
      <c r="L1" s="399"/>
      <c r="M1" s="399"/>
      <c r="N1" s="399"/>
    </row>
    <row r="2" spans="1:15" x14ac:dyDescent="0.4">
      <c r="G2" s="280"/>
    </row>
    <row r="3" spans="1:15" ht="15.9" x14ac:dyDescent="0.45">
      <c r="A3" s="1" t="s">
        <v>182</v>
      </c>
      <c r="B3" s="271" t="s">
        <v>4</v>
      </c>
      <c r="C3" s="271" t="s">
        <v>183</v>
      </c>
      <c r="D3" s="271" t="s">
        <v>184</v>
      </c>
      <c r="E3" s="271" t="s">
        <v>185</v>
      </c>
      <c r="F3" s="308" t="s">
        <v>186</v>
      </c>
      <c r="G3" s="280"/>
      <c r="H3" s="1" t="s">
        <v>182</v>
      </c>
      <c r="I3" s="271" t="s">
        <v>4</v>
      </c>
      <c r="J3" s="271" t="s">
        <v>183</v>
      </c>
      <c r="K3" s="271" t="s">
        <v>184</v>
      </c>
      <c r="L3" s="271" t="s">
        <v>185</v>
      </c>
      <c r="M3" s="271" t="s">
        <v>187</v>
      </c>
      <c r="N3" s="308" t="s">
        <v>186</v>
      </c>
    </row>
    <row r="4" spans="1:15" x14ac:dyDescent="0.4">
      <c r="A4" s="272" t="s">
        <v>188</v>
      </c>
      <c r="B4" s="273">
        <f>F4-C4</f>
        <v>47389240</v>
      </c>
      <c r="C4" s="273">
        <v>11002760</v>
      </c>
      <c r="D4" s="273"/>
      <c r="F4" s="273">
        <v>58392000</v>
      </c>
      <c r="G4" s="280"/>
      <c r="H4" s="272" t="s">
        <v>188</v>
      </c>
      <c r="I4" s="273">
        <v>43112619</v>
      </c>
      <c r="J4" s="273">
        <v>2672381</v>
      </c>
      <c r="K4" s="273">
        <v>130000</v>
      </c>
      <c r="L4" s="273">
        <v>5000000</v>
      </c>
      <c r="M4" s="273">
        <v>5679000</v>
      </c>
      <c r="N4" s="273">
        <f>SUM(I4:M4)</f>
        <v>56594000</v>
      </c>
      <c r="O4" s="273">
        <v>56594000</v>
      </c>
    </row>
    <row r="5" spans="1:15" x14ac:dyDescent="0.4">
      <c r="A5" s="272"/>
      <c r="B5" s="273"/>
      <c r="C5" s="273"/>
      <c r="D5" s="273"/>
      <c r="G5" s="280"/>
      <c r="H5" s="273"/>
      <c r="I5" s="273"/>
      <c r="J5" s="273"/>
      <c r="K5" s="273"/>
      <c r="L5" s="273"/>
      <c r="M5" s="273"/>
      <c r="N5" s="273"/>
      <c r="O5" s="273"/>
    </row>
    <row r="6" spans="1:15" x14ac:dyDescent="0.4">
      <c r="A6" s="272" t="s">
        <v>189</v>
      </c>
      <c r="B6" s="273"/>
      <c r="C6" s="273"/>
      <c r="D6" s="273"/>
      <c r="G6" s="280"/>
      <c r="H6" s="273"/>
      <c r="I6" s="273"/>
      <c r="J6" s="273"/>
      <c r="K6" s="273"/>
      <c r="L6" s="273"/>
      <c r="M6" s="273"/>
      <c r="N6" s="273"/>
      <c r="O6" s="273"/>
    </row>
    <row r="7" spans="1:15" x14ac:dyDescent="0.4">
      <c r="A7" s="272" t="s">
        <v>190</v>
      </c>
      <c r="C7" s="273">
        <v>-10842000</v>
      </c>
      <c r="D7" s="273"/>
      <c r="G7" s="280"/>
      <c r="H7" s="272" t="s">
        <v>189</v>
      </c>
      <c r="I7" s="273"/>
      <c r="J7" s="273"/>
      <c r="K7" s="273"/>
      <c r="L7" s="273"/>
      <c r="M7" s="273"/>
      <c r="N7" s="273"/>
      <c r="O7" s="273"/>
    </row>
    <row r="8" spans="1:15" x14ac:dyDescent="0.4">
      <c r="A8" s="272" t="s">
        <v>191</v>
      </c>
      <c r="B8" s="273">
        <v>-8000000</v>
      </c>
      <c r="C8" s="273"/>
      <c r="D8" s="273"/>
      <c r="G8" s="280"/>
      <c r="H8" s="272" t="s">
        <v>192</v>
      </c>
      <c r="L8" s="273">
        <v>-5000000</v>
      </c>
      <c r="M8" s="273"/>
      <c r="N8" s="273"/>
      <c r="O8" s="273">
        <v>-5000000</v>
      </c>
    </row>
    <row r="9" spans="1:15" ht="16.3" x14ac:dyDescent="0.4">
      <c r="A9" s="272" t="s">
        <v>193</v>
      </c>
      <c r="C9" s="273">
        <v>7000</v>
      </c>
      <c r="D9" s="273"/>
      <c r="G9" s="280"/>
      <c r="H9" s="269" t="s">
        <v>194</v>
      </c>
      <c r="J9" s="273">
        <v>-8606000</v>
      </c>
      <c r="L9" s="273"/>
      <c r="O9" s="273">
        <v>-8606000</v>
      </c>
    </row>
    <row r="10" spans="1:15" x14ac:dyDescent="0.4">
      <c r="A10" s="272" t="s">
        <v>195</v>
      </c>
      <c r="C10" s="273">
        <v>-19000</v>
      </c>
      <c r="D10" s="273"/>
      <c r="G10" s="280"/>
      <c r="H10" s="269" t="s">
        <v>196</v>
      </c>
      <c r="I10" s="273"/>
      <c r="J10" s="273"/>
      <c r="K10" s="273">
        <v>-130000</v>
      </c>
      <c r="M10" s="273"/>
      <c r="N10" s="273"/>
      <c r="O10" s="273">
        <v>-130000</v>
      </c>
    </row>
    <row r="11" spans="1:15" x14ac:dyDescent="0.4">
      <c r="A11" s="272" t="s">
        <v>197</v>
      </c>
      <c r="C11" s="273">
        <v>-4000</v>
      </c>
      <c r="D11" s="273"/>
      <c r="G11" s="280"/>
      <c r="H11" s="269" t="s">
        <v>198</v>
      </c>
      <c r="I11" s="273"/>
      <c r="J11" s="273">
        <v>43000</v>
      </c>
      <c r="K11" s="273"/>
      <c r="L11" s="273"/>
      <c r="M11" s="273"/>
      <c r="N11" s="273"/>
      <c r="O11" s="273">
        <v>43000</v>
      </c>
    </row>
    <row r="12" spans="1:15" x14ac:dyDescent="0.4">
      <c r="A12" s="272" t="s">
        <v>199</v>
      </c>
      <c r="C12" s="273">
        <v>1000</v>
      </c>
      <c r="D12" s="273"/>
      <c r="G12" s="280"/>
      <c r="H12" s="269" t="s">
        <v>200</v>
      </c>
      <c r="I12" s="273">
        <f>39000*10%</f>
        <v>3900</v>
      </c>
      <c r="J12" s="273">
        <f>39000*90%</f>
        <v>35100</v>
      </c>
      <c r="K12" s="273"/>
      <c r="L12" s="273"/>
      <c r="M12" s="273"/>
      <c r="N12" s="273"/>
      <c r="O12" s="273">
        <v>39000</v>
      </c>
    </row>
    <row r="13" spans="1:15" ht="16.3" x14ac:dyDescent="0.4">
      <c r="A13" s="272" t="s">
        <v>201</v>
      </c>
      <c r="B13" s="281"/>
      <c r="C13" s="282">
        <v>43000</v>
      </c>
      <c r="D13" s="282"/>
      <c r="E13" s="281"/>
      <c r="F13" s="281"/>
      <c r="G13" s="280"/>
      <c r="H13" s="269" t="s">
        <v>202</v>
      </c>
      <c r="I13" s="273"/>
      <c r="J13" s="273">
        <v>7018000</v>
      </c>
      <c r="L13" s="273"/>
      <c r="M13" s="273"/>
      <c r="N13" s="273"/>
      <c r="O13" s="273">
        <v>7018000</v>
      </c>
    </row>
    <row r="14" spans="1:15" x14ac:dyDescent="0.4">
      <c r="A14" s="272" t="s">
        <v>203</v>
      </c>
      <c r="B14" s="273">
        <f>SUM(B4:B13)</f>
        <v>39389240</v>
      </c>
      <c r="C14" s="273">
        <f>SUM(C4:C13)</f>
        <v>188760</v>
      </c>
      <c r="D14" s="273"/>
      <c r="F14" s="274">
        <f>SUM(B14:E14)</f>
        <v>39578000</v>
      </c>
      <c r="G14" s="280"/>
      <c r="H14" s="269" t="s">
        <v>204</v>
      </c>
      <c r="I14" s="273"/>
      <c r="J14" s="273">
        <v>4000</v>
      </c>
      <c r="K14" s="273"/>
      <c r="L14" s="273"/>
      <c r="M14" s="273"/>
      <c r="N14" s="273"/>
      <c r="O14" s="273">
        <v>4000</v>
      </c>
    </row>
    <row r="15" spans="1:15" x14ac:dyDescent="0.4">
      <c r="A15" s="272"/>
      <c r="B15" s="273"/>
      <c r="C15" s="273"/>
      <c r="D15" s="273"/>
      <c r="G15" s="280"/>
      <c r="H15" s="269" t="s">
        <v>205</v>
      </c>
      <c r="I15" s="273">
        <f>68000*0.2</f>
        <v>13600</v>
      </c>
      <c r="J15" s="273">
        <f>68000*0.8</f>
        <v>54400</v>
      </c>
      <c r="K15" s="273"/>
      <c r="L15" s="273"/>
      <c r="M15" s="273"/>
      <c r="N15" s="273"/>
      <c r="O15" s="273">
        <v>68000</v>
      </c>
    </row>
    <row r="16" spans="1:15" x14ac:dyDescent="0.4">
      <c r="A16" s="272" t="s">
        <v>206</v>
      </c>
      <c r="B16" s="273"/>
      <c r="C16" s="273"/>
      <c r="D16" s="273"/>
      <c r="G16" s="280"/>
      <c r="H16" s="269" t="s">
        <v>207</v>
      </c>
      <c r="I16" s="273"/>
      <c r="J16" s="273">
        <v>-21000</v>
      </c>
      <c r="K16" s="273"/>
      <c r="L16" s="273"/>
      <c r="M16" s="273"/>
      <c r="N16" s="273"/>
      <c r="O16" s="273">
        <v>-21000</v>
      </c>
    </row>
    <row r="17" spans="1:16" x14ac:dyDescent="0.4">
      <c r="A17" s="272" t="s">
        <v>208</v>
      </c>
      <c r="B17" s="273">
        <v>13600</v>
      </c>
      <c r="C17" s="273">
        <f>81000-B17</f>
        <v>67400</v>
      </c>
      <c r="D17" s="273"/>
      <c r="G17" s="280"/>
      <c r="H17" s="269" t="s">
        <v>209</v>
      </c>
      <c r="I17" s="273"/>
      <c r="J17" s="273"/>
      <c r="K17" s="273"/>
      <c r="L17" s="273"/>
      <c r="M17" s="273">
        <v>-5679000</v>
      </c>
      <c r="N17" s="273"/>
      <c r="O17" s="282">
        <v>-5679000</v>
      </c>
    </row>
    <row r="18" spans="1:16" x14ac:dyDescent="0.4">
      <c r="A18" s="272" t="s">
        <v>210</v>
      </c>
      <c r="B18" s="273"/>
      <c r="C18" s="273">
        <v>-19000</v>
      </c>
      <c r="D18" s="273"/>
      <c r="G18" s="280"/>
      <c r="H18" s="270" t="s">
        <v>211</v>
      </c>
      <c r="I18" s="277">
        <f>SUM(I4:I17)</f>
        <v>43130119</v>
      </c>
      <c r="J18" s="277">
        <f t="shared" ref="J18:M18" si="0">SUM(J4:J17)</f>
        <v>1199881</v>
      </c>
      <c r="K18" s="277">
        <f t="shared" si="0"/>
        <v>0</v>
      </c>
      <c r="L18" s="277">
        <f t="shared" si="0"/>
        <v>0</v>
      </c>
      <c r="M18" s="277">
        <f t="shared" si="0"/>
        <v>0</v>
      </c>
      <c r="N18" s="277">
        <f>SUM(I18:M18)</f>
        <v>44330000</v>
      </c>
      <c r="O18" s="288">
        <f>SUM(O4:O17)</f>
        <v>44330000</v>
      </c>
    </row>
    <row r="19" spans="1:16" x14ac:dyDescent="0.4">
      <c r="A19" s="272" t="s">
        <v>212</v>
      </c>
      <c r="B19" s="273"/>
      <c r="C19" s="273">
        <v>-28000</v>
      </c>
      <c r="D19" s="273"/>
      <c r="G19" s="280"/>
      <c r="I19" s="273"/>
      <c r="J19" s="273"/>
      <c r="K19" s="273"/>
      <c r="L19" s="273"/>
      <c r="M19" s="273"/>
      <c r="N19" s="273"/>
      <c r="O19" s="273"/>
    </row>
    <row r="20" spans="1:16" x14ac:dyDescent="0.4">
      <c r="A20" s="272" t="s">
        <v>213</v>
      </c>
      <c r="B20" s="273"/>
      <c r="C20" s="273">
        <v>3000</v>
      </c>
      <c r="D20" s="273"/>
      <c r="G20" s="280"/>
      <c r="H20" s="269" t="s">
        <v>214</v>
      </c>
      <c r="I20" s="273">
        <v>5389000</v>
      </c>
      <c r="J20" s="273"/>
      <c r="K20" s="273"/>
      <c r="L20" s="273"/>
      <c r="M20" s="273"/>
      <c r="N20" s="273"/>
      <c r="O20" s="273"/>
    </row>
    <row r="21" spans="1:16" x14ac:dyDescent="0.4">
      <c r="A21" s="272" t="s">
        <v>193</v>
      </c>
      <c r="B21" s="273"/>
      <c r="C21" s="273">
        <v>61000</v>
      </c>
      <c r="D21" s="273"/>
      <c r="G21" s="280"/>
      <c r="H21" s="270" t="s">
        <v>215</v>
      </c>
      <c r="I21" s="277">
        <f>SUM(I18:I20)</f>
        <v>48519119</v>
      </c>
      <c r="J21" s="277">
        <f>SUM(J18:J20)</f>
        <v>1199881</v>
      </c>
      <c r="K21" s="277">
        <f>SUM(K18:K20)</f>
        <v>0</v>
      </c>
      <c r="L21" s="277">
        <f>SUM(L18:L20)</f>
        <v>0</v>
      </c>
      <c r="M21" s="277">
        <f>SUM(M18:M20)</f>
        <v>0</v>
      </c>
      <c r="N21" s="277">
        <f>SUM(I21:M21)</f>
        <v>49719000</v>
      </c>
      <c r="O21" s="273"/>
    </row>
    <row r="22" spans="1:16" x14ac:dyDescent="0.4">
      <c r="A22" s="272" t="s">
        <v>216</v>
      </c>
      <c r="B22" s="273"/>
      <c r="C22" s="273">
        <v>-8000</v>
      </c>
      <c r="D22" s="273"/>
      <c r="G22" s="280"/>
      <c r="I22" s="273"/>
      <c r="J22" s="273"/>
      <c r="K22" s="273"/>
      <c r="L22" s="273"/>
      <c r="M22" s="273"/>
      <c r="N22" s="273"/>
      <c r="O22" s="273"/>
    </row>
    <row r="23" spans="1:16" x14ac:dyDescent="0.4">
      <c r="A23" s="272" t="s">
        <v>195</v>
      </c>
      <c r="C23" s="273">
        <v>-4000</v>
      </c>
      <c r="D23" s="273"/>
      <c r="G23" s="280"/>
      <c r="H23" s="269" t="s">
        <v>217</v>
      </c>
      <c r="I23" s="273">
        <f>27000*7%</f>
        <v>1890.0000000000002</v>
      </c>
      <c r="J23" s="273">
        <f>27000*93%</f>
        <v>25110</v>
      </c>
      <c r="K23" s="273"/>
      <c r="L23" s="273"/>
      <c r="M23" s="273"/>
      <c r="N23" s="273"/>
      <c r="O23" s="282">
        <v>27000</v>
      </c>
    </row>
    <row r="24" spans="1:16" x14ac:dyDescent="0.4">
      <c r="A24" s="272" t="s">
        <v>197</v>
      </c>
      <c r="B24" s="273"/>
      <c r="C24" s="273">
        <v>-34000</v>
      </c>
      <c r="D24" s="273"/>
      <c r="G24" s="280"/>
      <c r="H24" s="270" t="s">
        <v>218</v>
      </c>
      <c r="I24" s="277">
        <f>SUM(I21:I23)</f>
        <v>48521009</v>
      </c>
      <c r="J24" s="277">
        <f t="shared" ref="J24:M24" si="1">SUM(J21:J23)</f>
        <v>1224991</v>
      </c>
      <c r="K24" s="277">
        <f t="shared" si="1"/>
        <v>0</v>
      </c>
      <c r="L24" s="277">
        <f t="shared" si="1"/>
        <v>0</v>
      </c>
      <c r="M24" s="277">
        <f t="shared" si="1"/>
        <v>0</v>
      </c>
      <c r="N24" s="277">
        <f>SUM(I24:M24)</f>
        <v>49746000</v>
      </c>
      <c r="O24" s="295">
        <f>SUM(O18:O23)</f>
        <v>44357000</v>
      </c>
    </row>
    <row r="25" spans="1:16" x14ac:dyDescent="0.4">
      <c r="A25" s="272" t="s">
        <v>219</v>
      </c>
      <c r="B25" s="273"/>
      <c r="C25" s="273">
        <v>16000</v>
      </c>
      <c r="D25" s="273"/>
      <c r="G25" s="280"/>
      <c r="I25" s="273"/>
      <c r="J25" s="273"/>
      <c r="K25" s="273"/>
      <c r="L25" s="273"/>
      <c r="M25" s="273"/>
      <c r="N25" s="273"/>
      <c r="O25" s="273"/>
    </row>
    <row r="26" spans="1:16" x14ac:dyDescent="0.4">
      <c r="A26" s="272" t="s">
        <v>220</v>
      </c>
      <c r="B26" s="273"/>
      <c r="C26" s="273">
        <v>92000</v>
      </c>
      <c r="D26" s="273"/>
      <c r="G26" s="280"/>
      <c r="H26" s="269" t="s">
        <v>214</v>
      </c>
      <c r="O26" s="273">
        <v>7882000</v>
      </c>
    </row>
    <row r="27" spans="1:16" x14ac:dyDescent="0.4">
      <c r="A27" s="272" t="s">
        <v>221</v>
      </c>
      <c r="B27" s="273">
        <v>12960</v>
      </c>
      <c r="C27" s="273">
        <f>194000-B27</f>
        <v>181040</v>
      </c>
      <c r="D27" s="273"/>
      <c r="G27" s="280"/>
      <c r="O27" s="273"/>
      <c r="P27" s="274"/>
    </row>
    <row r="28" spans="1:16" x14ac:dyDescent="0.4">
      <c r="A28" s="272" t="s">
        <v>222</v>
      </c>
      <c r="B28" s="282">
        <v>3616000</v>
      </c>
      <c r="C28" s="282"/>
      <c r="D28" s="282"/>
      <c r="E28" s="281"/>
      <c r="F28" s="281"/>
      <c r="G28" s="280"/>
      <c r="O28" s="273"/>
    </row>
    <row r="29" spans="1:16" x14ac:dyDescent="0.4">
      <c r="A29" s="272" t="s">
        <v>223</v>
      </c>
      <c r="B29" s="273">
        <f>SUM(B14:B28)</f>
        <v>43031800</v>
      </c>
      <c r="C29" s="273">
        <f>SUM(C14:C28)</f>
        <v>516200</v>
      </c>
      <c r="D29" s="273"/>
      <c r="F29" s="273">
        <f>SUM(B29:C29)</f>
        <v>43548000</v>
      </c>
      <c r="G29" s="280"/>
      <c r="H29" s="269" t="s">
        <v>224</v>
      </c>
      <c r="I29" s="273"/>
      <c r="J29" s="273">
        <v>8000</v>
      </c>
      <c r="K29" s="273"/>
      <c r="L29" s="273"/>
      <c r="M29" s="273"/>
      <c r="N29" s="273"/>
      <c r="O29" s="273"/>
    </row>
    <row r="30" spans="1:16" x14ac:dyDescent="0.4">
      <c r="A30" s="272"/>
      <c r="B30" s="273"/>
      <c r="C30" s="273"/>
      <c r="D30" s="273"/>
      <c r="G30" s="280"/>
      <c r="H30" s="269" t="s">
        <v>200</v>
      </c>
      <c r="I30" s="273">
        <f>53000*0.1</f>
        <v>5300</v>
      </c>
      <c r="J30" s="273">
        <f>53000*0.9</f>
        <v>47700</v>
      </c>
      <c r="L30" s="273"/>
      <c r="M30" s="273"/>
      <c r="N30" s="273"/>
      <c r="O30" s="273"/>
    </row>
    <row r="31" spans="1:16" x14ac:dyDescent="0.4">
      <c r="A31" s="272" t="s">
        <v>212</v>
      </c>
      <c r="B31" s="273"/>
      <c r="C31" s="273">
        <v>-2000</v>
      </c>
      <c r="D31" s="273"/>
      <c r="G31" s="280"/>
      <c r="H31" s="269" t="s">
        <v>225</v>
      </c>
      <c r="I31" s="273"/>
      <c r="J31" s="273">
        <v>24000</v>
      </c>
      <c r="K31" s="273"/>
      <c r="L31" s="273"/>
      <c r="M31" s="273"/>
      <c r="N31" s="273"/>
      <c r="O31" s="273"/>
    </row>
    <row r="32" spans="1:16" x14ac:dyDescent="0.4">
      <c r="A32" s="272" t="s">
        <v>226</v>
      </c>
      <c r="B32" s="273"/>
      <c r="C32" s="273">
        <v>1000</v>
      </c>
      <c r="D32" s="273"/>
      <c r="G32" s="280"/>
      <c r="H32" s="269" t="s">
        <v>205</v>
      </c>
      <c r="I32" s="273"/>
      <c r="J32" s="273">
        <v>24000</v>
      </c>
      <c r="K32" s="273"/>
      <c r="L32" s="273"/>
      <c r="M32" s="273"/>
      <c r="N32" s="273"/>
      <c r="O32" s="282"/>
    </row>
    <row r="33" spans="1:15" x14ac:dyDescent="0.4">
      <c r="A33" s="272" t="s">
        <v>213</v>
      </c>
      <c r="B33" s="273"/>
      <c r="C33" s="273">
        <v>-1000</v>
      </c>
      <c r="D33" s="273"/>
      <c r="G33" s="280"/>
      <c r="H33" s="270" t="s">
        <v>227</v>
      </c>
      <c r="I33" s="277">
        <f>SUM(I24:I32)</f>
        <v>48526309</v>
      </c>
      <c r="J33" s="277">
        <f>SUM(J24:J32)</f>
        <v>1328691</v>
      </c>
      <c r="K33" s="277">
        <f>SUM(K24:K32)</f>
        <v>0</v>
      </c>
      <c r="L33" s="277">
        <f>SUM(L24:L32)</f>
        <v>0</v>
      </c>
      <c r="M33" s="277">
        <f>SUM(M24:M32)</f>
        <v>0</v>
      </c>
      <c r="N33" s="289">
        <f>SUM(I33:M33)</f>
        <v>49855000</v>
      </c>
      <c r="O33" s="294">
        <f>SUM(O24:O26)</f>
        <v>52239000</v>
      </c>
    </row>
    <row r="34" spans="1:15" x14ac:dyDescent="0.4">
      <c r="A34" s="272" t="s">
        <v>193</v>
      </c>
      <c r="B34" s="273"/>
      <c r="C34" s="273">
        <v>27000</v>
      </c>
      <c r="D34" s="273"/>
      <c r="G34" s="280"/>
    </row>
    <row r="35" spans="1:15" x14ac:dyDescent="0.4">
      <c r="A35" s="272" t="s">
        <v>216</v>
      </c>
      <c r="B35" s="273"/>
      <c r="C35" s="273">
        <v>3000</v>
      </c>
      <c r="D35" s="273"/>
      <c r="G35" s="280"/>
      <c r="H35" s="273"/>
      <c r="I35" s="273"/>
      <c r="J35" s="273"/>
      <c r="K35" s="273"/>
      <c r="L35" s="273"/>
      <c r="M35" s="273"/>
      <c r="N35" s="273"/>
    </row>
    <row r="36" spans="1:15" x14ac:dyDescent="0.4">
      <c r="A36" s="272" t="s">
        <v>195</v>
      </c>
      <c r="B36" s="273"/>
      <c r="C36" s="273">
        <v>30000</v>
      </c>
      <c r="D36" s="273"/>
      <c r="G36" s="280"/>
      <c r="H36" s="283" t="s">
        <v>2</v>
      </c>
      <c r="N36" s="274"/>
    </row>
    <row r="37" spans="1:15" x14ac:dyDescent="0.4">
      <c r="A37" s="272" t="s">
        <v>197</v>
      </c>
      <c r="B37" s="273"/>
      <c r="C37" s="273">
        <v>18000</v>
      </c>
      <c r="D37" s="273"/>
      <c r="G37" s="280"/>
      <c r="H37" t="s">
        <v>228</v>
      </c>
    </row>
    <row r="38" spans="1:15" x14ac:dyDescent="0.4">
      <c r="A38" s="272" t="s">
        <v>229</v>
      </c>
      <c r="B38" s="273"/>
      <c r="C38" s="273">
        <v>11000</v>
      </c>
      <c r="D38" s="273"/>
      <c r="G38" s="280"/>
      <c r="H38" t="s">
        <v>230</v>
      </c>
      <c r="N38" s="274"/>
    </row>
    <row r="39" spans="1:15" x14ac:dyDescent="0.4">
      <c r="A39" s="272" t="s">
        <v>231</v>
      </c>
      <c r="B39" s="273"/>
      <c r="C39" s="273">
        <v>-4000</v>
      </c>
      <c r="D39" s="273"/>
      <c r="G39" s="280"/>
    </row>
    <row r="40" spans="1:15" x14ac:dyDescent="0.4">
      <c r="A40" s="272" t="s">
        <v>219</v>
      </c>
      <c r="B40" s="273"/>
      <c r="C40" s="273">
        <v>18000</v>
      </c>
      <c r="D40" s="273"/>
      <c r="G40" s="280"/>
      <c r="H40" s="290" t="s">
        <v>178</v>
      </c>
      <c r="I40" s="291">
        <v>49855000</v>
      </c>
    </row>
    <row r="41" spans="1:15" x14ac:dyDescent="0.4">
      <c r="A41" s="272" t="s">
        <v>232</v>
      </c>
      <c r="B41" s="273"/>
      <c r="C41" s="273">
        <v>-4000</v>
      </c>
      <c r="D41" s="273"/>
      <c r="G41" s="280"/>
      <c r="H41" s="292" t="s">
        <v>179</v>
      </c>
      <c r="I41" s="293">
        <v>52239000</v>
      </c>
    </row>
    <row r="42" spans="1:15" x14ac:dyDescent="0.4">
      <c r="A42" s="272" t="s">
        <v>233</v>
      </c>
      <c r="B42" s="273"/>
      <c r="C42" s="273"/>
      <c r="D42" s="273">
        <v>130000</v>
      </c>
      <c r="G42" s="280"/>
    </row>
    <row r="43" spans="1:15" x14ac:dyDescent="0.4">
      <c r="A43" s="272" t="s">
        <v>234</v>
      </c>
      <c r="C43" s="273">
        <v>-14000</v>
      </c>
      <c r="D43" s="273"/>
      <c r="E43" s="273"/>
      <c r="G43" s="280"/>
    </row>
    <row r="44" spans="1:15" x14ac:dyDescent="0.4">
      <c r="A44" s="272" t="s">
        <v>235</v>
      </c>
      <c r="B44" s="273">
        <v>21930</v>
      </c>
      <c r="C44" s="273">
        <f>231000-B44</f>
        <v>209070</v>
      </c>
      <c r="D44" s="273"/>
      <c r="E44" s="273"/>
      <c r="G44" s="280"/>
    </row>
    <row r="45" spans="1:15" x14ac:dyDescent="0.4">
      <c r="A45" s="272" t="s">
        <v>236</v>
      </c>
      <c r="B45" s="273"/>
      <c r="C45" s="273" t="s">
        <v>237</v>
      </c>
      <c r="D45" s="273"/>
      <c r="E45" s="273">
        <v>5000000</v>
      </c>
      <c r="G45" s="280"/>
      <c r="H45" s="274"/>
    </row>
    <row r="46" spans="1:15" x14ac:dyDescent="0.4">
      <c r="A46" s="272" t="s">
        <v>238</v>
      </c>
      <c r="B46" s="273"/>
      <c r="C46" s="273">
        <v>8606000</v>
      </c>
      <c r="D46" s="273"/>
      <c r="G46" s="280"/>
      <c r="H46" s="276"/>
    </row>
    <row r="47" spans="1:15" x14ac:dyDescent="0.4">
      <c r="A47" s="272" t="s">
        <v>239</v>
      </c>
      <c r="B47" s="273"/>
      <c r="C47" s="273">
        <v>-11000</v>
      </c>
      <c r="D47" s="273"/>
      <c r="G47" s="280"/>
      <c r="H47" s="276"/>
    </row>
    <row r="48" spans="1:15" x14ac:dyDescent="0.4">
      <c r="A48" s="272" t="s">
        <v>240</v>
      </c>
      <c r="B48" s="273"/>
      <c r="C48" s="273">
        <v>22000</v>
      </c>
      <c r="D48" s="273"/>
      <c r="G48" s="280"/>
    </row>
    <row r="49" spans="1:8" x14ac:dyDescent="0.4">
      <c r="A49" s="272" t="s">
        <v>241</v>
      </c>
      <c r="B49" s="273"/>
      <c r="C49" s="273">
        <v>20000</v>
      </c>
      <c r="D49" s="273"/>
      <c r="G49" s="280"/>
    </row>
    <row r="50" spans="1:8" x14ac:dyDescent="0.4">
      <c r="A50" s="272" t="s">
        <v>242</v>
      </c>
      <c r="B50" s="273">
        <v>58893</v>
      </c>
      <c r="C50" s="273">
        <f>288000-B50</f>
        <v>229107</v>
      </c>
      <c r="D50" s="273"/>
      <c r="G50" s="280"/>
    </row>
    <row r="51" spans="1:8" x14ac:dyDescent="0.4">
      <c r="A51" s="278" t="s">
        <v>243</v>
      </c>
      <c r="B51" s="277">
        <f>SUM(B29:B50)</f>
        <v>43112623</v>
      </c>
      <c r="C51" s="277">
        <f t="shared" ref="C51:E51" si="2">SUM(C29:C50)</f>
        <v>9674377</v>
      </c>
      <c r="D51" s="277">
        <f t="shared" si="2"/>
        <v>130000</v>
      </c>
      <c r="E51" s="277">
        <f t="shared" si="2"/>
        <v>5000000</v>
      </c>
      <c r="F51" s="279">
        <f>SUM(B51:E51)</f>
        <v>57917000</v>
      </c>
      <c r="G51" s="280"/>
      <c r="H51" s="274"/>
    </row>
    <row r="52" spans="1:8" x14ac:dyDescent="0.4">
      <c r="A52" s="275"/>
      <c r="B52" s="273"/>
      <c r="C52" s="273"/>
      <c r="D52" s="273"/>
      <c r="G52" s="280"/>
    </row>
    <row r="53" spans="1:8" x14ac:dyDescent="0.4">
      <c r="A53" t="s">
        <v>244</v>
      </c>
      <c r="B53" s="273">
        <v>400000</v>
      </c>
      <c r="C53" s="273"/>
      <c r="D53" s="273"/>
      <c r="G53" s="280"/>
    </row>
    <row r="54" spans="1:8" x14ac:dyDescent="0.4">
      <c r="A54" t="s">
        <v>245</v>
      </c>
      <c r="B54" s="274">
        <f>B51-B53</f>
        <v>42712623</v>
      </c>
      <c r="C54" s="274"/>
      <c r="D54" s="274"/>
      <c r="G54" s="280"/>
    </row>
  </sheetData>
  <mergeCells count="2">
    <mergeCell ref="A1:F1"/>
    <mergeCell ref="H1:N1"/>
  </mergeCells>
  <pageMargins left="0.45" right="0.45" top="0.5" bottom="0.2" header="0.3" footer="0.3"/>
  <pageSetup paperSize="17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37"/>
  <sheetViews>
    <sheetView showGridLines="0" tabSelected="1" topLeftCell="A41" zoomScale="120" zoomScaleNormal="120" workbookViewId="0">
      <selection activeCell="I5" sqref="I5"/>
    </sheetView>
  </sheetViews>
  <sheetFormatPr defaultRowHeight="14.6" x14ac:dyDescent="0.4"/>
  <cols>
    <col min="1" max="1" width="7.3046875" style="8" customWidth="1"/>
    <col min="2" max="2" width="5" style="8" customWidth="1"/>
    <col min="3" max="3" width="40.15234375" style="242" customWidth="1"/>
    <col min="4" max="4" width="0.3046875" style="242" customWidth="1"/>
    <col min="5" max="5" width="12.69140625" customWidth="1"/>
    <col min="6" max="6" width="12.84375" customWidth="1"/>
    <col min="7" max="7" width="13.3046875" customWidth="1"/>
    <col min="11" max="11" width="12.53515625" bestFit="1" customWidth="1"/>
  </cols>
  <sheetData>
    <row r="1" spans="1:7" ht="28.2" customHeight="1" x14ac:dyDescent="0.4">
      <c r="A1" s="350" t="s">
        <v>0</v>
      </c>
      <c r="B1" s="350"/>
      <c r="C1" s="350"/>
      <c r="D1" s="350"/>
      <c r="E1" s="350"/>
      <c r="F1" s="350"/>
      <c r="G1" s="350"/>
    </row>
    <row r="2" spans="1:7" ht="21" customHeight="1" x14ac:dyDescent="0.4">
      <c r="A2" s="407" t="s">
        <v>314</v>
      </c>
      <c r="B2" s="407"/>
      <c r="C2" s="407"/>
      <c r="D2" s="407"/>
      <c r="E2" s="407"/>
      <c r="F2" s="407"/>
      <c r="G2" s="407"/>
    </row>
    <row r="3" spans="1:7" ht="19.2" customHeight="1" x14ac:dyDescent="0.4">
      <c r="A3" s="408"/>
      <c r="B3" s="408"/>
      <c r="C3" s="408"/>
      <c r="D3" s="408"/>
      <c r="E3" s="408"/>
      <c r="F3" s="408"/>
      <c r="G3" s="408"/>
    </row>
    <row r="4" spans="1:7" x14ac:dyDescent="0.4">
      <c r="C4"/>
      <c r="D4"/>
    </row>
    <row r="5" spans="1:7" ht="20.6" x14ac:dyDescent="0.55000000000000004">
      <c r="C5" s="409" t="s">
        <v>287</v>
      </c>
      <c r="D5" s="409"/>
      <c r="E5" s="409"/>
      <c r="F5" s="409"/>
      <c r="G5" s="409"/>
    </row>
    <row r="6" spans="1:7" s="14" customFormat="1" ht="18.899999999999999" thickBot="1" x14ac:dyDescent="0.5">
      <c r="A6" s="355"/>
      <c r="B6" s="355"/>
      <c r="C6" s="355"/>
      <c r="D6" s="317"/>
      <c r="E6" s="410" t="s">
        <v>306</v>
      </c>
      <c r="F6" s="411"/>
      <c r="G6" s="411"/>
    </row>
    <row r="7" spans="1:7" ht="31.5" customHeight="1" x14ac:dyDescent="0.4">
      <c r="A7" s="355"/>
      <c r="B7" s="355"/>
      <c r="C7" s="355"/>
      <c r="D7" s="317"/>
      <c r="E7" s="400" t="s">
        <v>307</v>
      </c>
      <c r="F7" s="402" t="s">
        <v>308</v>
      </c>
      <c r="G7" s="374" t="s">
        <v>47</v>
      </c>
    </row>
    <row r="8" spans="1:7" ht="15" customHeight="1" thickBot="1" x14ac:dyDescent="0.45">
      <c r="A8" s="18" t="s">
        <v>50</v>
      </c>
      <c r="B8" s="299"/>
      <c r="C8" s="19" t="s">
        <v>51</v>
      </c>
      <c r="D8" s="20"/>
      <c r="E8" s="401"/>
      <c r="F8" s="403"/>
      <c r="G8" s="375"/>
    </row>
    <row r="9" spans="1:7" ht="15.75" customHeight="1" x14ac:dyDescent="0.4">
      <c r="A9" s="23" t="s">
        <v>53</v>
      </c>
      <c r="B9" s="307" t="s">
        <v>18</v>
      </c>
      <c r="C9" s="24" t="s">
        <v>311</v>
      </c>
      <c r="D9" s="20"/>
      <c r="E9" s="340">
        <v>20406000</v>
      </c>
      <c r="F9" s="341">
        <v>23056000</v>
      </c>
      <c r="G9" s="342">
        <f>SUM(E9:F9)</f>
        <v>43462000</v>
      </c>
    </row>
    <row r="10" spans="1:7" ht="15.75" customHeight="1" thickBot="1" x14ac:dyDescent="0.45">
      <c r="A10" s="23"/>
      <c r="B10" s="301"/>
      <c r="C10" s="92"/>
      <c r="D10" s="36"/>
      <c r="E10" s="37">
        <f>E42+E89+E98</f>
        <v>28223423.947000001</v>
      </c>
      <c r="F10" s="39">
        <f>F42+F89+F98</f>
        <v>25213423.947000001</v>
      </c>
      <c r="G10" s="343">
        <v>53334396</v>
      </c>
    </row>
    <row r="11" spans="1:7" ht="18.75" customHeight="1" thickBot="1" x14ac:dyDescent="0.5">
      <c r="A11" s="23"/>
      <c r="B11" s="301"/>
      <c r="C11" s="312" t="s">
        <v>312</v>
      </c>
      <c r="D11" s="313"/>
      <c r="E11" s="344">
        <f>E9-E10</f>
        <v>-7817423.9470000006</v>
      </c>
      <c r="F11" s="345">
        <f>F9-F10</f>
        <v>-2157423.9470000006</v>
      </c>
      <c r="G11" s="346">
        <f>SUM(E11:F11)</f>
        <v>-9974847.8940000013</v>
      </c>
    </row>
    <row r="12" spans="1:7" s="256" customFormat="1" ht="24.45" customHeight="1" thickBot="1" x14ac:dyDescent="0.45">
      <c r="A12" s="254"/>
      <c r="B12" s="254"/>
      <c r="C12" s="255"/>
      <c r="D12" s="255"/>
      <c r="E12" s="311"/>
      <c r="F12" s="311"/>
      <c r="G12" s="311"/>
    </row>
    <row r="13" spans="1:7" ht="22.95" customHeight="1" thickBot="1" x14ac:dyDescent="0.6">
      <c r="C13" s="352" t="s">
        <v>309</v>
      </c>
      <c r="D13" s="353"/>
      <c r="E13" s="353"/>
      <c r="F13" s="353"/>
      <c r="G13" s="353"/>
    </row>
    <row r="14" spans="1:7" ht="18.899999999999999" thickBot="1" x14ac:dyDescent="0.55000000000000004">
      <c r="A14" s="81" t="s">
        <v>64</v>
      </c>
      <c r="B14" s="81"/>
      <c r="C14" s="363" t="s">
        <v>65</v>
      </c>
      <c r="D14" s="364"/>
      <c r="E14" s="364"/>
      <c r="F14" s="364"/>
      <c r="G14" s="364"/>
    </row>
    <row r="15" spans="1:7" ht="15" customHeight="1" x14ac:dyDescent="0.4">
      <c r="A15" s="23"/>
      <c r="B15" s="23"/>
      <c r="C15" s="82" t="s">
        <v>66</v>
      </c>
      <c r="D15" s="83"/>
      <c r="E15" s="84">
        <f>SUM(E16:E22)</f>
        <v>946189</v>
      </c>
      <c r="F15" s="87">
        <f>SUM(F16:F22)</f>
        <v>946189</v>
      </c>
      <c r="G15" s="328">
        <f>SUM(G16:G22)</f>
        <v>1892378</v>
      </c>
    </row>
    <row r="16" spans="1:7" ht="13.2" customHeight="1" x14ac:dyDescent="0.4">
      <c r="A16" s="23" t="s">
        <v>246</v>
      </c>
      <c r="B16" s="301" t="s">
        <v>3</v>
      </c>
      <c r="C16" s="92" t="s">
        <v>68</v>
      </c>
      <c r="D16" s="93"/>
      <c r="E16" s="37">
        <v>629069</v>
      </c>
      <c r="F16" s="94">
        <v>629069</v>
      </c>
      <c r="G16" s="330">
        <f t="shared" ref="G16:G22" si="0">SUM(E16:F16)</f>
        <v>1258138</v>
      </c>
    </row>
    <row r="17" spans="1:7" ht="13.2" customHeight="1" x14ac:dyDescent="0.4">
      <c r="A17" s="23" t="s">
        <v>246</v>
      </c>
      <c r="B17" s="301" t="s">
        <v>5</v>
      </c>
      <c r="C17" s="92" t="s">
        <v>1</v>
      </c>
      <c r="D17" s="93"/>
      <c r="E17" s="37">
        <v>228120</v>
      </c>
      <c r="F17" s="94">
        <v>228120</v>
      </c>
      <c r="G17" s="330">
        <f t="shared" si="0"/>
        <v>456240</v>
      </c>
    </row>
    <row r="18" spans="1:7" ht="13.2" customHeight="1" x14ac:dyDescent="0.4">
      <c r="A18" s="23" t="s">
        <v>246</v>
      </c>
      <c r="B18" s="301" t="s">
        <v>7</v>
      </c>
      <c r="C18" s="92" t="s">
        <v>72</v>
      </c>
      <c r="D18" s="93"/>
      <c r="E18" s="37">
        <v>8000</v>
      </c>
      <c r="F18" s="94">
        <v>8000</v>
      </c>
      <c r="G18" s="330">
        <f t="shared" si="0"/>
        <v>16000</v>
      </c>
    </row>
    <row r="19" spans="1:7" ht="13.2" customHeight="1" x14ac:dyDescent="0.4">
      <c r="A19" s="23" t="s">
        <v>246</v>
      </c>
      <c r="B19" s="301" t="s">
        <v>8</v>
      </c>
      <c r="C19" s="92" t="s">
        <v>73</v>
      </c>
      <c r="D19" s="93"/>
      <c r="E19" s="37">
        <v>40000</v>
      </c>
      <c r="F19" s="94">
        <v>40000</v>
      </c>
      <c r="G19" s="330">
        <f t="shared" si="0"/>
        <v>80000</v>
      </c>
    </row>
    <row r="20" spans="1:7" ht="13.2" customHeight="1" x14ac:dyDescent="0.4">
      <c r="A20" s="23" t="s">
        <v>246</v>
      </c>
      <c r="B20" s="301" t="s">
        <v>6</v>
      </c>
      <c r="C20" s="92" t="s">
        <v>74</v>
      </c>
      <c r="D20" s="93"/>
      <c r="E20" s="37">
        <v>15000</v>
      </c>
      <c r="F20" s="94">
        <v>15000</v>
      </c>
      <c r="G20" s="330">
        <f t="shared" si="0"/>
        <v>30000</v>
      </c>
    </row>
    <row r="21" spans="1:7" ht="13.2" customHeight="1" x14ac:dyDescent="0.4">
      <c r="A21" s="23" t="s">
        <v>246</v>
      </c>
      <c r="B21" s="301" t="s">
        <v>25</v>
      </c>
      <c r="C21" s="92" t="s">
        <v>9</v>
      </c>
      <c r="D21" s="93"/>
      <c r="E21" s="37">
        <v>19000</v>
      </c>
      <c r="F21" s="94">
        <v>19000</v>
      </c>
      <c r="G21" s="330">
        <f t="shared" si="0"/>
        <v>38000</v>
      </c>
    </row>
    <row r="22" spans="1:7" ht="13.2" customHeight="1" x14ac:dyDescent="0.4">
      <c r="A22" s="23" t="s">
        <v>246</v>
      </c>
      <c r="B22" s="301" t="s">
        <v>29</v>
      </c>
      <c r="C22" s="92" t="s">
        <v>10</v>
      </c>
      <c r="D22" s="93"/>
      <c r="E22" s="37">
        <v>7000</v>
      </c>
      <c r="F22" s="94">
        <v>7000</v>
      </c>
      <c r="G22" s="330">
        <f t="shared" si="0"/>
        <v>14000</v>
      </c>
    </row>
    <row r="23" spans="1:7" ht="12.45" customHeight="1" thickBot="1" x14ac:dyDescent="0.45">
      <c r="A23" s="101"/>
      <c r="B23" s="301"/>
      <c r="C23" s="101"/>
      <c r="D23" s="102"/>
      <c r="E23" s="103"/>
      <c r="F23" s="106"/>
      <c r="G23" s="335"/>
    </row>
    <row r="24" spans="1:7" ht="15" customHeight="1" x14ac:dyDescent="0.4">
      <c r="A24" s="23"/>
      <c r="B24" s="301"/>
      <c r="C24" s="112" t="s">
        <v>75</v>
      </c>
      <c r="D24" s="83"/>
      <c r="E24" s="84">
        <f>SUM(E25:E30)</f>
        <v>604510</v>
      </c>
      <c r="F24" s="87">
        <f>SUM(F25:F30)</f>
        <v>604510</v>
      </c>
      <c r="G24" s="328">
        <f t="shared" ref="G24:G30" si="1">SUM(E24:F24)</f>
        <v>1209020</v>
      </c>
    </row>
    <row r="25" spans="1:7" ht="13.95" customHeight="1" x14ac:dyDescent="0.4">
      <c r="A25" s="23" t="s">
        <v>247</v>
      </c>
      <c r="B25" s="301" t="s">
        <v>3</v>
      </c>
      <c r="C25" s="92" t="s">
        <v>68</v>
      </c>
      <c r="D25" s="93"/>
      <c r="E25" s="37">
        <v>432931</v>
      </c>
      <c r="F25" s="94">
        <v>432931</v>
      </c>
      <c r="G25" s="330">
        <f t="shared" si="1"/>
        <v>865862</v>
      </c>
    </row>
    <row r="26" spans="1:7" ht="13.95" customHeight="1" x14ac:dyDescent="0.4">
      <c r="A26" s="23" t="s">
        <v>247</v>
      </c>
      <c r="B26" s="301" t="s">
        <v>5</v>
      </c>
      <c r="C26" s="92" t="s">
        <v>1</v>
      </c>
      <c r="D26" s="93"/>
      <c r="E26" s="37">
        <v>141579</v>
      </c>
      <c r="F26" s="94">
        <v>141579</v>
      </c>
      <c r="G26" s="330">
        <f t="shared" si="1"/>
        <v>283158</v>
      </c>
    </row>
    <row r="27" spans="1:7" ht="13.95" customHeight="1" x14ac:dyDescent="0.4">
      <c r="A27" s="23" t="s">
        <v>247</v>
      </c>
      <c r="B27" s="301" t="s">
        <v>7</v>
      </c>
      <c r="C27" s="92" t="s">
        <v>72</v>
      </c>
      <c r="D27" s="93"/>
      <c r="E27" s="37">
        <v>4000</v>
      </c>
      <c r="F27" s="94">
        <v>4000</v>
      </c>
      <c r="G27" s="330">
        <f t="shared" si="1"/>
        <v>8000</v>
      </c>
    </row>
    <row r="28" spans="1:7" ht="13.95" customHeight="1" x14ac:dyDescent="0.4">
      <c r="A28" s="23" t="s">
        <v>247</v>
      </c>
      <c r="B28" s="301" t="s">
        <v>6</v>
      </c>
      <c r="C28" s="92" t="s">
        <v>74</v>
      </c>
      <c r="D28" s="93"/>
      <c r="E28" s="37">
        <v>12500</v>
      </c>
      <c r="F28" s="94">
        <v>12500</v>
      </c>
      <c r="G28" s="330">
        <f t="shared" si="1"/>
        <v>25000</v>
      </c>
    </row>
    <row r="29" spans="1:7" ht="13.95" customHeight="1" x14ac:dyDescent="0.4">
      <c r="A29" s="23" t="s">
        <v>247</v>
      </c>
      <c r="B29" s="301" t="s">
        <v>25</v>
      </c>
      <c r="C29" s="92" t="s">
        <v>9</v>
      </c>
      <c r="D29" s="93"/>
      <c r="E29" s="37">
        <v>8500</v>
      </c>
      <c r="F29" s="94">
        <v>8500</v>
      </c>
      <c r="G29" s="330">
        <f t="shared" si="1"/>
        <v>17000</v>
      </c>
    </row>
    <row r="30" spans="1:7" ht="13.95" customHeight="1" x14ac:dyDescent="0.4">
      <c r="A30" s="23" t="s">
        <v>247</v>
      </c>
      <c r="B30" s="301" t="s">
        <v>29</v>
      </c>
      <c r="C30" s="92" t="s">
        <v>10</v>
      </c>
      <c r="D30" s="93"/>
      <c r="E30" s="37">
        <v>5000</v>
      </c>
      <c r="F30" s="94">
        <v>5000</v>
      </c>
      <c r="G30" s="330">
        <f t="shared" si="1"/>
        <v>10000</v>
      </c>
    </row>
    <row r="31" spans="1:7" ht="12.45" customHeight="1" thickBot="1" x14ac:dyDescent="0.45">
      <c r="A31" s="23"/>
      <c r="B31" s="301"/>
      <c r="C31" s="101"/>
      <c r="D31" s="102"/>
      <c r="E31" s="103"/>
      <c r="F31" s="106"/>
      <c r="G31" s="335"/>
    </row>
    <row r="32" spans="1:7" ht="15" customHeight="1" x14ac:dyDescent="0.4">
      <c r="A32" s="23"/>
      <c r="B32" s="301"/>
      <c r="C32" s="112" t="s">
        <v>248</v>
      </c>
      <c r="D32" s="83"/>
      <c r="E32" s="84">
        <f>SUM(E33:E35)</f>
        <v>173000</v>
      </c>
      <c r="F32" s="87">
        <f>SUM(F33:F36)</f>
        <v>173000</v>
      </c>
      <c r="G32" s="328">
        <f>SUM(E32:F32)</f>
        <v>346000</v>
      </c>
    </row>
    <row r="33" spans="1:11" ht="13.95" customHeight="1" x14ac:dyDescent="0.4">
      <c r="A33" s="116" t="s">
        <v>249</v>
      </c>
      <c r="B33" s="302" t="s">
        <v>294</v>
      </c>
      <c r="C33" s="117" t="s">
        <v>295</v>
      </c>
      <c r="D33" s="118"/>
      <c r="E33" s="37">
        <v>73000</v>
      </c>
      <c r="F33" s="94">
        <v>73000</v>
      </c>
      <c r="G33" s="330">
        <f>SUM(E33:F33)</f>
        <v>146000</v>
      </c>
    </row>
    <row r="34" spans="1:11" ht="13.95" hidden="1" customHeight="1" x14ac:dyDescent="0.4">
      <c r="A34" s="116" t="s">
        <v>84</v>
      </c>
      <c r="B34" s="302"/>
      <c r="C34" s="117" t="s">
        <v>11</v>
      </c>
      <c r="D34" s="118"/>
      <c r="E34" s="37">
        <v>0</v>
      </c>
      <c r="F34" s="94">
        <v>0</v>
      </c>
      <c r="G34" s="330">
        <f>A34+E34</f>
        <v>27160</v>
      </c>
    </row>
    <row r="35" spans="1:11" ht="13.95" customHeight="1" x14ac:dyDescent="0.4">
      <c r="A35" s="23" t="s">
        <v>286</v>
      </c>
      <c r="B35" s="301" t="s">
        <v>250</v>
      </c>
      <c r="C35" s="92" t="s">
        <v>86</v>
      </c>
      <c r="D35" s="93"/>
      <c r="E35" s="37">
        <v>100000</v>
      </c>
      <c r="F35" s="94">
        <v>100000</v>
      </c>
      <c r="G35" s="337">
        <f>SUM(E35:F35)</f>
        <v>200000</v>
      </c>
    </row>
    <row r="36" spans="1:11" ht="13.95" hidden="1" customHeight="1" x14ac:dyDescent="0.4">
      <c r="A36" s="23" t="s">
        <v>87</v>
      </c>
      <c r="B36" s="301"/>
      <c r="C36" s="92" t="s">
        <v>88</v>
      </c>
      <c r="D36" s="93"/>
      <c r="E36" s="37">
        <v>0</v>
      </c>
      <c r="F36" s="98">
        <v>0</v>
      </c>
      <c r="G36" s="337">
        <f>A36+E36</f>
        <v>27630</v>
      </c>
    </row>
    <row r="37" spans="1:11" ht="12.45" customHeight="1" thickBot="1" x14ac:dyDescent="0.45">
      <c r="A37" s="23"/>
      <c r="B37" s="301"/>
      <c r="C37" s="119"/>
      <c r="D37" s="120"/>
      <c r="E37" s="103"/>
      <c r="F37" s="106"/>
      <c r="G37" s="335"/>
    </row>
    <row r="38" spans="1:11" ht="15" customHeight="1" x14ac:dyDescent="0.4">
      <c r="A38" s="23"/>
      <c r="B38" s="301"/>
      <c r="C38" s="121" t="s">
        <v>89</v>
      </c>
      <c r="D38" s="122"/>
      <c r="E38" s="84">
        <f>SUM(E39:E40)</f>
        <v>266725.94699999999</v>
      </c>
      <c r="F38" s="87">
        <f>SUM(F39:F40)</f>
        <v>266725.94699999999</v>
      </c>
      <c r="G38" s="328">
        <f>SUM(E38:F38)</f>
        <v>533451.89399999997</v>
      </c>
      <c r="K38" s="349"/>
    </row>
    <row r="39" spans="1:11" ht="13.95" customHeight="1" x14ac:dyDescent="0.4">
      <c r="A39" s="131" t="s">
        <v>251</v>
      </c>
      <c r="B39" s="303" t="s">
        <v>6</v>
      </c>
      <c r="C39" s="92" t="s">
        <v>91</v>
      </c>
      <c r="D39" s="93"/>
      <c r="E39" s="125">
        <v>3000</v>
      </c>
      <c r="F39" s="127">
        <v>3000</v>
      </c>
      <c r="G39" s="338">
        <f>SUM(E39:F39)</f>
        <v>6000</v>
      </c>
      <c r="K39" s="349"/>
    </row>
    <row r="40" spans="1:11" ht="13.95" customHeight="1" x14ac:dyDescent="0.4">
      <c r="A40" s="131" t="s">
        <v>93</v>
      </c>
      <c r="B40" s="303" t="s">
        <v>250</v>
      </c>
      <c r="C40" s="92" t="s">
        <v>313</v>
      </c>
      <c r="D40" s="93"/>
      <c r="E40" s="125">
        <f>(E15+E24+E32)*15.3%</f>
        <v>263725.94699999999</v>
      </c>
      <c r="F40" s="127">
        <f>(F15+F24+F32)*15.3%</f>
        <v>263725.94699999999</v>
      </c>
      <c r="G40" s="338">
        <f>SUM(E40:F40)</f>
        <v>527451.89399999997</v>
      </c>
      <c r="K40" s="349"/>
    </row>
    <row r="41" spans="1:11" ht="12.45" customHeight="1" thickBot="1" x14ac:dyDescent="0.45">
      <c r="A41" s="133"/>
      <c r="B41" s="304"/>
      <c r="C41" s="134"/>
      <c r="D41" s="135"/>
      <c r="E41" s="103"/>
      <c r="F41" s="106"/>
      <c r="G41" s="335"/>
    </row>
    <row r="42" spans="1:11" ht="16.3" thickBot="1" x14ac:dyDescent="0.5">
      <c r="A42" s="137"/>
      <c r="B42" s="305"/>
      <c r="C42" s="347" t="s">
        <v>96</v>
      </c>
      <c r="D42" s="139"/>
      <c r="E42" s="140">
        <f>SUM(E15,E24,E32,E38)</f>
        <v>1990424.9469999999</v>
      </c>
      <c r="F42" s="143">
        <f>SUM(F15,F24,F32,F38)</f>
        <v>1990424.9469999999</v>
      </c>
      <c r="G42" s="339">
        <f>SUM(G15,G24,G32,G38)</f>
        <v>3980849.8939999999</v>
      </c>
    </row>
    <row r="43" spans="1:11" ht="17.149999999999999" customHeight="1" thickBot="1" x14ac:dyDescent="0.45">
      <c r="A43" s="149"/>
      <c r="B43" s="149"/>
      <c r="C43" s="150"/>
      <c r="D43" s="150"/>
      <c r="E43" s="151"/>
      <c r="F43" s="151"/>
      <c r="G43" s="151"/>
    </row>
    <row r="44" spans="1:11" ht="18.899999999999999" thickBot="1" x14ac:dyDescent="0.55000000000000004">
      <c r="A44" s="149"/>
      <c r="B44" s="149"/>
      <c r="C44" s="363" t="s">
        <v>97</v>
      </c>
      <c r="D44" s="364"/>
      <c r="E44" s="364"/>
      <c r="F44" s="364"/>
      <c r="G44" s="364"/>
    </row>
    <row r="45" spans="1:11" s="2" customFormat="1" ht="16.3" thickBot="1" x14ac:dyDescent="0.5">
      <c r="A45" s="149"/>
      <c r="B45" s="149"/>
      <c r="C45" s="404" t="s">
        <v>26</v>
      </c>
      <c r="D45" s="405"/>
      <c r="E45" s="405"/>
      <c r="F45" s="405"/>
      <c r="G45" s="405"/>
    </row>
    <row r="46" spans="1:11" ht="15.75" customHeight="1" x14ac:dyDescent="0.4">
      <c r="A46" s="23"/>
      <c r="B46" s="23"/>
      <c r="C46" s="82" t="s">
        <v>288</v>
      </c>
      <c r="D46" s="83"/>
      <c r="E46" s="59">
        <f>SUM(E49:E67)</f>
        <v>16018000</v>
      </c>
      <c r="F46" s="62">
        <f>SUM(F49:F67)</f>
        <v>13008000</v>
      </c>
      <c r="G46" s="329">
        <f>SUM(G49:G67)</f>
        <v>29026000</v>
      </c>
    </row>
    <row r="47" spans="1:11" ht="12.45" customHeight="1" x14ac:dyDescent="0.4">
      <c r="A47" s="23"/>
      <c r="B47" s="301"/>
      <c r="C47" s="82"/>
      <c r="D47" s="83"/>
      <c r="E47" s="59"/>
      <c r="F47" s="62"/>
      <c r="G47" s="329"/>
    </row>
    <row r="48" spans="1:11" ht="13.5" customHeight="1" x14ac:dyDescent="0.4">
      <c r="A48" s="23"/>
      <c r="B48" s="301"/>
      <c r="C48" s="82" t="s">
        <v>301</v>
      </c>
      <c r="D48" s="83"/>
      <c r="E48" s="59"/>
      <c r="F48" s="62"/>
      <c r="G48" s="329"/>
    </row>
    <row r="49" spans="1:7" s="3" customFormat="1" ht="13.5" customHeight="1" x14ac:dyDescent="0.4">
      <c r="A49" s="23" t="s">
        <v>292</v>
      </c>
      <c r="B49" s="301" t="s">
        <v>12</v>
      </c>
      <c r="C49" s="92" t="s">
        <v>298</v>
      </c>
      <c r="D49" s="93"/>
      <c r="E49" s="37">
        <v>360000</v>
      </c>
      <c r="F49" s="94">
        <v>0</v>
      </c>
      <c r="G49" s="330">
        <f>SUM(E49:F49)</f>
        <v>360000</v>
      </c>
    </row>
    <row r="50" spans="1:7" ht="13.5" customHeight="1" x14ac:dyDescent="0.4">
      <c r="A50" s="23">
        <v>79692</v>
      </c>
      <c r="B50" s="301" t="s">
        <v>12</v>
      </c>
      <c r="C50" s="92" t="s">
        <v>299</v>
      </c>
      <c r="D50" s="93"/>
      <c r="E50" s="37">
        <v>1230000</v>
      </c>
      <c r="F50" s="94">
        <v>0</v>
      </c>
      <c r="G50" s="330">
        <f>SUM(E50:F50)</f>
        <v>1230000</v>
      </c>
    </row>
    <row r="51" spans="1:7" s="3" customFormat="1" ht="13.5" customHeight="1" x14ac:dyDescent="0.4">
      <c r="A51" s="23">
        <v>79693</v>
      </c>
      <c r="B51" s="301" t="s">
        <v>12</v>
      </c>
      <c r="C51" s="92" t="s">
        <v>174</v>
      </c>
      <c r="D51" s="93"/>
      <c r="E51" s="37" t="s">
        <v>30</v>
      </c>
      <c r="F51" s="94" t="s">
        <v>30</v>
      </c>
      <c r="G51" s="330" t="s">
        <v>30</v>
      </c>
    </row>
    <row r="52" spans="1:7" s="3" customFormat="1" ht="13.5" customHeight="1" x14ac:dyDescent="0.4">
      <c r="A52" s="23">
        <v>79694</v>
      </c>
      <c r="B52" s="301" t="s">
        <v>12</v>
      </c>
      <c r="C52" s="319" t="s">
        <v>175</v>
      </c>
      <c r="D52" s="93"/>
      <c r="E52" s="37" t="s">
        <v>30</v>
      </c>
      <c r="F52" s="94" t="s">
        <v>30</v>
      </c>
      <c r="G52" s="330" t="s">
        <v>30</v>
      </c>
    </row>
    <row r="53" spans="1:7" s="3" customFormat="1" ht="13.5" customHeight="1" x14ac:dyDescent="0.4">
      <c r="A53" s="23">
        <v>79695</v>
      </c>
      <c r="B53" s="301" t="s">
        <v>12</v>
      </c>
      <c r="C53" s="322" t="s">
        <v>300</v>
      </c>
      <c r="D53" s="93"/>
      <c r="E53" s="37">
        <v>690000</v>
      </c>
      <c r="F53" s="94">
        <v>0</v>
      </c>
      <c r="G53" s="330">
        <f>SUM(E53:F53)</f>
        <v>690000</v>
      </c>
    </row>
    <row r="54" spans="1:7" s="3" customFormat="1" ht="13.5" customHeight="1" x14ac:dyDescent="0.4">
      <c r="A54" s="23"/>
      <c r="B54" s="301"/>
      <c r="C54" s="320"/>
      <c r="D54" s="93"/>
      <c r="E54" s="180"/>
      <c r="F54" s="182" t="s">
        <v>30</v>
      </c>
      <c r="G54" s="331"/>
    </row>
    <row r="55" spans="1:7" ht="13.5" customHeight="1" x14ac:dyDescent="0.4">
      <c r="A55" s="23">
        <v>79284</v>
      </c>
      <c r="B55" s="301" t="s">
        <v>12</v>
      </c>
      <c r="C55" s="327" t="s">
        <v>302</v>
      </c>
      <c r="D55" s="93"/>
      <c r="E55" s="37"/>
      <c r="F55" s="94"/>
      <c r="G55" s="330"/>
    </row>
    <row r="56" spans="1:7" ht="13.5" customHeight="1" x14ac:dyDescent="0.4">
      <c r="A56" s="23">
        <v>79289</v>
      </c>
      <c r="B56" s="301" t="s">
        <v>12</v>
      </c>
      <c r="C56" s="322" t="s">
        <v>290</v>
      </c>
      <c r="D56" s="93"/>
      <c r="E56" s="37">
        <v>4140000</v>
      </c>
      <c r="F56" s="94">
        <v>4140000</v>
      </c>
      <c r="G56" s="330">
        <f>SUM(E56:F56)</f>
        <v>8280000</v>
      </c>
    </row>
    <row r="57" spans="1:7" s="3" customFormat="1" ht="13.5" customHeight="1" x14ac:dyDescent="0.4">
      <c r="A57" s="23" t="s">
        <v>289</v>
      </c>
      <c r="B57" s="302" t="s">
        <v>12</v>
      </c>
      <c r="C57" s="322" t="s">
        <v>291</v>
      </c>
      <c r="D57" s="154"/>
      <c r="E57" s="37">
        <v>1800000</v>
      </c>
      <c r="F57" s="94">
        <v>1800000</v>
      </c>
      <c r="G57" s="330">
        <f>SUM(E57:F57)</f>
        <v>3600000</v>
      </c>
    </row>
    <row r="58" spans="1:7" s="3" customFormat="1" ht="13.5" customHeight="1" x14ac:dyDescent="0.4">
      <c r="A58" s="23"/>
      <c r="B58" s="302"/>
      <c r="C58" s="323" t="s">
        <v>255</v>
      </c>
      <c r="D58" s="154"/>
      <c r="E58" s="37">
        <v>72000</v>
      </c>
      <c r="F58" s="94">
        <v>72000</v>
      </c>
      <c r="G58" s="330">
        <f>SUM(E58:F58)</f>
        <v>144000</v>
      </c>
    </row>
    <row r="59" spans="1:7" s="297" customFormat="1" ht="13.5" customHeight="1" x14ac:dyDescent="0.4">
      <c r="A59" s="23" t="s">
        <v>258</v>
      </c>
      <c r="B59" s="302" t="s">
        <v>12</v>
      </c>
      <c r="C59" s="321" t="s">
        <v>257</v>
      </c>
      <c r="D59" s="296"/>
      <c r="E59" s="25">
        <v>400000</v>
      </c>
      <c r="F59" s="315">
        <v>0</v>
      </c>
      <c r="G59" s="332">
        <f>SUM(E59:F59)</f>
        <v>400000</v>
      </c>
    </row>
    <row r="60" spans="1:7" s="297" customFormat="1" ht="13.5" customHeight="1" x14ac:dyDescent="0.4">
      <c r="A60" s="23"/>
      <c r="B60" s="302"/>
      <c r="C60" s="321" t="s">
        <v>305</v>
      </c>
      <c r="D60" s="296">
        <v>4980000</v>
      </c>
      <c r="E60" s="25">
        <v>4980000</v>
      </c>
      <c r="F60" s="315">
        <v>4980000</v>
      </c>
      <c r="G60" s="332">
        <f>SUM(E60:F60)</f>
        <v>9960000</v>
      </c>
    </row>
    <row r="61" spans="1:7" s="3" customFormat="1" ht="13.5" customHeight="1" x14ac:dyDescent="0.4">
      <c r="A61" s="23" t="s">
        <v>283</v>
      </c>
      <c r="B61" s="302" t="s">
        <v>12</v>
      </c>
      <c r="C61" s="325"/>
      <c r="D61" s="154"/>
      <c r="E61" s="25" t="s">
        <v>30</v>
      </c>
      <c r="F61" s="315" t="s">
        <v>30</v>
      </c>
      <c r="G61" s="332"/>
    </row>
    <row r="62" spans="1:7" s="3" customFormat="1" ht="13.5" customHeight="1" x14ac:dyDescent="0.4">
      <c r="A62" s="23"/>
      <c r="B62" s="302"/>
      <c r="C62" s="326" t="s">
        <v>259</v>
      </c>
      <c r="D62" s="154"/>
      <c r="E62" s="25"/>
      <c r="F62" s="315"/>
      <c r="G62" s="332"/>
    </row>
    <row r="63" spans="1:7" s="297" customFormat="1" ht="13.5" customHeight="1" x14ac:dyDescent="0.4">
      <c r="A63" s="23" t="s">
        <v>252</v>
      </c>
      <c r="B63" s="302" t="s">
        <v>12</v>
      </c>
      <c r="C63" s="322" t="s">
        <v>259</v>
      </c>
      <c r="D63" s="296"/>
      <c r="E63" s="25">
        <v>330000</v>
      </c>
      <c r="F63" s="315">
        <v>0</v>
      </c>
      <c r="G63" s="333">
        <f>SUM(E63:F63)</f>
        <v>330000</v>
      </c>
    </row>
    <row r="64" spans="1:7" s="3" customFormat="1" ht="13.5" customHeight="1" x14ac:dyDescent="0.4">
      <c r="A64" s="23" t="s">
        <v>253</v>
      </c>
      <c r="B64" s="302" t="s">
        <v>12</v>
      </c>
      <c r="C64" s="322" t="s">
        <v>30</v>
      </c>
      <c r="D64" s="154"/>
      <c r="E64" s="25" t="s">
        <v>30</v>
      </c>
      <c r="F64" s="94" t="s">
        <v>30</v>
      </c>
      <c r="G64" s="330" t="s">
        <v>30</v>
      </c>
    </row>
    <row r="65" spans="1:7" s="3" customFormat="1" ht="13.5" customHeight="1" x14ac:dyDescent="0.4">
      <c r="A65" s="23" t="s">
        <v>254</v>
      </c>
      <c r="B65" s="302" t="s">
        <v>12</v>
      </c>
      <c r="C65" s="327" t="s">
        <v>303</v>
      </c>
      <c r="D65" s="154"/>
      <c r="E65" s="25" t="s">
        <v>30</v>
      </c>
      <c r="F65" s="94"/>
      <c r="G65" s="330" t="s">
        <v>30</v>
      </c>
    </row>
    <row r="66" spans="1:7" s="297" customFormat="1" ht="13.5" customHeight="1" x14ac:dyDescent="0.4">
      <c r="A66" s="23" t="s">
        <v>256</v>
      </c>
      <c r="B66" s="302" t="s">
        <v>12</v>
      </c>
      <c r="C66" s="322" t="s">
        <v>297</v>
      </c>
      <c r="D66" s="296"/>
      <c r="E66" s="25">
        <v>1380000</v>
      </c>
      <c r="F66" s="315">
        <v>1380000</v>
      </c>
      <c r="G66" s="333">
        <f>SUM(E66:F66)</f>
        <v>2760000</v>
      </c>
    </row>
    <row r="67" spans="1:7" s="297" customFormat="1" ht="13.5" customHeight="1" x14ac:dyDescent="0.4">
      <c r="A67" s="23" t="s">
        <v>293</v>
      </c>
      <c r="B67" s="302" t="s">
        <v>12</v>
      </c>
      <c r="C67" s="322" t="s">
        <v>304</v>
      </c>
      <c r="D67" s="296"/>
      <c r="E67" s="25">
        <v>636000</v>
      </c>
      <c r="F67" s="315">
        <v>636000</v>
      </c>
      <c r="G67" s="333">
        <f>SUM(E67:F67)</f>
        <v>1272000</v>
      </c>
    </row>
    <row r="68" spans="1:7" s="3" customFormat="1" ht="13.2" customHeight="1" thickBot="1" x14ac:dyDescent="0.45">
      <c r="A68" s="23"/>
      <c r="B68" s="301"/>
      <c r="C68" s="324"/>
      <c r="D68" s="154"/>
      <c r="E68" s="45"/>
      <c r="F68" s="172"/>
      <c r="G68" s="334"/>
    </row>
    <row r="69" spans="1:7" s="3" customFormat="1" ht="15" customHeight="1" x14ac:dyDescent="0.4">
      <c r="A69" s="23"/>
      <c r="B69" s="301"/>
      <c r="C69" s="112" t="s">
        <v>111</v>
      </c>
      <c r="D69" s="83"/>
      <c r="E69" s="84">
        <f>SUM(E70:E73)</f>
        <v>642989</v>
      </c>
      <c r="F69" s="298">
        <f>SUM(F70:F73)</f>
        <v>642989</v>
      </c>
      <c r="G69" s="328">
        <f>SUM(G70:G73)</f>
        <v>1285978</v>
      </c>
    </row>
    <row r="70" spans="1:7" s="3" customFormat="1" ht="13.2" customHeight="1" x14ac:dyDescent="0.4">
      <c r="A70" s="23" t="s">
        <v>260</v>
      </c>
      <c r="B70" s="301" t="s">
        <v>12</v>
      </c>
      <c r="C70" s="92" t="s">
        <v>24</v>
      </c>
      <c r="D70" s="93"/>
      <c r="E70" s="37">
        <v>147900</v>
      </c>
      <c r="F70" s="39">
        <v>147900</v>
      </c>
      <c r="G70" s="330">
        <f>SUM(E70:F70)</f>
        <v>295800</v>
      </c>
    </row>
    <row r="71" spans="1:7" s="3" customFormat="1" ht="13.2" customHeight="1" x14ac:dyDescent="0.4">
      <c r="A71" s="23" t="s">
        <v>260</v>
      </c>
      <c r="B71" s="301" t="s">
        <v>12</v>
      </c>
      <c r="C71" s="92" t="s">
        <v>113</v>
      </c>
      <c r="D71" s="93"/>
      <c r="E71" s="37">
        <v>326885</v>
      </c>
      <c r="F71" s="39">
        <v>326885</v>
      </c>
      <c r="G71" s="330">
        <f>SUM(E71:F71)</f>
        <v>653770</v>
      </c>
    </row>
    <row r="72" spans="1:7" s="3" customFormat="1" ht="15" customHeight="1" x14ac:dyDescent="0.4">
      <c r="A72" s="23" t="s">
        <v>260</v>
      </c>
      <c r="B72" s="301" t="s">
        <v>12</v>
      </c>
      <c r="C72" s="92" t="s">
        <v>282</v>
      </c>
      <c r="D72" s="93"/>
      <c r="E72" s="37">
        <v>109504</v>
      </c>
      <c r="F72" s="39">
        <v>109504</v>
      </c>
      <c r="G72" s="330">
        <f>SUM(E72:F72)</f>
        <v>219008</v>
      </c>
    </row>
    <row r="73" spans="1:7" s="3" customFormat="1" ht="15" customHeight="1" x14ac:dyDescent="0.4">
      <c r="A73" s="23" t="s">
        <v>260</v>
      </c>
      <c r="B73" s="301" t="s">
        <v>12</v>
      </c>
      <c r="C73" s="92" t="s">
        <v>296</v>
      </c>
      <c r="D73" s="93"/>
      <c r="E73" s="37">
        <v>58700</v>
      </c>
      <c r="F73" s="39">
        <v>58700</v>
      </c>
      <c r="G73" s="330">
        <f>SUM(E73:F73)</f>
        <v>117400</v>
      </c>
    </row>
    <row r="74" spans="1:7" s="3" customFormat="1" ht="12.45" customHeight="1" thickBot="1" x14ac:dyDescent="0.45">
      <c r="A74" s="23"/>
      <c r="B74" s="301"/>
      <c r="C74" s="92"/>
      <c r="D74" s="154"/>
      <c r="E74" s="103"/>
      <c r="F74" s="314"/>
      <c r="G74" s="335"/>
    </row>
    <row r="75" spans="1:7" s="3" customFormat="1" ht="15" hidden="1" customHeight="1" x14ac:dyDescent="0.45">
      <c r="A75" s="23"/>
      <c r="B75" s="301"/>
      <c r="C75" s="112" t="s">
        <v>114</v>
      </c>
      <c r="D75" s="83"/>
      <c r="E75" s="84">
        <f>SUM(E76+E77)</f>
        <v>0</v>
      </c>
      <c r="F75" s="87">
        <f t="shared" ref="F75" si="2">SUM(F76+F77)</f>
        <v>0</v>
      </c>
      <c r="G75" s="328">
        <f>A75+E75</f>
        <v>0</v>
      </c>
    </row>
    <row r="76" spans="1:7" s="3" customFormat="1" ht="13.2" hidden="1" customHeight="1" x14ac:dyDescent="0.45">
      <c r="A76" s="23" t="s">
        <v>261</v>
      </c>
      <c r="B76" s="301" t="s">
        <v>6</v>
      </c>
      <c r="C76" s="92" t="s">
        <v>74</v>
      </c>
      <c r="D76" s="93"/>
      <c r="E76" s="37">
        <v>0</v>
      </c>
      <c r="F76" s="94">
        <v>0</v>
      </c>
      <c r="G76" s="330">
        <f>A76+E76</f>
        <v>79683</v>
      </c>
    </row>
    <row r="77" spans="1:7" s="3" customFormat="1" ht="13.2" hidden="1" customHeight="1" x14ac:dyDescent="0.45">
      <c r="A77" s="23" t="s">
        <v>261</v>
      </c>
      <c r="B77" s="301"/>
      <c r="C77" s="92" t="s">
        <v>71</v>
      </c>
      <c r="D77" s="93"/>
      <c r="E77" s="37">
        <v>0</v>
      </c>
      <c r="F77" s="94">
        <v>0</v>
      </c>
      <c r="G77" s="330">
        <f>A77+E77</f>
        <v>79683</v>
      </c>
    </row>
    <row r="78" spans="1:7" s="3" customFormat="1" ht="12.45" hidden="1" customHeight="1" thickBot="1" x14ac:dyDescent="0.45">
      <c r="A78" s="155"/>
      <c r="B78" s="306"/>
      <c r="C78" s="92"/>
      <c r="D78" s="154"/>
      <c r="E78" s="103"/>
      <c r="F78" s="106"/>
      <c r="G78" s="335"/>
    </row>
    <row r="79" spans="1:7" s="3" customFormat="1" ht="15" hidden="1" customHeight="1" x14ac:dyDescent="0.45">
      <c r="A79" s="23"/>
      <c r="B79" s="301"/>
      <c r="C79" s="121" t="s">
        <v>116</v>
      </c>
      <c r="D79" s="122"/>
      <c r="E79" s="84">
        <f t="shared" ref="E79:F79" si="3">E80</f>
        <v>0</v>
      </c>
      <c r="F79" s="87">
        <f t="shared" si="3"/>
        <v>0</v>
      </c>
      <c r="G79" s="328">
        <f>A79+E79</f>
        <v>0</v>
      </c>
    </row>
    <row r="80" spans="1:7" s="3" customFormat="1" ht="13.2" hidden="1" customHeight="1" x14ac:dyDescent="0.45">
      <c r="A80" s="23" t="s">
        <v>262</v>
      </c>
      <c r="B80" s="301"/>
      <c r="C80" s="92" t="s">
        <v>263</v>
      </c>
      <c r="D80" s="93"/>
      <c r="E80" s="37">
        <v>0</v>
      </c>
      <c r="F80" s="94">
        <v>0</v>
      </c>
      <c r="G80" s="330">
        <f>A80+E80</f>
        <v>79691</v>
      </c>
    </row>
    <row r="81" spans="1:7" s="3" customFormat="1" ht="12.45" hidden="1" customHeight="1" thickBot="1" x14ac:dyDescent="0.45">
      <c r="A81" s="155"/>
      <c r="B81" s="306"/>
      <c r="C81" s="101"/>
      <c r="D81" s="102"/>
      <c r="E81" s="103"/>
      <c r="F81" s="106"/>
      <c r="G81" s="335"/>
    </row>
    <row r="82" spans="1:7" s="3" customFormat="1" ht="15" customHeight="1" x14ac:dyDescent="0.4">
      <c r="A82" s="23"/>
      <c r="B82" s="301"/>
      <c r="C82" s="112" t="s">
        <v>119</v>
      </c>
      <c r="D82" s="83"/>
      <c r="E82" s="84">
        <f>SUM(E83:E84)</f>
        <v>15000</v>
      </c>
      <c r="F82" s="87">
        <f>SUM(F83:F84)</f>
        <v>15000</v>
      </c>
      <c r="G82" s="328">
        <f>SUM(E82:F82)</f>
        <v>30000</v>
      </c>
    </row>
    <row r="83" spans="1:7" s="3" customFormat="1" ht="13.2" customHeight="1" x14ac:dyDescent="0.4">
      <c r="A83" s="23" t="s">
        <v>264</v>
      </c>
      <c r="B83" s="301" t="s">
        <v>6</v>
      </c>
      <c r="C83" s="92" t="s">
        <v>74</v>
      </c>
      <c r="D83" s="93"/>
      <c r="E83" s="37">
        <v>2500</v>
      </c>
      <c r="F83" s="94">
        <v>2500</v>
      </c>
      <c r="G83" s="330">
        <f>SUM(E83:F83)</f>
        <v>5000</v>
      </c>
    </row>
    <row r="84" spans="1:7" s="3" customFormat="1" ht="13.2" customHeight="1" x14ac:dyDescent="0.4">
      <c r="A84" s="23" t="s">
        <v>264</v>
      </c>
      <c r="B84" s="301" t="s">
        <v>25</v>
      </c>
      <c r="C84" s="92" t="s">
        <v>9</v>
      </c>
      <c r="D84" s="93"/>
      <c r="E84" s="37">
        <v>12500</v>
      </c>
      <c r="F84" s="94">
        <v>12500</v>
      </c>
      <c r="G84" s="330">
        <f>SUM(E84:F84)</f>
        <v>25000</v>
      </c>
    </row>
    <row r="85" spans="1:7" s="3" customFormat="1" ht="12.45" customHeight="1" thickBot="1" x14ac:dyDescent="0.45">
      <c r="A85" s="23"/>
      <c r="B85" s="301"/>
      <c r="C85" s="92"/>
      <c r="D85" s="154"/>
      <c r="E85" s="103"/>
      <c r="F85" s="106"/>
      <c r="G85" s="335"/>
    </row>
    <row r="86" spans="1:7" s="3" customFormat="1" ht="15" hidden="1" customHeight="1" x14ac:dyDescent="0.45">
      <c r="A86" s="23"/>
      <c r="B86" s="301"/>
      <c r="C86" s="112" t="s">
        <v>122</v>
      </c>
      <c r="D86" s="161"/>
      <c r="E86" s="162">
        <f>SUM(E87)</f>
        <v>0</v>
      </c>
      <c r="F86" s="87">
        <f>SUM(F87)</f>
        <v>0</v>
      </c>
      <c r="G86" s="329">
        <f>A86+E86</f>
        <v>0</v>
      </c>
    </row>
    <row r="87" spans="1:7" s="3" customFormat="1" ht="13.2" hidden="1" customHeight="1" x14ac:dyDescent="0.45">
      <c r="A87" s="23" t="s">
        <v>265</v>
      </c>
      <c r="B87" s="301"/>
      <c r="C87" s="92" t="s">
        <v>266</v>
      </c>
      <c r="D87" s="154"/>
      <c r="E87" s="45">
        <v>0</v>
      </c>
      <c r="F87" s="94">
        <v>0</v>
      </c>
      <c r="G87" s="330">
        <f>A87+E87</f>
        <v>79686</v>
      </c>
    </row>
    <row r="88" spans="1:7" s="3" customFormat="1" ht="12.45" hidden="1" customHeight="1" thickBot="1" x14ac:dyDescent="0.45">
      <c r="A88" s="23"/>
      <c r="B88" s="301"/>
      <c r="C88" s="92"/>
      <c r="D88" s="154"/>
      <c r="E88" s="103"/>
      <c r="F88" s="106"/>
      <c r="G88" s="335"/>
    </row>
    <row r="89" spans="1:7" s="3" customFormat="1" ht="17.7" customHeight="1" thickBot="1" x14ac:dyDescent="0.5">
      <c r="A89" s="23"/>
      <c r="B89" s="23"/>
      <c r="C89" s="348" t="s">
        <v>125</v>
      </c>
      <c r="D89" s="139"/>
      <c r="E89" s="260">
        <f>E46+E69+E82</f>
        <v>16675989</v>
      </c>
      <c r="F89" s="263">
        <f>F46+F69+F82</f>
        <v>13665989</v>
      </c>
      <c r="G89" s="336">
        <f>G46+G69+G82</f>
        <v>30341978</v>
      </c>
    </row>
    <row r="90" spans="1:7" s="4" customFormat="1" ht="8.25" customHeight="1" x14ac:dyDescent="0.45">
      <c r="A90" s="284"/>
      <c r="B90" s="284"/>
      <c r="C90" s="316"/>
      <c r="D90" s="139"/>
      <c r="E90" s="190"/>
      <c r="F90" s="190"/>
      <c r="G90" s="190"/>
    </row>
    <row r="91" spans="1:7" s="3" customFormat="1" ht="21" customHeight="1" thickBot="1" x14ac:dyDescent="0.5">
      <c r="A91" s="8"/>
      <c r="B91" s="8"/>
      <c r="C91" s="385" t="s">
        <v>27</v>
      </c>
      <c r="D91" s="386"/>
      <c r="E91" s="406"/>
      <c r="F91" s="406"/>
      <c r="G91" s="406"/>
    </row>
    <row r="92" spans="1:7" s="3" customFormat="1" ht="15" customHeight="1" x14ac:dyDescent="0.4">
      <c r="A92" s="23"/>
      <c r="B92" s="23"/>
      <c r="C92" s="82" t="s">
        <v>126</v>
      </c>
      <c r="D92" s="83"/>
      <c r="E92" s="84">
        <f>SUM(E93:E96)</f>
        <v>9557010</v>
      </c>
      <c r="F92" s="87">
        <f>SUM(F93:F96)</f>
        <v>9557010</v>
      </c>
      <c r="G92" s="328">
        <f t="shared" ref="G92:G95" si="4">SUM(E92:F92)</f>
        <v>19114020</v>
      </c>
    </row>
    <row r="93" spans="1:7" s="3" customFormat="1" ht="15" customHeight="1" x14ac:dyDescent="0.4">
      <c r="A93" s="23" t="s">
        <v>284</v>
      </c>
      <c r="B93" s="301" t="s">
        <v>12</v>
      </c>
      <c r="C93" s="92" t="s">
        <v>285</v>
      </c>
      <c r="D93" s="93"/>
      <c r="E93" s="37">
        <v>9500000</v>
      </c>
      <c r="F93" s="94">
        <v>9500000</v>
      </c>
      <c r="G93" s="330">
        <f t="shared" si="4"/>
        <v>19000000</v>
      </c>
    </row>
    <row r="94" spans="1:7" s="3" customFormat="1" ht="15" customHeight="1" x14ac:dyDescent="0.4">
      <c r="A94" s="23" t="s">
        <v>267</v>
      </c>
      <c r="B94" s="301" t="s">
        <v>12</v>
      </c>
      <c r="C94" s="92" t="s">
        <v>268</v>
      </c>
      <c r="D94" s="93"/>
      <c r="E94" s="37" t="s">
        <v>30</v>
      </c>
      <c r="F94" s="94" t="s">
        <v>30</v>
      </c>
      <c r="G94" s="330" t="s">
        <v>30</v>
      </c>
    </row>
    <row r="95" spans="1:7" s="3" customFormat="1" ht="15" customHeight="1" x14ac:dyDescent="0.4">
      <c r="A95" s="23" t="s">
        <v>269</v>
      </c>
      <c r="B95" s="301" t="s">
        <v>12</v>
      </c>
      <c r="C95" s="92" t="s">
        <v>270</v>
      </c>
      <c r="D95" s="93"/>
      <c r="E95" s="37">
        <v>57010</v>
      </c>
      <c r="F95" s="94">
        <v>57010</v>
      </c>
      <c r="G95" s="330">
        <f t="shared" si="4"/>
        <v>114020</v>
      </c>
    </row>
    <row r="96" spans="1:7" s="3" customFormat="1" ht="15" customHeight="1" x14ac:dyDescent="0.4">
      <c r="A96" s="23" t="s">
        <v>271</v>
      </c>
      <c r="B96" s="301" t="s">
        <v>12</v>
      </c>
      <c r="C96" s="92" t="s">
        <v>177</v>
      </c>
      <c r="D96" s="93"/>
      <c r="E96" s="37" t="s">
        <v>30</v>
      </c>
      <c r="F96" s="94" t="s">
        <v>30</v>
      </c>
      <c r="G96" s="330" t="s">
        <v>30</v>
      </c>
    </row>
    <row r="97" spans="1:7" s="3" customFormat="1" ht="12.45" customHeight="1" thickBot="1" x14ac:dyDescent="0.45">
      <c r="A97" s="23"/>
      <c r="B97" s="301"/>
      <c r="C97" s="92"/>
      <c r="D97" s="154"/>
      <c r="E97" s="103"/>
      <c r="F97" s="106"/>
      <c r="G97" s="335"/>
    </row>
    <row r="98" spans="1:7" s="3" customFormat="1" ht="16.3" thickBot="1" x14ac:dyDescent="0.5">
      <c r="A98" s="23"/>
      <c r="B98" s="301"/>
      <c r="C98" s="347" t="s">
        <v>132</v>
      </c>
      <c r="D98" s="139"/>
      <c r="E98" s="140">
        <f>E92</f>
        <v>9557010</v>
      </c>
      <c r="F98" s="143">
        <f>F92</f>
        <v>9557010</v>
      </c>
      <c r="G98" s="339">
        <f>G92</f>
        <v>19114020</v>
      </c>
    </row>
    <row r="99" spans="1:7" s="3" customFormat="1" ht="14.7" hidden="1" customHeight="1" x14ac:dyDescent="0.45">
      <c r="A99" s="8"/>
      <c r="B99" s="8"/>
      <c r="C99" s="167"/>
      <c r="D99" s="167"/>
      <c r="E99" s="168"/>
      <c r="F99" s="151"/>
      <c r="G99" s="169"/>
    </row>
    <row r="100" spans="1:7" s="3" customFormat="1" ht="21" hidden="1" customHeight="1" thickBot="1" x14ac:dyDescent="0.6">
      <c r="A100" s="8"/>
      <c r="B100" s="8"/>
      <c r="C100" s="352" t="s">
        <v>133</v>
      </c>
      <c r="D100" s="353"/>
      <c r="E100" s="353"/>
      <c r="F100" s="353"/>
      <c r="G100" s="353"/>
    </row>
    <row r="101" spans="1:7" ht="12.45" hidden="1" customHeight="1" x14ac:dyDescent="0.45">
      <c r="A101" s="23"/>
      <c r="B101" s="300"/>
      <c r="C101" s="82" t="s">
        <v>134</v>
      </c>
      <c r="D101" s="83"/>
      <c r="E101" s="84">
        <f t="shared" ref="E101:F101" si="5">SUM(E102:E102)</f>
        <v>0</v>
      </c>
      <c r="F101" s="87">
        <f t="shared" si="5"/>
        <v>0</v>
      </c>
      <c r="G101" s="90">
        <f>A101+E101</f>
        <v>0</v>
      </c>
    </row>
    <row r="102" spans="1:7" ht="13.2" hidden="1" customHeight="1" x14ac:dyDescent="0.45">
      <c r="A102" s="131" t="s">
        <v>135</v>
      </c>
      <c r="B102" s="303"/>
      <c r="C102" s="92" t="s">
        <v>136</v>
      </c>
      <c r="D102" s="93"/>
      <c r="E102" s="37">
        <v>0</v>
      </c>
      <c r="F102" s="94">
        <v>0</v>
      </c>
      <c r="G102" s="95">
        <f>A102+E102</f>
        <v>77200</v>
      </c>
    </row>
    <row r="103" spans="1:7" ht="13.2" hidden="1" customHeight="1" thickBot="1" x14ac:dyDescent="0.45">
      <c r="A103" s="131"/>
      <c r="B103" s="303"/>
      <c r="C103" s="92"/>
      <c r="D103" s="154"/>
      <c r="E103" s="103"/>
      <c r="F103" s="106"/>
      <c r="G103" s="109"/>
    </row>
    <row r="104" spans="1:7" ht="16.399999999999999" hidden="1" customHeight="1" x14ac:dyDescent="0.45">
      <c r="A104" s="131"/>
      <c r="B104" s="303"/>
      <c r="C104" s="112" t="s">
        <v>137</v>
      </c>
      <c r="D104" s="83"/>
      <c r="E104" s="59">
        <f>SUM(E105:E105)</f>
        <v>0</v>
      </c>
      <c r="F104" s="62">
        <f>SUM(F105:F105)</f>
        <v>0</v>
      </c>
      <c r="G104" s="65">
        <f>A104+E104</f>
        <v>0</v>
      </c>
    </row>
    <row r="105" spans="1:7" ht="13.2" hidden="1" customHeight="1" x14ac:dyDescent="0.45">
      <c r="A105" s="131" t="s">
        <v>135</v>
      </c>
      <c r="B105" s="303"/>
      <c r="C105" s="92" t="s">
        <v>176</v>
      </c>
      <c r="D105" s="93"/>
      <c r="E105" s="37">
        <v>0</v>
      </c>
      <c r="F105" s="94">
        <v>0</v>
      </c>
      <c r="G105" s="95">
        <f>A105+E105</f>
        <v>77200</v>
      </c>
    </row>
    <row r="106" spans="1:7" ht="12.45" hidden="1" customHeight="1" thickBot="1" x14ac:dyDescent="0.45">
      <c r="A106" s="131"/>
      <c r="B106" s="303"/>
      <c r="C106" s="112"/>
      <c r="D106" s="170"/>
      <c r="E106" s="45"/>
      <c r="F106" s="172"/>
      <c r="G106" s="175"/>
    </row>
    <row r="107" spans="1:7" ht="16.399999999999999" hidden="1" customHeight="1" x14ac:dyDescent="0.45">
      <c r="A107" s="131"/>
      <c r="B107" s="303"/>
      <c r="C107" s="112" t="s">
        <v>140</v>
      </c>
      <c r="D107" s="83"/>
      <c r="E107" s="84">
        <f>SUM(E108:E109)</f>
        <v>0</v>
      </c>
      <c r="F107" s="87">
        <f>SUM(F108:F109)</f>
        <v>0</v>
      </c>
      <c r="G107" s="90">
        <f>A107+E107</f>
        <v>0</v>
      </c>
    </row>
    <row r="108" spans="1:7" ht="13.2" hidden="1" customHeight="1" x14ac:dyDescent="0.45">
      <c r="A108" s="131" t="s">
        <v>135</v>
      </c>
      <c r="B108" s="303"/>
      <c r="C108" s="152" t="s">
        <v>28</v>
      </c>
      <c r="D108" s="153"/>
      <c r="E108" s="37">
        <v>0</v>
      </c>
      <c r="F108" s="94">
        <v>0</v>
      </c>
      <c r="G108" s="95">
        <f>A108+E108</f>
        <v>77200</v>
      </c>
    </row>
    <row r="109" spans="1:7" ht="13.2" hidden="1" customHeight="1" x14ac:dyDescent="0.45">
      <c r="A109" s="131"/>
      <c r="B109" s="303"/>
      <c r="C109" s="92"/>
      <c r="D109" s="93"/>
      <c r="E109" s="37"/>
      <c r="F109" s="94"/>
      <c r="G109" s="95"/>
    </row>
    <row r="110" spans="1:7" ht="13.2" hidden="1" customHeight="1" x14ac:dyDescent="0.45">
      <c r="A110" s="131" t="s">
        <v>135</v>
      </c>
      <c r="B110" s="303"/>
      <c r="C110" s="178" t="s">
        <v>11</v>
      </c>
      <c r="D110" s="179"/>
      <c r="E110" s="180">
        <v>0</v>
      </c>
      <c r="F110" s="182">
        <v>0</v>
      </c>
      <c r="G110" s="184">
        <f>A110+E110</f>
        <v>77200</v>
      </c>
    </row>
    <row r="111" spans="1:7" ht="13.2" hidden="1" customHeight="1" thickBot="1" x14ac:dyDescent="0.45">
      <c r="A111" s="23"/>
      <c r="B111" s="301"/>
      <c r="C111" s="187"/>
      <c r="D111" s="188"/>
      <c r="E111" s="103"/>
      <c r="F111" s="106"/>
      <c r="G111" s="109"/>
    </row>
    <row r="112" spans="1:7" ht="16.399999999999999" hidden="1" customHeight="1" thickBot="1" x14ac:dyDescent="0.5">
      <c r="A112" s="23"/>
      <c r="B112" s="301"/>
      <c r="C112" s="138" t="s">
        <v>143</v>
      </c>
      <c r="D112" s="139"/>
      <c r="E112" s="140">
        <f>E101+E104+E107+E110</f>
        <v>0</v>
      </c>
      <c r="F112" s="143">
        <f>F101+F104+F107+F110</f>
        <v>0</v>
      </c>
      <c r="G112" s="146">
        <f>G101+G104+G107</f>
        <v>0</v>
      </c>
    </row>
    <row r="113" spans="1:7" s="2" customFormat="1" ht="23.15" hidden="1" customHeight="1" thickBot="1" x14ac:dyDescent="0.5">
      <c r="A113" s="8"/>
      <c r="B113" s="8"/>
      <c r="C113" s="189"/>
      <c r="D113" s="189"/>
      <c r="E113" s="190"/>
      <c r="F113" s="190"/>
      <c r="G113" s="190"/>
    </row>
    <row r="114" spans="1:7" ht="21" hidden="1" customHeight="1" thickBot="1" x14ac:dyDescent="0.6">
      <c r="C114" s="352" t="s">
        <v>144</v>
      </c>
      <c r="D114" s="353"/>
      <c r="E114" s="353"/>
      <c r="F114" s="353"/>
      <c r="G114" s="353"/>
    </row>
    <row r="115" spans="1:7" ht="14.25" hidden="1" customHeight="1" thickBot="1" x14ac:dyDescent="0.45">
      <c r="A115" s="23" t="s">
        <v>145</v>
      </c>
      <c r="B115" s="301"/>
      <c r="C115" s="92" t="s">
        <v>146</v>
      </c>
      <c r="D115" s="167"/>
      <c r="E115" s="191">
        <v>0</v>
      </c>
      <c r="F115" s="194">
        <v>0</v>
      </c>
      <c r="G115" s="197">
        <f>A115+E115</f>
        <v>77299</v>
      </c>
    </row>
    <row r="116" spans="1:7" s="2" customFormat="1" ht="21.75" hidden="1" customHeight="1" thickBot="1" x14ac:dyDescent="0.5">
      <c r="A116" s="8"/>
      <c r="B116" s="8"/>
      <c r="C116" s="189"/>
      <c r="D116" s="189"/>
      <c r="E116" s="190"/>
      <c r="F116" s="190"/>
      <c r="G116" s="190"/>
    </row>
    <row r="117" spans="1:7" ht="21" hidden="1" customHeight="1" thickBot="1" x14ac:dyDescent="0.6">
      <c r="C117" s="352" t="s">
        <v>149</v>
      </c>
      <c r="D117" s="353"/>
      <c r="E117" s="353"/>
      <c r="F117" s="353"/>
      <c r="G117" s="353"/>
    </row>
    <row r="118" spans="1:7" ht="14.25" hidden="1" customHeight="1" thickBot="1" x14ac:dyDescent="0.45">
      <c r="A118" s="23" t="s">
        <v>150</v>
      </c>
      <c r="B118" s="301"/>
      <c r="C118" s="92" t="s">
        <v>57</v>
      </c>
      <c r="D118" s="167"/>
      <c r="E118" s="191">
        <v>0</v>
      </c>
      <c r="F118" s="194">
        <v>0</v>
      </c>
      <c r="G118" s="197">
        <f>A118+E118</f>
        <v>77400</v>
      </c>
    </row>
    <row r="119" spans="1:7" s="3" customFormat="1" ht="21.75" hidden="1" customHeight="1" thickBot="1" x14ac:dyDescent="0.45">
      <c r="A119" s="200"/>
      <c r="B119" s="200"/>
      <c r="C119" s="167"/>
      <c r="D119" s="167"/>
      <c r="E119" s="201"/>
      <c r="F119" s="201"/>
      <c r="G119" s="201"/>
    </row>
    <row r="120" spans="1:7" s="3" customFormat="1" ht="21" hidden="1" customHeight="1" thickBot="1" x14ac:dyDescent="0.6">
      <c r="A120" s="8"/>
      <c r="B120" s="8"/>
      <c r="C120" s="352" t="s">
        <v>151</v>
      </c>
      <c r="D120" s="353"/>
      <c r="E120" s="353"/>
      <c r="F120" s="353"/>
      <c r="G120" s="353"/>
    </row>
    <row r="121" spans="1:7" s="3" customFormat="1" ht="14.25" hidden="1" customHeight="1" thickBot="1" x14ac:dyDescent="0.45">
      <c r="A121" s="23" t="s">
        <v>152</v>
      </c>
      <c r="B121" s="301"/>
      <c r="C121" s="92" t="s">
        <v>153</v>
      </c>
      <c r="D121" s="167"/>
      <c r="E121" s="191">
        <v>0</v>
      </c>
      <c r="F121" s="194">
        <v>0</v>
      </c>
      <c r="G121" s="197">
        <f>A121+E121</f>
        <v>77001</v>
      </c>
    </row>
    <row r="122" spans="1:7" s="3" customFormat="1" ht="14.25" hidden="1" customHeight="1" x14ac:dyDescent="0.45">
      <c r="A122" s="284"/>
      <c r="B122" s="284"/>
      <c r="C122" s="167"/>
      <c r="D122" s="167"/>
      <c r="E122" s="285"/>
      <c r="F122" s="286"/>
      <c r="G122" s="287"/>
    </row>
    <row r="123" spans="1:7" s="3" customFormat="1" ht="21" thickBot="1" x14ac:dyDescent="0.6">
      <c r="A123" s="23"/>
      <c r="B123" s="301"/>
      <c r="C123" s="318" t="s">
        <v>310</v>
      </c>
      <c r="D123" s="139"/>
      <c r="E123" s="260">
        <f>SUM(E98,E89,E42)</f>
        <v>28223423.947000001</v>
      </c>
      <c r="F123" s="263">
        <f>SUM(F98,F89,F42)</f>
        <v>25213423.947000001</v>
      </c>
      <c r="G123" s="336">
        <f>SUM(G98,G89,G42)</f>
        <v>53436847.894000001</v>
      </c>
    </row>
    <row r="124" spans="1:7" s="3" customFormat="1" ht="17.899999999999999" customHeight="1" x14ac:dyDescent="0.4">
      <c r="A124" s="8"/>
      <c r="B124" s="8"/>
      <c r="C124" s="202" t="s">
        <v>30</v>
      </c>
      <c r="D124" s="202"/>
      <c r="E124" s="203"/>
      <c r="F124" s="203"/>
      <c r="G124" s="203"/>
    </row>
    <row r="131" ht="22.5" customHeight="1" x14ac:dyDescent="0.4"/>
    <row r="135" ht="20.25" customHeight="1" x14ac:dyDescent="0.4"/>
    <row r="137" ht="20.25" customHeight="1" x14ac:dyDescent="0.4"/>
  </sheetData>
  <mergeCells count="19">
    <mergeCell ref="A1:G1"/>
    <mergeCell ref="A2:G2"/>
    <mergeCell ref="A3:G3"/>
    <mergeCell ref="C5:G5"/>
    <mergeCell ref="A6:C6"/>
    <mergeCell ref="E6:G6"/>
    <mergeCell ref="C120:G120"/>
    <mergeCell ref="C44:G44"/>
    <mergeCell ref="C45:G45"/>
    <mergeCell ref="C91:G91"/>
    <mergeCell ref="C100:G100"/>
    <mergeCell ref="C114:G114"/>
    <mergeCell ref="C117:G117"/>
    <mergeCell ref="C13:G13"/>
    <mergeCell ref="C14:G14"/>
    <mergeCell ref="A7:C7"/>
    <mergeCell ref="E7:E8"/>
    <mergeCell ref="G7:G8"/>
    <mergeCell ref="F7:F8"/>
  </mergeCells>
  <printOptions horizontalCentered="1"/>
  <pageMargins left="0.4" right="0.1" top="0.35" bottom="0.15" header="0.3" footer="0.3"/>
  <pageSetup paperSize="17" scale="84" orientation="portrait" r:id="rId1"/>
  <headerFooter>
    <oddFooter>&amp;R&amp;10pg. &amp;P</oddFooter>
  </headerFooter>
  <rowBreaks count="2" manualBreakCount="2">
    <brk id="42" max="15" man="1"/>
    <brk id="90" max="15" man="1"/>
  </rowBreaks>
  <ignoredErrors>
    <ignoredError sqref="E32" formulaRange="1"/>
    <ignoredError sqref="G3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/>
  <dimension ref="A1:O155"/>
  <sheetViews>
    <sheetView showGridLines="0" zoomScaleNormal="100" workbookViewId="0">
      <selection activeCell="G27" sqref="G27"/>
    </sheetView>
  </sheetViews>
  <sheetFormatPr defaultRowHeight="14.6" x14ac:dyDescent="0.4"/>
  <cols>
    <col min="1" max="1" width="6.3046875" style="8" customWidth="1"/>
    <col min="2" max="2" width="40.15234375" style="242" customWidth="1"/>
    <col min="3" max="3" width="0.3046875" style="242" customWidth="1"/>
    <col min="4" max="4" width="12.69140625" customWidth="1"/>
    <col min="5" max="5" width="12.84375" customWidth="1"/>
    <col min="6" max="6" width="12.69140625" customWidth="1"/>
    <col min="7" max="7" width="7" customWidth="1"/>
    <col min="8" max="8" width="12.84375" bestFit="1" customWidth="1"/>
    <col min="9" max="9" width="12" bestFit="1" customWidth="1"/>
    <col min="10" max="10" width="12.84375" customWidth="1"/>
    <col min="11" max="11" width="6.69140625" customWidth="1"/>
    <col min="12" max="12" width="13.3046875" customWidth="1"/>
    <col min="13" max="13" width="12.84375" customWidth="1"/>
    <col min="14" max="14" width="12.69140625" customWidth="1"/>
    <col min="15" max="15" width="27.3046875" customWidth="1"/>
  </cols>
  <sheetData>
    <row r="1" spans="1:15" ht="28.2" customHeight="1" x14ac:dyDescent="0.4">
      <c r="A1" s="350" t="s">
        <v>31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</row>
    <row r="2" spans="1:15" ht="19.2" customHeight="1" x14ac:dyDescent="0.4">
      <c r="A2" s="351" t="s">
        <v>32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</row>
    <row r="3" spans="1:15" ht="19.2" customHeight="1" x14ac:dyDescent="0.4">
      <c r="A3" s="351" t="s">
        <v>33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</row>
    <row r="4" spans="1:15" ht="18.899999999999999" thickBot="1" x14ac:dyDescent="0.55000000000000004">
      <c r="B4"/>
      <c r="C4"/>
      <c r="G4" s="9"/>
      <c r="K4" s="10">
        <f>0/24</f>
        <v>0</v>
      </c>
      <c r="O4" s="11"/>
    </row>
    <row r="5" spans="1:15" ht="21" thickBot="1" x14ac:dyDescent="0.6">
      <c r="B5" s="352" t="s">
        <v>34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4"/>
      <c r="O5" s="11"/>
    </row>
    <row r="6" spans="1:15" s="14" customFormat="1" ht="18.899999999999999" thickBot="1" x14ac:dyDescent="0.5">
      <c r="A6" s="355"/>
      <c r="B6" s="355"/>
      <c r="C6" s="310"/>
      <c r="D6" s="356" t="s">
        <v>35</v>
      </c>
      <c r="E6" s="357"/>
      <c r="F6" s="357"/>
      <c r="G6" s="358"/>
      <c r="H6" s="359" t="s">
        <v>36</v>
      </c>
      <c r="I6" s="359"/>
      <c r="J6" s="359"/>
      <c r="K6" s="12"/>
      <c r="L6" s="360" t="s">
        <v>37</v>
      </c>
      <c r="M6" s="361"/>
      <c r="N6" s="362"/>
      <c r="O6" s="13" t="s">
        <v>38</v>
      </c>
    </row>
    <row r="7" spans="1:15" ht="31.5" customHeight="1" x14ac:dyDescent="0.4">
      <c r="A7" s="355"/>
      <c r="B7" s="355"/>
      <c r="C7" s="310"/>
      <c r="D7" s="366" t="s">
        <v>39</v>
      </c>
      <c r="E7" s="368" t="s">
        <v>40</v>
      </c>
      <c r="F7" s="368" t="s">
        <v>41</v>
      </c>
      <c r="G7" s="15" t="s">
        <v>42</v>
      </c>
      <c r="H7" s="370" t="s">
        <v>43</v>
      </c>
      <c r="I7" s="372" t="s">
        <v>44</v>
      </c>
      <c r="J7" s="372" t="s">
        <v>45</v>
      </c>
      <c r="K7" s="16" t="s">
        <v>46</v>
      </c>
      <c r="L7" s="374" t="s">
        <v>47</v>
      </c>
      <c r="M7" s="376" t="s">
        <v>48</v>
      </c>
      <c r="N7" s="378" t="s">
        <v>49</v>
      </c>
      <c r="O7" s="17"/>
    </row>
    <row r="8" spans="1:15" ht="15" customHeight="1" thickBot="1" x14ac:dyDescent="0.45">
      <c r="A8" s="18" t="s">
        <v>50</v>
      </c>
      <c r="B8" s="19" t="s">
        <v>51</v>
      </c>
      <c r="C8" s="20"/>
      <c r="D8" s="367"/>
      <c r="E8" s="369"/>
      <c r="F8" s="369"/>
      <c r="G8" s="21">
        <f>11/12</f>
        <v>0.91666666666666663</v>
      </c>
      <c r="H8" s="371"/>
      <c r="I8" s="373"/>
      <c r="J8" s="373"/>
      <c r="K8" s="22">
        <f>K4</f>
        <v>0</v>
      </c>
      <c r="L8" s="375"/>
      <c r="M8" s="377"/>
      <c r="N8" s="379"/>
      <c r="O8" s="17"/>
    </row>
    <row r="9" spans="1:15" ht="15.75" customHeight="1" x14ac:dyDescent="0.4">
      <c r="A9" s="23" t="s">
        <v>53</v>
      </c>
      <c r="B9" s="24" t="s">
        <v>54</v>
      </c>
      <c r="C9" s="20"/>
      <c r="D9" s="25">
        <f>D52+D88+D94</f>
        <v>23367912</v>
      </c>
      <c r="E9" s="26">
        <f>E52+E88+E94</f>
        <v>17733260.84</v>
      </c>
      <c r="F9" s="26">
        <f>D9-E9</f>
        <v>5634651.1600000001</v>
      </c>
      <c r="G9" s="27">
        <f>IFERROR(E9/D9,"0")</f>
        <v>0.75887228777650306</v>
      </c>
      <c r="H9" s="28">
        <f>H52+H88+H94</f>
        <v>19744707.399999999</v>
      </c>
      <c r="I9" s="29">
        <v>0</v>
      </c>
      <c r="J9" s="29">
        <f>H9-I9</f>
        <v>19744707.399999999</v>
      </c>
      <c r="K9" s="30">
        <f>IFERROR(I9/H9,"0")</f>
        <v>0</v>
      </c>
      <c r="L9" s="31">
        <f t="shared" ref="L9:M12" si="0">D9+H9</f>
        <v>43112619.399999999</v>
      </c>
      <c r="M9" s="32">
        <f t="shared" si="0"/>
        <v>17733260.84</v>
      </c>
      <c r="N9" s="33">
        <f>L9-M9</f>
        <v>25379358.559999999</v>
      </c>
      <c r="O9" s="34" t="s">
        <v>272</v>
      </c>
    </row>
    <row r="10" spans="1:15" ht="15.75" customHeight="1" x14ac:dyDescent="0.4">
      <c r="A10" s="23" t="s">
        <v>53</v>
      </c>
      <c r="B10" s="35" t="s">
        <v>55</v>
      </c>
      <c r="C10" s="36"/>
      <c r="D10" s="37">
        <f>D109</f>
        <v>4000000</v>
      </c>
      <c r="E10" s="38">
        <f>E109</f>
        <v>912837.87</v>
      </c>
      <c r="F10" s="38">
        <f>D10-E10</f>
        <v>3087162.13</v>
      </c>
      <c r="G10" s="27">
        <f>IFERROR(E10/D10,0)</f>
        <v>0.22820946749999999</v>
      </c>
      <c r="H10" s="39">
        <f>H109</f>
        <v>1000000</v>
      </c>
      <c r="I10" s="40">
        <f>I109</f>
        <v>0</v>
      </c>
      <c r="J10" s="40">
        <f t="shared" ref="J10:J12" si="1">H10-I10</f>
        <v>1000000</v>
      </c>
      <c r="K10" s="30">
        <f>IFERROR(I10/H10,0)</f>
        <v>0</v>
      </c>
      <c r="L10" s="41">
        <f t="shared" si="0"/>
        <v>5000000</v>
      </c>
      <c r="M10" s="42">
        <f t="shared" si="0"/>
        <v>912837.87</v>
      </c>
      <c r="N10" s="43">
        <f t="shared" ref="N10:N12" si="2">L10-M10</f>
        <v>4087162.13</v>
      </c>
      <c r="O10" s="34" t="s">
        <v>272</v>
      </c>
    </row>
    <row r="11" spans="1:15" ht="15.75" customHeight="1" x14ac:dyDescent="0.4">
      <c r="A11" s="23" t="s">
        <v>53</v>
      </c>
      <c r="B11" s="35" t="s">
        <v>56</v>
      </c>
      <c r="C11" s="44"/>
      <c r="D11" s="45">
        <v>0</v>
      </c>
      <c r="E11" s="46">
        <v>0</v>
      </c>
      <c r="F11" s="38">
        <f>D11-E11</f>
        <v>0</v>
      </c>
      <c r="G11" s="27">
        <f>IFERROR(E11/D11,0)</f>
        <v>0</v>
      </c>
      <c r="H11" s="47">
        <f>H112</f>
        <v>5679000</v>
      </c>
      <c r="I11" s="40">
        <f>I112</f>
        <v>0</v>
      </c>
      <c r="J11" s="40">
        <f t="shared" si="1"/>
        <v>5679000</v>
      </c>
      <c r="K11" s="30">
        <f>IFERROR(I11/H11,0)</f>
        <v>0</v>
      </c>
      <c r="L11" s="48">
        <f t="shared" si="0"/>
        <v>5679000</v>
      </c>
      <c r="M11" s="42">
        <f t="shared" si="0"/>
        <v>0</v>
      </c>
      <c r="N11" s="43">
        <f t="shared" si="2"/>
        <v>5679000</v>
      </c>
      <c r="O11" s="34"/>
    </row>
    <row r="12" spans="1:15" ht="15.75" customHeight="1" x14ac:dyDescent="0.4">
      <c r="A12" s="23" t="s">
        <v>53</v>
      </c>
      <c r="B12" s="35" t="s">
        <v>57</v>
      </c>
      <c r="C12" s="44"/>
      <c r="D12" s="49">
        <f>D115</f>
        <v>130000</v>
      </c>
      <c r="E12" s="50">
        <f>E115</f>
        <v>0</v>
      </c>
      <c r="F12" s="50">
        <f>D12-E12</f>
        <v>130000</v>
      </c>
      <c r="G12" s="51">
        <f>IFERROR(E12/D12,0)</f>
        <v>0</v>
      </c>
      <c r="H12" s="52">
        <f>H115</f>
        <v>0</v>
      </c>
      <c r="I12" s="53">
        <f>I115</f>
        <v>0</v>
      </c>
      <c r="J12" s="53">
        <f t="shared" si="1"/>
        <v>0</v>
      </c>
      <c r="K12" s="54">
        <f>IFERROR(I12/H12,0)</f>
        <v>0</v>
      </c>
      <c r="L12" s="55">
        <f t="shared" si="0"/>
        <v>130000</v>
      </c>
      <c r="M12" s="56">
        <f t="shared" si="0"/>
        <v>0</v>
      </c>
      <c r="N12" s="57">
        <f t="shared" si="2"/>
        <v>130000</v>
      </c>
      <c r="O12" s="34"/>
    </row>
    <row r="13" spans="1:15" ht="15.75" customHeight="1" x14ac:dyDescent="0.4">
      <c r="A13" s="23"/>
      <c r="B13" s="19" t="s">
        <v>58</v>
      </c>
      <c r="C13" s="58"/>
      <c r="D13" s="59">
        <f>SUM(D9:D12)</f>
        <v>27497912</v>
      </c>
      <c r="E13" s="60">
        <f t="shared" ref="E13:N13" si="3">SUM(E9:E12)</f>
        <v>18646098.710000001</v>
      </c>
      <c r="F13" s="60">
        <f>SUM(F9:F12)</f>
        <v>8851813.2899999991</v>
      </c>
      <c r="G13" s="61">
        <f t="shared" ref="G13:G15" si="4">E13/D13</f>
        <v>0.67809143872451116</v>
      </c>
      <c r="H13" s="62">
        <f t="shared" si="3"/>
        <v>26423707.399999999</v>
      </c>
      <c r="I13" s="63">
        <f t="shared" si="3"/>
        <v>0</v>
      </c>
      <c r="J13" s="63">
        <f t="shared" si="3"/>
        <v>26423707.399999999</v>
      </c>
      <c r="K13" s="64">
        <f t="shared" ref="K13:K15" si="5">I13/H13</f>
        <v>0</v>
      </c>
      <c r="L13" s="65">
        <f t="shared" si="3"/>
        <v>53921619.399999999</v>
      </c>
      <c r="M13" s="66">
        <f t="shared" si="3"/>
        <v>18646098.710000001</v>
      </c>
      <c r="N13" s="67">
        <f t="shared" si="3"/>
        <v>35275520.689999998</v>
      </c>
      <c r="O13" s="34"/>
    </row>
    <row r="14" spans="1:15" ht="15.75" customHeight="1" x14ac:dyDescent="0.4">
      <c r="A14" s="23" t="s">
        <v>59</v>
      </c>
      <c r="B14" s="35" t="s">
        <v>60</v>
      </c>
      <c r="C14" s="44"/>
      <c r="D14" s="49">
        <f>D118</f>
        <v>600000</v>
      </c>
      <c r="E14" s="50">
        <f>E118</f>
        <v>30325.75</v>
      </c>
      <c r="F14" s="50">
        <f>D14-E14</f>
        <v>569674.25</v>
      </c>
      <c r="G14" s="51">
        <f t="shared" si="4"/>
        <v>5.0542916666666667E-2</v>
      </c>
      <c r="H14" s="68">
        <v>1250000</v>
      </c>
      <c r="I14" s="53">
        <f>I118</f>
        <v>0</v>
      </c>
      <c r="J14" s="53">
        <f>H14-I14</f>
        <v>1250000</v>
      </c>
      <c r="K14" s="54">
        <f t="shared" si="5"/>
        <v>0</v>
      </c>
      <c r="L14" s="69">
        <f>D14+H14</f>
        <v>1850000</v>
      </c>
      <c r="M14" s="56">
        <f>E14+I14</f>
        <v>30325.75</v>
      </c>
      <c r="N14" s="57">
        <f>L14-M14</f>
        <v>1819674.25</v>
      </c>
      <c r="O14" s="34" t="s">
        <v>272</v>
      </c>
    </row>
    <row r="15" spans="1:15" ht="18.45" customHeight="1" thickBot="1" x14ac:dyDescent="0.5">
      <c r="A15" s="23"/>
      <c r="B15" s="19" t="s">
        <v>61</v>
      </c>
      <c r="C15" s="70"/>
      <c r="D15" s="71">
        <f>SUM(D13:D14)</f>
        <v>28097912</v>
      </c>
      <c r="E15" s="72">
        <f t="shared" ref="E15:N15" si="6">SUM(E13:E14)</f>
        <v>18676424.460000001</v>
      </c>
      <c r="F15" s="72">
        <f>SUM(F13:F14)</f>
        <v>9421487.5399999991</v>
      </c>
      <c r="G15" s="73">
        <f t="shared" si="4"/>
        <v>0.66469083040761179</v>
      </c>
      <c r="H15" s="74">
        <f t="shared" si="6"/>
        <v>27673707.399999999</v>
      </c>
      <c r="I15" s="75">
        <f>SUM(I13:I14)</f>
        <v>0</v>
      </c>
      <c r="J15" s="75">
        <f t="shared" si="6"/>
        <v>27673707.399999999</v>
      </c>
      <c r="K15" s="76">
        <f t="shared" si="5"/>
        <v>0</v>
      </c>
      <c r="L15" s="77">
        <f t="shared" si="6"/>
        <v>55771619.399999999</v>
      </c>
      <c r="M15" s="78">
        <f t="shared" si="6"/>
        <v>18676424.460000001</v>
      </c>
      <c r="N15" s="79">
        <f t="shared" si="6"/>
        <v>37095194.939999998</v>
      </c>
      <c r="O15" s="34"/>
    </row>
    <row r="16" spans="1:15" ht="24.45" customHeight="1" thickBot="1" x14ac:dyDescent="0.45">
      <c r="B16" s="80"/>
      <c r="C16" s="80"/>
      <c r="O16" s="34"/>
    </row>
    <row r="17" spans="1:15" ht="22.95" customHeight="1" thickBot="1" x14ac:dyDescent="0.6">
      <c r="B17" s="352" t="s">
        <v>63</v>
      </c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4"/>
      <c r="O17" s="34"/>
    </row>
    <row r="18" spans="1:15" ht="18.899999999999999" thickBot="1" x14ac:dyDescent="0.55000000000000004">
      <c r="A18" s="81" t="s">
        <v>64</v>
      </c>
      <c r="B18" s="363" t="s">
        <v>65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5"/>
      <c r="O18" s="34"/>
    </row>
    <row r="19" spans="1:15" ht="15" customHeight="1" x14ac:dyDescent="0.4">
      <c r="A19" s="23"/>
      <c r="B19" s="82" t="s">
        <v>66</v>
      </c>
      <c r="C19" s="83"/>
      <c r="D19" s="84">
        <f>SUM(D20:D27)</f>
        <v>657510</v>
      </c>
      <c r="E19" s="85">
        <f>SUM(E20:E27)</f>
        <v>561505.54999999993</v>
      </c>
      <c r="F19" s="85">
        <f t="shared" ref="F19:F27" si="7">D19-E19</f>
        <v>96004.45000000007</v>
      </c>
      <c r="G19" s="86">
        <f>E19/D19</f>
        <v>0.85398784809356498</v>
      </c>
      <c r="H19" s="87">
        <f t="shared" ref="H19:I19" si="8">SUM(H20:H27)</f>
        <v>823753.39999999991</v>
      </c>
      <c r="I19" s="88">
        <f t="shared" si="8"/>
        <v>0</v>
      </c>
      <c r="J19" s="88">
        <f>H19-I19</f>
        <v>823753.39999999991</v>
      </c>
      <c r="K19" s="89">
        <f>I19/H19</f>
        <v>0</v>
      </c>
      <c r="L19" s="90">
        <f>D19+H19</f>
        <v>1481263.4</v>
      </c>
      <c r="M19" s="91">
        <f>E19+I19</f>
        <v>561505.54999999993</v>
      </c>
      <c r="N19" s="67">
        <f>L19-M19</f>
        <v>919757.85</v>
      </c>
      <c r="O19" s="34"/>
    </row>
    <row r="20" spans="1:15" ht="13.2" customHeight="1" x14ac:dyDescent="0.4">
      <c r="A20" s="23" t="s">
        <v>67</v>
      </c>
      <c r="B20" s="92" t="s">
        <v>68</v>
      </c>
      <c r="C20" s="93"/>
      <c r="D20" s="37">
        <v>433419</v>
      </c>
      <c r="E20" s="38">
        <v>360799.88</v>
      </c>
      <c r="F20" s="38">
        <f t="shared" si="7"/>
        <v>72619.12</v>
      </c>
      <c r="G20" s="27">
        <f t="shared" ref="G20:G27" si="9">IFERROR(E20/D20,0)</f>
        <v>0.83245053862428742</v>
      </c>
      <c r="H20" s="94">
        <v>588084</v>
      </c>
      <c r="I20" s="40">
        <v>0</v>
      </c>
      <c r="J20" s="40">
        <f>H20-I20</f>
        <v>588084</v>
      </c>
      <c r="K20" s="30">
        <f t="shared" ref="K20:K27" si="10">IFERROR(I20/H20,0)</f>
        <v>0</v>
      </c>
      <c r="L20" s="95">
        <f>D20+H20</f>
        <v>1021503</v>
      </c>
      <c r="M20" s="42">
        <f>E20+I20</f>
        <v>360799.88</v>
      </c>
      <c r="N20" s="43">
        <f>L20-M20</f>
        <v>660703.12</v>
      </c>
      <c r="O20" s="34" t="s">
        <v>69</v>
      </c>
    </row>
    <row r="21" spans="1:15" ht="13.2" customHeight="1" x14ac:dyDescent="0.4">
      <c r="A21" s="23" t="s">
        <v>67</v>
      </c>
      <c r="B21" s="92" t="s">
        <v>1</v>
      </c>
      <c r="C21" s="93"/>
      <c r="D21" s="37">
        <v>161092</v>
      </c>
      <c r="E21" s="38">
        <v>130495.5</v>
      </c>
      <c r="F21" s="38">
        <f t="shared" si="7"/>
        <v>30596.5</v>
      </c>
      <c r="G21" s="27">
        <f t="shared" si="9"/>
        <v>0.81006815980930147</v>
      </c>
      <c r="H21" s="94">
        <v>173669.39999999997</v>
      </c>
      <c r="I21" s="40">
        <v>0</v>
      </c>
      <c r="J21" s="40">
        <f t="shared" ref="J21:J27" si="11">H21-I21</f>
        <v>173669.39999999997</v>
      </c>
      <c r="K21" s="30">
        <f t="shared" si="10"/>
        <v>0</v>
      </c>
      <c r="L21" s="95">
        <f t="shared" ref="L21:M27" si="12">D21+H21</f>
        <v>334761.39999999997</v>
      </c>
      <c r="M21" s="42">
        <f t="shared" si="12"/>
        <v>130495.5</v>
      </c>
      <c r="N21" s="43">
        <f t="shared" ref="N21:N27" si="13">L21-M21</f>
        <v>204265.89999999997</v>
      </c>
      <c r="O21" s="34" t="s">
        <v>70</v>
      </c>
    </row>
    <row r="22" spans="1:15" ht="13.2" customHeight="1" x14ac:dyDescent="0.4">
      <c r="A22" s="23" t="s">
        <v>67</v>
      </c>
      <c r="B22" s="92" t="s">
        <v>71</v>
      </c>
      <c r="C22" s="93"/>
      <c r="D22" s="96">
        <v>0</v>
      </c>
      <c r="E22" s="97">
        <v>12.5</v>
      </c>
      <c r="F22" s="97">
        <f t="shared" si="7"/>
        <v>-12.5</v>
      </c>
      <c r="G22" s="27">
        <f t="shared" si="9"/>
        <v>0</v>
      </c>
      <c r="H22" s="98">
        <v>0</v>
      </c>
      <c r="I22" s="99">
        <v>0</v>
      </c>
      <c r="J22" s="99">
        <f t="shared" si="11"/>
        <v>0</v>
      </c>
      <c r="K22" s="30">
        <f t="shared" si="10"/>
        <v>0</v>
      </c>
      <c r="L22" s="95">
        <f t="shared" si="12"/>
        <v>0</v>
      </c>
      <c r="M22" s="42">
        <f t="shared" si="12"/>
        <v>12.5</v>
      </c>
      <c r="N22" s="43">
        <f t="shared" si="13"/>
        <v>-12.5</v>
      </c>
      <c r="O22" s="100"/>
    </row>
    <row r="23" spans="1:15" ht="13.2" customHeight="1" x14ac:dyDescent="0.4">
      <c r="A23" s="23" t="s">
        <v>67</v>
      </c>
      <c r="B23" s="92" t="s">
        <v>72</v>
      </c>
      <c r="C23" s="93"/>
      <c r="D23" s="37">
        <v>7000</v>
      </c>
      <c r="E23" s="38">
        <v>2577.79</v>
      </c>
      <c r="F23" s="38">
        <f t="shared" si="7"/>
        <v>4422.21</v>
      </c>
      <c r="G23" s="27">
        <f t="shared" si="9"/>
        <v>0.3682557142857143</v>
      </c>
      <c r="H23" s="94">
        <v>7000</v>
      </c>
      <c r="I23" s="40">
        <v>0</v>
      </c>
      <c r="J23" s="40">
        <f t="shared" si="11"/>
        <v>7000</v>
      </c>
      <c r="K23" s="30">
        <f t="shared" si="10"/>
        <v>0</v>
      </c>
      <c r="L23" s="95">
        <f t="shared" si="12"/>
        <v>14000</v>
      </c>
      <c r="M23" s="42">
        <f t="shared" si="12"/>
        <v>2577.79</v>
      </c>
      <c r="N23" s="43">
        <f t="shared" si="13"/>
        <v>11422.21</v>
      </c>
      <c r="O23" s="100"/>
    </row>
    <row r="24" spans="1:15" ht="13.2" customHeight="1" x14ac:dyDescent="0.4">
      <c r="A24" s="23" t="s">
        <v>67</v>
      </c>
      <c r="B24" s="92" t="s">
        <v>73</v>
      </c>
      <c r="C24" s="93"/>
      <c r="D24" s="37">
        <v>30000</v>
      </c>
      <c r="E24" s="38">
        <v>33726.639999999999</v>
      </c>
      <c r="F24" s="38">
        <f t="shared" si="7"/>
        <v>-3726.6399999999994</v>
      </c>
      <c r="G24" s="27">
        <f t="shared" si="9"/>
        <v>1.1242213333333333</v>
      </c>
      <c r="H24" s="94">
        <v>30000</v>
      </c>
      <c r="I24" s="40">
        <v>0</v>
      </c>
      <c r="J24" s="40">
        <f t="shared" si="11"/>
        <v>30000</v>
      </c>
      <c r="K24" s="30">
        <f t="shared" si="10"/>
        <v>0</v>
      </c>
      <c r="L24" s="95">
        <f t="shared" si="12"/>
        <v>60000</v>
      </c>
      <c r="M24" s="42">
        <f t="shared" si="12"/>
        <v>33726.639999999999</v>
      </c>
      <c r="N24" s="43">
        <f t="shared" si="13"/>
        <v>26273.360000000001</v>
      </c>
      <c r="O24" s="100"/>
    </row>
    <row r="25" spans="1:15" ht="13.2" customHeight="1" x14ac:dyDescent="0.4">
      <c r="A25" s="23" t="s">
        <v>67</v>
      </c>
      <c r="B25" s="92" t="s">
        <v>74</v>
      </c>
      <c r="C25" s="93"/>
      <c r="D25" s="37">
        <v>6000</v>
      </c>
      <c r="E25" s="38">
        <f>-E23-E24+46573.94</f>
        <v>10269.510000000002</v>
      </c>
      <c r="F25" s="38">
        <f t="shared" si="7"/>
        <v>-4269.510000000002</v>
      </c>
      <c r="G25" s="27">
        <f t="shared" si="9"/>
        <v>1.7115850000000004</v>
      </c>
      <c r="H25" s="94">
        <v>10000</v>
      </c>
      <c r="I25" s="40">
        <v>0</v>
      </c>
      <c r="J25" s="40">
        <f t="shared" si="11"/>
        <v>10000</v>
      </c>
      <c r="K25" s="30">
        <f t="shared" si="10"/>
        <v>0</v>
      </c>
      <c r="L25" s="95">
        <f t="shared" si="12"/>
        <v>16000</v>
      </c>
      <c r="M25" s="42">
        <f t="shared" si="12"/>
        <v>10269.510000000002</v>
      </c>
      <c r="N25" s="43">
        <f t="shared" si="13"/>
        <v>5730.489999999998</v>
      </c>
      <c r="O25" s="34"/>
    </row>
    <row r="26" spans="1:15" ht="13.2" customHeight="1" x14ac:dyDescent="0.4">
      <c r="A26" s="23" t="s">
        <v>67</v>
      </c>
      <c r="B26" s="92" t="s">
        <v>9</v>
      </c>
      <c r="C26" s="93"/>
      <c r="D26" s="37">
        <v>15000</v>
      </c>
      <c r="E26" s="38">
        <v>14551.66</v>
      </c>
      <c r="F26" s="38">
        <f t="shared" si="7"/>
        <v>448.34000000000015</v>
      </c>
      <c r="G26" s="27">
        <f t="shared" si="9"/>
        <v>0.97011066666666668</v>
      </c>
      <c r="H26" s="94">
        <v>10000</v>
      </c>
      <c r="I26" s="40">
        <v>0</v>
      </c>
      <c r="J26" s="40">
        <f t="shared" si="11"/>
        <v>10000</v>
      </c>
      <c r="K26" s="30">
        <f t="shared" si="10"/>
        <v>0</v>
      </c>
      <c r="L26" s="95">
        <f t="shared" si="12"/>
        <v>25000</v>
      </c>
      <c r="M26" s="42">
        <f t="shared" si="12"/>
        <v>14551.66</v>
      </c>
      <c r="N26" s="43">
        <f t="shared" si="13"/>
        <v>10448.34</v>
      </c>
      <c r="O26" s="100"/>
    </row>
    <row r="27" spans="1:15" ht="13.2" customHeight="1" x14ac:dyDescent="0.4">
      <c r="A27" s="23" t="s">
        <v>67</v>
      </c>
      <c r="B27" s="92" t="s">
        <v>10</v>
      </c>
      <c r="C27" s="93"/>
      <c r="D27" s="37">
        <v>4999</v>
      </c>
      <c r="E27" s="38">
        <v>9072.07</v>
      </c>
      <c r="F27" s="38">
        <f t="shared" si="7"/>
        <v>-4073.0699999999997</v>
      </c>
      <c r="G27" s="27">
        <f t="shared" si="9"/>
        <v>1.8147769553910782</v>
      </c>
      <c r="H27" s="94">
        <v>5000</v>
      </c>
      <c r="I27" s="40">
        <v>0</v>
      </c>
      <c r="J27" s="40">
        <f t="shared" si="11"/>
        <v>5000</v>
      </c>
      <c r="K27" s="30">
        <f t="shared" si="10"/>
        <v>0</v>
      </c>
      <c r="L27" s="95">
        <f t="shared" si="12"/>
        <v>9999</v>
      </c>
      <c r="M27" s="42">
        <f t="shared" si="12"/>
        <v>9072.07</v>
      </c>
      <c r="N27" s="43">
        <f t="shared" si="13"/>
        <v>926.93000000000029</v>
      </c>
      <c r="O27" s="100" t="s">
        <v>273</v>
      </c>
    </row>
    <row r="28" spans="1:15" ht="12.45" customHeight="1" thickBot="1" x14ac:dyDescent="0.45">
      <c r="A28" s="23"/>
      <c r="B28" s="101"/>
      <c r="C28" s="102"/>
      <c r="D28" s="103"/>
      <c r="E28" s="104"/>
      <c r="F28" s="104"/>
      <c r="G28" s="105"/>
      <c r="H28" s="106"/>
      <c r="I28" s="107"/>
      <c r="J28" s="107"/>
      <c r="K28" s="108"/>
      <c r="L28" s="109"/>
      <c r="M28" s="110"/>
      <c r="N28" s="111"/>
      <c r="O28" s="34"/>
    </row>
    <row r="29" spans="1:15" ht="15" customHeight="1" x14ac:dyDescent="0.4">
      <c r="A29" s="23"/>
      <c r="B29" s="112" t="s">
        <v>75</v>
      </c>
      <c r="C29" s="83"/>
      <c r="D29" s="84">
        <f>SUM(D30:D37)</f>
        <v>356753</v>
      </c>
      <c r="E29" s="85">
        <f>SUM(E30:E37)</f>
        <v>321283.27</v>
      </c>
      <c r="F29" s="85">
        <f t="shared" ref="F29:F37" si="14">D29-E29</f>
        <v>35469.729999999981</v>
      </c>
      <c r="G29" s="61">
        <f>E29/D29</f>
        <v>0.9005762250072179</v>
      </c>
      <c r="H29" s="87">
        <f t="shared" ref="H29:I29" si="15">SUM(H30:H37)</f>
        <v>431039</v>
      </c>
      <c r="I29" s="88">
        <f t="shared" si="15"/>
        <v>0</v>
      </c>
      <c r="J29" s="88">
        <f>H29-I29</f>
        <v>431039</v>
      </c>
      <c r="K29" s="64">
        <f>I29/H29</f>
        <v>0</v>
      </c>
      <c r="L29" s="90">
        <f t="shared" ref="L29:M37" si="16">D29+H29</f>
        <v>787792</v>
      </c>
      <c r="M29" s="91">
        <f t="shared" si="16"/>
        <v>321283.27</v>
      </c>
      <c r="N29" s="113">
        <f>L29-M29</f>
        <v>466508.73</v>
      </c>
      <c r="O29" s="34"/>
    </row>
    <row r="30" spans="1:15" ht="13.95" customHeight="1" x14ac:dyDescent="0.4">
      <c r="A30" s="23" t="s">
        <v>76</v>
      </c>
      <c r="B30" s="92" t="s">
        <v>68</v>
      </c>
      <c r="C30" s="93"/>
      <c r="D30" s="37">
        <v>251098</v>
      </c>
      <c r="E30" s="38">
        <v>226935.85</v>
      </c>
      <c r="F30" s="38">
        <f t="shared" si="14"/>
        <v>24162.149999999994</v>
      </c>
      <c r="G30" s="27">
        <f t="shared" ref="G30:G37" si="17">IFERROR(E30/D30,0)</f>
        <v>0.90377402448446431</v>
      </c>
      <c r="H30" s="94">
        <v>316632</v>
      </c>
      <c r="I30" s="40">
        <v>0</v>
      </c>
      <c r="J30" s="40">
        <f>H30-I30</f>
        <v>316632</v>
      </c>
      <c r="K30" s="30">
        <f t="shared" ref="K30:K37" si="18">IFERROR(I30/H30,0)</f>
        <v>0</v>
      </c>
      <c r="L30" s="95">
        <f t="shared" si="16"/>
        <v>567730</v>
      </c>
      <c r="M30" s="42">
        <f t="shared" si="16"/>
        <v>226935.85</v>
      </c>
      <c r="N30" s="43">
        <f>L30-M30</f>
        <v>340794.15</v>
      </c>
      <c r="O30" s="34" t="s">
        <v>274</v>
      </c>
    </row>
    <row r="31" spans="1:15" ht="13.95" customHeight="1" x14ac:dyDescent="0.4">
      <c r="A31" s="23" t="s">
        <v>76</v>
      </c>
      <c r="B31" s="92" t="s">
        <v>1</v>
      </c>
      <c r="C31" s="93"/>
      <c r="D31" s="37">
        <v>77290</v>
      </c>
      <c r="E31" s="38">
        <v>70615.94</v>
      </c>
      <c r="F31" s="38">
        <f t="shared" si="14"/>
        <v>6674.0599999999977</v>
      </c>
      <c r="G31" s="27">
        <f t="shared" si="17"/>
        <v>0.91364911372751978</v>
      </c>
      <c r="H31" s="94">
        <v>91907</v>
      </c>
      <c r="I31" s="40">
        <v>0</v>
      </c>
      <c r="J31" s="40">
        <f t="shared" ref="J31:J37" si="19">H31-I31</f>
        <v>91907</v>
      </c>
      <c r="K31" s="30">
        <f t="shared" si="18"/>
        <v>0</v>
      </c>
      <c r="L31" s="95">
        <f t="shared" si="16"/>
        <v>169197</v>
      </c>
      <c r="M31" s="42">
        <f t="shared" si="16"/>
        <v>70615.94</v>
      </c>
      <c r="N31" s="43">
        <f t="shared" ref="N31:N37" si="20">L31-M31</f>
        <v>98581.06</v>
      </c>
      <c r="O31" s="34" t="s">
        <v>274</v>
      </c>
    </row>
    <row r="32" spans="1:15" ht="13.95" customHeight="1" x14ac:dyDescent="0.4">
      <c r="A32" s="23" t="s">
        <v>76</v>
      </c>
      <c r="B32" s="92" t="s">
        <v>71</v>
      </c>
      <c r="C32" s="93"/>
      <c r="D32" s="96">
        <v>0</v>
      </c>
      <c r="E32" s="97">
        <v>0</v>
      </c>
      <c r="F32" s="97">
        <f t="shared" si="14"/>
        <v>0</v>
      </c>
      <c r="G32" s="27">
        <f t="shared" si="17"/>
        <v>0</v>
      </c>
      <c r="H32" s="98">
        <v>0</v>
      </c>
      <c r="I32" s="99">
        <v>0</v>
      </c>
      <c r="J32" s="99">
        <f t="shared" si="19"/>
        <v>0</v>
      </c>
      <c r="K32" s="30">
        <f t="shared" si="18"/>
        <v>0</v>
      </c>
      <c r="L32" s="114">
        <f t="shared" si="16"/>
        <v>0</v>
      </c>
      <c r="M32" s="115">
        <f t="shared" si="16"/>
        <v>0</v>
      </c>
      <c r="N32" s="43">
        <f t="shared" si="20"/>
        <v>0</v>
      </c>
      <c r="O32" s="34"/>
    </row>
    <row r="33" spans="1:15" ht="13.95" customHeight="1" x14ac:dyDescent="0.4">
      <c r="A33" s="23" t="s">
        <v>76</v>
      </c>
      <c r="B33" s="92" t="s">
        <v>72</v>
      </c>
      <c r="C33" s="93"/>
      <c r="D33" s="37">
        <v>5000</v>
      </c>
      <c r="E33" s="38">
        <v>2428.9899999999998</v>
      </c>
      <c r="F33" s="38">
        <f t="shared" si="14"/>
        <v>2571.0100000000002</v>
      </c>
      <c r="G33" s="27">
        <f t="shared" si="17"/>
        <v>0.48579799999999995</v>
      </c>
      <c r="H33" s="94">
        <v>5000</v>
      </c>
      <c r="I33" s="40">
        <v>0</v>
      </c>
      <c r="J33" s="40">
        <f t="shared" si="19"/>
        <v>5000</v>
      </c>
      <c r="K33" s="30">
        <f t="shared" si="18"/>
        <v>0</v>
      </c>
      <c r="L33" s="95">
        <f t="shared" si="16"/>
        <v>10000</v>
      </c>
      <c r="M33" s="42">
        <f t="shared" si="16"/>
        <v>2428.9899999999998</v>
      </c>
      <c r="N33" s="43">
        <f t="shared" si="20"/>
        <v>7571.01</v>
      </c>
      <c r="O33" s="34"/>
    </row>
    <row r="34" spans="1:15" ht="13.95" customHeight="1" x14ac:dyDescent="0.4">
      <c r="A34" s="23" t="s">
        <v>76</v>
      </c>
      <c r="B34" s="92" t="s">
        <v>73</v>
      </c>
      <c r="C34" s="93"/>
      <c r="D34" s="37">
        <v>0</v>
      </c>
      <c r="E34" s="38">
        <v>0</v>
      </c>
      <c r="F34" s="38">
        <f t="shared" si="14"/>
        <v>0</v>
      </c>
      <c r="G34" s="27">
        <f t="shared" si="17"/>
        <v>0</v>
      </c>
      <c r="H34" s="94">
        <v>0</v>
      </c>
      <c r="I34" s="40">
        <v>0</v>
      </c>
      <c r="J34" s="40">
        <f t="shared" si="19"/>
        <v>0</v>
      </c>
      <c r="K34" s="30">
        <f t="shared" si="18"/>
        <v>0</v>
      </c>
      <c r="L34" s="95">
        <f t="shared" si="16"/>
        <v>0</v>
      </c>
      <c r="M34" s="42">
        <f t="shared" si="16"/>
        <v>0</v>
      </c>
      <c r="N34" s="43">
        <f t="shared" si="20"/>
        <v>0</v>
      </c>
      <c r="O34" s="34"/>
    </row>
    <row r="35" spans="1:15" ht="13.95" customHeight="1" x14ac:dyDescent="0.4">
      <c r="A35" s="23" t="s">
        <v>76</v>
      </c>
      <c r="B35" s="92" t="s">
        <v>74</v>
      </c>
      <c r="C35" s="93"/>
      <c r="D35" s="37">
        <v>10865</v>
      </c>
      <c r="E35" s="38">
        <f>-E33+14643.12</f>
        <v>12214.130000000001</v>
      </c>
      <c r="F35" s="38">
        <f t="shared" si="14"/>
        <v>-1349.130000000001</v>
      </c>
      <c r="G35" s="27">
        <f t="shared" si="17"/>
        <v>1.1241721122871606</v>
      </c>
      <c r="H35" s="94">
        <v>5000</v>
      </c>
      <c r="I35" s="40">
        <v>0</v>
      </c>
      <c r="J35" s="40">
        <f t="shared" si="19"/>
        <v>5000</v>
      </c>
      <c r="K35" s="30">
        <f t="shared" si="18"/>
        <v>0</v>
      </c>
      <c r="L35" s="95">
        <f t="shared" si="16"/>
        <v>15865</v>
      </c>
      <c r="M35" s="42">
        <f t="shared" si="16"/>
        <v>12214.130000000001</v>
      </c>
      <c r="N35" s="43">
        <f t="shared" si="20"/>
        <v>3650.869999999999</v>
      </c>
      <c r="O35" s="34"/>
    </row>
    <row r="36" spans="1:15" ht="13.95" customHeight="1" x14ac:dyDescent="0.4">
      <c r="A36" s="23" t="s">
        <v>76</v>
      </c>
      <c r="B36" s="92" t="s">
        <v>9</v>
      </c>
      <c r="C36" s="93"/>
      <c r="D36" s="37">
        <v>7500</v>
      </c>
      <c r="E36" s="38">
        <v>6764.63</v>
      </c>
      <c r="F36" s="38">
        <f t="shared" si="14"/>
        <v>735.36999999999989</v>
      </c>
      <c r="G36" s="27">
        <f t="shared" si="17"/>
        <v>0.90195066666666668</v>
      </c>
      <c r="H36" s="94">
        <v>7500</v>
      </c>
      <c r="I36" s="40">
        <v>0</v>
      </c>
      <c r="J36" s="40">
        <f t="shared" si="19"/>
        <v>7500</v>
      </c>
      <c r="K36" s="30">
        <f t="shared" si="18"/>
        <v>0</v>
      </c>
      <c r="L36" s="95">
        <f t="shared" si="16"/>
        <v>15000</v>
      </c>
      <c r="M36" s="42">
        <f t="shared" si="16"/>
        <v>6764.63</v>
      </c>
      <c r="N36" s="43">
        <f t="shared" si="20"/>
        <v>8235.369999999999</v>
      </c>
      <c r="O36" s="34"/>
    </row>
    <row r="37" spans="1:15" ht="13.95" customHeight="1" x14ac:dyDescent="0.4">
      <c r="A37" s="23" t="s">
        <v>76</v>
      </c>
      <c r="B37" s="92" t="s">
        <v>10</v>
      </c>
      <c r="C37" s="93"/>
      <c r="D37" s="37">
        <v>5000</v>
      </c>
      <c r="E37" s="38">
        <v>2323.73</v>
      </c>
      <c r="F37" s="38">
        <f t="shared" si="14"/>
        <v>2676.27</v>
      </c>
      <c r="G37" s="27">
        <f t="shared" si="17"/>
        <v>0.46474599999999999</v>
      </c>
      <c r="H37" s="94">
        <v>5000</v>
      </c>
      <c r="I37" s="40">
        <v>0</v>
      </c>
      <c r="J37" s="40">
        <f t="shared" si="19"/>
        <v>5000</v>
      </c>
      <c r="K37" s="30">
        <f t="shared" si="18"/>
        <v>0</v>
      </c>
      <c r="L37" s="95">
        <f t="shared" si="16"/>
        <v>10000</v>
      </c>
      <c r="M37" s="42">
        <f t="shared" si="16"/>
        <v>2323.73</v>
      </c>
      <c r="N37" s="43">
        <f t="shared" si="20"/>
        <v>7676.27</v>
      </c>
      <c r="O37" s="34"/>
    </row>
    <row r="38" spans="1:15" ht="12.45" customHeight="1" thickBot="1" x14ac:dyDescent="0.45">
      <c r="A38" s="23"/>
      <c r="B38" s="101"/>
      <c r="C38" s="102"/>
      <c r="D38" s="103"/>
      <c r="E38" s="104"/>
      <c r="F38" s="104"/>
      <c r="G38" s="105"/>
      <c r="H38" s="106"/>
      <c r="I38" s="107"/>
      <c r="J38" s="107"/>
      <c r="K38" s="108"/>
      <c r="L38" s="109"/>
      <c r="M38" s="110"/>
      <c r="N38" s="111"/>
      <c r="O38" s="34"/>
    </row>
    <row r="39" spans="1:15" ht="15" customHeight="1" x14ac:dyDescent="0.4">
      <c r="A39" s="23"/>
      <c r="B39" s="112" t="s">
        <v>77</v>
      </c>
      <c r="C39" s="83"/>
      <c r="D39" s="84">
        <f>SUM(D40:D44)</f>
        <v>269314</v>
      </c>
      <c r="E39" s="85">
        <f>SUM(E40:E45)</f>
        <v>129803.59</v>
      </c>
      <c r="F39" s="85">
        <f t="shared" ref="F39:F45" si="21">D39-E39</f>
        <v>139510.41</v>
      </c>
      <c r="G39" s="61">
        <f>E39/D39</f>
        <v>0.48197861975240797</v>
      </c>
      <c r="H39" s="87">
        <f>SUM(H40:H45)</f>
        <v>269134</v>
      </c>
      <c r="I39" s="88">
        <f>SUM(I40:I41)</f>
        <v>0</v>
      </c>
      <c r="J39" s="88">
        <f>H39-I39</f>
        <v>269134</v>
      </c>
      <c r="K39" s="64">
        <f>I39/H39</f>
        <v>0</v>
      </c>
      <c r="L39" s="90">
        <f t="shared" ref="L39:M43" si="22">D39+H39</f>
        <v>538448</v>
      </c>
      <c r="M39" s="91">
        <f t="shared" si="22"/>
        <v>129803.59</v>
      </c>
      <c r="N39" s="113">
        <f>L39-M39</f>
        <v>408644.41000000003</v>
      </c>
      <c r="O39" s="34"/>
    </row>
    <row r="40" spans="1:15" ht="13.95" customHeight="1" x14ac:dyDescent="0.4">
      <c r="A40" s="116" t="s">
        <v>78</v>
      </c>
      <c r="B40" s="117" t="s">
        <v>79</v>
      </c>
      <c r="C40" s="118"/>
      <c r="D40" s="37">
        <v>23863</v>
      </c>
      <c r="E40" s="38">
        <v>13010.88</v>
      </c>
      <c r="F40" s="38">
        <f t="shared" si="21"/>
        <v>10852.12</v>
      </c>
      <c r="G40" s="27">
        <f t="shared" ref="G40:G45" si="23">IFERROR(E40/D40,0)</f>
        <v>0.54523236810124454</v>
      </c>
      <c r="H40" s="94">
        <v>23683</v>
      </c>
      <c r="I40" s="40">
        <v>0</v>
      </c>
      <c r="J40" s="40">
        <f>H40-I40</f>
        <v>23683</v>
      </c>
      <c r="K40" s="30">
        <f t="shared" ref="K40:K45" si="24">IFERROR(I40/H40,0)</f>
        <v>0</v>
      </c>
      <c r="L40" s="95">
        <f t="shared" si="22"/>
        <v>47546</v>
      </c>
      <c r="M40" s="42">
        <f t="shared" si="22"/>
        <v>13010.88</v>
      </c>
      <c r="N40" s="43">
        <f>L40-M40</f>
        <v>34535.120000000003</v>
      </c>
      <c r="O40" s="34" t="s">
        <v>80</v>
      </c>
    </row>
    <row r="41" spans="1:15" ht="13.95" customHeight="1" x14ac:dyDescent="0.4">
      <c r="A41" s="116" t="s">
        <v>81</v>
      </c>
      <c r="B41" s="117" t="s">
        <v>79</v>
      </c>
      <c r="C41" s="118"/>
      <c r="D41" s="37">
        <v>12109</v>
      </c>
      <c r="E41" s="38">
        <v>8481.76</v>
      </c>
      <c r="F41" s="38">
        <f t="shared" si="21"/>
        <v>3627.24</v>
      </c>
      <c r="G41" s="27">
        <f t="shared" si="23"/>
        <v>0.70045090428606827</v>
      </c>
      <c r="H41" s="94">
        <v>45447</v>
      </c>
      <c r="I41" s="40">
        <v>0</v>
      </c>
      <c r="J41" s="40">
        <f t="shared" ref="J41:J45" si="25">H41-I41</f>
        <v>45447</v>
      </c>
      <c r="K41" s="30">
        <f t="shared" si="24"/>
        <v>0</v>
      </c>
      <c r="L41" s="95">
        <f t="shared" si="22"/>
        <v>57556</v>
      </c>
      <c r="M41" s="42">
        <f t="shared" si="22"/>
        <v>8481.76</v>
      </c>
      <c r="N41" s="43">
        <f t="shared" ref="N41:N45" si="26">L41-M41</f>
        <v>49074.239999999998</v>
      </c>
      <c r="O41" s="34" t="s">
        <v>80</v>
      </c>
    </row>
    <row r="42" spans="1:15" ht="13.95" customHeight="1" x14ac:dyDescent="0.4">
      <c r="A42" s="116" t="s">
        <v>82</v>
      </c>
      <c r="B42" s="117" t="s">
        <v>79</v>
      </c>
      <c r="C42" s="118"/>
      <c r="D42" s="37">
        <v>33346</v>
      </c>
      <c r="E42" s="38">
        <v>34242.839999999997</v>
      </c>
      <c r="F42" s="38">
        <f t="shared" si="21"/>
        <v>-896.83999999999651</v>
      </c>
      <c r="G42" s="27">
        <f t="shared" si="23"/>
        <v>1.026894979907635</v>
      </c>
      <c r="H42" s="94">
        <v>0</v>
      </c>
      <c r="I42" s="40"/>
      <c r="J42" s="40">
        <f t="shared" si="25"/>
        <v>0</v>
      </c>
      <c r="K42" s="30">
        <f t="shared" si="24"/>
        <v>0</v>
      </c>
      <c r="L42" s="95">
        <f t="shared" si="22"/>
        <v>33346</v>
      </c>
      <c r="M42" s="42">
        <f t="shared" si="22"/>
        <v>34242.839999999997</v>
      </c>
      <c r="N42" s="43">
        <f t="shared" si="26"/>
        <v>-896.83999999999651</v>
      </c>
      <c r="O42" s="34" t="s">
        <v>275</v>
      </c>
    </row>
    <row r="43" spans="1:15" ht="13.95" customHeight="1" x14ac:dyDescent="0.4">
      <c r="A43" s="116" t="s">
        <v>84</v>
      </c>
      <c r="B43" s="117" t="s">
        <v>11</v>
      </c>
      <c r="C43" s="118"/>
      <c r="D43" s="37">
        <v>0</v>
      </c>
      <c r="E43" s="38">
        <v>8510.3700000000008</v>
      </c>
      <c r="F43" s="38">
        <f t="shared" si="21"/>
        <v>-8510.3700000000008</v>
      </c>
      <c r="G43" s="27">
        <f t="shared" si="23"/>
        <v>0</v>
      </c>
      <c r="H43" s="94">
        <v>0</v>
      </c>
      <c r="I43" s="40">
        <v>0</v>
      </c>
      <c r="J43" s="40">
        <f t="shared" si="25"/>
        <v>0</v>
      </c>
      <c r="K43" s="30">
        <f t="shared" si="24"/>
        <v>0</v>
      </c>
      <c r="L43" s="95">
        <f t="shared" si="22"/>
        <v>0</v>
      </c>
      <c r="M43" s="42">
        <f t="shared" si="22"/>
        <v>8510.3700000000008</v>
      </c>
      <c r="N43" s="43">
        <f t="shared" si="26"/>
        <v>-8510.3700000000008</v>
      </c>
      <c r="O43" s="34"/>
    </row>
    <row r="44" spans="1:15" ht="13.95" customHeight="1" x14ac:dyDescent="0.4">
      <c r="A44" s="23" t="s">
        <v>85</v>
      </c>
      <c r="B44" s="92" t="s">
        <v>86</v>
      </c>
      <c r="C44" s="93"/>
      <c r="D44" s="96">
        <v>199996</v>
      </c>
      <c r="E44" s="97">
        <v>62831.01</v>
      </c>
      <c r="F44" s="97">
        <f t="shared" si="21"/>
        <v>137164.99</v>
      </c>
      <c r="G44" s="27">
        <f t="shared" si="23"/>
        <v>0.31416133322666456</v>
      </c>
      <c r="H44" s="98">
        <v>200004</v>
      </c>
      <c r="I44" s="99">
        <v>0</v>
      </c>
      <c r="J44" s="99">
        <f t="shared" si="25"/>
        <v>200004</v>
      </c>
      <c r="K44" s="30">
        <f t="shared" si="24"/>
        <v>0</v>
      </c>
      <c r="L44" s="114">
        <f>D44+H44</f>
        <v>400000</v>
      </c>
      <c r="M44" s="115">
        <f>E44+I44</f>
        <v>62831.01</v>
      </c>
      <c r="N44" s="43">
        <f t="shared" si="26"/>
        <v>337168.99</v>
      </c>
      <c r="O44" s="34"/>
    </row>
    <row r="45" spans="1:15" ht="13.95" customHeight="1" x14ac:dyDescent="0.4">
      <c r="A45" s="23" t="s">
        <v>87</v>
      </c>
      <c r="B45" s="92" t="s">
        <v>88</v>
      </c>
      <c r="C45" s="93"/>
      <c r="D45" s="96">
        <v>0</v>
      </c>
      <c r="E45" s="97">
        <v>2726.73</v>
      </c>
      <c r="F45" s="97">
        <f t="shared" si="21"/>
        <v>-2726.73</v>
      </c>
      <c r="G45" s="27">
        <f t="shared" si="23"/>
        <v>0</v>
      </c>
      <c r="H45" s="98">
        <v>0</v>
      </c>
      <c r="I45" s="99"/>
      <c r="J45" s="99">
        <f t="shared" si="25"/>
        <v>0</v>
      </c>
      <c r="K45" s="30">
        <f t="shared" si="24"/>
        <v>0</v>
      </c>
      <c r="L45" s="114">
        <f>D45+H45</f>
        <v>0</v>
      </c>
      <c r="M45" s="115">
        <f>E45+I45</f>
        <v>2726.73</v>
      </c>
      <c r="N45" s="43">
        <f t="shared" si="26"/>
        <v>-2726.73</v>
      </c>
      <c r="O45" s="34"/>
    </row>
    <row r="46" spans="1:15" ht="12.45" customHeight="1" thickBot="1" x14ac:dyDescent="0.45">
      <c r="A46" s="23"/>
      <c r="B46" s="119"/>
      <c r="C46" s="120"/>
      <c r="D46" s="103"/>
      <c r="E46" s="104"/>
      <c r="F46" s="104"/>
      <c r="G46" s="105"/>
      <c r="H46" s="106"/>
      <c r="I46" s="107"/>
      <c r="J46" s="107"/>
      <c r="K46" s="108"/>
      <c r="L46" s="109"/>
      <c r="M46" s="110"/>
      <c r="N46" s="111"/>
      <c r="O46" s="34"/>
    </row>
    <row r="47" spans="1:15" ht="15" customHeight="1" x14ac:dyDescent="0.4">
      <c r="A47" s="23"/>
      <c r="B47" s="121" t="s">
        <v>89</v>
      </c>
      <c r="C47" s="122"/>
      <c r="D47" s="84">
        <f>SUM(D48:D50)</f>
        <v>308646</v>
      </c>
      <c r="E47" s="85">
        <f>SUM(E48:E50)</f>
        <v>140604.19</v>
      </c>
      <c r="F47" s="85">
        <f>D47-E47</f>
        <v>168041.81</v>
      </c>
      <c r="G47" s="61">
        <f>E47/D47</f>
        <v>0.45555163520667691</v>
      </c>
      <c r="H47" s="87">
        <f>SUM(H48:H50)</f>
        <v>226112</v>
      </c>
      <c r="I47" s="123">
        <f>SUM(I48:I50)</f>
        <v>0</v>
      </c>
      <c r="J47" s="123">
        <f>H47-I47</f>
        <v>226112</v>
      </c>
      <c r="K47" s="64">
        <f>I47/H47</f>
        <v>0</v>
      </c>
      <c r="L47" s="90">
        <f t="shared" ref="L47:M50" si="27">D47+H47</f>
        <v>534758</v>
      </c>
      <c r="M47" s="124">
        <f t="shared" si="27"/>
        <v>140604.19</v>
      </c>
      <c r="N47" s="113">
        <f>L47-M47</f>
        <v>394153.81</v>
      </c>
      <c r="O47" s="34"/>
    </row>
    <row r="48" spans="1:15" ht="13.95" customHeight="1" x14ac:dyDescent="0.4">
      <c r="A48" s="23" t="s">
        <v>276</v>
      </c>
      <c r="B48" s="92" t="s">
        <v>277</v>
      </c>
      <c r="C48" s="122"/>
      <c r="D48" s="125">
        <v>0</v>
      </c>
      <c r="E48" s="126">
        <v>0</v>
      </c>
      <c r="F48" s="126">
        <f>D48-E48</f>
        <v>0</v>
      </c>
      <c r="G48" s="27">
        <f t="shared" ref="G48:G50" si="28">IFERROR(E48/D48,0)</f>
        <v>0</v>
      </c>
      <c r="H48" s="127">
        <v>0</v>
      </c>
      <c r="I48" s="128">
        <v>0</v>
      </c>
      <c r="J48" s="128">
        <f>H48-I48</f>
        <v>0</v>
      </c>
      <c r="K48" s="30">
        <f t="shared" ref="K48:K50" si="29">IFERROR(I48/H48,0)</f>
        <v>0</v>
      </c>
      <c r="L48" s="129">
        <f t="shared" si="27"/>
        <v>0</v>
      </c>
      <c r="M48" s="130">
        <f>E48+I48</f>
        <v>0</v>
      </c>
      <c r="N48" s="33">
        <f>L48-M48</f>
        <v>0</v>
      </c>
      <c r="O48" s="34"/>
    </row>
    <row r="49" spans="1:15" ht="13.95" customHeight="1" x14ac:dyDescent="0.4">
      <c r="A49" s="131" t="s">
        <v>93</v>
      </c>
      <c r="B49" s="92" t="s">
        <v>278</v>
      </c>
      <c r="C49" s="93"/>
      <c r="D49" s="125">
        <v>303490</v>
      </c>
      <c r="E49" s="126">
        <v>139031.67999999999</v>
      </c>
      <c r="F49" s="126">
        <f>D49-E49</f>
        <v>164458.32</v>
      </c>
      <c r="G49" s="27">
        <f t="shared" si="28"/>
        <v>0.45810959174931626</v>
      </c>
      <c r="H49" s="127">
        <v>220956</v>
      </c>
      <c r="I49" s="128">
        <v>0</v>
      </c>
      <c r="J49" s="128">
        <f>H49-I49</f>
        <v>220956</v>
      </c>
      <c r="K49" s="30">
        <f t="shared" si="29"/>
        <v>0</v>
      </c>
      <c r="L49" s="129">
        <f t="shared" si="27"/>
        <v>524446</v>
      </c>
      <c r="M49" s="130">
        <f t="shared" si="27"/>
        <v>139031.67999999999</v>
      </c>
      <c r="N49" s="33">
        <f t="shared" ref="N49:N50" si="30">L49-M49</f>
        <v>385414.32</v>
      </c>
      <c r="O49" s="34" t="s">
        <v>279</v>
      </c>
    </row>
    <row r="50" spans="1:15" ht="13.95" customHeight="1" x14ac:dyDescent="0.4">
      <c r="A50" s="131" t="s">
        <v>90</v>
      </c>
      <c r="B50" s="92" t="s">
        <v>91</v>
      </c>
      <c r="C50" s="93"/>
      <c r="D50" s="125">
        <v>5156</v>
      </c>
      <c r="E50" s="126">
        <v>1572.51</v>
      </c>
      <c r="F50" s="126">
        <f>D50-E50</f>
        <v>3583.49</v>
      </c>
      <c r="G50" s="27">
        <f t="shared" si="28"/>
        <v>0.30498642358417377</v>
      </c>
      <c r="H50" s="127">
        <v>5156</v>
      </c>
      <c r="I50" s="128">
        <v>0</v>
      </c>
      <c r="J50" s="128">
        <f>H50-I50</f>
        <v>5156</v>
      </c>
      <c r="K50" s="30">
        <f t="shared" si="29"/>
        <v>0</v>
      </c>
      <c r="L50" s="129">
        <f t="shared" si="27"/>
        <v>10312</v>
      </c>
      <c r="M50" s="130">
        <f t="shared" si="27"/>
        <v>1572.51</v>
      </c>
      <c r="N50" s="33">
        <f t="shared" si="30"/>
        <v>8739.49</v>
      </c>
      <c r="O50" s="132" t="s">
        <v>92</v>
      </c>
    </row>
    <row r="51" spans="1:15" ht="12.45" customHeight="1" thickBot="1" x14ac:dyDescent="0.45">
      <c r="A51" s="133"/>
      <c r="B51" s="134"/>
      <c r="C51" s="135"/>
      <c r="D51" s="103"/>
      <c r="E51" s="104"/>
      <c r="F51" s="104"/>
      <c r="G51" s="105"/>
      <c r="H51" s="106"/>
      <c r="I51" s="107"/>
      <c r="J51" s="107"/>
      <c r="K51" s="108"/>
      <c r="L51" s="109"/>
      <c r="M51" s="110"/>
      <c r="N51" s="111"/>
      <c r="O51" s="136"/>
    </row>
    <row r="52" spans="1:15" ht="16.3" thickBot="1" x14ac:dyDescent="0.5">
      <c r="A52" s="137"/>
      <c r="B52" s="138" t="s">
        <v>96</v>
      </c>
      <c r="C52" s="139"/>
      <c r="D52" s="140">
        <f>(D19+D29+D39+D47)</f>
        <v>1592223</v>
      </c>
      <c r="E52" s="141">
        <f>(E19+E29+E39+E47)</f>
        <v>1153196.5999999999</v>
      </c>
      <c r="F52" s="141">
        <f>D52-E52</f>
        <v>439026.40000000014</v>
      </c>
      <c r="G52" s="142">
        <f>E52/D52</f>
        <v>0.72426827146699924</v>
      </c>
      <c r="H52" s="143">
        <f>(H19+H29+H39+H47)</f>
        <v>1750038.4</v>
      </c>
      <c r="I52" s="144">
        <f>I19+I29+I39+I47</f>
        <v>0</v>
      </c>
      <c r="J52" s="144">
        <f>H52-I52</f>
        <v>1750038.4</v>
      </c>
      <c r="K52" s="145">
        <f>I52/H52</f>
        <v>0</v>
      </c>
      <c r="L52" s="146">
        <f>L19+L29+L39+L47</f>
        <v>3342261.4</v>
      </c>
      <c r="M52" s="147">
        <f>M19+M29+M39+M47</f>
        <v>1153196.5999999999</v>
      </c>
      <c r="N52" s="148">
        <f>L52-M52</f>
        <v>2189064.7999999998</v>
      </c>
      <c r="O52" s="34"/>
    </row>
    <row r="53" spans="1:15" ht="17.149999999999999" customHeight="1" thickBot="1" x14ac:dyDescent="0.45">
      <c r="A53" s="149"/>
      <c r="B53" s="150"/>
      <c r="C53" s="150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34"/>
    </row>
    <row r="54" spans="1:15" ht="18.899999999999999" thickBot="1" x14ac:dyDescent="0.55000000000000004">
      <c r="A54" s="149"/>
      <c r="B54" s="363" t="s">
        <v>97</v>
      </c>
      <c r="C54" s="364"/>
      <c r="D54" s="364"/>
      <c r="E54" s="364"/>
      <c r="F54" s="364"/>
      <c r="G54" s="364"/>
      <c r="H54" s="364"/>
      <c r="I54" s="364"/>
      <c r="J54" s="364"/>
      <c r="K54" s="364"/>
      <c r="L54" s="364"/>
      <c r="M54" s="364"/>
      <c r="N54" s="365"/>
      <c r="O54" s="34"/>
    </row>
    <row r="55" spans="1:15" s="2" customFormat="1" ht="16.3" thickBot="1" x14ac:dyDescent="0.5">
      <c r="A55" s="149"/>
      <c r="B55" s="412" t="s">
        <v>26</v>
      </c>
      <c r="C55" s="413"/>
      <c r="D55" s="413"/>
      <c r="E55" s="413"/>
      <c r="F55" s="413"/>
      <c r="G55" s="413"/>
      <c r="H55" s="413"/>
      <c r="I55" s="413"/>
      <c r="J55" s="413"/>
      <c r="K55" s="413"/>
      <c r="L55" s="413"/>
      <c r="M55" s="413"/>
      <c r="N55" s="414"/>
      <c r="O55" s="100"/>
    </row>
    <row r="56" spans="1:15" ht="12.45" customHeight="1" x14ac:dyDescent="0.4">
      <c r="A56" s="23"/>
      <c r="B56" s="112" t="s">
        <v>98</v>
      </c>
      <c r="C56" s="83"/>
      <c r="D56" s="84">
        <f>SUM(D57:D67)</f>
        <v>11422800</v>
      </c>
      <c r="E56" s="85">
        <f>SUM(E57:E68)</f>
        <v>9598243.7400000002</v>
      </c>
      <c r="F56" s="85">
        <f t="shared" ref="F56:F67" si="31">D56-E56</f>
        <v>1824556.2599999998</v>
      </c>
      <c r="G56" s="86">
        <f>E56/D56</f>
        <v>0.84027066393528738</v>
      </c>
      <c r="H56" s="87">
        <f>SUM(H57:H67)</f>
        <v>11542424</v>
      </c>
      <c r="I56" s="88">
        <f>SUM(I57:I67)</f>
        <v>0</v>
      </c>
      <c r="J56" s="88">
        <f>H56-I56</f>
        <v>11542424</v>
      </c>
      <c r="K56" s="89">
        <f>I56/H56</f>
        <v>0</v>
      </c>
      <c r="L56" s="90">
        <f t="shared" ref="L56:M67" si="32">D56+H56</f>
        <v>22965224</v>
      </c>
      <c r="M56" s="91">
        <f t="shared" si="32"/>
        <v>9598243.7400000002</v>
      </c>
      <c r="N56" s="113">
        <f>L56-M56</f>
        <v>13366980.26</v>
      </c>
      <c r="O56" s="132"/>
    </row>
    <row r="57" spans="1:15" ht="13.2" customHeight="1" x14ac:dyDescent="0.4">
      <c r="A57" s="23" t="s">
        <v>99</v>
      </c>
      <c r="B57" s="92" t="s">
        <v>100</v>
      </c>
      <c r="C57" s="93"/>
      <c r="D57" s="37">
        <v>1476000</v>
      </c>
      <c r="E57" s="38">
        <v>1406884.05</v>
      </c>
      <c r="F57" s="38">
        <f t="shared" si="31"/>
        <v>69115.949999999953</v>
      </c>
      <c r="G57" s="27">
        <f t="shared" ref="G57:G67" si="33">IFERROR(E57/D57,0)</f>
        <v>0.95317347560975618</v>
      </c>
      <c r="H57" s="94">
        <v>1620104</v>
      </c>
      <c r="I57" s="40">
        <v>0</v>
      </c>
      <c r="J57" s="40">
        <f>H57-I57</f>
        <v>1620104</v>
      </c>
      <c r="K57" s="30">
        <f t="shared" ref="K57:K67" si="34">IFERROR(I57/H57,0)</f>
        <v>0</v>
      </c>
      <c r="L57" s="95">
        <f t="shared" si="32"/>
        <v>3096104</v>
      </c>
      <c r="M57" s="42">
        <f t="shared" si="32"/>
        <v>1406884.05</v>
      </c>
      <c r="N57" s="43">
        <f>L57-M57</f>
        <v>1689219.95</v>
      </c>
      <c r="O57" s="34"/>
    </row>
    <row r="58" spans="1:15" ht="13.2" customHeight="1" x14ac:dyDescent="0.4">
      <c r="A58" s="131" t="s">
        <v>101</v>
      </c>
      <c r="B58" s="152" t="s">
        <v>102</v>
      </c>
      <c r="C58" s="153"/>
      <c r="D58" s="37">
        <v>19200</v>
      </c>
      <c r="E58" s="38">
        <v>11276.82</v>
      </c>
      <c r="F58" s="38">
        <f t="shared" si="31"/>
        <v>7923.18</v>
      </c>
      <c r="G58" s="27">
        <f t="shared" si="33"/>
        <v>0.58733437499999996</v>
      </c>
      <c r="H58" s="94">
        <v>18720</v>
      </c>
      <c r="I58" s="40">
        <v>0</v>
      </c>
      <c r="J58" s="40">
        <f t="shared" ref="J58:J67" si="35">H58-I58</f>
        <v>18720</v>
      </c>
      <c r="K58" s="30">
        <f t="shared" si="34"/>
        <v>0</v>
      </c>
      <c r="L58" s="95">
        <f t="shared" si="32"/>
        <v>37920</v>
      </c>
      <c r="M58" s="42">
        <f t="shared" si="32"/>
        <v>11276.82</v>
      </c>
      <c r="N58" s="43">
        <f t="shared" ref="N58:N67" si="36">L58-M58</f>
        <v>26643.18</v>
      </c>
      <c r="O58" s="34"/>
    </row>
    <row r="59" spans="1:15" ht="13.2" customHeight="1" x14ac:dyDescent="0.4">
      <c r="A59" s="23" t="s">
        <v>13</v>
      </c>
      <c r="B59" s="92" t="s">
        <v>103</v>
      </c>
      <c r="C59" s="93"/>
      <c r="D59" s="96">
        <v>780000</v>
      </c>
      <c r="E59" s="97">
        <v>764614.81</v>
      </c>
      <c r="F59" s="97">
        <f t="shared" si="31"/>
        <v>15385.189999999944</v>
      </c>
      <c r="G59" s="27">
        <f t="shared" si="33"/>
        <v>0.98027539743589753</v>
      </c>
      <c r="H59" s="98">
        <v>780000</v>
      </c>
      <c r="I59" s="99">
        <v>0</v>
      </c>
      <c r="J59" s="99">
        <f t="shared" si="35"/>
        <v>780000</v>
      </c>
      <c r="K59" s="30">
        <f t="shared" si="34"/>
        <v>0</v>
      </c>
      <c r="L59" s="95">
        <f t="shared" si="32"/>
        <v>1560000</v>
      </c>
      <c r="M59" s="42">
        <f t="shared" si="32"/>
        <v>764614.81</v>
      </c>
      <c r="N59" s="43">
        <f t="shared" si="36"/>
        <v>795385.19</v>
      </c>
      <c r="O59" s="34"/>
    </row>
    <row r="60" spans="1:15" ht="13.2" customHeight="1" x14ac:dyDescent="0.4">
      <c r="A60" s="116" t="s">
        <v>14</v>
      </c>
      <c r="B60" s="92" t="s">
        <v>104</v>
      </c>
      <c r="C60" s="93"/>
      <c r="D60" s="37">
        <v>696000</v>
      </c>
      <c r="E60" s="38">
        <v>454097.95</v>
      </c>
      <c r="F60" s="38">
        <f t="shared" si="31"/>
        <v>241902.05</v>
      </c>
      <c r="G60" s="27">
        <f t="shared" si="33"/>
        <v>0.6524395833333333</v>
      </c>
      <c r="H60" s="94">
        <v>690000</v>
      </c>
      <c r="I60" s="40">
        <v>0</v>
      </c>
      <c r="J60" s="40">
        <f t="shared" si="35"/>
        <v>690000</v>
      </c>
      <c r="K60" s="30">
        <f t="shared" si="34"/>
        <v>0</v>
      </c>
      <c r="L60" s="95">
        <f t="shared" si="32"/>
        <v>1386000</v>
      </c>
      <c r="M60" s="42">
        <f t="shared" si="32"/>
        <v>454097.95</v>
      </c>
      <c r="N60" s="43">
        <f t="shared" si="36"/>
        <v>931902.05</v>
      </c>
      <c r="O60" s="34"/>
    </row>
    <row r="61" spans="1:15" ht="13.2" customHeight="1" x14ac:dyDescent="0.4">
      <c r="A61" s="116" t="s">
        <v>105</v>
      </c>
      <c r="B61" s="92" t="s">
        <v>106</v>
      </c>
      <c r="C61" s="93"/>
      <c r="D61" s="37">
        <v>0</v>
      </c>
      <c r="E61" s="38">
        <v>0</v>
      </c>
      <c r="F61" s="38">
        <f t="shared" si="31"/>
        <v>0</v>
      </c>
      <c r="G61" s="27">
        <f t="shared" si="33"/>
        <v>0</v>
      </c>
      <c r="H61" s="94">
        <v>0</v>
      </c>
      <c r="I61" s="40">
        <v>0</v>
      </c>
      <c r="J61" s="40">
        <f t="shared" si="35"/>
        <v>0</v>
      </c>
      <c r="K61" s="30">
        <f t="shared" si="34"/>
        <v>0</v>
      </c>
      <c r="L61" s="95">
        <f t="shared" si="32"/>
        <v>0</v>
      </c>
      <c r="M61" s="42">
        <f t="shared" si="32"/>
        <v>0</v>
      </c>
      <c r="N61" s="43">
        <f t="shared" si="36"/>
        <v>0</v>
      </c>
      <c r="O61" s="34"/>
    </row>
    <row r="62" spans="1:15" ht="13.2" customHeight="1" x14ac:dyDescent="0.4">
      <c r="A62" s="23" t="s">
        <v>15</v>
      </c>
      <c r="B62" s="92" t="s">
        <v>107</v>
      </c>
      <c r="C62" s="93"/>
      <c r="D62" s="37">
        <v>25200</v>
      </c>
      <c r="E62" s="38">
        <v>16246.33</v>
      </c>
      <c r="F62" s="38">
        <f t="shared" si="31"/>
        <v>8953.67</v>
      </c>
      <c r="G62" s="27">
        <f t="shared" si="33"/>
        <v>0.64469563492063486</v>
      </c>
      <c r="H62" s="94">
        <v>25200</v>
      </c>
      <c r="I62" s="40">
        <v>0</v>
      </c>
      <c r="J62" s="40">
        <f t="shared" si="35"/>
        <v>25200</v>
      </c>
      <c r="K62" s="30">
        <f t="shared" si="34"/>
        <v>0</v>
      </c>
      <c r="L62" s="95">
        <f t="shared" si="32"/>
        <v>50400</v>
      </c>
      <c r="M62" s="42">
        <f t="shared" si="32"/>
        <v>16246.33</v>
      </c>
      <c r="N62" s="43">
        <f t="shared" si="36"/>
        <v>34153.67</v>
      </c>
      <c r="O62" s="34"/>
    </row>
    <row r="63" spans="1:15" ht="13.2" customHeight="1" x14ac:dyDescent="0.4">
      <c r="A63" s="23" t="s">
        <v>108</v>
      </c>
      <c r="B63" s="152" t="s">
        <v>109</v>
      </c>
      <c r="C63" s="153"/>
      <c r="D63" s="37">
        <v>14400</v>
      </c>
      <c r="E63" s="38">
        <v>19255.919999999998</v>
      </c>
      <c r="F63" s="38">
        <f t="shared" si="31"/>
        <v>-4855.9199999999983</v>
      </c>
      <c r="G63" s="27">
        <f t="shared" si="33"/>
        <v>1.3372166666666665</v>
      </c>
      <c r="H63" s="94">
        <v>14400</v>
      </c>
      <c r="I63" s="40">
        <v>0</v>
      </c>
      <c r="J63" s="40">
        <f t="shared" si="35"/>
        <v>14400</v>
      </c>
      <c r="K63" s="30">
        <f t="shared" si="34"/>
        <v>0</v>
      </c>
      <c r="L63" s="95">
        <f t="shared" si="32"/>
        <v>28800</v>
      </c>
      <c r="M63" s="42">
        <f t="shared" si="32"/>
        <v>19255.919999999998</v>
      </c>
      <c r="N63" s="43">
        <f t="shared" si="36"/>
        <v>9544.0800000000017</v>
      </c>
      <c r="O63" s="34"/>
    </row>
    <row r="64" spans="1:15" ht="13.2" customHeight="1" x14ac:dyDescent="0.4">
      <c r="A64" s="23" t="s">
        <v>16</v>
      </c>
      <c r="B64" s="152" t="s">
        <v>17</v>
      </c>
      <c r="C64" s="153"/>
      <c r="D64" s="37">
        <v>900000</v>
      </c>
      <c r="E64" s="38">
        <v>639652.17000000004</v>
      </c>
      <c r="F64" s="38">
        <f t="shared" si="31"/>
        <v>260347.82999999996</v>
      </c>
      <c r="G64" s="27">
        <f t="shared" si="33"/>
        <v>0.71072463333333336</v>
      </c>
      <c r="H64" s="94">
        <f>900000</f>
        <v>900000</v>
      </c>
      <c r="I64" s="40">
        <v>0</v>
      </c>
      <c r="J64" s="40">
        <f t="shared" si="35"/>
        <v>900000</v>
      </c>
      <c r="K64" s="30">
        <f t="shared" si="34"/>
        <v>0</v>
      </c>
      <c r="L64" s="95">
        <f t="shared" si="32"/>
        <v>1800000</v>
      </c>
      <c r="M64" s="42">
        <f t="shared" si="32"/>
        <v>639652.17000000004</v>
      </c>
      <c r="N64" s="43">
        <f t="shared" si="36"/>
        <v>1160347.83</v>
      </c>
      <c r="O64" s="34"/>
    </row>
    <row r="65" spans="1:15" s="3" customFormat="1" ht="13.2" customHeight="1" x14ac:dyDescent="0.4">
      <c r="A65" s="23" t="s">
        <v>19</v>
      </c>
      <c r="B65" s="92" t="s">
        <v>20</v>
      </c>
      <c r="C65" s="93"/>
      <c r="D65" s="37">
        <v>1392000</v>
      </c>
      <c r="E65" s="38">
        <v>875056.98</v>
      </c>
      <c r="F65" s="38">
        <f t="shared" si="31"/>
        <v>516943.02</v>
      </c>
      <c r="G65" s="27">
        <f t="shared" si="33"/>
        <v>0.62863288793103445</v>
      </c>
      <c r="H65" s="94">
        <v>1392000</v>
      </c>
      <c r="I65" s="40"/>
      <c r="J65" s="40">
        <f t="shared" si="35"/>
        <v>1392000</v>
      </c>
      <c r="K65" s="30">
        <f t="shared" si="34"/>
        <v>0</v>
      </c>
      <c r="L65" s="95">
        <f t="shared" si="32"/>
        <v>2784000</v>
      </c>
      <c r="M65" s="42">
        <f t="shared" si="32"/>
        <v>875056.98</v>
      </c>
      <c r="N65" s="43">
        <f t="shared" si="36"/>
        <v>1908943.02</v>
      </c>
      <c r="O65" s="34"/>
    </row>
    <row r="66" spans="1:15" s="3" customFormat="1" ht="13.2" customHeight="1" x14ac:dyDescent="0.4">
      <c r="A66" s="23" t="s">
        <v>21</v>
      </c>
      <c r="B66" s="92" t="s">
        <v>22</v>
      </c>
      <c r="C66" s="93"/>
      <c r="D66" s="37">
        <v>1800000</v>
      </c>
      <c r="E66" s="38">
        <v>1882079.32</v>
      </c>
      <c r="F66" s="38">
        <f t="shared" si="31"/>
        <v>-82079.320000000065</v>
      </c>
      <c r="G66" s="27">
        <f t="shared" si="33"/>
        <v>1.0455996222222224</v>
      </c>
      <c r="H66" s="94">
        <v>1794000</v>
      </c>
      <c r="I66" s="40">
        <v>0</v>
      </c>
      <c r="J66" s="40">
        <f t="shared" si="35"/>
        <v>1794000</v>
      </c>
      <c r="K66" s="30">
        <f t="shared" si="34"/>
        <v>0</v>
      </c>
      <c r="L66" s="95">
        <f t="shared" si="32"/>
        <v>3594000</v>
      </c>
      <c r="M66" s="42">
        <f t="shared" si="32"/>
        <v>1882079.32</v>
      </c>
      <c r="N66" s="43">
        <f t="shared" si="36"/>
        <v>1711920.68</v>
      </c>
      <c r="O66" s="34"/>
    </row>
    <row r="67" spans="1:15" s="3" customFormat="1" ht="13.2" customHeight="1" x14ac:dyDescent="0.4">
      <c r="A67" s="23" t="s">
        <v>23</v>
      </c>
      <c r="B67" s="92" t="s">
        <v>110</v>
      </c>
      <c r="C67" s="93"/>
      <c r="D67" s="37">
        <v>4320000</v>
      </c>
      <c r="E67" s="38">
        <v>3529079.39</v>
      </c>
      <c r="F67" s="38">
        <f t="shared" si="31"/>
        <v>790920.60999999987</v>
      </c>
      <c r="G67" s="27">
        <f t="shared" si="33"/>
        <v>0.81691652546296301</v>
      </c>
      <c r="H67" s="94">
        <v>4308000</v>
      </c>
      <c r="I67" s="40">
        <v>0</v>
      </c>
      <c r="J67" s="40">
        <f t="shared" si="35"/>
        <v>4308000</v>
      </c>
      <c r="K67" s="30">
        <f t="shared" si="34"/>
        <v>0</v>
      </c>
      <c r="L67" s="95">
        <f t="shared" si="32"/>
        <v>8628000</v>
      </c>
      <c r="M67" s="42">
        <f t="shared" si="32"/>
        <v>3529079.39</v>
      </c>
      <c r="N67" s="43">
        <f t="shared" si="36"/>
        <v>5098920.6099999994</v>
      </c>
      <c r="O67" s="34"/>
    </row>
    <row r="68" spans="1:15" s="3" customFormat="1" ht="12.45" customHeight="1" thickBot="1" x14ac:dyDescent="0.45">
      <c r="A68" s="23"/>
      <c r="B68" s="92"/>
      <c r="C68" s="154"/>
      <c r="D68" s="103"/>
      <c r="E68" s="104"/>
      <c r="F68" s="104"/>
      <c r="G68" s="105"/>
      <c r="H68" s="106"/>
      <c r="I68" s="107"/>
      <c r="J68" s="107"/>
      <c r="K68" s="108"/>
      <c r="L68" s="109"/>
      <c r="M68" s="110"/>
      <c r="N68" s="111"/>
      <c r="O68" s="136"/>
    </row>
    <row r="69" spans="1:15" s="3" customFormat="1" ht="15" customHeight="1" x14ac:dyDescent="0.4">
      <c r="A69" s="23"/>
      <c r="B69" s="112" t="s">
        <v>111</v>
      </c>
      <c r="C69" s="83"/>
      <c r="D69" s="84">
        <f t="shared" ref="D69:I69" si="37">SUM(D70:D71)</f>
        <v>440000</v>
      </c>
      <c r="E69" s="85">
        <f t="shared" si="37"/>
        <v>302822.42000000004</v>
      </c>
      <c r="F69" s="85">
        <f t="shared" si="37"/>
        <v>137177.57999999999</v>
      </c>
      <c r="G69" s="86">
        <f>E69/D69</f>
        <v>0.68823277272727279</v>
      </c>
      <c r="H69" s="87">
        <f t="shared" si="37"/>
        <v>440000</v>
      </c>
      <c r="I69" s="88">
        <f t="shared" si="37"/>
        <v>0</v>
      </c>
      <c r="J69" s="88">
        <f>SUM(J70:J71)</f>
        <v>327462.51</v>
      </c>
      <c r="K69" s="64">
        <f>I69/H69</f>
        <v>0</v>
      </c>
      <c r="L69" s="90">
        <f t="shared" ref="L69:M71" si="38">D69+H69</f>
        <v>880000</v>
      </c>
      <c r="M69" s="91">
        <f t="shared" si="38"/>
        <v>302822.42000000004</v>
      </c>
      <c r="N69" s="113">
        <f>L69-M69</f>
        <v>577177.57999999996</v>
      </c>
      <c r="O69" s="34"/>
    </row>
    <row r="70" spans="1:15" s="3" customFormat="1" ht="13.2" customHeight="1" x14ac:dyDescent="0.4">
      <c r="A70" s="23" t="s">
        <v>112</v>
      </c>
      <c r="B70" s="92" t="s">
        <v>280</v>
      </c>
      <c r="C70" s="93"/>
      <c r="D70" s="37">
        <v>100000</v>
      </c>
      <c r="E70" s="38">
        <f>68762.69+6597.22</f>
        <v>75359.91</v>
      </c>
      <c r="F70" s="38">
        <f>D70-E70</f>
        <v>24640.089999999997</v>
      </c>
      <c r="G70" s="27">
        <f t="shared" ref="G70:G71" si="39">IFERROR(E70/D70,0)</f>
        <v>0.75359910000000008</v>
      </c>
      <c r="H70" s="94">
        <v>100000</v>
      </c>
      <c r="I70" s="40">
        <v>0</v>
      </c>
      <c r="J70" s="40">
        <f>H70-I70</f>
        <v>100000</v>
      </c>
      <c r="K70" s="30">
        <f t="shared" ref="K70:K71" si="40">IFERROR(I70/H70,0)</f>
        <v>0</v>
      </c>
      <c r="L70" s="95">
        <f t="shared" si="38"/>
        <v>200000</v>
      </c>
      <c r="M70" s="42">
        <f t="shared" si="38"/>
        <v>75359.91</v>
      </c>
      <c r="N70" s="43">
        <f>L70-M70</f>
        <v>124640.09</v>
      </c>
      <c r="O70" s="34"/>
    </row>
    <row r="71" spans="1:15" s="3" customFormat="1" ht="13.2" customHeight="1" x14ac:dyDescent="0.4">
      <c r="A71" s="23" t="s">
        <v>112</v>
      </c>
      <c r="B71" s="92" t="s">
        <v>113</v>
      </c>
      <c r="C71" s="93"/>
      <c r="D71" s="37">
        <v>340000</v>
      </c>
      <c r="E71" s="38">
        <v>227462.51</v>
      </c>
      <c r="F71" s="38">
        <f>D71-E71</f>
        <v>112537.48999999999</v>
      </c>
      <c r="G71" s="27">
        <f t="shared" si="39"/>
        <v>0.66900738235294122</v>
      </c>
      <c r="H71" s="94">
        <v>340000</v>
      </c>
      <c r="I71" s="40">
        <v>0</v>
      </c>
      <c r="J71" s="40">
        <f>D71-F71</f>
        <v>227462.51</v>
      </c>
      <c r="K71" s="30">
        <f t="shared" si="40"/>
        <v>0</v>
      </c>
      <c r="L71" s="95">
        <f t="shared" si="38"/>
        <v>680000</v>
      </c>
      <c r="M71" s="42">
        <f t="shared" si="38"/>
        <v>227462.51</v>
      </c>
      <c r="N71" s="43">
        <f>L71-M71</f>
        <v>452537.49</v>
      </c>
      <c r="O71" s="34"/>
    </row>
    <row r="72" spans="1:15" s="3" customFormat="1" ht="12.45" customHeight="1" thickBot="1" x14ac:dyDescent="0.45">
      <c r="A72" s="23"/>
      <c r="B72" s="92"/>
      <c r="C72" s="154"/>
      <c r="D72" s="103"/>
      <c r="E72" s="104"/>
      <c r="F72" s="104"/>
      <c r="G72" s="105"/>
      <c r="H72" s="106"/>
      <c r="I72" s="107"/>
      <c r="J72" s="107"/>
      <c r="K72" s="108"/>
      <c r="L72" s="109"/>
      <c r="M72" s="110"/>
      <c r="N72" s="111"/>
      <c r="O72" s="34"/>
    </row>
    <row r="73" spans="1:15" s="3" customFormat="1" ht="15" customHeight="1" x14ac:dyDescent="0.4">
      <c r="A73" s="23"/>
      <c r="B73" s="112" t="s">
        <v>114</v>
      </c>
      <c r="C73" s="83"/>
      <c r="D73" s="84">
        <f>SUM(D74+D75)</f>
        <v>750</v>
      </c>
      <c r="E73" s="85">
        <f>SUM(E74+E75)</f>
        <v>750</v>
      </c>
      <c r="F73" s="85">
        <f>SUM(F74+F75)</f>
        <v>0</v>
      </c>
      <c r="G73" s="86">
        <v>0</v>
      </c>
      <c r="H73" s="87">
        <f t="shared" ref="H73" si="41">SUM(H74+H75)</f>
        <v>0</v>
      </c>
      <c r="I73" s="88">
        <f>SUM(I74+I75)</f>
        <v>0</v>
      </c>
      <c r="J73" s="88">
        <f>SUM(J74+J75)</f>
        <v>0</v>
      </c>
      <c r="K73" s="64">
        <v>0</v>
      </c>
      <c r="L73" s="90">
        <f t="shared" ref="L73:M75" si="42">D73+H73</f>
        <v>750</v>
      </c>
      <c r="M73" s="91">
        <f t="shared" si="42"/>
        <v>750</v>
      </c>
      <c r="N73" s="113">
        <f>L73-M73</f>
        <v>0</v>
      </c>
      <c r="O73" s="136"/>
    </row>
    <row r="74" spans="1:15" s="3" customFormat="1" ht="13.2" customHeight="1" x14ac:dyDescent="0.4">
      <c r="A74" s="23" t="s">
        <v>115</v>
      </c>
      <c r="B74" s="92" t="s">
        <v>74</v>
      </c>
      <c r="C74" s="93"/>
      <c r="D74" s="37">
        <v>750</v>
      </c>
      <c r="E74" s="38">
        <v>750</v>
      </c>
      <c r="F74" s="38">
        <f>D74-E74</f>
        <v>0</v>
      </c>
      <c r="G74" s="27">
        <f t="shared" ref="G74:G75" si="43">IFERROR(E74/D74,0)</f>
        <v>1</v>
      </c>
      <c r="H74" s="94">
        <v>0</v>
      </c>
      <c r="I74" s="40">
        <v>0</v>
      </c>
      <c r="J74" s="40">
        <f>H74-I74</f>
        <v>0</v>
      </c>
      <c r="K74" s="30">
        <f t="shared" ref="K74:K75" si="44">IFERROR(I74/H74,0)</f>
        <v>0</v>
      </c>
      <c r="L74" s="95">
        <f t="shared" si="42"/>
        <v>750</v>
      </c>
      <c r="M74" s="42">
        <f t="shared" si="42"/>
        <v>750</v>
      </c>
      <c r="N74" s="43">
        <f>L74-M74</f>
        <v>0</v>
      </c>
      <c r="O74" s="34"/>
    </row>
    <row r="75" spans="1:15" s="3" customFormat="1" ht="13.2" customHeight="1" x14ac:dyDescent="0.4">
      <c r="A75" s="23" t="s">
        <v>115</v>
      </c>
      <c r="B75" s="92" t="s">
        <v>71</v>
      </c>
      <c r="C75" s="93"/>
      <c r="D75" s="37">
        <v>0</v>
      </c>
      <c r="E75" s="38">
        <v>0</v>
      </c>
      <c r="F75" s="38">
        <f>D75-E75</f>
        <v>0</v>
      </c>
      <c r="G75" s="27">
        <f t="shared" si="43"/>
        <v>0</v>
      </c>
      <c r="H75" s="94">
        <v>0</v>
      </c>
      <c r="I75" s="40">
        <v>0</v>
      </c>
      <c r="J75" s="40">
        <f>H75-I75</f>
        <v>0</v>
      </c>
      <c r="K75" s="30">
        <f t="shared" si="44"/>
        <v>0</v>
      </c>
      <c r="L75" s="95">
        <f t="shared" si="42"/>
        <v>0</v>
      </c>
      <c r="M75" s="42">
        <f t="shared" si="42"/>
        <v>0</v>
      </c>
      <c r="N75" s="43">
        <f>L75-M75</f>
        <v>0</v>
      </c>
      <c r="O75" s="34"/>
    </row>
    <row r="76" spans="1:15" s="3" customFormat="1" ht="12.45" customHeight="1" thickBot="1" x14ac:dyDescent="0.45">
      <c r="A76" s="155"/>
      <c r="B76" s="92"/>
      <c r="C76" s="154"/>
      <c r="D76" s="103"/>
      <c r="E76" s="104"/>
      <c r="F76" s="104"/>
      <c r="G76" s="105"/>
      <c r="H76" s="106"/>
      <c r="I76" s="107"/>
      <c r="J76" s="107"/>
      <c r="K76" s="108"/>
      <c r="L76" s="109"/>
      <c r="M76" s="110"/>
      <c r="N76" s="111"/>
      <c r="O76" s="34"/>
    </row>
    <row r="77" spans="1:15" s="3" customFormat="1" ht="15" customHeight="1" x14ac:dyDescent="0.4">
      <c r="A77" s="23"/>
      <c r="B77" s="121" t="s">
        <v>116</v>
      </c>
      <c r="C77" s="122"/>
      <c r="D77" s="84">
        <f t="shared" ref="D77:I77" si="45">D78</f>
        <v>50000</v>
      </c>
      <c r="E77" s="85">
        <f>E78</f>
        <v>0</v>
      </c>
      <c r="F77" s="85">
        <f>D77-E77</f>
        <v>50000</v>
      </c>
      <c r="G77" s="86">
        <f>E77/D77</f>
        <v>0</v>
      </c>
      <c r="H77" s="87">
        <f t="shared" si="45"/>
        <v>0</v>
      </c>
      <c r="I77" s="88">
        <f t="shared" si="45"/>
        <v>0</v>
      </c>
      <c r="J77" s="88">
        <f>H77-I77</f>
        <v>0</v>
      </c>
      <c r="K77" s="64">
        <v>0</v>
      </c>
      <c r="L77" s="90">
        <f>D77+H77</f>
        <v>50000</v>
      </c>
      <c r="M77" s="91">
        <f>E77+I77</f>
        <v>0</v>
      </c>
      <c r="N77" s="113">
        <f>L77-M77</f>
        <v>50000</v>
      </c>
      <c r="O77" s="34"/>
    </row>
    <row r="78" spans="1:15" s="3" customFormat="1" ht="13.2" customHeight="1" x14ac:dyDescent="0.4">
      <c r="A78" s="23" t="s">
        <v>117</v>
      </c>
      <c r="B78" s="92" t="s">
        <v>118</v>
      </c>
      <c r="C78" s="93"/>
      <c r="D78" s="37">
        <v>50000</v>
      </c>
      <c r="E78" s="38">
        <v>0</v>
      </c>
      <c r="F78" s="38">
        <f>D78-E78</f>
        <v>50000</v>
      </c>
      <c r="G78" s="27">
        <f t="shared" ref="G78" si="46">IFERROR(E78/D78,0)</f>
        <v>0</v>
      </c>
      <c r="H78" s="94">
        <v>0</v>
      </c>
      <c r="I78" s="40">
        <v>0</v>
      </c>
      <c r="J78" s="40">
        <f>H78-I78</f>
        <v>0</v>
      </c>
      <c r="K78" s="30">
        <f t="shared" ref="K78" si="47">IFERROR(I78/H78,0)</f>
        <v>0</v>
      </c>
      <c r="L78" s="95">
        <f>D78+H78</f>
        <v>50000</v>
      </c>
      <c r="M78" s="42">
        <f>E78+I78</f>
        <v>0</v>
      </c>
      <c r="N78" s="43">
        <f>L78-M78</f>
        <v>50000</v>
      </c>
      <c r="O78" s="34"/>
    </row>
    <row r="79" spans="1:15" s="3" customFormat="1" ht="12.45" customHeight="1" thickBot="1" x14ac:dyDescent="0.45">
      <c r="A79" s="155"/>
      <c r="B79" s="101"/>
      <c r="C79" s="102"/>
      <c r="D79" s="103"/>
      <c r="E79" s="104"/>
      <c r="F79" s="104"/>
      <c r="G79" s="105"/>
      <c r="H79" s="106"/>
      <c r="I79" s="107"/>
      <c r="J79" s="107"/>
      <c r="K79" s="108"/>
      <c r="L79" s="109"/>
      <c r="M79" s="110"/>
      <c r="N79" s="111"/>
      <c r="O79" s="34"/>
    </row>
    <row r="80" spans="1:15" s="3" customFormat="1" ht="15" customHeight="1" x14ac:dyDescent="0.4">
      <c r="A80" s="23"/>
      <c r="B80" s="112" t="s">
        <v>119</v>
      </c>
      <c r="C80" s="83"/>
      <c r="D80" s="84">
        <f t="shared" ref="D80:H80" si="48">SUM(D81:D83)</f>
        <v>23500</v>
      </c>
      <c r="E80" s="85">
        <f t="shared" si="48"/>
        <v>7444.9</v>
      </c>
      <c r="F80" s="85">
        <f>D80-E80</f>
        <v>16055.1</v>
      </c>
      <c r="G80" s="86">
        <f>E80/D80</f>
        <v>0.31680425531914891</v>
      </c>
      <c r="H80" s="87">
        <f t="shared" si="48"/>
        <v>23500</v>
      </c>
      <c r="I80" s="88">
        <f t="shared" ref="I80" si="49">SUM(I81:I83)</f>
        <v>0</v>
      </c>
      <c r="J80" s="88">
        <f>H80-I80</f>
        <v>23500</v>
      </c>
      <c r="K80" s="156">
        <v>0</v>
      </c>
      <c r="L80" s="90">
        <f t="shared" ref="L80:M83" si="50">D80+H80</f>
        <v>47000</v>
      </c>
      <c r="M80" s="91">
        <f t="shared" si="50"/>
        <v>7444.9</v>
      </c>
      <c r="N80" s="113">
        <f>L80-M81</f>
        <v>46337.64</v>
      </c>
      <c r="O80" s="34"/>
    </row>
    <row r="81" spans="1:15" s="3" customFormat="1" ht="13.2" customHeight="1" x14ac:dyDescent="0.4">
      <c r="A81" s="23" t="s">
        <v>120</v>
      </c>
      <c r="B81" s="92" t="s">
        <v>74</v>
      </c>
      <c r="C81" s="93"/>
      <c r="D81" s="37">
        <v>0</v>
      </c>
      <c r="E81" s="38">
        <v>662.36</v>
      </c>
      <c r="F81" s="38">
        <f>D81-E81</f>
        <v>-662.36</v>
      </c>
      <c r="G81" s="27">
        <f t="shared" ref="G81:G83" si="51">IFERROR(E81/D81,0)</f>
        <v>0</v>
      </c>
      <c r="H81" s="94">
        <v>5000</v>
      </c>
      <c r="I81" s="40">
        <v>0</v>
      </c>
      <c r="J81" s="40">
        <f>H81-I81</f>
        <v>5000</v>
      </c>
      <c r="K81" s="157">
        <f t="shared" ref="K81:K83" si="52">IFERROR(I81/H81,0)</f>
        <v>0</v>
      </c>
      <c r="L81" s="95">
        <f t="shared" si="50"/>
        <v>5000</v>
      </c>
      <c r="M81" s="42">
        <f t="shared" si="50"/>
        <v>662.36</v>
      </c>
      <c r="N81" s="43">
        <f>L81-M81</f>
        <v>4337.6400000000003</v>
      </c>
      <c r="O81" s="34" t="s">
        <v>281</v>
      </c>
    </row>
    <row r="82" spans="1:15" s="3" customFormat="1" ht="13.2" customHeight="1" x14ac:dyDescent="0.4">
      <c r="A82" s="23" t="s">
        <v>120</v>
      </c>
      <c r="B82" s="92" t="s">
        <v>9</v>
      </c>
      <c r="C82" s="93"/>
      <c r="D82" s="37">
        <v>0</v>
      </c>
      <c r="E82" s="38">
        <v>6782.54</v>
      </c>
      <c r="F82" s="38">
        <f>D82-E82</f>
        <v>-6782.54</v>
      </c>
      <c r="G82" s="27">
        <f t="shared" si="51"/>
        <v>0</v>
      </c>
      <c r="H82" s="94">
        <v>18500</v>
      </c>
      <c r="I82" s="40">
        <v>0</v>
      </c>
      <c r="J82" s="40">
        <f>H82-I82</f>
        <v>18500</v>
      </c>
      <c r="K82" s="157">
        <f t="shared" si="52"/>
        <v>0</v>
      </c>
      <c r="L82" s="95">
        <f t="shared" si="50"/>
        <v>18500</v>
      </c>
      <c r="M82" s="42">
        <f t="shared" si="50"/>
        <v>6782.54</v>
      </c>
      <c r="N82" s="43">
        <f t="shared" ref="N82:N83" si="53">L82-M82</f>
        <v>11717.46</v>
      </c>
      <c r="O82" s="34"/>
    </row>
    <row r="83" spans="1:15" s="3" customFormat="1" ht="13.2" customHeight="1" x14ac:dyDescent="0.4">
      <c r="A83" s="23" t="s">
        <v>120</v>
      </c>
      <c r="B83" s="92" t="s">
        <v>121</v>
      </c>
      <c r="C83" s="93"/>
      <c r="D83" s="37">
        <v>23500</v>
      </c>
      <c r="E83" s="38">
        <v>0</v>
      </c>
      <c r="F83" s="38">
        <f>D83-E83</f>
        <v>23500</v>
      </c>
      <c r="G83" s="27">
        <f t="shared" si="51"/>
        <v>0</v>
      </c>
      <c r="H83" s="94">
        <v>0</v>
      </c>
      <c r="I83" s="40">
        <v>0</v>
      </c>
      <c r="J83" s="40">
        <f>H83-I83</f>
        <v>0</v>
      </c>
      <c r="K83" s="157">
        <f t="shared" si="52"/>
        <v>0</v>
      </c>
      <c r="L83" s="95">
        <f t="shared" si="50"/>
        <v>23500</v>
      </c>
      <c r="M83" s="42">
        <f t="shared" si="50"/>
        <v>0</v>
      </c>
      <c r="N83" s="43">
        <f t="shared" si="53"/>
        <v>23500</v>
      </c>
      <c r="O83" s="34"/>
    </row>
    <row r="84" spans="1:15" s="3" customFormat="1" ht="12.45" customHeight="1" thickBot="1" x14ac:dyDescent="0.45">
      <c r="A84" s="23"/>
      <c r="B84" s="92"/>
      <c r="C84" s="154"/>
      <c r="D84" s="103"/>
      <c r="E84" s="104"/>
      <c r="F84" s="104"/>
      <c r="G84" s="158"/>
      <c r="H84" s="106"/>
      <c r="I84" s="107"/>
      <c r="J84" s="107"/>
      <c r="K84" s="159"/>
      <c r="L84" s="109"/>
      <c r="M84" s="110"/>
      <c r="N84" s="160"/>
      <c r="O84" s="34"/>
    </row>
    <row r="85" spans="1:15" s="3" customFormat="1" ht="15" customHeight="1" x14ac:dyDescent="0.4">
      <c r="A85" s="23"/>
      <c r="B85" s="112" t="s">
        <v>122</v>
      </c>
      <c r="C85" s="161"/>
      <c r="D85" s="162">
        <f>SUM(D86)</f>
        <v>6800</v>
      </c>
      <c r="E85" s="163">
        <f>SUM(E86)</f>
        <v>0</v>
      </c>
      <c r="F85" s="163">
        <f>D85-E85</f>
        <v>6800</v>
      </c>
      <c r="G85" s="61">
        <v>0</v>
      </c>
      <c r="H85" s="87">
        <f>SUM(H86)</f>
        <v>0</v>
      </c>
      <c r="I85" s="88">
        <f>SUM(I86)</f>
        <v>0</v>
      </c>
      <c r="J85" s="88">
        <f>H85-I85</f>
        <v>0</v>
      </c>
      <c r="K85" s="89">
        <v>0</v>
      </c>
      <c r="L85" s="65">
        <f>D85+H85</f>
        <v>6800</v>
      </c>
      <c r="M85" s="66">
        <f>E85+I85</f>
        <v>0</v>
      </c>
      <c r="N85" s="164">
        <f>L85-M85</f>
        <v>6800</v>
      </c>
      <c r="O85" s="34"/>
    </row>
    <row r="86" spans="1:15" s="3" customFormat="1" ht="13.2" customHeight="1" x14ac:dyDescent="0.4">
      <c r="A86" s="23" t="s">
        <v>123</v>
      </c>
      <c r="B86" s="92" t="s">
        <v>124</v>
      </c>
      <c r="C86" s="154"/>
      <c r="D86" s="45">
        <v>6800</v>
      </c>
      <c r="E86" s="46">
        <v>0</v>
      </c>
      <c r="F86" s="46">
        <f>D86-E86</f>
        <v>6800</v>
      </c>
      <c r="G86" s="27">
        <f t="shared" ref="G86" si="54">IFERROR(E86/D86,0)</f>
        <v>0</v>
      </c>
      <c r="H86" s="94">
        <v>0</v>
      </c>
      <c r="I86" s="40">
        <v>0</v>
      </c>
      <c r="J86" s="40">
        <f>H86-I86</f>
        <v>0</v>
      </c>
      <c r="K86" s="30">
        <f t="shared" ref="K86" si="55">IFERROR(I86/H86,0)</f>
        <v>0</v>
      </c>
      <c r="L86" s="95">
        <f>D86+H86</f>
        <v>6800</v>
      </c>
      <c r="M86" s="42">
        <f>E86+I86</f>
        <v>0</v>
      </c>
      <c r="N86" s="165">
        <f>L86-M86</f>
        <v>6800</v>
      </c>
      <c r="O86" s="34"/>
    </row>
    <row r="87" spans="1:15" s="3" customFormat="1" ht="12.45" customHeight="1" thickBot="1" x14ac:dyDescent="0.45">
      <c r="A87" s="23"/>
      <c r="B87" s="92"/>
      <c r="C87" s="154"/>
      <c r="D87" s="103"/>
      <c r="E87" s="104"/>
      <c r="F87" s="104"/>
      <c r="G87" s="105"/>
      <c r="H87" s="106"/>
      <c r="I87" s="107"/>
      <c r="J87" s="107"/>
      <c r="K87" s="108"/>
      <c r="L87" s="109"/>
      <c r="M87" s="110"/>
      <c r="N87" s="111"/>
      <c r="O87" s="34"/>
    </row>
    <row r="88" spans="1:15" s="3" customFormat="1" ht="17.7" customHeight="1" thickBot="1" x14ac:dyDescent="0.5">
      <c r="A88" s="23"/>
      <c r="B88" s="138" t="s">
        <v>125</v>
      </c>
      <c r="C88" s="139"/>
      <c r="D88" s="140">
        <f>D56+D69+D73+D77+D80+D85</f>
        <v>11943850</v>
      </c>
      <c r="E88" s="141">
        <f>E56+E69+E73+E77+E80+E85</f>
        <v>9909261.0600000005</v>
      </c>
      <c r="F88" s="141">
        <f>F56+F69+F73+F77+F80+F85</f>
        <v>2034588.94</v>
      </c>
      <c r="G88" s="142">
        <f>E88/D88</f>
        <v>0.82965384360989136</v>
      </c>
      <c r="H88" s="143">
        <f>H56+H69+H73+H77+H80+H85</f>
        <v>12005924</v>
      </c>
      <c r="I88" s="144">
        <f>I56+I69+I73+I77+I80+I85</f>
        <v>0</v>
      </c>
      <c r="J88" s="144">
        <f>J56+J69+J73+J77+J80+J85</f>
        <v>11893386.51</v>
      </c>
      <c r="K88" s="145">
        <f>I88/H88</f>
        <v>0</v>
      </c>
      <c r="L88" s="146">
        <f>L56+L69+L73+L77+L80+L85</f>
        <v>23949774</v>
      </c>
      <c r="M88" s="147">
        <f>M56+M69+M73+M77+M80</f>
        <v>9909261.0600000005</v>
      </c>
      <c r="N88" s="148">
        <f>N56+N69+N73+N77+N80</f>
        <v>14040495.48</v>
      </c>
      <c r="O88" s="34"/>
    </row>
    <row r="89" spans="1:15" s="3" customFormat="1" ht="16.3" thickBot="1" x14ac:dyDescent="0.5">
      <c r="A89" s="8"/>
      <c r="B89" s="415" t="s">
        <v>27</v>
      </c>
      <c r="C89" s="415"/>
      <c r="D89" s="415"/>
      <c r="E89" s="415"/>
      <c r="F89" s="415"/>
      <c r="G89" s="415"/>
      <c r="H89" s="415"/>
      <c r="I89" s="415"/>
      <c r="J89" s="415"/>
      <c r="K89" s="415"/>
      <c r="L89" s="415"/>
      <c r="M89" s="415"/>
      <c r="N89" s="415"/>
      <c r="O89" s="34"/>
    </row>
    <row r="90" spans="1:15" s="3" customFormat="1" ht="12.45" customHeight="1" x14ac:dyDescent="0.4">
      <c r="A90" s="23"/>
      <c r="B90" s="112" t="s">
        <v>126</v>
      </c>
      <c r="C90" s="83"/>
      <c r="D90" s="84">
        <f>SUM(D91:D92)</f>
        <v>9831839</v>
      </c>
      <c r="E90" s="85">
        <f>SUM(E91:E92)</f>
        <v>6670803.1800000006</v>
      </c>
      <c r="F90" s="85">
        <f>D90-E90</f>
        <v>3161035.8199999994</v>
      </c>
      <c r="G90" s="86">
        <f>E90/D90</f>
        <v>0.6784898715286124</v>
      </c>
      <c r="H90" s="87">
        <f t="shared" ref="H90:I90" si="56">SUM(H91:H92)</f>
        <v>5988745</v>
      </c>
      <c r="I90" s="88">
        <f t="shared" si="56"/>
        <v>0</v>
      </c>
      <c r="J90" s="88">
        <f>H90-I90</f>
        <v>5988745</v>
      </c>
      <c r="K90" s="89">
        <v>0</v>
      </c>
      <c r="L90" s="90">
        <f t="shared" ref="L90:M92" si="57">D90+H90</f>
        <v>15820584</v>
      </c>
      <c r="M90" s="91">
        <f t="shared" si="57"/>
        <v>6670803.1800000006</v>
      </c>
      <c r="N90" s="113">
        <f>L90-M90</f>
        <v>9149780.8200000003</v>
      </c>
      <c r="O90" s="34"/>
    </row>
    <row r="91" spans="1:15" s="3" customFormat="1" ht="13.2" customHeight="1" x14ac:dyDescent="0.4">
      <c r="A91" s="23" t="s">
        <v>127</v>
      </c>
      <c r="B91" s="92" t="s">
        <v>128</v>
      </c>
      <c r="C91" s="93"/>
      <c r="D91" s="37">
        <v>9831839</v>
      </c>
      <c r="E91" s="38">
        <v>6622034.3600000003</v>
      </c>
      <c r="F91" s="38">
        <f>D91-E91</f>
        <v>3209804.6399999997</v>
      </c>
      <c r="G91" s="27">
        <f t="shared" ref="G91:G92" si="58">IFERROR(E91/D91,0)</f>
        <v>0.67352957671499714</v>
      </c>
      <c r="H91" s="94">
        <v>5988745</v>
      </c>
      <c r="I91" s="40">
        <v>0</v>
      </c>
      <c r="J91" s="40">
        <f>H91-I91</f>
        <v>5988745</v>
      </c>
      <c r="K91" s="30">
        <f t="shared" ref="K91:K92" si="59">IFERROR(I91/H91,0)</f>
        <v>0</v>
      </c>
      <c r="L91" s="95">
        <f t="shared" si="57"/>
        <v>15820584</v>
      </c>
      <c r="M91" s="42">
        <f t="shared" si="57"/>
        <v>6622034.3600000003</v>
      </c>
      <c r="N91" s="43">
        <f>L91-M91</f>
        <v>9198549.6400000006</v>
      </c>
      <c r="O91" s="136"/>
    </row>
    <row r="92" spans="1:15" s="3" customFormat="1" ht="13.2" customHeight="1" x14ac:dyDescent="0.4">
      <c r="A92" s="23" t="s">
        <v>129</v>
      </c>
      <c r="B92" s="92" t="s">
        <v>130</v>
      </c>
      <c r="C92" s="93"/>
      <c r="D92" s="37">
        <v>0</v>
      </c>
      <c r="E92" s="38">
        <v>48768.82</v>
      </c>
      <c r="F92" s="38">
        <f>D92-E92</f>
        <v>-48768.82</v>
      </c>
      <c r="G92" s="27">
        <f t="shared" si="58"/>
        <v>0</v>
      </c>
      <c r="H92" s="94">
        <v>0</v>
      </c>
      <c r="I92" s="40">
        <v>0</v>
      </c>
      <c r="J92" s="40">
        <f>H92-I92</f>
        <v>0</v>
      </c>
      <c r="K92" s="30">
        <f t="shared" si="59"/>
        <v>0</v>
      </c>
      <c r="L92" s="95">
        <f t="shared" si="57"/>
        <v>0</v>
      </c>
      <c r="M92" s="42">
        <f t="shared" si="57"/>
        <v>48768.82</v>
      </c>
      <c r="N92" s="43">
        <f>L92-M92</f>
        <v>-48768.82</v>
      </c>
      <c r="O92" s="136"/>
    </row>
    <row r="93" spans="1:15" s="3" customFormat="1" ht="12.45" customHeight="1" thickBot="1" x14ac:dyDescent="0.45">
      <c r="A93" s="23"/>
      <c r="B93" s="92"/>
      <c r="C93" s="154"/>
      <c r="D93" s="103"/>
      <c r="E93" s="104"/>
      <c r="F93" s="104"/>
      <c r="G93" s="105"/>
      <c r="H93" s="106"/>
      <c r="I93" s="107"/>
      <c r="J93" s="107"/>
      <c r="K93" s="166"/>
      <c r="L93" s="109"/>
      <c r="M93" s="110"/>
      <c r="N93" s="160"/>
      <c r="O93" s="136"/>
    </row>
    <row r="94" spans="1:15" s="3" customFormat="1" ht="16.3" thickBot="1" x14ac:dyDescent="0.5">
      <c r="A94" s="23"/>
      <c r="B94" s="138" t="s">
        <v>132</v>
      </c>
      <c r="C94" s="139"/>
      <c r="D94" s="140">
        <f t="shared" ref="D94:N94" si="60">D90</f>
        <v>9831839</v>
      </c>
      <c r="E94" s="141">
        <f t="shared" si="60"/>
        <v>6670803.1800000006</v>
      </c>
      <c r="F94" s="141">
        <f t="shared" si="60"/>
        <v>3161035.8199999994</v>
      </c>
      <c r="G94" s="142">
        <f>E94/D94</f>
        <v>0.6784898715286124</v>
      </c>
      <c r="H94" s="143">
        <f t="shared" si="60"/>
        <v>5988745</v>
      </c>
      <c r="I94" s="144">
        <f t="shared" si="60"/>
        <v>0</v>
      </c>
      <c r="J94" s="144">
        <f t="shared" si="60"/>
        <v>5988745</v>
      </c>
      <c r="K94" s="145">
        <v>0</v>
      </c>
      <c r="L94" s="146">
        <f t="shared" si="60"/>
        <v>15820584</v>
      </c>
      <c r="M94" s="147">
        <f t="shared" si="60"/>
        <v>6670803.1800000006</v>
      </c>
      <c r="N94" s="148">
        <f t="shared" si="60"/>
        <v>9149780.8200000003</v>
      </c>
      <c r="O94" s="34"/>
    </row>
    <row r="95" spans="1:15" s="3" customFormat="1" ht="15" thickBot="1" x14ac:dyDescent="0.45">
      <c r="A95" s="8"/>
      <c r="B95" s="167"/>
      <c r="C95" s="167"/>
      <c r="D95" s="168"/>
      <c r="E95" s="168"/>
      <c r="F95" s="168"/>
      <c r="G95" s="168"/>
      <c r="H95" s="151"/>
      <c r="I95" s="151"/>
      <c r="J95" s="151"/>
      <c r="K95" s="151"/>
      <c r="L95" s="169"/>
      <c r="M95" s="169"/>
      <c r="N95" s="169"/>
      <c r="O95" s="34"/>
    </row>
    <row r="96" spans="1:15" s="3" customFormat="1" ht="21" thickBot="1" x14ac:dyDescent="0.6">
      <c r="A96" s="8"/>
      <c r="B96" s="352" t="s">
        <v>133</v>
      </c>
      <c r="C96" s="353"/>
      <c r="D96" s="353"/>
      <c r="E96" s="353"/>
      <c r="F96" s="353"/>
      <c r="G96" s="353"/>
      <c r="H96" s="353"/>
      <c r="I96" s="353"/>
      <c r="J96" s="353"/>
      <c r="K96" s="353"/>
      <c r="L96" s="353"/>
      <c r="M96" s="353"/>
      <c r="N96" s="354"/>
      <c r="O96" s="34"/>
    </row>
    <row r="97" spans="1:15" ht="12.45" customHeight="1" x14ac:dyDescent="0.4">
      <c r="A97" s="23"/>
      <c r="B97" s="82" t="s">
        <v>134</v>
      </c>
      <c r="C97" s="83"/>
      <c r="D97" s="84">
        <f t="shared" ref="D97:J97" si="61">SUM(D98:D98)</f>
        <v>78000</v>
      </c>
      <c r="E97" s="85">
        <f t="shared" si="61"/>
        <v>55437.52</v>
      </c>
      <c r="F97" s="85">
        <f t="shared" si="61"/>
        <v>22562.480000000003</v>
      </c>
      <c r="G97" s="86">
        <f>E97/D97</f>
        <v>0.71073743589743588</v>
      </c>
      <c r="H97" s="87">
        <f t="shared" si="61"/>
        <v>0</v>
      </c>
      <c r="I97" s="88">
        <f t="shared" si="61"/>
        <v>0</v>
      </c>
      <c r="J97" s="88">
        <f t="shared" si="61"/>
        <v>0</v>
      </c>
      <c r="K97" s="89">
        <v>0</v>
      </c>
      <c r="L97" s="90">
        <f>D97+H97</f>
        <v>78000</v>
      </c>
      <c r="M97" s="91">
        <f>E97+I97</f>
        <v>55437.52</v>
      </c>
      <c r="N97" s="113">
        <f>L97-M97</f>
        <v>22562.480000000003</v>
      </c>
      <c r="O97" s="136"/>
    </row>
    <row r="98" spans="1:15" ht="13.2" customHeight="1" x14ac:dyDescent="0.4">
      <c r="A98" s="131" t="s">
        <v>135</v>
      </c>
      <c r="B98" s="92" t="s">
        <v>136</v>
      </c>
      <c r="C98" s="93"/>
      <c r="D98" s="37">
        <v>78000</v>
      </c>
      <c r="E98" s="38">
        <f>39743.6+15693.92</f>
        <v>55437.52</v>
      </c>
      <c r="F98" s="38">
        <f>D98-E98</f>
        <v>22562.480000000003</v>
      </c>
      <c r="G98" s="27">
        <f t="shared" ref="G98" si="62">IFERROR(E98/D98,0)</f>
        <v>0.71073743589743588</v>
      </c>
      <c r="H98" s="94">
        <v>0</v>
      </c>
      <c r="I98" s="40">
        <v>0</v>
      </c>
      <c r="J98" s="40">
        <f>H98-I98</f>
        <v>0</v>
      </c>
      <c r="K98" s="30">
        <f t="shared" ref="K98" si="63">IFERROR(I98/H98,0)</f>
        <v>0</v>
      </c>
      <c r="L98" s="95">
        <f>D98+H98</f>
        <v>78000</v>
      </c>
      <c r="M98" s="42">
        <f>E98+I98</f>
        <v>55437.52</v>
      </c>
      <c r="N98" s="43">
        <f>L98-M98</f>
        <v>22562.480000000003</v>
      </c>
      <c r="O98" s="34"/>
    </row>
    <row r="99" spans="1:15" ht="13.2" customHeight="1" thickBot="1" x14ac:dyDescent="0.45">
      <c r="A99" s="131"/>
      <c r="B99" s="92"/>
      <c r="C99" s="154"/>
      <c r="D99" s="103"/>
      <c r="E99" s="104"/>
      <c r="F99" s="104"/>
      <c r="G99" s="105"/>
      <c r="H99" s="106"/>
      <c r="I99" s="107"/>
      <c r="J99" s="107"/>
      <c r="K99" s="108"/>
      <c r="L99" s="109"/>
      <c r="M99" s="110"/>
      <c r="N99" s="111"/>
      <c r="O99" s="34"/>
    </row>
    <row r="100" spans="1:15" ht="16.399999999999999" customHeight="1" x14ac:dyDescent="0.4">
      <c r="A100" s="131"/>
      <c r="B100" s="112" t="s">
        <v>137</v>
      </c>
      <c r="C100" s="83"/>
      <c r="D100" s="59">
        <f>SUM(D101:D102)</f>
        <v>200000</v>
      </c>
      <c r="E100" s="60">
        <f>SUM(E101:E102)</f>
        <v>53874.44</v>
      </c>
      <c r="F100" s="60">
        <f>SUM(F101:F102)</f>
        <v>146125.56</v>
      </c>
      <c r="G100" s="86">
        <f>E100/D100</f>
        <v>0.26937220000000001</v>
      </c>
      <c r="H100" s="62">
        <f t="shared" ref="H100:I100" si="64">SUM(H101:H102)</f>
        <v>0</v>
      </c>
      <c r="I100" s="63">
        <f t="shared" si="64"/>
        <v>0</v>
      </c>
      <c r="J100" s="63">
        <f>SUM(J101:J101)</f>
        <v>0</v>
      </c>
      <c r="K100" s="89">
        <v>0</v>
      </c>
      <c r="L100" s="65">
        <f t="shared" ref="L100:M102" si="65">D100+H100</f>
        <v>200000</v>
      </c>
      <c r="M100" s="66">
        <f t="shared" si="65"/>
        <v>53874.44</v>
      </c>
      <c r="N100" s="67">
        <f>L100-M100</f>
        <v>146125.56</v>
      </c>
      <c r="O100" s="34"/>
    </row>
    <row r="101" spans="1:15" ht="13.2" customHeight="1" x14ac:dyDescent="0.4">
      <c r="A101" s="131" t="s">
        <v>135</v>
      </c>
      <c r="B101" s="92" t="s">
        <v>138</v>
      </c>
      <c r="C101" s="93"/>
      <c r="D101" s="37">
        <v>200000</v>
      </c>
      <c r="E101" s="38">
        <v>53874.44</v>
      </c>
      <c r="F101" s="38">
        <f>D101-E101</f>
        <v>146125.56</v>
      </c>
      <c r="G101" s="27">
        <f t="shared" ref="G101:G102" si="66">IFERROR(E101/D101,0)</f>
        <v>0.26937220000000001</v>
      </c>
      <c r="H101" s="94">
        <v>0</v>
      </c>
      <c r="I101" s="40">
        <v>0</v>
      </c>
      <c r="J101" s="40">
        <f>H101-I101</f>
        <v>0</v>
      </c>
      <c r="K101" s="30">
        <f t="shared" ref="K101:K102" si="67">IFERROR(I101/H101,0)</f>
        <v>0</v>
      </c>
      <c r="L101" s="95">
        <f t="shared" si="65"/>
        <v>200000</v>
      </c>
      <c r="M101" s="42">
        <f t="shared" si="65"/>
        <v>53874.44</v>
      </c>
      <c r="N101" s="43">
        <f>L101-M101</f>
        <v>146125.56</v>
      </c>
      <c r="O101" s="34"/>
    </row>
    <row r="102" spans="1:15" ht="13.2" customHeight="1" x14ac:dyDescent="0.4">
      <c r="A102" s="131"/>
      <c r="B102" s="92" t="s">
        <v>139</v>
      </c>
      <c r="C102" s="93"/>
      <c r="D102" s="37">
        <v>0</v>
      </c>
      <c r="E102" s="38">
        <v>0</v>
      </c>
      <c r="F102" s="38">
        <f>D102-E102</f>
        <v>0</v>
      </c>
      <c r="G102" s="27">
        <f t="shared" si="66"/>
        <v>0</v>
      </c>
      <c r="H102" s="94">
        <v>0</v>
      </c>
      <c r="I102" s="40">
        <v>0</v>
      </c>
      <c r="J102" s="40">
        <f>H102-I102</f>
        <v>0</v>
      </c>
      <c r="K102" s="30">
        <f t="shared" si="67"/>
        <v>0</v>
      </c>
      <c r="L102" s="95">
        <f t="shared" si="65"/>
        <v>0</v>
      </c>
      <c r="M102" s="42">
        <f t="shared" si="65"/>
        <v>0</v>
      </c>
      <c r="N102" s="43">
        <f>L102-M102</f>
        <v>0</v>
      </c>
      <c r="O102" s="136"/>
    </row>
    <row r="103" spans="1:15" ht="12.45" customHeight="1" thickBot="1" x14ac:dyDescent="0.45">
      <c r="A103" s="131"/>
      <c r="B103" s="112"/>
      <c r="C103" s="170"/>
      <c r="D103" s="45"/>
      <c r="E103" s="46"/>
      <c r="F103" s="46"/>
      <c r="G103" s="171"/>
      <c r="H103" s="172"/>
      <c r="I103" s="173"/>
      <c r="J103" s="173"/>
      <c r="K103" s="174"/>
      <c r="L103" s="175"/>
      <c r="M103" s="176"/>
      <c r="N103" s="177"/>
      <c r="O103" s="34"/>
    </row>
    <row r="104" spans="1:15" ht="16.399999999999999" customHeight="1" x14ac:dyDescent="0.4">
      <c r="A104" s="131"/>
      <c r="B104" s="112" t="s">
        <v>140</v>
      </c>
      <c r="C104" s="83"/>
      <c r="D104" s="84">
        <f>SUM(D105:D106)</f>
        <v>3722000</v>
      </c>
      <c r="E104" s="85">
        <f>SUM(E105:E106)</f>
        <v>787566.36</v>
      </c>
      <c r="F104" s="85">
        <f>SUM(F105:F106)</f>
        <v>2934433.64</v>
      </c>
      <c r="G104" s="86">
        <f>E104/D104</f>
        <v>0.2115976249328318</v>
      </c>
      <c r="H104" s="87">
        <f>SUM(H105:H106)</f>
        <v>1000000</v>
      </c>
      <c r="I104" s="88">
        <f>SUM(I105:I106)</f>
        <v>0</v>
      </c>
      <c r="J104" s="88">
        <f>SUM(J105:J108)</f>
        <v>1000000</v>
      </c>
      <c r="K104" s="89">
        <v>0</v>
      </c>
      <c r="L104" s="90">
        <f t="shared" ref="L104:M107" si="68">D104+H104</f>
        <v>4722000</v>
      </c>
      <c r="M104" s="91">
        <f t="shared" si="68"/>
        <v>787566.36</v>
      </c>
      <c r="N104" s="113">
        <f>L104-M104</f>
        <v>3934433.64</v>
      </c>
      <c r="O104" s="136"/>
    </row>
    <row r="105" spans="1:15" ht="13.2" customHeight="1" x14ac:dyDescent="0.4">
      <c r="A105" s="131" t="s">
        <v>135</v>
      </c>
      <c r="B105" s="152" t="s">
        <v>28</v>
      </c>
      <c r="C105" s="153"/>
      <c r="D105" s="37">
        <v>3722000</v>
      </c>
      <c r="E105" s="38">
        <v>787566.36</v>
      </c>
      <c r="F105" s="38">
        <f>D105-E105</f>
        <v>2934433.64</v>
      </c>
      <c r="G105" s="27">
        <f t="shared" ref="G105" si="69">IFERROR(E105/D105,0)</f>
        <v>0.2115976249328318</v>
      </c>
      <c r="H105" s="94">
        <v>1000000</v>
      </c>
      <c r="I105" s="40">
        <v>0</v>
      </c>
      <c r="J105" s="40">
        <f>H105-I105</f>
        <v>1000000</v>
      </c>
      <c r="K105" s="30">
        <f t="shared" ref="K105" si="70">IFERROR(I105/H105,0)</f>
        <v>0</v>
      </c>
      <c r="L105" s="95">
        <f t="shared" si="68"/>
        <v>4722000</v>
      </c>
      <c r="M105" s="42">
        <f t="shared" si="68"/>
        <v>787566.36</v>
      </c>
      <c r="N105" s="43">
        <f>L105-M105</f>
        <v>3934433.64</v>
      </c>
      <c r="O105" s="34"/>
    </row>
    <row r="106" spans="1:15" ht="13.2" customHeight="1" x14ac:dyDescent="0.4">
      <c r="A106" s="131"/>
      <c r="B106" s="92"/>
      <c r="C106" s="93"/>
      <c r="D106" s="37"/>
      <c r="E106" s="38"/>
      <c r="F106" s="38"/>
      <c r="G106" s="27"/>
      <c r="H106" s="94"/>
      <c r="I106" s="40"/>
      <c r="J106" s="40"/>
      <c r="K106" s="30"/>
      <c r="L106" s="95"/>
      <c r="M106" s="42"/>
      <c r="N106" s="43"/>
      <c r="O106" s="132"/>
    </row>
    <row r="107" spans="1:15" ht="13.2" customHeight="1" x14ac:dyDescent="0.4">
      <c r="A107" s="131" t="s">
        <v>135</v>
      </c>
      <c r="B107" s="178" t="s">
        <v>11</v>
      </c>
      <c r="C107" s="179"/>
      <c r="D107" s="180">
        <v>0</v>
      </c>
      <c r="E107" s="181">
        <v>15959.55</v>
      </c>
      <c r="F107" s="181">
        <f>D107-E107</f>
        <v>-15959.55</v>
      </c>
      <c r="G107" s="27">
        <f t="shared" ref="G107" si="71">IFERROR(E107/D107,0)</f>
        <v>0</v>
      </c>
      <c r="H107" s="182">
        <v>0</v>
      </c>
      <c r="I107" s="183">
        <v>0</v>
      </c>
      <c r="J107" s="183">
        <f t="shared" ref="J107" si="72">H107-I107</f>
        <v>0</v>
      </c>
      <c r="K107" s="64">
        <v>0</v>
      </c>
      <c r="L107" s="184">
        <f t="shared" si="68"/>
        <v>0</v>
      </c>
      <c r="M107" s="185">
        <f t="shared" si="68"/>
        <v>15959.55</v>
      </c>
      <c r="N107" s="43">
        <f t="shared" ref="N107" si="73">L107-M107</f>
        <v>-15959.55</v>
      </c>
      <c r="O107" s="186"/>
    </row>
    <row r="108" spans="1:15" ht="13.2" customHeight="1" thickBot="1" x14ac:dyDescent="0.45">
      <c r="A108" s="23"/>
      <c r="B108" s="187"/>
      <c r="C108" s="188"/>
      <c r="D108" s="103"/>
      <c r="E108" s="104"/>
      <c r="F108" s="104"/>
      <c r="G108" s="105"/>
      <c r="H108" s="106"/>
      <c r="I108" s="107"/>
      <c r="J108" s="107"/>
      <c r="K108" s="108"/>
      <c r="L108" s="109"/>
      <c r="M108" s="110"/>
      <c r="N108" s="111"/>
      <c r="O108" s="34"/>
    </row>
    <row r="109" spans="1:15" ht="16.3" thickBot="1" x14ac:dyDescent="0.5">
      <c r="A109" s="23"/>
      <c r="B109" s="138" t="s">
        <v>143</v>
      </c>
      <c r="C109" s="139"/>
      <c r="D109" s="140">
        <f>D97+D100+D104+D107</f>
        <v>4000000</v>
      </c>
      <c r="E109" s="141">
        <f>E97+E100+E104+E107</f>
        <v>912837.87</v>
      </c>
      <c r="F109" s="141">
        <f>D109-E109</f>
        <v>3087162.13</v>
      </c>
      <c r="G109" s="142">
        <f>E109/D109</f>
        <v>0.22820946749999999</v>
      </c>
      <c r="H109" s="143">
        <f>H97+H100+H104+H107</f>
        <v>1000000</v>
      </c>
      <c r="I109" s="144">
        <f>I97+I100+I104+I107</f>
        <v>0</v>
      </c>
      <c r="J109" s="144">
        <f>H109-I109</f>
        <v>1000000</v>
      </c>
      <c r="K109" s="145">
        <f>I109/H109</f>
        <v>0</v>
      </c>
      <c r="L109" s="146">
        <f>L97+L100+L104</f>
        <v>5000000</v>
      </c>
      <c r="M109" s="147">
        <f>M97+M100+M104</f>
        <v>896878.32</v>
      </c>
      <c r="N109" s="148">
        <f>L109-M109</f>
        <v>4103121.68</v>
      </c>
      <c r="O109" s="34"/>
    </row>
    <row r="110" spans="1:15" s="2" customFormat="1" ht="23.15" customHeight="1" thickBot="1" x14ac:dyDescent="0.5">
      <c r="A110" s="8"/>
      <c r="B110" s="189"/>
      <c r="C110" s="189"/>
      <c r="D110" s="190"/>
      <c r="E110" s="190"/>
      <c r="F110" s="190"/>
      <c r="G110" s="190"/>
      <c r="H110" s="190"/>
      <c r="I110" s="190"/>
      <c r="J110" s="190"/>
      <c r="K110" s="190"/>
      <c r="L110" s="190"/>
      <c r="M110" s="190"/>
      <c r="N110" s="190"/>
      <c r="O110" s="100"/>
    </row>
    <row r="111" spans="1:15" ht="21" thickBot="1" x14ac:dyDescent="0.6">
      <c r="B111" s="352" t="s">
        <v>144</v>
      </c>
      <c r="C111" s="353"/>
      <c r="D111" s="353"/>
      <c r="E111" s="353"/>
      <c r="F111" s="353"/>
      <c r="G111" s="353"/>
      <c r="H111" s="353"/>
      <c r="I111" s="353"/>
      <c r="J111" s="353"/>
      <c r="K111" s="353"/>
      <c r="L111" s="353"/>
      <c r="M111" s="353"/>
      <c r="N111" s="354"/>
      <c r="O111" s="34"/>
    </row>
    <row r="112" spans="1:15" ht="14.25" customHeight="1" thickBot="1" x14ac:dyDescent="0.5">
      <c r="A112" s="23" t="s">
        <v>145</v>
      </c>
      <c r="B112" s="92" t="s">
        <v>146</v>
      </c>
      <c r="C112" s="167"/>
      <c r="D112" s="191">
        <v>0</v>
      </c>
      <c r="E112" s="192">
        <v>0</v>
      </c>
      <c r="F112" s="192">
        <f>D112-E112</f>
        <v>0</v>
      </c>
      <c r="G112" s="193" t="str">
        <f>IFERROR(E112/D112,"0%")</f>
        <v>0%</v>
      </c>
      <c r="H112" s="194">
        <v>5679000</v>
      </c>
      <c r="I112" s="195">
        <v>0</v>
      </c>
      <c r="J112" s="195">
        <f>H112-I112</f>
        <v>5679000</v>
      </c>
      <c r="K112" s="196">
        <f>IFERROR(I112/H112,"0%")</f>
        <v>0</v>
      </c>
      <c r="L112" s="197">
        <f>D112+H112</f>
        <v>5679000</v>
      </c>
      <c r="M112" s="198">
        <f>E112+I112</f>
        <v>0</v>
      </c>
      <c r="N112" s="199">
        <f>L112-M112</f>
        <v>5679000</v>
      </c>
      <c r="O112" s="34"/>
    </row>
    <row r="113" spans="1:15" s="2" customFormat="1" ht="21.75" customHeight="1" thickBot="1" x14ac:dyDescent="0.5">
      <c r="A113" s="8"/>
      <c r="B113" s="189"/>
      <c r="C113" s="189"/>
      <c r="D113" s="190"/>
      <c r="E113" s="190"/>
      <c r="F113" s="190"/>
      <c r="G113" s="190"/>
      <c r="H113" s="190"/>
      <c r="I113" s="190"/>
      <c r="J113" s="190"/>
      <c r="K113" s="190"/>
      <c r="L113" s="190"/>
      <c r="M113" s="190"/>
      <c r="N113" s="190"/>
      <c r="O113" s="100"/>
    </row>
    <row r="114" spans="1:15" ht="21" thickBot="1" x14ac:dyDescent="0.6">
      <c r="B114" s="352" t="s">
        <v>149</v>
      </c>
      <c r="C114" s="353"/>
      <c r="D114" s="353"/>
      <c r="E114" s="353"/>
      <c r="F114" s="353"/>
      <c r="G114" s="353"/>
      <c r="H114" s="353"/>
      <c r="I114" s="353"/>
      <c r="J114" s="353"/>
      <c r="K114" s="353"/>
      <c r="L114" s="353"/>
      <c r="M114" s="353"/>
      <c r="N114" s="354"/>
      <c r="O114" s="34"/>
    </row>
    <row r="115" spans="1:15" ht="14.25" customHeight="1" thickBot="1" x14ac:dyDescent="0.5">
      <c r="A115" s="23" t="s">
        <v>150</v>
      </c>
      <c r="B115" s="92" t="s">
        <v>57</v>
      </c>
      <c r="C115" s="167"/>
      <c r="D115" s="191">
        <v>130000</v>
      </c>
      <c r="E115" s="192">
        <v>0</v>
      </c>
      <c r="F115" s="192">
        <f>D115-E115</f>
        <v>130000</v>
      </c>
      <c r="G115" s="193">
        <f>IFERROR(E115/D115,"0%")</f>
        <v>0</v>
      </c>
      <c r="H115" s="194">
        <v>0</v>
      </c>
      <c r="I115" s="195">
        <v>0</v>
      </c>
      <c r="J115" s="195">
        <f>H115-I115</f>
        <v>0</v>
      </c>
      <c r="K115" s="196" t="str">
        <f>IFERROR(I115/H115,"0%")</f>
        <v>0%</v>
      </c>
      <c r="L115" s="197">
        <f>D115+H115</f>
        <v>130000</v>
      </c>
      <c r="M115" s="198">
        <f>E115+I115</f>
        <v>0</v>
      </c>
      <c r="N115" s="199">
        <f>L115-M115</f>
        <v>130000</v>
      </c>
      <c r="O115" s="34"/>
    </row>
    <row r="116" spans="1:15" s="3" customFormat="1" ht="21.75" customHeight="1" thickBot="1" x14ac:dyDescent="0.45">
      <c r="A116" s="200"/>
      <c r="B116" s="167"/>
      <c r="C116" s="167"/>
      <c r="D116" s="201"/>
      <c r="E116" s="201"/>
      <c r="F116" s="201"/>
      <c r="G116" s="201"/>
      <c r="H116" s="201"/>
      <c r="I116" s="201"/>
      <c r="J116" s="7"/>
      <c r="K116" s="7"/>
      <c r="L116" s="201"/>
      <c r="M116" s="201"/>
      <c r="N116" s="7"/>
      <c r="O116" s="34"/>
    </row>
    <row r="117" spans="1:15" s="3" customFormat="1" ht="21" thickBot="1" x14ac:dyDescent="0.6">
      <c r="A117" s="8"/>
      <c r="B117" s="352" t="s">
        <v>151</v>
      </c>
      <c r="C117" s="353"/>
      <c r="D117" s="353"/>
      <c r="E117" s="353"/>
      <c r="F117" s="353"/>
      <c r="G117" s="353"/>
      <c r="H117" s="353"/>
      <c r="I117" s="353"/>
      <c r="J117" s="353"/>
      <c r="K117" s="353"/>
      <c r="L117" s="353"/>
      <c r="M117" s="353"/>
      <c r="N117" s="354"/>
      <c r="O117" s="34"/>
    </row>
    <row r="118" spans="1:15" s="3" customFormat="1" ht="14.25" customHeight="1" thickBot="1" x14ac:dyDescent="0.5">
      <c r="A118" s="23" t="s">
        <v>152</v>
      </c>
      <c r="B118" s="92" t="s">
        <v>153</v>
      </c>
      <c r="C118" s="167"/>
      <c r="D118" s="191">
        <v>600000</v>
      </c>
      <c r="E118" s="192">
        <v>30325.75</v>
      </c>
      <c r="F118" s="192">
        <f>D118-E118</f>
        <v>569674.25</v>
      </c>
      <c r="G118" s="193">
        <f>IFERROR(E118/D118,"0%")</f>
        <v>5.0542916666666667E-2</v>
      </c>
      <c r="H118" s="194">
        <v>1250000</v>
      </c>
      <c r="I118" s="195">
        <v>0</v>
      </c>
      <c r="J118" s="195">
        <f>H118-I118</f>
        <v>1250000</v>
      </c>
      <c r="K118" s="196">
        <f>IFERROR(I118/H118,"0%")</f>
        <v>0</v>
      </c>
      <c r="L118" s="197">
        <f>D118+H118</f>
        <v>1850000</v>
      </c>
      <c r="M118" s="198">
        <f>E118+I118</f>
        <v>30325.75</v>
      </c>
      <c r="N118" s="199">
        <f>L118-M118</f>
        <v>1819674.25</v>
      </c>
      <c r="O118" s="34"/>
    </row>
    <row r="119" spans="1:15" s="3" customFormat="1" ht="17.899999999999999" customHeight="1" x14ac:dyDescent="0.4">
      <c r="A119" s="8"/>
      <c r="B119" s="202"/>
      <c r="C119" s="202"/>
      <c r="D119" s="203"/>
      <c r="E119" s="203"/>
      <c r="F119" s="203"/>
      <c r="G119" s="203"/>
      <c r="H119" s="203"/>
      <c r="I119" s="203"/>
      <c r="J119" s="203"/>
      <c r="K119" s="203"/>
      <c r="L119" s="203"/>
      <c r="M119" s="203"/>
      <c r="N119" s="203"/>
      <c r="O119" s="34"/>
    </row>
    <row r="120" spans="1:15" s="3" customFormat="1" ht="17.899999999999999" customHeight="1" x14ac:dyDescent="0.4">
      <c r="A120" s="8"/>
      <c r="B120" s="202"/>
      <c r="C120" s="202"/>
      <c r="D120" s="203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34"/>
    </row>
    <row r="121" spans="1:15" s="3" customFormat="1" ht="17.899999999999999" customHeight="1" x14ac:dyDescent="0.4">
      <c r="A121" s="8"/>
      <c r="B121" s="202"/>
      <c r="C121" s="202"/>
      <c r="D121" s="203"/>
      <c r="E121" s="203"/>
      <c r="F121" s="203"/>
      <c r="G121" s="203"/>
      <c r="H121" s="203"/>
      <c r="I121" s="203"/>
      <c r="J121" s="203"/>
      <c r="K121" s="203"/>
      <c r="L121" s="203"/>
      <c r="M121" s="203"/>
      <c r="N121" s="203"/>
      <c r="O121" s="34"/>
    </row>
    <row r="122" spans="1:15" s="3" customFormat="1" ht="17.899999999999999" customHeight="1" thickBot="1" x14ac:dyDescent="0.45">
      <c r="A122" s="8"/>
      <c r="B122" s="202"/>
      <c r="C122" s="202"/>
      <c r="D122" s="203"/>
      <c r="E122" s="203"/>
      <c r="F122" s="203"/>
      <c r="G122" s="203"/>
      <c r="H122" s="203"/>
      <c r="I122" s="203"/>
      <c r="J122" s="203"/>
      <c r="K122" s="203"/>
      <c r="L122" s="203"/>
      <c r="M122" s="203"/>
      <c r="N122" s="203"/>
      <c r="O122" s="34"/>
    </row>
    <row r="123" spans="1:15" s="3" customFormat="1" ht="23.15" x14ac:dyDescent="0.6">
      <c r="A123" s="387" t="s">
        <v>155</v>
      </c>
      <c r="B123" s="388"/>
      <c r="C123" s="388"/>
      <c r="D123" s="388"/>
      <c r="E123" s="388"/>
      <c r="F123" s="388"/>
      <c r="G123" s="388"/>
      <c r="H123" s="388"/>
      <c r="I123" s="388"/>
      <c r="J123" s="388"/>
      <c r="K123" s="388"/>
      <c r="L123" s="388"/>
      <c r="M123" s="388"/>
      <c r="N123" s="389"/>
      <c r="O123" s="34"/>
    </row>
    <row r="124" spans="1:15" s="3" customFormat="1" ht="20.6" x14ac:dyDescent="0.4">
      <c r="A124" s="390" t="s">
        <v>156</v>
      </c>
      <c r="B124" s="391"/>
      <c r="C124" s="391"/>
      <c r="D124" s="391"/>
      <c r="E124" s="391"/>
      <c r="F124" s="391"/>
      <c r="G124" s="391"/>
      <c r="H124" s="391"/>
      <c r="I124" s="391"/>
      <c r="J124" s="391"/>
      <c r="K124" s="391"/>
      <c r="L124" s="391"/>
      <c r="M124" s="391"/>
      <c r="N124" s="392"/>
      <c r="O124" s="34"/>
    </row>
    <row r="125" spans="1:15" s="3" customFormat="1" ht="21" thickBot="1" x14ac:dyDescent="0.45">
      <c r="A125" s="393" t="s">
        <v>157</v>
      </c>
      <c r="B125" s="394"/>
      <c r="C125" s="394"/>
      <c r="D125" s="394"/>
      <c r="E125" s="394"/>
      <c r="F125" s="394"/>
      <c r="G125" s="394"/>
      <c r="H125" s="394"/>
      <c r="I125" s="394"/>
      <c r="J125" s="394"/>
      <c r="K125" s="394"/>
      <c r="L125" s="394"/>
      <c r="M125" s="394"/>
      <c r="N125" s="395"/>
      <c r="O125" s="34"/>
    </row>
    <row r="126" spans="1:15" s="3" customFormat="1" ht="15.75" customHeight="1" x14ac:dyDescent="0.4">
      <c r="A126" s="204"/>
      <c r="B126" s="202"/>
      <c r="C126" s="202"/>
      <c r="D126" s="203"/>
      <c r="E126" s="203"/>
      <c r="F126" s="203"/>
      <c r="G126" s="203"/>
      <c r="H126" s="203"/>
      <c r="I126" s="203"/>
      <c r="J126" s="203"/>
      <c r="K126" s="203"/>
      <c r="L126" s="203"/>
      <c r="M126" s="203"/>
      <c r="N126" s="205"/>
      <c r="O126" s="34"/>
    </row>
    <row r="127" spans="1:15" s="3" customFormat="1" ht="15.75" customHeight="1" thickBot="1" x14ac:dyDescent="0.5">
      <c r="A127" s="206"/>
      <c r="B127" s="207"/>
      <c r="C127" s="207"/>
      <c r="D127" s="208" t="s">
        <v>158</v>
      </c>
      <c r="E127" s="209"/>
      <c r="F127" s="210" t="s">
        <v>159</v>
      </c>
      <c r="G127" s="396"/>
      <c r="H127" s="396"/>
      <c r="I127" s="211"/>
      <c r="J127" s="211"/>
      <c r="K127" s="211"/>
      <c r="L127" s="211"/>
      <c r="M127" s="211"/>
      <c r="N127" s="212"/>
      <c r="O127" s="34"/>
    </row>
    <row r="128" spans="1:15" s="3" customFormat="1" ht="15.75" customHeight="1" x14ac:dyDescent="0.4">
      <c r="A128" s="213"/>
      <c r="B128" s="5"/>
      <c r="C128" s="5"/>
      <c r="D128" s="214" t="s">
        <v>160</v>
      </c>
      <c r="E128" s="5"/>
      <c r="F128" s="215">
        <v>8867998.6400000006</v>
      </c>
      <c r="G128" s="380"/>
      <c r="H128" s="380"/>
      <c r="I128" s="203"/>
      <c r="J128" s="203"/>
      <c r="K128" s="203"/>
      <c r="L128" s="203"/>
      <c r="M128" s="203"/>
      <c r="N128" s="205"/>
      <c r="O128" s="34"/>
    </row>
    <row r="129" spans="1:15" s="3" customFormat="1" ht="15.75" customHeight="1" x14ac:dyDescent="0.4">
      <c r="A129" s="216"/>
      <c r="B129" s="217"/>
      <c r="C129" s="217"/>
      <c r="D129" s="218" t="s">
        <v>161</v>
      </c>
      <c r="E129" s="217"/>
      <c r="F129" s="219">
        <v>4349.99</v>
      </c>
      <c r="G129" s="396"/>
      <c r="H129" s="396"/>
      <c r="I129" s="211"/>
      <c r="J129" s="211"/>
      <c r="K129" s="211"/>
      <c r="L129" s="211"/>
      <c r="M129" s="211"/>
      <c r="N129" s="212"/>
      <c r="O129" s="34"/>
    </row>
    <row r="130" spans="1:15" s="3" customFormat="1" ht="15.75" customHeight="1" x14ac:dyDescent="0.4">
      <c r="A130" s="213"/>
      <c r="B130" s="5"/>
      <c r="C130" s="5"/>
      <c r="D130" s="214" t="s">
        <v>162</v>
      </c>
      <c r="E130" s="5"/>
      <c r="F130" s="215">
        <v>23092974.5</v>
      </c>
      <c r="G130" s="396"/>
      <c r="H130" s="396"/>
      <c r="I130" s="211"/>
      <c r="J130" s="211"/>
      <c r="K130" s="211"/>
      <c r="L130" s="211"/>
      <c r="M130" s="211"/>
      <c r="N130" s="212"/>
      <c r="O130" s="34"/>
    </row>
    <row r="131" spans="1:15" s="3" customFormat="1" ht="15.75" customHeight="1" x14ac:dyDescent="0.4">
      <c r="A131" s="216"/>
      <c r="B131" s="217"/>
      <c r="C131" s="217"/>
      <c r="D131" s="218" t="s">
        <v>163</v>
      </c>
      <c r="E131" s="220"/>
      <c r="F131" s="221">
        <v>27642000</v>
      </c>
      <c r="G131" s="396"/>
      <c r="H131" s="396"/>
      <c r="I131" s="211"/>
      <c r="J131" s="211"/>
      <c r="K131" s="211"/>
      <c r="L131" s="211"/>
      <c r="M131" s="211"/>
      <c r="N131" s="212"/>
      <c r="O131" s="34"/>
    </row>
    <row r="132" spans="1:15" s="3" customFormat="1" ht="15.75" customHeight="1" x14ac:dyDescent="0.4">
      <c r="A132" s="222"/>
      <c r="B132" s="5"/>
      <c r="C132" s="5"/>
      <c r="D132" s="223" t="s">
        <v>164</v>
      </c>
      <c r="E132" s="5"/>
      <c r="F132" s="224">
        <f>SUM(F128:F131)</f>
        <v>59607323.130000003</v>
      </c>
      <c r="G132" s="396"/>
      <c r="H132" s="396"/>
      <c r="I132" s="211"/>
      <c r="J132" s="211"/>
      <c r="K132" s="211"/>
      <c r="L132" s="211"/>
      <c r="M132" s="211"/>
      <c r="N132" s="212"/>
      <c r="O132" s="34"/>
    </row>
    <row r="133" spans="1:15" ht="15.75" customHeight="1" x14ac:dyDescent="0.4">
      <c r="A133" s="216"/>
      <c r="B133" s="225"/>
      <c r="C133" s="225"/>
      <c r="D133" s="218"/>
      <c r="E133" s="226"/>
      <c r="F133" s="219"/>
      <c r="G133" s="309"/>
      <c r="H133" s="227"/>
      <c r="I133" s="211"/>
      <c r="J133" s="211"/>
      <c r="K133" s="211"/>
      <c r="L133" s="211"/>
      <c r="M133" s="211"/>
      <c r="N133" s="212"/>
      <c r="O133" s="34"/>
    </row>
    <row r="134" spans="1:15" ht="15.75" customHeight="1" x14ac:dyDescent="0.4">
      <c r="A134" s="216"/>
      <c r="B134" s="225"/>
      <c r="C134" s="225"/>
      <c r="D134" s="218" t="s">
        <v>165</v>
      </c>
      <c r="E134" s="226"/>
      <c r="F134" s="219">
        <f>L13</f>
        <v>53921619.399999999</v>
      </c>
      <c r="G134" s="397"/>
      <c r="H134" s="397"/>
      <c r="I134" s="211"/>
      <c r="J134" s="211"/>
      <c r="K134" s="211"/>
      <c r="L134" s="211"/>
      <c r="M134" s="211"/>
      <c r="N134" s="212"/>
      <c r="O134" s="34"/>
    </row>
    <row r="135" spans="1:15" ht="15.75" customHeight="1" x14ac:dyDescent="0.4">
      <c r="A135" s="228"/>
      <c r="B135" s="229"/>
      <c r="C135" s="229"/>
      <c r="D135" s="214" t="s">
        <v>166</v>
      </c>
      <c r="E135" s="6"/>
      <c r="F135" s="215">
        <v>2672381</v>
      </c>
      <c r="G135" s="396"/>
      <c r="H135" s="396"/>
      <c r="I135" s="211"/>
      <c r="J135" s="211"/>
      <c r="K135" s="211"/>
      <c r="L135" s="211"/>
      <c r="M135" s="211"/>
      <c r="N135" s="212"/>
      <c r="O135" s="34"/>
    </row>
    <row r="136" spans="1:15" ht="15.75" customHeight="1" x14ac:dyDescent="0.4">
      <c r="A136" s="216"/>
      <c r="B136" s="225"/>
      <c r="C136" s="225"/>
      <c r="D136" s="218" t="s">
        <v>167</v>
      </c>
      <c r="E136" s="230"/>
      <c r="F136" s="221">
        <v>3230000</v>
      </c>
      <c r="G136" s="396"/>
      <c r="H136" s="396"/>
      <c r="I136" s="211"/>
      <c r="J136" s="211"/>
      <c r="K136" s="211"/>
      <c r="L136" s="211"/>
      <c r="M136" s="211"/>
      <c r="N136" s="212"/>
      <c r="O136" s="34"/>
    </row>
    <row r="137" spans="1:15" ht="15.75" customHeight="1" x14ac:dyDescent="0.4">
      <c r="A137" s="222"/>
      <c r="B137" s="229"/>
      <c r="C137" s="229"/>
      <c r="D137" s="223" t="s">
        <v>168</v>
      </c>
      <c r="E137" s="6"/>
      <c r="F137" s="224">
        <f>SUM(F134:F136)</f>
        <v>59824000.399999999</v>
      </c>
      <c r="G137" s="396"/>
      <c r="H137" s="396"/>
      <c r="I137" s="203"/>
      <c r="J137" s="203"/>
      <c r="K137" s="203"/>
      <c r="L137" s="203"/>
      <c r="M137" s="203"/>
      <c r="N137" s="205"/>
      <c r="O137" s="34"/>
    </row>
    <row r="138" spans="1:15" ht="15.75" customHeight="1" x14ac:dyDescent="0.4">
      <c r="A138" s="231"/>
      <c r="B138" s="225"/>
      <c r="C138" s="225"/>
      <c r="D138" s="232"/>
      <c r="E138" s="233"/>
      <c r="F138" s="234"/>
      <c r="G138" s="396"/>
      <c r="H138" s="396"/>
      <c r="I138" s="211"/>
      <c r="J138" s="211"/>
      <c r="K138" s="211"/>
      <c r="L138" s="211"/>
      <c r="M138" s="211"/>
      <c r="N138" s="212"/>
      <c r="O138" s="34"/>
    </row>
    <row r="139" spans="1:15" ht="17.149999999999999" customHeight="1" thickBot="1" x14ac:dyDescent="0.5">
      <c r="A139" s="235"/>
      <c r="B139" s="236"/>
      <c r="C139" s="236"/>
      <c r="D139" s="237" t="s">
        <v>169</v>
      </c>
      <c r="E139" s="238"/>
      <c r="F139" s="239">
        <f>F132-F137</f>
        <v>-216677.26999999583</v>
      </c>
      <c r="G139" s="240"/>
      <c r="H139" s="240"/>
      <c r="I139" s="240"/>
      <c r="J139" s="240"/>
      <c r="K139" s="240"/>
      <c r="L139" s="240"/>
      <c r="M139" s="240"/>
      <c r="N139" s="241"/>
      <c r="O139" s="34"/>
    </row>
    <row r="140" spans="1:15" x14ac:dyDescent="0.4">
      <c r="C140" s="243"/>
      <c r="D140" s="243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34"/>
    </row>
    <row r="141" spans="1:15" x14ac:dyDescent="0.4">
      <c r="B141" s="243"/>
      <c r="C141" s="243"/>
      <c r="D141" s="203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34"/>
    </row>
    <row r="142" spans="1:15" x14ac:dyDescent="0.4">
      <c r="B142" s="243"/>
      <c r="C142" s="243"/>
      <c r="D142" s="203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34"/>
    </row>
    <row r="143" spans="1:15" x14ac:dyDescent="0.4">
      <c r="B143" s="243"/>
      <c r="C143" s="243"/>
      <c r="D143" s="203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34"/>
    </row>
    <row r="144" spans="1:15" x14ac:dyDescent="0.4">
      <c r="B144" s="243"/>
      <c r="C144" s="243"/>
      <c r="D144" s="203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34"/>
    </row>
    <row r="145" spans="1:15" x14ac:dyDescent="0.4">
      <c r="A145"/>
      <c r="B145" s="243"/>
      <c r="C145" s="243"/>
      <c r="D145" s="203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34"/>
    </row>
    <row r="146" spans="1:15" x14ac:dyDescent="0.4">
      <c r="A146"/>
      <c r="B146" s="243"/>
      <c r="C146" s="243"/>
      <c r="D146" s="203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34"/>
    </row>
    <row r="147" spans="1:15" x14ac:dyDescent="0.4">
      <c r="A147"/>
      <c r="B147" s="243"/>
      <c r="C147" s="243"/>
      <c r="D147" s="203"/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34"/>
    </row>
    <row r="148" spans="1:15" x14ac:dyDescent="0.4">
      <c r="A148"/>
      <c r="B148" s="243"/>
      <c r="C148" s="243"/>
      <c r="D148" s="203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34"/>
    </row>
    <row r="149" spans="1:15" x14ac:dyDescent="0.4">
      <c r="A149"/>
      <c r="B149" s="243"/>
      <c r="C149" s="243"/>
      <c r="D149" s="203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34"/>
    </row>
    <row r="150" spans="1:15" x14ac:dyDescent="0.4">
      <c r="A150"/>
      <c r="B150" s="243"/>
      <c r="C150" s="243"/>
      <c r="D150" s="203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34"/>
    </row>
    <row r="151" spans="1:15" x14ac:dyDescent="0.4">
      <c r="A151"/>
      <c r="B151" s="243"/>
      <c r="C151" s="243"/>
      <c r="D151" s="203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34"/>
    </row>
    <row r="152" spans="1:15" x14ac:dyDescent="0.4">
      <c r="A152"/>
      <c r="B152" s="243"/>
      <c r="C152" s="243"/>
      <c r="D152" s="203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34"/>
    </row>
    <row r="153" spans="1:15" x14ac:dyDescent="0.4">
      <c r="A153"/>
      <c r="B153" s="243"/>
      <c r="C153" s="243"/>
      <c r="D153" s="203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34"/>
    </row>
    <row r="154" spans="1:15" x14ac:dyDescent="0.4">
      <c r="A154"/>
      <c r="B154" s="243"/>
      <c r="C154" s="243"/>
      <c r="D154" s="203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</row>
    <row r="155" spans="1:15" x14ac:dyDescent="0.4">
      <c r="A155"/>
      <c r="B155" s="243"/>
      <c r="C155" s="243"/>
      <c r="D155" s="203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</row>
  </sheetData>
  <mergeCells count="41">
    <mergeCell ref="G136:H136"/>
    <mergeCell ref="G137:H137"/>
    <mergeCell ref="G138:H138"/>
    <mergeCell ref="G129:H129"/>
    <mergeCell ref="G130:H130"/>
    <mergeCell ref="G131:H131"/>
    <mergeCell ref="G132:H132"/>
    <mergeCell ref="G134:H134"/>
    <mergeCell ref="G135:H135"/>
    <mergeCell ref="G128:H128"/>
    <mergeCell ref="B54:N54"/>
    <mergeCell ref="B55:N55"/>
    <mergeCell ref="B89:N89"/>
    <mergeCell ref="B96:N96"/>
    <mergeCell ref="B111:N111"/>
    <mergeCell ref="B114:N114"/>
    <mergeCell ref="B117:N117"/>
    <mergeCell ref="A123:N123"/>
    <mergeCell ref="A124:N124"/>
    <mergeCell ref="A125:N125"/>
    <mergeCell ref="G127:H127"/>
    <mergeCell ref="B18:N18"/>
    <mergeCell ref="A7:B7"/>
    <mergeCell ref="D7:D8"/>
    <mergeCell ref="E7:E8"/>
    <mergeCell ref="F7:F8"/>
    <mergeCell ref="H7:H8"/>
    <mergeCell ref="I7:I8"/>
    <mergeCell ref="J7:J8"/>
    <mergeCell ref="L7:L8"/>
    <mergeCell ref="M7:M8"/>
    <mergeCell ref="N7:N8"/>
    <mergeCell ref="B17:N17"/>
    <mergeCell ref="A1:O1"/>
    <mergeCell ref="A2:O2"/>
    <mergeCell ref="A3:O3"/>
    <mergeCell ref="B5:N5"/>
    <mergeCell ref="A6:B6"/>
    <mergeCell ref="D6:G6"/>
    <mergeCell ref="H6:J6"/>
    <mergeCell ref="L6:N6"/>
  </mergeCells>
  <conditionalFormatting sqref="F139">
    <cfRule type="cellIs" dxfId="0" priority="1" operator="lessThan">
      <formula>0</formula>
    </cfRule>
  </conditionalFormatting>
  <printOptions horizontalCentered="1"/>
  <pageMargins left="0.2" right="0.2" top="0.25" bottom="0.15" header="0.3" footer="0.3"/>
  <pageSetup paperSize="17" scale="65" orientation="portrait" r:id="rId1"/>
  <rowBreaks count="1" manualBreakCount="1">
    <brk id="118" max="14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2018-09-27T07:00:00+00:00</OpenedDate>
    <SignificantOrder xmlns="dc463f71-b30c-4ab2-9473-d307f9d35888">false</SignificantOrder>
    <Date1 xmlns="dc463f71-b30c-4ab2-9473-d307f9d35888">2018-09-27T07:00:00+00:00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State of Washington Military Department Emergency Management Division</CaseCompanyNames>
    <Nickname xmlns="http://schemas.microsoft.com/sharepoint/v3" xsi:nil="true"/>
    <DocketNumber xmlns="dc463f71-b30c-4ab2-9473-d307f9d35888">180820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766A74BB2E16E44A845281A94A57E60" ma:contentTypeVersion="76" ma:contentTypeDescription="" ma:contentTypeScope="" ma:versionID="a82791c5aa45601e9cb46cb5cbd59de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129620-AA64-4FC7-B453-71F55BC2AD8E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3c511a9-b322-4e13-a27c-5d15212be6d2"/>
    <ds:schemaRef ds:uri="f5fb8e20-718c-40db-aae0-0fa88f5c23a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88AB15A-A561-410C-9D73-B615583874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28F667-5210-4127-9197-FF837253ABF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4BBF4BC-29CC-4A67-990B-D0CD2E528549}"/>
</file>

<file path=customXml/itemProps5.xml><?xml version="1.0" encoding="utf-8"?>
<ds:datastoreItem xmlns:ds="http://schemas.openxmlformats.org/officeDocument/2006/customXml" ds:itemID="{8E9D2080-3056-4997-A87F-9AB90DE796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Prop. Budget</vt:lpstr>
      <vt:lpstr>Reconcil</vt:lpstr>
      <vt:lpstr>19-21Budget1_July2018 </vt:lpstr>
      <vt:lpstr>BN17FM11</vt:lpstr>
      <vt:lpstr>'19-21Budget1_July2018 '!Print_Area</vt:lpstr>
      <vt:lpstr>BN17FM11!Print_Area</vt:lpstr>
      <vt:lpstr>'Prop. Budget'!Print_Area</vt:lpstr>
      <vt:lpstr>'19-21Budget1_July2018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Vik, Suzette (MIL)</dc:creator>
  <cp:keywords/>
  <dc:description/>
  <cp:lastModifiedBy>Wasserman, Adam R (MIL)</cp:lastModifiedBy>
  <cp:revision/>
  <cp:lastPrinted>2018-09-25T22:54:16Z</cp:lastPrinted>
  <dcterms:created xsi:type="dcterms:W3CDTF">2016-06-21T22:59:02Z</dcterms:created>
  <dcterms:modified xsi:type="dcterms:W3CDTF">2018-09-25T22:55:13Z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0x0101006E56B4D1795A2E4DB2F0B01679ED314A00E766A74BB2E16E44A845281A94A57E60</vt:lpwstr>
  </property>
  <property fmtid="{D5CDD505-2E9C-101B-9397-08002B2CF9AE}" pid="3" name="_dlc_DocIdItemGuid">
    <vt:lpwstr>f68fc1d7-be97-4d95-b352-0b6ba5cb9dc3</vt:lpwstr>
  </property>
  <property fmtid="{D5CDD505-2E9C-101B-9397-08002B2CF9AE}" pid="4" name="Order">
    <vt:r8>40200</vt:r8>
  </property>
  <property fmtid="{D5CDD505-2E9C-101B-9397-08002B2CF9AE}" pid="5" name="_CopySource">
    <vt:lpwstr>https://wamil-my.sharepoint.com/personal/suzette_vik_wamil_onmicrosoft_com/Documents/Budget/BN2017-19 Budget Preparation/BN2017-19 Proposed Budget.xlsx</vt:lpwstr>
  </property>
  <property fmtid="{D5CDD505-2E9C-101B-9397-08002B2CF9AE}" pid="6" name="display_urn">
    <vt:lpwstr>Vik, Suzette (MIL)</vt:lpwstr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TemplateUrl">
    <vt:lpwstr/>
  </property>
  <property fmtid="{D5CDD505-2E9C-101B-9397-08002B2CF9AE}" pid="10" name="ComplianceAssetId">
    <vt:lpwstr/>
  </property>
  <property fmtid="{D5CDD505-2E9C-101B-9397-08002B2CF9AE}" pid="11" name="_docset_NoMedatataSyncRequired">
    <vt:lpwstr>False</vt:lpwstr>
  </property>
  <property fmtid="{D5CDD505-2E9C-101B-9397-08002B2CF9AE}" pid="12" name="IsEFSEC">
    <vt:bool>false</vt:bool>
  </property>
</Properties>
</file>