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5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18-36 Electric Schedule 129 - Low Income Program (UE-18xxxx) (Eff. 10-04-18)\Workpapers\"/>
    </mc:Choice>
  </mc:AlternateContent>
  <bookViews>
    <workbookView xWindow="0" yWindow="90" windowWidth="20100" windowHeight="9210"/>
  </bookViews>
  <sheets>
    <sheet name="Rate Impacts 10-4-2018" sheetId="1" r:id="rId1"/>
    <sheet name="F2018 Sch Level Delivered Load" sheetId="50" r:id="rId2"/>
    <sheet name="F2018 Demand" sheetId="51" r:id="rId3"/>
    <sheet name="Revenue Impacts" sheetId="15" r:id="rId4"/>
    <sheet name="UE-180282 Prof Prop Rev" sheetId="2" r:id="rId5"/>
    <sheet name="Sch 95" sheetId="3" r:id="rId6"/>
    <sheet name="Sch 95a" sheetId="4" r:id="rId7"/>
    <sheet name="Sch 120" sheetId="13" r:id="rId8"/>
    <sheet name="Sch 129" sheetId="16" r:id="rId9"/>
    <sheet name="Sch 132" sheetId="17" r:id="rId10"/>
    <sheet name="Sch 137" sheetId="19" r:id="rId11"/>
    <sheet name="Sch 140" sheetId="22" r:id="rId12"/>
    <sheet name="Sch 141" sheetId="23" r:id="rId13"/>
    <sheet name="Sch 142 Deferral" sheetId="24" r:id="rId14"/>
    <sheet name="Sch 194" sheetId="25" r:id="rId15"/>
    <sheet name="Proposed Filings 10-2018" sheetId="46" r:id="rId16"/>
    <sheet name="Proposed Sch 129" sheetId="7" r:id="rId17"/>
    <sheet name="Compliance Filings" sheetId="14" r:id="rId18"/>
    <sheet name="UE-170033 (Sch 95)" sheetId="5" r:id="rId19"/>
    <sheet name="UE-180284 (Sch 95A)" sheetId="12" r:id="rId20"/>
    <sheet name="UE-180185 (Sch 120)" sheetId="49" r:id="rId21"/>
    <sheet name="UE-171167 (Sch 132)" sheetId="18" r:id="rId22"/>
    <sheet name="UE-171169 (Sch 137)" sheetId="20" r:id="rId23"/>
    <sheet name="UE-180257 (Sch 140)" sheetId="48" r:id="rId24"/>
    <sheet name="UE-180289 (Sch 142)" sheetId="47" r:id="rId25"/>
    <sheet name="UE-170946 (Sch 194)" sheetId="10" r:id="rId26"/>
  </sheets>
  <externalReferences>
    <externalReference r:id="rId27"/>
  </externalReferences>
  <definedNames>
    <definedName name="_Order1" localSheetId="4">0</definedName>
    <definedName name="_Order1">255</definedName>
    <definedName name="_Order2" localSheetId="4">0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 localSheetId="1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2">'F2018 Demand'!$AB$8:$AQ$33</definedName>
    <definedName name="_xlnm.Print_Area" localSheetId="1">'F2018 Sch Level Delivered Load'!$BW$7:$CN$33</definedName>
    <definedName name="_xlnm.Print_Area" localSheetId="0">'Rate Impacts 10-4-2018'!$A$1:$U$37</definedName>
    <definedName name="_xlnm.Print_Area" localSheetId="4">'UE-180282 Prof Prop Rev'!$B$1:$R$49</definedName>
    <definedName name="_xlnm.Print_Titles" localSheetId="2">'F2018 Demand'!$1:$7</definedName>
    <definedName name="_xlnm.Print_Titles" localSheetId="1">'F2018 Sch Level Delivered Load'!$1:$7</definedName>
    <definedName name="_xlnm.Print_Titles" localSheetId="0">'Rate Impacts 10-4-2018'!$A:$B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A" localSheetId="4">'UE-180282 Prof Prop Rev'!$B$3:$S$49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AC31" i="51" l="1"/>
  <c r="AC30" i="51"/>
  <c r="AC29" i="51"/>
  <c r="AC28" i="51"/>
  <c r="AC27" i="51"/>
  <c r="AC26" i="51"/>
  <c r="AC25" i="51"/>
  <c r="AC24" i="51"/>
  <c r="AC23" i="51"/>
  <c r="AC22" i="51"/>
  <c r="AC21" i="51"/>
  <c r="AC20" i="51"/>
  <c r="AB20" i="51"/>
  <c r="BX31" i="50"/>
  <c r="BX30" i="50"/>
  <c r="BX29" i="50"/>
  <c r="BX28" i="50"/>
  <c r="BX27" i="50"/>
  <c r="BX26" i="50"/>
  <c r="BX25" i="50"/>
  <c r="BX24" i="50"/>
  <c r="BX23" i="50"/>
  <c r="BX22" i="50"/>
  <c r="BX21" i="50"/>
  <c r="BX20" i="50"/>
  <c r="BW20" i="50"/>
  <c r="BX19" i="50"/>
  <c r="BX18" i="50"/>
  <c r="BX17" i="50"/>
  <c r="BX16" i="50"/>
  <c r="BX15" i="50"/>
  <c r="BX14" i="50"/>
  <c r="BX13" i="50"/>
  <c r="BX12" i="50"/>
  <c r="BX11" i="50"/>
  <c r="BX10" i="50"/>
  <c r="BX9" i="50"/>
  <c r="BX8" i="50"/>
  <c r="BW8" i="50"/>
  <c r="AD5" i="51"/>
  <c r="AD4" i="51"/>
  <c r="AD3" i="51"/>
  <c r="AD1" i="51"/>
  <c r="H38" i="16" l="1"/>
  <c r="E7" i="16" l="1"/>
  <c r="E34" i="16"/>
  <c r="E32" i="16"/>
  <c r="E29" i="16"/>
  <c r="E28" i="16"/>
  <c r="E26" i="16"/>
  <c r="E23" i="16"/>
  <c r="E22" i="16"/>
  <c r="E20" i="16"/>
  <c r="E17" i="16"/>
  <c r="E15" i="16"/>
  <c r="E11" i="16"/>
  <c r="E8" i="16"/>
  <c r="BY8" i="50" l="1"/>
  <c r="BZ8" i="50"/>
  <c r="CA8" i="50"/>
  <c r="CB8" i="50"/>
  <c r="CC8" i="50"/>
  <c r="CD8" i="50"/>
  <c r="CE8" i="50"/>
  <c r="CF8" i="50"/>
  <c r="CN8" i="50" s="1"/>
  <c r="CG8" i="50"/>
  <c r="CH8" i="50"/>
  <c r="CI8" i="50"/>
  <c r="CJ8" i="50"/>
  <c r="CK8" i="50"/>
  <c r="CL8" i="50"/>
  <c r="CM8" i="50"/>
  <c r="BY9" i="50"/>
  <c r="BZ9" i="50"/>
  <c r="CA9" i="50"/>
  <c r="CB9" i="50"/>
  <c r="CC9" i="50"/>
  <c r="CD9" i="50"/>
  <c r="CE9" i="50"/>
  <c r="CF9" i="50"/>
  <c r="CG9" i="50"/>
  <c r="CH9" i="50"/>
  <c r="CI9" i="50"/>
  <c r="CJ9" i="50"/>
  <c r="CK9" i="50"/>
  <c r="CL9" i="50"/>
  <c r="CM9" i="50"/>
  <c r="BY10" i="50"/>
  <c r="BZ10" i="50"/>
  <c r="CA10" i="50"/>
  <c r="CB10" i="50"/>
  <c r="CC10" i="50"/>
  <c r="CD10" i="50"/>
  <c r="CE10" i="50"/>
  <c r="CF10" i="50"/>
  <c r="CG10" i="50"/>
  <c r="CH10" i="50"/>
  <c r="CI10" i="50"/>
  <c r="CJ10" i="50"/>
  <c r="CK10" i="50"/>
  <c r="CL10" i="50"/>
  <c r="CM10" i="50"/>
  <c r="BY11" i="50"/>
  <c r="BZ11" i="50"/>
  <c r="CA11" i="50"/>
  <c r="CB11" i="50"/>
  <c r="CC11" i="50"/>
  <c r="CD11" i="50"/>
  <c r="CE11" i="50"/>
  <c r="CF11" i="50"/>
  <c r="CG11" i="50"/>
  <c r="CH11" i="50"/>
  <c r="CI11" i="50"/>
  <c r="CJ11" i="50"/>
  <c r="CK11" i="50"/>
  <c r="CL11" i="50"/>
  <c r="CM11" i="50"/>
  <c r="BY12" i="50"/>
  <c r="BZ12" i="50"/>
  <c r="CA12" i="50"/>
  <c r="CB12" i="50"/>
  <c r="CC12" i="50"/>
  <c r="CD12" i="50"/>
  <c r="CE12" i="50"/>
  <c r="CF12" i="50"/>
  <c r="CG12" i="50"/>
  <c r="CH12" i="50"/>
  <c r="CI12" i="50"/>
  <c r="CJ12" i="50"/>
  <c r="CK12" i="50"/>
  <c r="CL12" i="50"/>
  <c r="CM12" i="50"/>
  <c r="BY13" i="50"/>
  <c r="BZ13" i="50"/>
  <c r="CA13" i="50"/>
  <c r="CB13" i="50"/>
  <c r="CC13" i="50"/>
  <c r="CD13" i="50"/>
  <c r="CE13" i="50"/>
  <c r="CF13" i="50"/>
  <c r="CG13" i="50"/>
  <c r="CH13" i="50"/>
  <c r="CI13" i="50"/>
  <c r="CJ13" i="50"/>
  <c r="CK13" i="50"/>
  <c r="CL13" i="50"/>
  <c r="CM13" i="50"/>
  <c r="BY14" i="50"/>
  <c r="BZ14" i="50"/>
  <c r="CN14" i="50" s="1"/>
  <c r="CA14" i="50"/>
  <c r="CB14" i="50"/>
  <c r="CC14" i="50"/>
  <c r="CD14" i="50"/>
  <c r="CE14" i="50"/>
  <c r="CF14" i="50"/>
  <c r="CG14" i="50"/>
  <c r="CH14" i="50"/>
  <c r="CI14" i="50"/>
  <c r="CJ14" i="50"/>
  <c r="CK14" i="50"/>
  <c r="CL14" i="50"/>
  <c r="CM14" i="50"/>
  <c r="BY15" i="50"/>
  <c r="BZ15" i="50"/>
  <c r="CN15" i="50" s="1"/>
  <c r="CA15" i="50"/>
  <c r="CB15" i="50"/>
  <c r="CC15" i="50"/>
  <c r="CD15" i="50"/>
  <c r="CE15" i="50"/>
  <c r="CF15" i="50"/>
  <c r="CG15" i="50"/>
  <c r="CH15" i="50"/>
  <c r="CI15" i="50"/>
  <c r="CJ15" i="50"/>
  <c r="CK15" i="50"/>
  <c r="CL15" i="50"/>
  <c r="CM15" i="50"/>
  <c r="BY16" i="50"/>
  <c r="BZ16" i="50"/>
  <c r="CA16" i="50"/>
  <c r="CB16" i="50"/>
  <c r="CC16" i="50"/>
  <c r="CD16" i="50"/>
  <c r="CE16" i="50"/>
  <c r="CF16" i="50"/>
  <c r="CG16" i="50"/>
  <c r="CH16" i="50"/>
  <c r="CI16" i="50"/>
  <c r="CJ16" i="50"/>
  <c r="CK16" i="50"/>
  <c r="CL16" i="50"/>
  <c r="CM16" i="50"/>
  <c r="BY17" i="50"/>
  <c r="BZ17" i="50"/>
  <c r="CA17" i="50"/>
  <c r="CB17" i="50"/>
  <c r="CC17" i="50"/>
  <c r="CD17" i="50"/>
  <c r="CE17" i="50"/>
  <c r="CF17" i="50"/>
  <c r="CG17" i="50"/>
  <c r="CH17" i="50"/>
  <c r="CI17" i="50"/>
  <c r="CJ17" i="50"/>
  <c r="CK17" i="50"/>
  <c r="CL17" i="50"/>
  <c r="CM17" i="50"/>
  <c r="BY18" i="50"/>
  <c r="BZ18" i="50"/>
  <c r="CA18" i="50"/>
  <c r="CB18" i="50"/>
  <c r="CC18" i="50"/>
  <c r="CD18" i="50"/>
  <c r="CE18" i="50"/>
  <c r="CF18" i="50"/>
  <c r="CG18" i="50"/>
  <c r="CH18" i="50"/>
  <c r="CI18" i="50"/>
  <c r="CJ18" i="50"/>
  <c r="CK18" i="50"/>
  <c r="CL18" i="50"/>
  <c r="CM18" i="50"/>
  <c r="BY19" i="50"/>
  <c r="BZ19" i="50"/>
  <c r="CA19" i="50"/>
  <c r="CB19" i="50"/>
  <c r="CC19" i="50"/>
  <c r="CD19" i="50"/>
  <c r="CE19" i="50"/>
  <c r="CF19" i="50"/>
  <c r="CG19" i="50"/>
  <c r="CH19" i="50"/>
  <c r="CI19" i="50"/>
  <c r="CJ19" i="50"/>
  <c r="CK19" i="50"/>
  <c r="CL19" i="50"/>
  <c r="CM19" i="50"/>
  <c r="BY20" i="50"/>
  <c r="BZ20" i="50"/>
  <c r="CA20" i="50"/>
  <c r="CB20" i="50"/>
  <c r="CC20" i="50"/>
  <c r="CD20" i="50"/>
  <c r="CE20" i="50"/>
  <c r="CF20" i="50"/>
  <c r="CG20" i="50"/>
  <c r="CH20" i="50"/>
  <c r="CI20" i="50"/>
  <c r="CJ20" i="50"/>
  <c r="CK20" i="50"/>
  <c r="CL20" i="50"/>
  <c r="CM20" i="50"/>
  <c r="BY21" i="50"/>
  <c r="BZ21" i="50"/>
  <c r="CA21" i="50"/>
  <c r="CB21" i="50"/>
  <c r="CC21" i="50"/>
  <c r="CD21" i="50"/>
  <c r="CE21" i="50"/>
  <c r="CF21" i="50"/>
  <c r="CG21" i="50"/>
  <c r="CH21" i="50"/>
  <c r="CI21" i="50"/>
  <c r="CJ21" i="50"/>
  <c r="CK21" i="50"/>
  <c r="CL21" i="50"/>
  <c r="CM21" i="50"/>
  <c r="BY22" i="50"/>
  <c r="BZ22" i="50"/>
  <c r="CA22" i="50"/>
  <c r="CB22" i="50"/>
  <c r="CC22" i="50"/>
  <c r="CD22" i="50"/>
  <c r="CE22" i="50"/>
  <c r="CF22" i="50"/>
  <c r="CG22" i="50"/>
  <c r="CH22" i="50"/>
  <c r="CI22" i="50"/>
  <c r="CJ22" i="50"/>
  <c r="CK22" i="50"/>
  <c r="CL22" i="50"/>
  <c r="CM22" i="50"/>
  <c r="BY23" i="50"/>
  <c r="BZ23" i="50"/>
  <c r="CA23" i="50"/>
  <c r="CB23" i="50"/>
  <c r="CC23" i="50"/>
  <c r="CD23" i="50"/>
  <c r="CE23" i="50"/>
  <c r="CF23" i="50"/>
  <c r="CG23" i="50"/>
  <c r="CH23" i="50"/>
  <c r="CI23" i="50"/>
  <c r="CJ23" i="50"/>
  <c r="CK23" i="50"/>
  <c r="CL23" i="50"/>
  <c r="CM23" i="50"/>
  <c r="BY24" i="50"/>
  <c r="BZ24" i="50"/>
  <c r="CA24" i="50"/>
  <c r="CB24" i="50"/>
  <c r="CC24" i="50"/>
  <c r="CD24" i="50"/>
  <c r="CE24" i="50"/>
  <c r="CF24" i="50"/>
  <c r="CG24" i="50"/>
  <c r="CH24" i="50"/>
  <c r="CI24" i="50"/>
  <c r="CJ24" i="50"/>
  <c r="CK24" i="50"/>
  <c r="CL24" i="50"/>
  <c r="CM24" i="50"/>
  <c r="BY25" i="50"/>
  <c r="BZ25" i="50"/>
  <c r="CA25" i="50"/>
  <c r="CB25" i="50"/>
  <c r="CC25" i="50"/>
  <c r="CD25" i="50"/>
  <c r="CE25" i="50"/>
  <c r="CF25" i="50"/>
  <c r="CG25" i="50"/>
  <c r="CH25" i="50"/>
  <c r="CI25" i="50"/>
  <c r="CJ25" i="50"/>
  <c r="CK25" i="50"/>
  <c r="CL25" i="50"/>
  <c r="CM25" i="50"/>
  <c r="BY26" i="50"/>
  <c r="BZ26" i="50"/>
  <c r="CA26" i="50"/>
  <c r="CB26" i="50"/>
  <c r="CC26" i="50"/>
  <c r="CD26" i="50"/>
  <c r="CE26" i="50"/>
  <c r="CF26" i="50"/>
  <c r="CG26" i="50"/>
  <c r="CH26" i="50"/>
  <c r="CI26" i="50"/>
  <c r="CJ26" i="50"/>
  <c r="CK26" i="50"/>
  <c r="CL26" i="50"/>
  <c r="CM26" i="50"/>
  <c r="BY27" i="50"/>
  <c r="BZ27" i="50"/>
  <c r="CA27" i="50"/>
  <c r="CB27" i="50"/>
  <c r="CC27" i="50"/>
  <c r="CD27" i="50"/>
  <c r="CE27" i="50"/>
  <c r="CF27" i="50"/>
  <c r="CG27" i="50"/>
  <c r="CH27" i="50"/>
  <c r="CI27" i="50"/>
  <c r="CJ27" i="50"/>
  <c r="CK27" i="50"/>
  <c r="CL27" i="50"/>
  <c r="CM27" i="50"/>
  <c r="BY28" i="50"/>
  <c r="BZ28" i="50"/>
  <c r="CA28" i="50"/>
  <c r="CB28" i="50"/>
  <c r="CC28" i="50"/>
  <c r="CD28" i="50"/>
  <c r="CE28" i="50"/>
  <c r="CF28" i="50"/>
  <c r="CG28" i="50"/>
  <c r="CH28" i="50"/>
  <c r="CI28" i="50"/>
  <c r="CJ28" i="50"/>
  <c r="CK28" i="50"/>
  <c r="CL28" i="50"/>
  <c r="CM28" i="50"/>
  <c r="BY29" i="50"/>
  <c r="BZ29" i="50"/>
  <c r="CA29" i="50"/>
  <c r="CB29" i="50"/>
  <c r="CC29" i="50"/>
  <c r="CD29" i="50"/>
  <c r="CE29" i="50"/>
  <c r="CF29" i="50"/>
  <c r="CG29" i="50"/>
  <c r="CH29" i="50"/>
  <c r="CI29" i="50"/>
  <c r="CJ29" i="50"/>
  <c r="CK29" i="50"/>
  <c r="CL29" i="50"/>
  <c r="CM29" i="50"/>
  <c r="BY30" i="50"/>
  <c r="BZ30" i="50"/>
  <c r="CA30" i="50"/>
  <c r="CB30" i="50"/>
  <c r="CC30" i="50"/>
  <c r="CD30" i="50"/>
  <c r="CE30" i="50"/>
  <c r="CF30" i="50"/>
  <c r="CG30" i="50"/>
  <c r="CH30" i="50"/>
  <c r="CI30" i="50"/>
  <c r="CJ30" i="50"/>
  <c r="CK30" i="50"/>
  <c r="CL30" i="50"/>
  <c r="CM30" i="50"/>
  <c r="BY31" i="50"/>
  <c r="BZ31" i="50"/>
  <c r="CA31" i="50"/>
  <c r="CB31" i="50"/>
  <c r="CC31" i="50"/>
  <c r="CD31" i="50"/>
  <c r="CE31" i="50"/>
  <c r="CF31" i="50"/>
  <c r="CG31" i="50"/>
  <c r="CH31" i="50"/>
  <c r="CI31" i="50"/>
  <c r="CJ31" i="50"/>
  <c r="CK31" i="50"/>
  <c r="CL31" i="50"/>
  <c r="CM31" i="50"/>
  <c r="CN9" i="50" l="1"/>
  <c r="CN10" i="50"/>
  <c r="CN30" i="50"/>
  <c r="CN26" i="50"/>
  <c r="CN24" i="50"/>
  <c r="CN20" i="50"/>
  <c r="CN16" i="50"/>
  <c r="CN27" i="50"/>
  <c r="CN31" i="50"/>
  <c r="CN25" i="50"/>
  <c r="CN21" i="50"/>
  <c r="CN17" i="50"/>
  <c r="CN11" i="50"/>
  <c r="CN28" i="50"/>
  <c r="CN22" i="50"/>
  <c r="CN18" i="50"/>
  <c r="CN12" i="50"/>
  <c r="CN29" i="50"/>
  <c r="CN23" i="50"/>
  <c r="CN19" i="50"/>
  <c r="CN13" i="50"/>
  <c r="Q7" i="1"/>
  <c r="R7" i="1" s="1"/>
  <c r="F38" i="25"/>
  <c r="F34" i="25"/>
  <c r="F29" i="25"/>
  <c r="F28" i="25"/>
  <c r="F26" i="25"/>
  <c r="F23" i="25"/>
  <c r="F8" i="25"/>
  <c r="I20" i="24"/>
  <c r="Z33" i="51"/>
  <c r="Y33" i="51"/>
  <c r="X33" i="51"/>
  <c r="W33" i="51"/>
  <c r="V33" i="51"/>
  <c r="U33" i="51"/>
  <c r="T33" i="51"/>
  <c r="S33" i="51"/>
  <c r="R33" i="51"/>
  <c r="Q33" i="51"/>
  <c r="P33" i="51"/>
  <c r="O33" i="51"/>
  <c r="N33" i="51"/>
  <c r="M33" i="51"/>
  <c r="L33" i="51"/>
  <c r="K33" i="51"/>
  <c r="J33" i="51"/>
  <c r="I33" i="51"/>
  <c r="H33" i="51"/>
  <c r="G33" i="51"/>
  <c r="F33" i="51"/>
  <c r="E33" i="51"/>
  <c r="D33" i="51"/>
  <c r="C33" i="51"/>
  <c r="AM31" i="51"/>
  <c r="AH31" i="51"/>
  <c r="AD31" i="51"/>
  <c r="AI30" i="51"/>
  <c r="AD30" i="51"/>
  <c r="AL29" i="51"/>
  <c r="AI29" i="51"/>
  <c r="AD29" i="51"/>
  <c r="AD28" i="51"/>
  <c r="AM27" i="51"/>
  <c r="AL26" i="51"/>
  <c r="AI26" i="51"/>
  <c r="AD26" i="51"/>
  <c r="AL25" i="51"/>
  <c r="AI25" i="51"/>
  <c r="AH25" i="51"/>
  <c r="AD25" i="51"/>
  <c r="AL24" i="51"/>
  <c r="AE24" i="51"/>
  <c r="AD24" i="51"/>
  <c r="AM23" i="51"/>
  <c r="AH23" i="51"/>
  <c r="AM22" i="51"/>
  <c r="AL22" i="51"/>
  <c r="AI22" i="51"/>
  <c r="AD22" i="51"/>
  <c r="AL21" i="51"/>
  <c r="AI21" i="51"/>
  <c r="AH21" i="51"/>
  <c r="AD21" i="51"/>
  <c r="AL20" i="51"/>
  <c r="AE20" i="51"/>
  <c r="AD20" i="51"/>
  <c r="AI19" i="51"/>
  <c r="AH19" i="51"/>
  <c r="AD19" i="51"/>
  <c r="AM18" i="51"/>
  <c r="AM33" i="51" s="1"/>
  <c r="AL18" i="51"/>
  <c r="AI18" i="51"/>
  <c r="AD18" i="51"/>
  <c r="AI17" i="51"/>
  <c r="AI33" i="51" s="1"/>
  <c r="AH17" i="51"/>
  <c r="AH33" i="51" s="1"/>
  <c r="E21" i="24" s="1"/>
  <c r="AD17" i="51"/>
  <c r="AD33" i="51" s="1"/>
  <c r="AM16" i="51"/>
  <c r="AL16" i="51"/>
  <c r="AI16" i="51"/>
  <c r="AD16" i="51"/>
  <c r="AI15" i="51"/>
  <c r="AH15" i="51"/>
  <c r="AD15" i="51"/>
  <c r="AM14" i="51"/>
  <c r="AL14" i="51"/>
  <c r="AI14" i="51"/>
  <c r="AD14" i="51"/>
  <c r="AI13" i="51"/>
  <c r="AH13" i="51"/>
  <c r="AD13" i="51"/>
  <c r="AM12" i="51"/>
  <c r="AL12" i="51"/>
  <c r="AI12" i="51"/>
  <c r="AD12" i="51"/>
  <c r="AI11" i="51"/>
  <c r="AH11" i="51"/>
  <c r="AD11" i="51"/>
  <c r="AM10" i="51"/>
  <c r="AL10" i="51"/>
  <c r="AI10" i="51"/>
  <c r="AD10" i="51"/>
  <c r="AI9" i="51"/>
  <c r="AH9" i="51"/>
  <c r="AD9" i="51"/>
  <c r="AN8" i="51"/>
  <c r="AM8" i="51"/>
  <c r="AJ8" i="51"/>
  <c r="AI8" i="51"/>
  <c r="AF8" i="51"/>
  <c r="AE8" i="51"/>
  <c r="AO31" i="51"/>
  <c r="AL31" i="51"/>
  <c r="AJ31" i="51"/>
  <c r="AK31" i="51"/>
  <c r="AI31" i="51"/>
  <c r="AG31" i="51"/>
  <c r="AE31" i="51"/>
  <c r="AF31" i="51"/>
  <c r="AN31" i="51"/>
  <c r="B31" i="51"/>
  <c r="AO30" i="51"/>
  <c r="AM30" i="51"/>
  <c r="AL30" i="51"/>
  <c r="AJ30" i="51"/>
  <c r="AK30" i="51"/>
  <c r="AG30" i="51"/>
  <c r="AF30" i="51"/>
  <c r="AH30" i="51"/>
  <c r="AN30" i="51"/>
  <c r="B30" i="51"/>
  <c r="AM29" i="51"/>
  <c r="AJ29" i="51"/>
  <c r="AK29" i="51"/>
  <c r="AH29" i="51"/>
  <c r="AG29" i="51"/>
  <c r="AF29" i="51"/>
  <c r="AE29" i="51"/>
  <c r="AN29" i="51"/>
  <c r="B29" i="51"/>
  <c r="AO28" i="51"/>
  <c r="AM28" i="51"/>
  <c r="AL28" i="51"/>
  <c r="AJ28" i="51"/>
  <c r="AK28" i="51"/>
  <c r="AI28" i="51"/>
  <c r="AH28" i="51"/>
  <c r="AG28" i="51"/>
  <c r="AE28" i="51"/>
  <c r="AF28" i="51"/>
  <c r="AN28" i="51"/>
  <c r="B28" i="51"/>
  <c r="AO27" i="51"/>
  <c r="AL27" i="51"/>
  <c r="AJ27" i="51"/>
  <c r="AK27" i="51"/>
  <c r="AI27" i="51"/>
  <c r="AG27" i="51"/>
  <c r="AE27" i="51"/>
  <c r="AF27" i="51"/>
  <c r="AH27" i="51"/>
  <c r="AD27" i="51"/>
  <c r="AN27" i="51"/>
  <c r="B27" i="51"/>
  <c r="AO26" i="51"/>
  <c r="AM26" i="51"/>
  <c r="AJ26" i="51"/>
  <c r="AK26" i="51"/>
  <c r="AG26" i="51"/>
  <c r="AE26" i="51"/>
  <c r="AF26" i="51"/>
  <c r="AH26" i="51"/>
  <c r="AN26" i="51"/>
  <c r="B26" i="51"/>
  <c r="AM25" i="51"/>
  <c r="AJ25" i="51"/>
  <c r="AK25" i="51"/>
  <c r="AG25" i="51"/>
  <c r="AF25" i="51"/>
  <c r="AE25" i="51"/>
  <c r="AN25" i="51"/>
  <c r="B25" i="51"/>
  <c r="AO24" i="51"/>
  <c r="AM24" i="51"/>
  <c r="AJ24" i="51"/>
  <c r="AK24" i="51"/>
  <c r="AI24" i="51"/>
  <c r="AH24" i="51"/>
  <c r="AG24" i="51"/>
  <c r="AF24" i="51"/>
  <c r="AN24" i="51"/>
  <c r="B24" i="51"/>
  <c r="AO23" i="51"/>
  <c r="AL23" i="51"/>
  <c r="AJ23" i="51"/>
  <c r="AK23" i="51"/>
  <c r="AI23" i="51"/>
  <c r="AG23" i="51"/>
  <c r="AE23" i="51"/>
  <c r="AF23" i="51"/>
  <c r="AD23" i="51"/>
  <c r="AN23" i="51"/>
  <c r="B23" i="51"/>
  <c r="AO22" i="51"/>
  <c r="AJ22" i="51"/>
  <c r="AK22" i="51"/>
  <c r="AG22" i="51"/>
  <c r="AE22" i="51"/>
  <c r="AF22" i="51"/>
  <c r="AH22" i="51"/>
  <c r="AN22" i="51"/>
  <c r="B22" i="51"/>
  <c r="AM21" i="51"/>
  <c r="AJ21" i="51"/>
  <c r="AK21" i="51"/>
  <c r="AG21" i="51"/>
  <c r="AF21" i="51"/>
  <c r="AE21" i="51"/>
  <c r="AN21" i="51"/>
  <c r="B21" i="51"/>
  <c r="AO20" i="51"/>
  <c r="AM20" i="51"/>
  <c r="AJ20" i="51"/>
  <c r="AK20" i="51"/>
  <c r="AI20" i="51"/>
  <c r="AH20" i="51"/>
  <c r="AG20" i="51"/>
  <c r="AG33" i="51" s="1"/>
  <c r="AF20" i="51"/>
  <c r="AN20" i="51"/>
  <c r="B20" i="51"/>
  <c r="A20" i="51"/>
  <c r="AO19" i="51"/>
  <c r="AM19" i="51"/>
  <c r="AL19" i="51"/>
  <c r="AJ19" i="51"/>
  <c r="AK19" i="51"/>
  <c r="AG19" i="51"/>
  <c r="AF19" i="51"/>
  <c r="AE19" i="51"/>
  <c r="AN19" i="51"/>
  <c r="AO18" i="51"/>
  <c r="AJ18" i="51"/>
  <c r="AK18" i="51"/>
  <c r="AK33" i="51" s="1"/>
  <c r="AG18" i="51"/>
  <c r="AE18" i="51"/>
  <c r="AE33" i="51" s="1"/>
  <c r="AF18" i="51"/>
  <c r="AH18" i="51"/>
  <c r="AN18" i="51"/>
  <c r="AO17" i="51"/>
  <c r="AM17" i="51"/>
  <c r="AL17" i="51"/>
  <c r="AL33" i="51" s="1"/>
  <c r="AJ17" i="51"/>
  <c r="AJ33" i="51" s="1"/>
  <c r="AK17" i="51"/>
  <c r="AG17" i="51"/>
  <c r="AF17" i="51"/>
  <c r="AF33" i="51" s="1"/>
  <c r="E16" i="24" s="1"/>
  <c r="AE17" i="51"/>
  <c r="AN17" i="51"/>
  <c r="AN33" i="51" s="1"/>
  <c r="AO16" i="51"/>
  <c r="AJ16" i="51"/>
  <c r="AK16" i="51"/>
  <c r="AG16" i="51"/>
  <c r="AE16" i="51"/>
  <c r="AF16" i="51"/>
  <c r="AH16" i="51"/>
  <c r="AN16" i="51"/>
  <c r="AO15" i="51"/>
  <c r="AM15" i="51"/>
  <c r="AL15" i="51"/>
  <c r="AJ15" i="51"/>
  <c r="AK15" i="51"/>
  <c r="AG15" i="51"/>
  <c r="AF15" i="51"/>
  <c r="AE15" i="51"/>
  <c r="AN15" i="51"/>
  <c r="AO14" i="51"/>
  <c r="AJ14" i="51"/>
  <c r="AK14" i="51"/>
  <c r="AG14" i="51"/>
  <c r="AE14" i="51"/>
  <c r="AF14" i="51"/>
  <c r="AH14" i="51"/>
  <c r="AN14" i="51"/>
  <c r="AO13" i="51"/>
  <c r="AM13" i="51"/>
  <c r="AL13" i="51"/>
  <c r="AJ13" i="51"/>
  <c r="AK13" i="51"/>
  <c r="AG13" i="51"/>
  <c r="AF13" i="51"/>
  <c r="AE13" i="51"/>
  <c r="AN13" i="51"/>
  <c r="AO12" i="51"/>
  <c r="AJ12" i="51"/>
  <c r="AK12" i="51"/>
  <c r="AG12" i="51"/>
  <c r="AE12" i="51"/>
  <c r="AF12" i="51"/>
  <c r="AH12" i="51"/>
  <c r="AN12" i="51"/>
  <c r="AO11" i="51"/>
  <c r="AM11" i="51"/>
  <c r="AL11" i="51"/>
  <c r="AJ11" i="51"/>
  <c r="AK11" i="51"/>
  <c r="AG11" i="51"/>
  <c r="AF11" i="51"/>
  <c r="AE11" i="51"/>
  <c r="AN11" i="51"/>
  <c r="AO10" i="51"/>
  <c r="AJ10" i="51"/>
  <c r="AK10" i="51"/>
  <c r="AG10" i="51"/>
  <c r="AE10" i="51"/>
  <c r="AF10" i="51"/>
  <c r="AH10" i="51"/>
  <c r="AN10" i="51"/>
  <c r="AO9" i="51"/>
  <c r="AM9" i="51"/>
  <c r="AL9" i="51"/>
  <c r="AJ9" i="51"/>
  <c r="AK9" i="51"/>
  <c r="AG9" i="51"/>
  <c r="AF9" i="51"/>
  <c r="AE9" i="51"/>
  <c r="AN9" i="51"/>
  <c r="AO8" i="51"/>
  <c r="AL8" i="51"/>
  <c r="AK8" i="51"/>
  <c r="AG8" i="51"/>
  <c r="AH8" i="51"/>
  <c r="AD8" i="51"/>
  <c r="AP8" i="51" s="1"/>
  <c r="AQ8" i="51" s="1"/>
  <c r="AP23" i="51" l="1"/>
  <c r="AQ23" i="51" s="1"/>
  <c r="AP27" i="51"/>
  <c r="AQ27" i="51" s="1"/>
  <c r="AP12" i="51"/>
  <c r="AQ12" i="51" s="1"/>
  <c r="AP16" i="51"/>
  <c r="AQ16" i="51" s="1"/>
  <c r="AP18" i="51"/>
  <c r="AQ18" i="51" s="1"/>
  <c r="AP26" i="51"/>
  <c r="AQ26" i="51" s="1"/>
  <c r="AP31" i="51"/>
  <c r="AQ31" i="51" s="1"/>
  <c r="AP10" i="51"/>
  <c r="AQ10" i="51" s="1"/>
  <c r="AP14" i="51"/>
  <c r="AQ14" i="51" s="1"/>
  <c r="AP20" i="51"/>
  <c r="AQ20" i="51" s="1"/>
  <c r="AP22" i="51"/>
  <c r="AQ22" i="51" s="1"/>
  <c r="AP24" i="51"/>
  <c r="AQ24" i="51" s="1"/>
  <c r="AP28" i="51"/>
  <c r="AQ28" i="51" s="1"/>
  <c r="AE30" i="51"/>
  <c r="AP30" i="51" s="1"/>
  <c r="AQ30" i="51" s="1"/>
  <c r="AP9" i="51"/>
  <c r="AQ9" i="51" s="1"/>
  <c r="AP11" i="51"/>
  <c r="AQ11" i="51" s="1"/>
  <c r="AP13" i="51"/>
  <c r="AQ13" i="51" s="1"/>
  <c r="AP15" i="51"/>
  <c r="AQ15" i="51" s="1"/>
  <c r="AP17" i="51"/>
  <c r="AP19" i="51"/>
  <c r="AQ19" i="51" s="1"/>
  <c r="AO21" i="51"/>
  <c r="AO25" i="51"/>
  <c r="AP25" i="51" s="1"/>
  <c r="AQ25" i="51" s="1"/>
  <c r="AO29" i="51"/>
  <c r="AP29" i="51" s="1"/>
  <c r="AQ29" i="51" s="1"/>
  <c r="AQ17" i="51" l="1"/>
  <c r="AP21" i="51"/>
  <c r="AQ21" i="51" s="1"/>
  <c r="AO33" i="51"/>
  <c r="E38" i="22"/>
  <c r="G42" i="12"/>
  <c r="BU33" i="50"/>
  <c r="BS33" i="50"/>
  <c r="BR33" i="50"/>
  <c r="BQ33" i="50"/>
  <c r="BO33" i="50"/>
  <c r="BN33" i="50"/>
  <c r="BM33" i="50"/>
  <c r="BL33" i="50"/>
  <c r="BK33" i="50"/>
  <c r="BJ33" i="50"/>
  <c r="BI33" i="50"/>
  <c r="BH33" i="50"/>
  <c r="BG33" i="50"/>
  <c r="BF33" i="50"/>
  <c r="BE33" i="50"/>
  <c r="BD33" i="50"/>
  <c r="BC33" i="50"/>
  <c r="BB33" i="50"/>
  <c r="BA33" i="50"/>
  <c r="AZ33" i="50"/>
  <c r="AY33" i="50"/>
  <c r="AX33" i="50"/>
  <c r="AW33" i="50"/>
  <c r="AV33" i="50"/>
  <c r="D22" i="25" s="1"/>
  <c r="AU33" i="50"/>
  <c r="AT33" i="50"/>
  <c r="AS33" i="50"/>
  <c r="D17" i="25" s="1"/>
  <c r="AR33" i="50"/>
  <c r="AQ33" i="50"/>
  <c r="AP33" i="50"/>
  <c r="AO33" i="50"/>
  <c r="AN33" i="50"/>
  <c r="AM33" i="50"/>
  <c r="AL33" i="50"/>
  <c r="D16" i="25" s="1"/>
  <c r="AK33" i="50"/>
  <c r="AJ33" i="50"/>
  <c r="D21" i="25" s="1"/>
  <c r="AI33" i="50"/>
  <c r="D12" i="25" s="1"/>
  <c r="AH33" i="50"/>
  <c r="AG33" i="50"/>
  <c r="D7" i="25" s="1"/>
  <c r="AF33" i="50"/>
  <c r="AE33" i="50"/>
  <c r="BT31" i="50"/>
  <c r="CO31" i="50" s="1"/>
  <c r="BP31" i="50"/>
  <c r="AD31" i="50"/>
  <c r="AB31" i="50"/>
  <c r="AA31" i="50"/>
  <c r="Z31" i="50"/>
  <c r="Y31" i="50"/>
  <c r="X31" i="50"/>
  <c r="S31" i="50"/>
  <c r="U31" i="50" s="1"/>
  <c r="M31" i="50"/>
  <c r="H31" i="50"/>
  <c r="J31" i="50" s="1"/>
  <c r="BP30" i="50"/>
  <c r="BT30" i="50" s="1"/>
  <c r="CO30" i="50" s="1"/>
  <c r="AD30" i="50"/>
  <c r="AB30" i="50"/>
  <c r="AA30" i="50"/>
  <c r="Z30" i="50"/>
  <c r="Y30" i="50"/>
  <c r="X30" i="50"/>
  <c r="S30" i="50"/>
  <c r="U30" i="50" s="1"/>
  <c r="M30" i="50"/>
  <c r="H30" i="50"/>
  <c r="J30" i="50" s="1"/>
  <c r="BP29" i="50"/>
  <c r="BT29" i="50" s="1"/>
  <c r="CO29" i="50" s="1"/>
  <c r="AD29" i="50"/>
  <c r="AB29" i="50"/>
  <c r="AA29" i="50"/>
  <c r="Z29" i="50"/>
  <c r="Y29" i="50"/>
  <c r="X29" i="50"/>
  <c r="S29" i="50"/>
  <c r="U29" i="50" s="1"/>
  <c r="M29" i="50"/>
  <c r="H29" i="50"/>
  <c r="J29" i="50" s="1"/>
  <c r="BP28" i="50"/>
  <c r="BT28" i="50" s="1"/>
  <c r="CO28" i="50" s="1"/>
  <c r="AD28" i="50"/>
  <c r="AB28" i="50"/>
  <c r="AA28" i="50"/>
  <c r="Z28" i="50"/>
  <c r="Y28" i="50"/>
  <c r="X28" i="50"/>
  <c r="S28" i="50"/>
  <c r="U28" i="50" s="1"/>
  <c r="M28" i="50"/>
  <c r="J28" i="50"/>
  <c r="H28" i="50"/>
  <c r="BP27" i="50"/>
  <c r="BT27" i="50" s="1"/>
  <c r="CO27" i="50" s="1"/>
  <c r="AD27" i="50"/>
  <c r="AB27" i="50"/>
  <c r="AA27" i="50"/>
  <c r="Z27" i="50"/>
  <c r="Y27" i="50"/>
  <c r="X27" i="50"/>
  <c r="S27" i="50"/>
  <c r="U27" i="50" s="1"/>
  <c r="M27" i="50"/>
  <c r="H27" i="50"/>
  <c r="J27" i="50" s="1"/>
  <c r="BP26" i="50"/>
  <c r="BT26" i="50" s="1"/>
  <c r="CO26" i="50" s="1"/>
  <c r="AD26" i="50"/>
  <c r="AB26" i="50"/>
  <c r="AA26" i="50"/>
  <c r="Z26" i="50"/>
  <c r="Y26" i="50"/>
  <c r="X26" i="50"/>
  <c r="S26" i="50"/>
  <c r="U26" i="50" s="1"/>
  <c r="M26" i="50"/>
  <c r="H26" i="50"/>
  <c r="J26" i="50" s="1"/>
  <c r="BP25" i="50"/>
  <c r="BT25" i="50" s="1"/>
  <c r="CO25" i="50" s="1"/>
  <c r="AD25" i="50"/>
  <c r="AB25" i="50"/>
  <c r="AA25" i="50"/>
  <c r="Z25" i="50"/>
  <c r="Y25" i="50"/>
  <c r="X25" i="50"/>
  <c r="S25" i="50"/>
  <c r="U25" i="50" s="1"/>
  <c r="M25" i="50"/>
  <c r="H25" i="50"/>
  <c r="J25" i="50" s="1"/>
  <c r="BT24" i="50"/>
  <c r="CO24" i="50" s="1"/>
  <c r="BP24" i="50"/>
  <c r="AD24" i="50"/>
  <c r="AB24" i="50"/>
  <c r="AA24" i="50"/>
  <c r="Z24" i="50"/>
  <c r="Y24" i="50"/>
  <c r="X24" i="50"/>
  <c r="S24" i="50"/>
  <c r="U24" i="50" s="1"/>
  <c r="M24" i="50"/>
  <c r="H24" i="50"/>
  <c r="J24" i="50" s="1"/>
  <c r="BT23" i="50"/>
  <c r="CO23" i="50" s="1"/>
  <c r="BP23" i="50"/>
  <c r="AD23" i="50"/>
  <c r="AB23" i="50"/>
  <c r="AA23" i="50"/>
  <c r="Z23" i="50"/>
  <c r="Y23" i="50"/>
  <c r="X23" i="50"/>
  <c r="S23" i="50"/>
  <c r="U23" i="50" s="1"/>
  <c r="M23" i="50"/>
  <c r="H23" i="50"/>
  <c r="J23" i="50" s="1"/>
  <c r="BP22" i="50"/>
  <c r="BT22" i="50" s="1"/>
  <c r="CO22" i="50" s="1"/>
  <c r="AD22" i="50"/>
  <c r="AB22" i="50"/>
  <c r="AA22" i="50"/>
  <c r="Z22" i="50"/>
  <c r="Y22" i="50"/>
  <c r="X22" i="50"/>
  <c r="S22" i="50"/>
  <c r="U22" i="50" s="1"/>
  <c r="M22" i="50"/>
  <c r="H22" i="50"/>
  <c r="J22" i="50" s="1"/>
  <c r="CE33" i="50"/>
  <c r="C18" i="1" s="1"/>
  <c r="BP21" i="50"/>
  <c r="BT21" i="50" s="1"/>
  <c r="CO21" i="50" s="1"/>
  <c r="AD21" i="50"/>
  <c r="AB21" i="50"/>
  <c r="AA21" i="50"/>
  <c r="Z21" i="50"/>
  <c r="Y21" i="50"/>
  <c r="X21" i="50"/>
  <c r="S21" i="50"/>
  <c r="U21" i="50" s="1"/>
  <c r="M21" i="50"/>
  <c r="H21" i="50"/>
  <c r="J21" i="50" s="1"/>
  <c r="BP20" i="50"/>
  <c r="BT20" i="50" s="1"/>
  <c r="CO20" i="50" s="1"/>
  <c r="CP20" i="50" s="1"/>
  <c r="AD20" i="50"/>
  <c r="AC20" i="50"/>
  <c r="AB20" i="50"/>
  <c r="AA20" i="50"/>
  <c r="Z20" i="50"/>
  <c r="Y20" i="50"/>
  <c r="X20" i="50"/>
  <c r="W20" i="50"/>
  <c r="U20" i="50"/>
  <c r="S20" i="50"/>
  <c r="M20" i="50"/>
  <c r="L20" i="50"/>
  <c r="J20" i="50"/>
  <c r="H20" i="50"/>
  <c r="BP19" i="50"/>
  <c r="BT19" i="50" s="1"/>
  <c r="CO19" i="50" s="1"/>
  <c r="AD19" i="50"/>
  <c r="AB19" i="50"/>
  <c r="AA19" i="50"/>
  <c r="Z19" i="50"/>
  <c r="Y19" i="50"/>
  <c r="X19" i="50"/>
  <c r="S19" i="50"/>
  <c r="U19" i="50" s="1"/>
  <c r="M19" i="50"/>
  <c r="H19" i="50"/>
  <c r="J19" i="50" s="1"/>
  <c r="CM33" i="50"/>
  <c r="C31" i="1" s="1"/>
  <c r="BP18" i="50"/>
  <c r="BT18" i="50" s="1"/>
  <c r="CO18" i="50" s="1"/>
  <c r="AD18" i="50"/>
  <c r="AB18" i="50"/>
  <c r="AA18" i="50"/>
  <c r="Z18" i="50"/>
  <c r="Y18" i="50"/>
  <c r="X18" i="50"/>
  <c r="S18" i="50"/>
  <c r="U18" i="50" s="1"/>
  <c r="M18" i="50"/>
  <c r="H18" i="50"/>
  <c r="J18" i="50" s="1"/>
  <c r="BT17" i="50"/>
  <c r="BP17" i="50"/>
  <c r="AD17" i="50"/>
  <c r="AB17" i="50"/>
  <c r="AA17" i="50"/>
  <c r="Z17" i="50"/>
  <c r="Y17" i="50"/>
  <c r="X17" i="50"/>
  <c r="S17" i="50"/>
  <c r="U17" i="50" s="1"/>
  <c r="M17" i="50"/>
  <c r="H17" i="50"/>
  <c r="J17" i="50" s="1"/>
  <c r="BP16" i="50"/>
  <c r="BT16" i="50" s="1"/>
  <c r="CO16" i="50" s="1"/>
  <c r="AD16" i="50"/>
  <c r="AB16" i="50"/>
  <c r="AA16" i="50"/>
  <c r="Z16" i="50"/>
  <c r="Y16" i="50"/>
  <c r="X16" i="50"/>
  <c r="S16" i="50"/>
  <c r="U16" i="50" s="1"/>
  <c r="M16" i="50"/>
  <c r="H16" i="50"/>
  <c r="J16" i="50" s="1"/>
  <c r="BP15" i="50"/>
  <c r="BT15" i="50" s="1"/>
  <c r="CO15" i="50" s="1"/>
  <c r="AD15" i="50"/>
  <c r="AB15" i="50"/>
  <c r="AA15" i="50"/>
  <c r="Z15" i="50"/>
  <c r="Y15" i="50"/>
  <c r="X15" i="50"/>
  <c r="S15" i="50"/>
  <c r="U15" i="50" s="1"/>
  <c r="M15" i="50"/>
  <c r="H15" i="50"/>
  <c r="J15" i="50" s="1"/>
  <c r="BP14" i="50"/>
  <c r="BT14" i="50" s="1"/>
  <c r="CO14" i="50" s="1"/>
  <c r="AD14" i="50"/>
  <c r="AB14" i="50"/>
  <c r="AA14" i="50"/>
  <c r="Z14" i="50"/>
  <c r="Y14" i="50"/>
  <c r="X14" i="50"/>
  <c r="S14" i="50"/>
  <c r="U14" i="50" s="1"/>
  <c r="M14" i="50"/>
  <c r="H14" i="50"/>
  <c r="J14" i="50" s="1"/>
  <c r="BP13" i="50"/>
  <c r="BT13" i="50" s="1"/>
  <c r="CO13" i="50" s="1"/>
  <c r="CP13" i="50" s="1"/>
  <c r="AD13" i="50"/>
  <c r="AB13" i="50"/>
  <c r="AA13" i="50"/>
  <c r="Z13" i="50"/>
  <c r="Y13" i="50"/>
  <c r="X13" i="50"/>
  <c r="S13" i="50"/>
  <c r="U13" i="50" s="1"/>
  <c r="M13" i="50"/>
  <c r="H13" i="50"/>
  <c r="J13" i="50" s="1"/>
  <c r="BP12" i="50"/>
  <c r="BT12" i="50" s="1"/>
  <c r="CO12" i="50" s="1"/>
  <c r="AD12" i="50"/>
  <c r="AB12" i="50"/>
  <c r="AA12" i="50"/>
  <c r="Z12" i="50"/>
  <c r="Y12" i="50"/>
  <c r="X12" i="50"/>
  <c r="S12" i="50"/>
  <c r="U12" i="50" s="1"/>
  <c r="M12" i="50"/>
  <c r="H12" i="50"/>
  <c r="J12" i="50" s="1"/>
  <c r="BP11" i="50"/>
  <c r="BT11" i="50" s="1"/>
  <c r="CO11" i="50" s="1"/>
  <c r="AD11" i="50"/>
  <c r="AB11" i="50"/>
  <c r="AA11" i="50"/>
  <c r="Z11" i="50"/>
  <c r="Y11" i="50"/>
  <c r="X11" i="50"/>
  <c r="S11" i="50"/>
  <c r="U11" i="50" s="1"/>
  <c r="M11" i="50"/>
  <c r="H11" i="50"/>
  <c r="J11" i="50" s="1"/>
  <c r="BP10" i="50"/>
  <c r="BT10" i="50" s="1"/>
  <c r="CO10" i="50" s="1"/>
  <c r="AD10" i="50"/>
  <c r="AB10" i="50"/>
  <c r="AA10" i="50"/>
  <c r="Z10" i="50"/>
  <c r="Y10" i="50"/>
  <c r="X10" i="50"/>
  <c r="S10" i="50"/>
  <c r="U10" i="50" s="1"/>
  <c r="M10" i="50"/>
  <c r="H10" i="50"/>
  <c r="J10" i="50" s="1"/>
  <c r="BT9" i="50"/>
  <c r="CO9" i="50" s="1"/>
  <c r="BP9" i="50"/>
  <c r="AD9" i="50"/>
  <c r="AB9" i="50"/>
  <c r="AA9" i="50"/>
  <c r="Z9" i="50"/>
  <c r="Y9" i="50"/>
  <c r="X9" i="50"/>
  <c r="S9" i="50"/>
  <c r="U9" i="50" s="1"/>
  <c r="M9" i="50"/>
  <c r="H9" i="50"/>
  <c r="J9" i="50" s="1"/>
  <c r="BP8" i="50"/>
  <c r="BT8" i="50" s="1"/>
  <c r="CO8" i="50" s="1"/>
  <c r="AD8" i="50"/>
  <c r="AC8" i="50"/>
  <c r="AB8" i="50"/>
  <c r="AA8" i="50"/>
  <c r="Z8" i="50"/>
  <c r="Y8" i="50"/>
  <c r="X8" i="50"/>
  <c r="W8" i="50"/>
  <c r="S8" i="50"/>
  <c r="U8" i="50" s="1"/>
  <c r="M8" i="50"/>
  <c r="L8" i="50"/>
  <c r="H8" i="50"/>
  <c r="J8" i="50" s="1"/>
  <c r="BY2" i="50"/>
  <c r="BY1" i="50"/>
  <c r="AP33" i="51" l="1"/>
  <c r="AQ33" i="51"/>
  <c r="CP8" i="50"/>
  <c r="CA33" i="50"/>
  <c r="C12" i="1" s="1"/>
  <c r="CI33" i="50"/>
  <c r="C25" i="1" s="1"/>
  <c r="CP11" i="50"/>
  <c r="CP28" i="50"/>
  <c r="CP15" i="50"/>
  <c r="CP23" i="50"/>
  <c r="CP30" i="50"/>
  <c r="CP9" i="50"/>
  <c r="CP14" i="50"/>
  <c r="CL33" i="50"/>
  <c r="C35" i="1" s="1"/>
  <c r="D32" i="25"/>
  <c r="BP33" i="50"/>
  <c r="CP12" i="50"/>
  <c r="CP26" i="50"/>
  <c r="D14" i="25"/>
  <c r="CP19" i="50"/>
  <c r="CP22" i="50"/>
  <c r="BZ33" i="50"/>
  <c r="CD33" i="50"/>
  <c r="C15" i="1" s="1"/>
  <c r="CH33" i="50"/>
  <c r="C23" i="1" s="1"/>
  <c r="CP18" i="50"/>
  <c r="CP21" i="50"/>
  <c r="CP24" i="50"/>
  <c r="CP10" i="50"/>
  <c r="CP16" i="50"/>
  <c r="BT33" i="50"/>
  <c r="CB33" i="50"/>
  <c r="CF33" i="50"/>
  <c r="C19" i="1" s="1"/>
  <c r="CJ33" i="50"/>
  <c r="C26" i="1" s="1"/>
  <c r="CP27" i="50"/>
  <c r="CP31" i="50"/>
  <c r="BY33" i="50"/>
  <c r="C9" i="1" s="1"/>
  <c r="CC33" i="50"/>
  <c r="C14" i="1" s="1"/>
  <c r="CG33" i="50"/>
  <c r="C20" i="1" s="1"/>
  <c r="CK33" i="50"/>
  <c r="C29" i="1" s="1"/>
  <c r="CO17" i="50"/>
  <c r="CP25" i="50"/>
  <c r="CP29" i="50"/>
  <c r="I20" i="4"/>
  <c r="I8" i="4"/>
  <c r="H38" i="4"/>
  <c r="E38" i="4" s="1"/>
  <c r="H34" i="4"/>
  <c r="H32" i="4"/>
  <c r="E32" i="4" s="1"/>
  <c r="H29" i="4"/>
  <c r="E29" i="4" s="1"/>
  <c r="H28" i="4"/>
  <c r="E28" i="4" s="1"/>
  <c r="H26" i="4"/>
  <c r="E26" i="4" s="1"/>
  <c r="H23" i="4"/>
  <c r="E23" i="4" s="1"/>
  <c r="H22" i="4"/>
  <c r="E22" i="4" s="1"/>
  <c r="H20" i="4"/>
  <c r="E20" i="4" s="1"/>
  <c r="F20" i="4" s="1"/>
  <c r="H17" i="4"/>
  <c r="E17" i="4" s="1"/>
  <c r="H15" i="4"/>
  <c r="H11" i="4"/>
  <c r="E11" i="4" s="1"/>
  <c r="F11" i="4" s="1"/>
  <c r="H8" i="4"/>
  <c r="E8" i="4" s="1"/>
  <c r="F8" i="4" s="1"/>
  <c r="H7" i="4"/>
  <c r="E7" i="4" s="1"/>
  <c r="H21" i="4"/>
  <c r="H13" i="4"/>
  <c r="I13" i="4" s="1"/>
  <c r="E34" i="4"/>
  <c r="I11" i="4" l="1"/>
  <c r="H14" i="4"/>
  <c r="E13" i="4"/>
  <c r="F13" i="4" s="1"/>
  <c r="H16" i="4"/>
  <c r="E15" i="4"/>
  <c r="F15" i="4" s="1"/>
  <c r="H12" i="4"/>
  <c r="I15" i="4"/>
  <c r="C13" i="1"/>
  <c r="CN33" i="50"/>
  <c r="CO33" i="50"/>
  <c r="CP17" i="50"/>
  <c r="CP33" i="50" s="1"/>
  <c r="H21" i="24" l="1"/>
  <c r="H16" i="24"/>
  <c r="G14" i="24"/>
  <c r="G7" i="24"/>
  <c r="G8" i="24"/>
  <c r="I8" i="24" s="1"/>
  <c r="G11" i="24"/>
  <c r="I11" i="24" s="1"/>
  <c r="G12" i="24"/>
  <c r="G13" i="24"/>
  <c r="I13" i="24" s="1"/>
  <c r="G15" i="24"/>
  <c r="I15" i="24" s="1"/>
  <c r="G16" i="24"/>
  <c r="G17" i="24"/>
  <c r="G21" i="24"/>
  <c r="G22" i="24"/>
  <c r="G23" i="24"/>
  <c r="G26" i="24"/>
  <c r="G28" i="24"/>
  <c r="G29" i="24"/>
  <c r="H28" i="22" l="1"/>
  <c r="E28" i="22" s="1"/>
  <c r="H15" i="22"/>
  <c r="E15" i="22" s="1"/>
  <c r="F15" i="22" s="1"/>
  <c r="H7" i="22"/>
  <c r="E7" i="22" s="1"/>
  <c r="H11" i="22"/>
  <c r="E11" i="22" s="1"/>
  <c r="F11" i="22" s="1"/>
  <c r="H8" i="22"/>
  <c r="E8" i="22" s="1"/>
  <c r="F8" i="22" s="1"/>
  <c r="H17" i="22"/>
  <c r="E17" i="22" s="1"/>
  <c r="H20" i="22"/>
  <c r="H22" i="22"/>
  <c r="E22" i="22" s="1"/>
  <c r="H23" i="22"/>
  <c r="E23" i="22" s="1"/>
  <c r="H26" i="22"/>
  <c r="E26" i="22" s="1"/>
  <c r="H29" i="22"/>
  <c r="E29" i="22" s="1"/>
  <c r="H32" i="22"/>
  <c r="E32" i="22" s="1"/>
  <c r="H34" i="22"/>
  <c r="E34" i="22" s="1"/>
  <c r="H21" i="22" l="1"/>
  <c r="E21" i="22" s="1"/>
  <c r="E20" i="22"/>
  <c r="F20" i="22" s="1"/>
  <c r="I15" i="22"/>
  <c r="H13" i="22"/>
  <c r="I8" i="22"/>
  <c r="H12" i="22"/>
  <c r="E12" i="22" s="1"/>
  <c r="I11" i="22"/>
  <c r="I20" i="22"/>
  <c r="H16" i="22"/>
  <c r="E16" i="22" s="1"/>
  <c r="I13" i="22" l="1"/>
  <c r="E13" i="22"/>
  <c r="F13" i="22" s="1"/>
  <c r="H14" i="22"/>
  <c r="E14" i="22" s="1"/>
  <c r="H7" i="13" l="1"/>
  <c r="E7" i="13" s="1"/>
  <c r="H11" i="13"/>
  <c r="E11" i="13" s="1"/>
  <c r="F11" i="13" s="1"/>
  <c r="H8" i="13"/>
  <c r="H15" i="13"/>
  <c r="E15" i="13" s="1"/>
  <c r="F15" i="13" s="1"/>
  <c r="H17" i="13"/>
  <c r="E17" i="13" s="1"/>
  <c r="H20" i="13"/>
  <c r="H22" i="13"/>
  <c r="E22" i="13" s="1"/>
  <c r="H23" i="13"/>
  <c r="E23" i="13" s="1"/>
  <c r="H26" i="13"/>
  <c r="E26" i="13" s="1"/>
  <c r="H28" i="13"/>
  <c r="E28" i="13" s="1"/>
  <c r="H29" i="13"/>
  <c r="E29" i="13" s="1"/>
  <c r="H34" i="13"/>
  <c r="E34" i="13" s="1"/>
  <c r="H32" i="13"/>
  <c r="E32" i="13" s="1"/>
  <c r="I8" i="13" l="1"/>
  <c r="E8" i="13"/>
  <c r="F8" i="13" s="1"/>
  <c r="I20" i="13"/>
  <c r="E20" i="13"/>
  <c r="F20" i="13" s="1"/>
  <c r="I11" i="13"/>
  <c r="I15" i="13"/>
  <c r="H21" i="13"/>
  <c r="E21" i="13" s="1"/>
  <c r="H16" i="13"/>
  <c r="E16" i="13" s="1"/>
  <c r="H13" i="13"/>
  <c r="H12" i="13"/>
  <c r="E12" i="13" s="1"/>
  <c r="I13" i="13" l="1"/>
  <c r="E13" i="13"/>
  <c r="F13" i="13" s="1"/>
  <c r="H14" i="13"/>
  <c r="E14" i="13" s="1"/>
  <c r="H38" i="2" l="1"/>
  <c r="S40" i="2" l="1"/>
  <c r="D31" i="1" l="1"/>
  <c r="S46" i="2"/>
  <c r="M35" i="1" l="1"/>
  <c r="M31" i="1"/>
  <c r="M26" i="1"/>
  <c r="M25" i="1"/>
  <c r="M23" i="1"/>
  <c r="M20" i="1"/>
  <c r="E7" i="25"/>
  <c r="F7" i="25" s="1"/>
  <c r="E12" i="25" l="1"/>
  <c r="F12" i="25" s="1"/>
  <c r="E16" i="25"/>
  <c r="F16" i="25" s="1"/>
  <c r="E22" i="25"/>
  <c r="F22" i="25" s="1"/>
  <c r="E13" i="25"/>
  <c r="F13" i="25" s="1"/>
  <c r="E17" i="25"/>
  <c r="F17" i="25" s="1"/>
  <c r="E32" i="25"/>
  <c r="F32" i="25" s="1"/>
  <c r="E20" i="25"/>
  <c r="F20" i="25" s="1"/>
  <c r="E14" i="25"/>
  <c r="F14" i="25" s="1"/>
  <c r="E11" i="25"/>
  <c r="F11" i="25" s="1"/>
  <c r="E15" i="25"/>
  <c r="F15" i="25" s="1"/>
  <c r="E21" i="25"/>
  <c r="F21" i="25" s="1"/>
  <c r="M15" i="1"/>
  <c r="M9" i="1"/>
  <c r="M19" i="1"/>
  <c r="M29" i="1"/>
  <c r="D30" i="25"/>
  <c r="M14" i="1"/>
  <c r="A8" i="25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D6" i="25"/>
  <c r="S17" i="2" l="1"/>
  <c r="D9" i="1" s="1"/>
  <c r="D24" i="25"/>
  <c r="D18" i="25"/>
  <c r="D9" i="25"/>
  <c r="F9" i="25"/>
  <c r="F30" i="25"/>
  <c r="M12" i="1"/>
  <c r="M13" i="1"/>
  <c r="A10" i="1"/>
  <c r="A11" i="1" s="1"/>
  <c r="A12" i="1" s="1"/>
  <c r="A13" i="1" s="1"/>
  <c r="A14" i="1" s="1"/>
  <c r="A15" i="1" s="1"/>
  <c r="A16" i="1" s="1"/>
  <c r="A17" i="1" s="1"/>
  <c r="A18" i="1" s="1"/>
  <c r="D36" i="25" l="1"/>
  <c r="D40" i="25" s="1"/>
  <c r="F24" i="25"/>
  <c r="M18" i="1"/>
  <c r="F18" i="25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S37" i="2" l="1"/>
  <c r="F36" i="25"/>
  <c r="F40" i="25" s="1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D6" i="24"/>
  <c r="A3" i="24"/>
  <c r="K13" i="1"/>
  <c r="K9" i="1"/>
  <c r="K35" i="1"/>
  <c r="K31" i="1"/>
  <c r="K29" i="1"/>
  <c r="C27" i="23"/>
  <c r="K25" i="1"/>
  <c r="K23" i="1"/>
  <c r="K20" i="1"/>
  <c r="K19" i="1"/>
  <c r="K18" i="1"/>
  <c r="K15" i="1"/>
  <c r="K14" i="1"/>
  <c r="K12" i="1"/>
  <c r="D26" i="1" l="1"/>
  <c r="S36" i="2"/>
  <c r="K26" i="1"/>
  <c r="C9" i="23"/>
  <c r="C16" i="23"/>
  <c r="C21" i="23"/>
  <c r="D25" i="1" l="1"/>
  <c r="S21" i="2"/>
  <c r="S28" i="2"/>
  <c r="C33" i="23"/>
  <c r="C37" i="23" s="1"/>
  <c r="D18" i="1" l="1"/>
  <c r="D12" i="1"/>
  <c r="S24" i="2"/>
  <c r="D15" i="1" l="1"/>
  <c r="S30" i="2"/>
  <c r="S23" i="2"/>
  <c r="A8" i="22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D6" i="22"/>
  <c r="A3" i="22"/>
  <c r="E38" i="19"/>
  <c r="E34" i="19"/>
  <c r="E32" i="19"/>
  <c r="E29" i="19"/>
  <c r="E28" i="19"/>
  <c r="E26" i="19"/>
  <c r="E23" i="19"/>
  <c r="E22" i="19"/>
  <c r="E20" i="19"/>
  <c r="F20" i="19" s="1"/>
  <c r="E17" i="19"/>
  <c r="E15" i="19"/>
  <c r="F15" i="19" s="1"/>
  <c r="E11" i="19"/>
  <c r="F11" i="19" s="1"/>
  <c r="E8" i="19"/>
  <c r="F8" i="19" s="1"/>
  <c r="E7" i="19"/>
  <c r="E21" i="19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D6" i="19"/>
  <c r="A3" i="19"/>
  <c r="E34" i="17"/>
  <c r="E32" i="17"/>
  <c r="E28" i="17"/>
  <c r="E26" i="17"/>
  <c r="E20" i="17"/>
  <c r="F20" i="17" s="1"/>
  <c r="E15" i="17"/>
  <c r="F15" i="17" s="1"/>
  <c r="E11" i="17"/>
  <c r="F11" i="17" s="1"/>
  <c r="E8" i="17"/>
  <c r="E7" i="17"/>
  <c r="E21" i="17"/>
  <c r="E12" i="17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D6" i="17"/>
  <c r="A3" i="17"/>
  <c r="F20" i="16"/>
  <c r="F15" i="16"/>
  <c r="F11" i="16"/>
  <c r="F8" i="16"/>
  <c r="E16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D6" i="16"/>
  <c r="A3" i="16"/>
  <c r="K20" i="13"/>
  <c r="K8" i="13"/>
  <c r="K13" i="13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D6" i="13"/>
  <c r="A3" i="13"/>
  <c r="E12" i="4"/>
  <c r="K8" i="4"/>
  <c r="D6" i="4"/>
  <c r="F20" i="3"/>
  <c r="F15" i="3"/>
  <c r="F13" i="3"/>
  <c r="F8" i="3"/>
  <c r="D6" i="3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3" i="4"/>
  <c r="A3" i="3"/>
  <c r="E12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E17" i="17" l="1"/>
  <c r="F8" i="17"/>
  <c r="D14" i="1"/>
  <c r="D20" i="1"/>
  <c r="E12" i="16"/>
  <c r="S33" i="2"/>
  <c r="S29" i="2"/>
  <c r="E16" i="19"/>
  <c r="K13" i="4"/>
  <c r="E16" i="3"/>
  <c r="F11" i="3"/>
  <c r="E21" i="4"/>
  <c r="K20" i="4"/>
  <c r="E14" i="4"/>
  <c r="K11" i="4"/>
  <c r="E16" i="4"/>
  <c r="K15" i="4"/>
  <c r="E12" i="19"/>
  <c r="E13" i="17"/>
  <c r="F13" i="17" s="1"/>
  <c r="E29" i="17"/>
  <c r="E16" i="17"/>
  <c r="E22" i="17"/>
  <c r="E23" i="17" s="1"/>
  <c r="E13" i="16"/>
  <c r="F13" i="16" s="1"/>
  <c r="E21" i="16"/>
  <c r="K15" i="13"/>
  <c r="K11" i="13"/>
  <c r="E13" i="19"/>
  <c r="F13" i="19" s="1"/>
  <c r="E14" i="3"/>
  <c r="E21" i="3"/>
  <c r="D19" i="1" l="1"/>
  <c r="D23" i="1"/>
  <c r="E14" i="19"/>
  <c r="E14" i="17"/>
  <c r="E14" i="16"/>
  <c r="B18" i="2"/>
  <c r="B21" i="2" s="1"/>
  <c r="B22" i="2" s="1"/>
  <c r="B23" i="2" l="1"/>
  <c r="S22" i="2" l="1"/>
  <c r="B24" i="2"/>
  <c r="D13" i="1" l="1"/>
  <c r="B25" i="2"/>
  <c r="B28" i="2" l="1"/>
  <c r="B29" i="2" l="1"/>
  <c r="B30" i="2" l="1"/>
  <c r="B31" i="2" l="1"/>
  <c r="B33" i="2" l="1"/>
  <c r="B36" i="2" l="1"/>
  <c r="B37" i="2" s="1"/>
  <c r="B38" i="2" s="1"/>
  <c r="B40" i="2" s="1"/>
  <c r="B42" i="2" s="1"/>
  <c r="B44" i="2" s="1"/>
  <c r="B46" i="2" s="1"/>
  <c r="B48" i="2" s="1"/>
  <c r="K27" i="1" l="1"/>
  <c r="M27" i="1"/>
  <c r="M21" i="1"/>
  <c r="K16" i="1"/>
  <c r="M10" i="1"/>
  <c r="K10" i="1"/>
  <c r="M16" i="1" l="1"/>
  <c r="M33" i="1" s="1"/>
  <c r="M37" i="1" s="1"/>
  <c r="K21" i="1"/>
  <c r="K33" i="1" s="1"/>
  <c r="K37" i="1" s="1"/>
  <c r="D32" i="22" l="1"/>
  <c r="F32" i="22" s="1"/>
  <c r="D32" i="17"/>
  <c r="D32" i="4"/>
  <c r="F32" i="4" s="1"/>
  <c r="F29" i="1" s="1"/>
  <c r="D32" i="13"/>
  <c r="F32" i="13" s="1"/>
  <c r="D32" i="19"/>
  <c r="F32" i="19" s="1"/>
  <c r="D32" i="3"/>
  <c r="F32" i="3" s="1"/>
  <c r="E29" i="1" s="1"/>
  <c r="D32" i="24"/>
  <c r="I32" i="24" s="1"/>
  <c r="L29" i="1" s="1"/>
  <c r="D32" i="16"/>
  <c r="F32" i="17" l="1"/>
  <c r="I29" i="1" s="1"/>
  <c r="F32" i="16"/>
  <c r="I32" i="4"/>
  <c r="K32" i="4" s="1"/>
  <c r="G29" i="1"/>
  <c r="I32" i="13"/>
  <c r="J29" i="1"/>
  <c r="I32" i="22"/>
  <c r="H29" i="1" l="1"/>
  <c r="Q29" i="1" s="1"/>
  <c r="K32" i="13"/>
  <c r="N29" i="1" l="1"/>
  <c r="S42" i="2" l="1"/>
  <c r="D29" i="1" l="1"/>
  <c r="O29" i="1" s="1"/>
  <c r="E24" i="24" l="1"/>
  <c r="E18" i="24" l="1"/>
  <c r="E36" i="24" s="1"/>
  <c r="D34" i="16" l="1"/>
  <c r="D34" i="4"/>
  <c r="F34" i="4" s="1"/>
  <c r="F31" i="1" s="1"/>
  <c r="D34" i="19"/>
  <c r="F34" i="19" s="1"/>
  <c r="D34" i="22"/>
  <c r="F34" i="22" s="1"/>
  <c r="D34" i="24"/>
  <c r="I34" i="24" s="1"/>
  <c r="L31" i="1" s="1"/>
  <c r="D34" i="3"/>
  <c r="F34" i="3" s="1"/>
  <c r="E31" i="1" s="1"/>
  <c r="D34" i="17"/>
  <c r="D34" i="13"/>
  <c r="F34" i="13" s="1"/>
  <c r="D38" i="24"/>
  <c r="I38" i="24" s="1"/>
  <c r="L35" i="1" s="1"/>
  <c r="D38" i="19"/>
  <c r="F38" i="19" s="1"/>
  <c r="D38" i="22"/>
  <c r="D38" i="17"/>
  <c r="D38" i="4"/>
  <c r="F38" i="4" s="1"/>
  <c r="F35" i="1" s="1"/>
  <c r="D38" i="16"/>
  <c r="D38" i="3"/>
  <c r="F38" i="3" s="1"/>
  <c r="E35" i="1" s="1"/>
  <c r="D38" i="13"/>
  <c r="F38" i="13" s="1"/>
  <c r="F34" i="17" l="1"/>
  <c r="I31" i="1" s="1"/>
  <c r="F38" i="16"/>
  <c r="H35" i="1" s="1"/>
  <c r="I38" i="16"/>
  <c r="R35" i="1" s="1"/>
  <c r="F38" i="17"/>
  <c r="I35" i="1" s="1"/>
  <c r="F34" i="16"/>
  <c r="I34" i="4"/>
  <c r="K34" i="4" s="1"/>
  <c r="I38" i="4"/>
  <c r="K38" i="4" s="1"/>
  <c r="G31" i="1"/>
  <c r="I34" i="13"/>
  <c r="J31" i="1"/>
  <c r="I34" i="22"/>
  <c r="F38" i="22"/>
  <c r="J35" i="1" s="1"/>
  <c r="I38" i="22"/>
  <c r="G35" i="1"/>
  <c r="I38" i="13"/>
  <c r="K38" i="13" s="1"/>
  <c r="H31" i="1" l="1"/>
  <c r="Q31" i="1" s="1"/>
  <c r="Q35" i="1"/>
  <c r="K34" i="13"/>
  <c r="S35" i="1"/>
  <c r="N35" i="1" l="1"/>
  <c r="N31" i="1"/>
  <c r="O31" i="1" s="1"/>
  <c r="J38" i="2" l="1"/>
  <c r="D28" i="17" l="1"/>
  <c r="F28" i="17" s="1"/>
  <c r="D28" i="24"/>
  <c r="I28" i="24" s="1"/>
  <c r="L25" i="1" s="1"/>
  <c r="D28" i="16"/>
  <c r="D28" i="13"/>
  <c r="D28" i="19"/>
  <c r="F28" i="19" s="1"/>
  <c r="D28" i="3"/>
  <c r="C27" i="1"/>
  <c r="D28" i="4"/>
  <c r="D28" i="22"/>
  <c r="D29" i="3"/>
  <c r="F29" i="3" s="1"/>
  <c r="E26" i="1" s="1"/>
  <c r="D29" i="17"/>
  <c r="D29" i="13"/>
  <c r="F29" i="13" s="1"/>
  <c r="D29" i="22"/>
  <c r="F29" i="22" s="1"/>
  <c r="D29" i="16"/>
  <c r="D29" i="19"/>
  <c r="F29" i="19" s="1"/>
  <c r="D29" i="24"/>
  <c r="I29" i="24" s="1"/>
  <c r="L26" i="1" s="1"/>
  <c r="D29" i="4"/>
  <c r="F29" i="4" s="1"/>
  <c r="F26" i="1" s="1"/>
  <c r="I28" i="4" l="1"/>
  <c r="F28" i="4"/>
  <c r="F25" i="1" s="1"/>
  <c r="I28" i="13"/>
  <c r="F28" i="13"/>
  <c r="F29" i="17"/>
  <c r="I26" i="1" s="1"/>
  <c r="F28" i="16"/>
  <c r="F29" i="16"/>
  <c r="I28" i="22"/>
  <c r="F28" i="22"/>
  <c r="I29" i="4"/>
  <c r="G26" i="1"/>
  <c r="I29" i="13"/>
  <c r="I30" i="24"/>
  <c r="J26" i="1"/>
  <c r="I29" i="22"/>
  <c r="D30" i="4"/>
  <c r="D30" i="13"/>
  <c r="D30" i="16"/>
  <c r="F28" i="3"/>
  <c r="D30" i="3"/>
  <c r="D30" i="24"/>
  <c r="D30" i="22"/>
  <c r="D30" i="19"/>
  <c r="F30" i="19"/>
  <c r="D30" i="17"/>
  <c r="H18" i="2"/>
  <c r="H26" i="1" l="1"/>
  <c r="Q26" i="1" s="1"/>
  <c r="K28" i="13"/>
  <c r="K28" i="4"/>
  <c r="K29" i="13"/>
  <c r="K29" i="4"/>
  <c r="I30" i="4"/>
  <c r="I30" i="22"/>
  <c r="I30" i="13"/>
  <c r="I25" i="1"/>
  <c r="I27" i="1" s="1"/>
  <c r="F30" i="17"/>
  <c r="J25" i="1"/>
  <c r="J27" i="1" s="1"/>
  <c r="F30" i="22"/>
  <c r="E25" i="1"/>
  <c r="F30" i="3"/>
  <c r="H25" i="1"/>
  <c r="F30" i="16"/>
  <c r="F30" i="4"/>
  <c r="F27" i="1"/>
  <c r="G25" i="1"/>
  <c r="G27" i="1" s="1"/>
  <c r="F30" i="13"/>
  <c r="K30" i="13" l="1"/>
  <c r="H27" i="1"/>
  <c r="Q25" i="1"/>
  <c r="K30" i="4"/>
  <c r="E27" i="1"/>
  <c r="N26" i="1"/>
  <c r="L27" i="1" l="1"/>
  <c r="D23" i="16"/>
  <c r="D23" i="19"/>
  <c r="F23" i="19" s="1"/>
  <c r="D23" i="3"/>
  <c r="F23" i="3" s="1"/>
  <c r="E20" i="1" s="1"/>
  <c r="D23" i="13"/>
  <c r="F23" i="13" s="1"/>
  <c r="D23" i="17"/>
  <c r="D23" i="4"/>
  <c r="F23" i="4" s="1"/>
  <c r="F20" i="1" s="1"/>
  <c r="D23" i="24"/>
  <c r="I23" i="24" s="1"/>
  <c r="L20" i="1" s="1"/>
  <c r="D23" i="22"/>
  <c r="F23" i="22" s="1"/>
  <c r="D17" i="17"/>
  <c r="D17" i="22"/>
  <c r="F17" i="22" s="1"/>
  <c r="D17" i="19"/>
  <c r="F17" i="19" s="1"/>
  <c r="D17" i="16"/>
  <c r="D17" i="4"/>
  <c r="F17" i="4" s="1"/>
  <c r="F15" i="1" s="1"/>
  <c r="D17" i="13"/>
  <c r="F17" i="13" s="1"/>
  <c r="D17" i="3"/>
  <c r="F17" i="3" s="1"/>
  <c r="E15" i="1" s="1"/>
  <c r="D17" i="24"/>
  <c r="I17" i="24" s="1"/>
  <c r="L15" i="1" s="1"/>
  <c r="D22" i="19"/>
  <c r="F22" i="19" s="1"/>
  <c r="D22" i="24"/>
  <c r="I22" i="24" s="1"/>
  <c r="L19" i="1" s="1"/>
  <c r="D22" i="17"/>
  <c r="D22" i="16"/>
  <c r="D22" i="4"/>
  <c r="F22" i="4" s="1"/>
  <c r="F19" i="1" s="1"/>
  <c r="D22" i="22"/>
  <c r="F22" i="22" s="1"/>
  <c r="D22" i="3"/>
  <c r="F22" i="3" s="1"/>
  <c r="E19" i="1" s="1"/>
  <c r="D22" i="13"/>
  <c r="F22" i="13" s="1"/>
  <c r="O26" i="1"/>
  <c r="N25" i="1"/>
  <c r="Q27" i="1"/>
  <c r="F17" i="17" l="1"/>
  <c r="I15" i="1" s="1"/>
  <c r="F23" i="17"/>
  <c r="I20" i="1" s="1"/>
  <c r="F23" i="16"/>
  <c r="F22" i="16"/>
  <c r="F17" i="16"/>
  <c r="F22" i="17"/>
  <c r="I19" i="1" s="1"/>
  <c r="I23" i="4"/>
  <c r="K23" i="4" s="1"/>
  <c r="I22" i="4"/>
  <c r="K22" i="4" s="1"/>
  <c r="I17" i="4"/>
  <c r="K17" i="4" s="1"/>
  <c r="G19" i="1"/>
  <c r="I22" i="13"/>
  <c r="K22" i="13" s="1"/>
  <c r="J20" i="1"/>
  <c r="I23" i="22"/>
  <c r="G20" i="1"/>
  <c r="I23" i="13"/>
  <c r="K23" i="13" s="1"/>
  <c r="J19" i="1"/>
  <c r="I22" i="22"/>
  <c r="G15" i="1"/>
  <c r="I17" i="13"/>
  <c r="J15" i="1"/>
  <c r="I17" i="22"/>
  <c r="N27" i="1"/>
  <c r="H19" i="1" l="1"/>
  <c r="Q19" i="1" s="1"/>
  <c r="H20" i="1"/>
  <c r="Q20" i="1" s="1"/>
  <c r="H15" i="1"/>
  <c r="Q15" i="1" s="1"/>
  <c r="K17" i="13"/>
  <c r="N20" i="1" l="1"/>
  <c r="N15" i="1" l="1"/>
  <c r="O20" i="1"/>
  <c r="N19" i="1"/>
  <c r="O15" i="1" l="1"/>
  <c r="O19" i="1"/>
  <c r="L38" i="2" l="1"/>
  <c r="D27" i="1" l="1"/>
  <c r="O25" i="1"/>
  <c r="O27" i="1" l="1"/>
  <c r="J18" i="2"/>
  <c r="D7" i="16" l="1"/>
  <c r="D7" i="13"/>
  <c r="D7" i="4"/>
  <c r="D7" i="19"/>
  <c r="F7" i="19" s="1"/>
  <c r="C10" i="1"/>
  <c r="D7" i="24"/>
  <c r="I7" i="24" s="1"/>
  <c r="L9" i="1" s="1"/>
  <c r="D7" i="22"/>
  <c r="D7" i="17"/>
  <c r="F7" i="17" s="1"/>
  <c r="D7" i="3"/>
  <c r="F7" i="16" l="1"/>
  <c r="I7" i="13"/>
  <c r="I9" i="13" s="1"/>
  <c r="F7" i="13"/>
  <c r="I7" i="4"/>
  <c r="I9" i="4" s="1"/>
  <c r="F7" i="4"/>
  <c r="F9" i="1" s="1"/>
  <c r="I7" i="22"/>
  <c r="I9" i="22" s="1"/>
  <c r="F7" i="22"/>
  <c r="I9" i="24"/>
  <c r="D9" i="17"/>
  <c r="D9" i="19"/>
  <c r="F9" i="19"/>
  <c r="D9" i="4"/>
  <c r="L18" i="2"/>
  <c r="D10" i="1"/>
  <c r="D9" i="22"/>
  <c r="D9" i="24"/>
  <c r="D9" i="13"/>
  <c r="F7" i="3"/>
  <c r="D9" i="3"/>
  <c r="D9" i="16"/>
  <c r="K7" i="13" l="1"/>
  <c r="K7" i="4"/>
  <c r="K9" i="4" s="1"/>
  <c r="K9" i="13"/>
  <c r="F9" i="3"/>
  <c r="E9" i="1"/>
  <c r="F9" i="13"/>
  <c r="G9" i="1"/>
  <c r="G10" i="1" s="1"/>
  <c r="H9" i="1"/>
  <c r="F9" i="16"/>
  <c r="J9" i="1"/>
  <c r="J10" i="1" s="1"/>
  <c r="F9" i="22"/>
  <c r="F10" i="1"/>
  <c r="F9" i="4"/>
  <c r="F9" i="17"/>
  <c r="I9" i="1"/>
  <c r="I10" i="1" s="1"/>
  <c r="H10" i="1" l="1"/>
  <c r="Q9" i="1"/>
  <c r="E10" i="1"/>
  <c r="N9" i="1"/>
  <c r="O9" i="1" l="1"/>
  <c r="N10" i="1"/>
  <c r="L10" i="1"/>
  <c r="Q10" i="1"/>
  <c r="O10" i="1" l="1"/>
  <c r="D21" i="24"/>
  <c r="I21" i="24" s="1"/>
  <c r="L18" i="1" s="1"/>
  <c r="J31" i="2"/>
  <c r="L21" i="1" l="1"/>
  <c r="D24" i="24"/>
  <c r="D21" i="17"/>
  <c r="F21" i="17" s="1"/>
  <c r="D21" i="13"/>
  <c r="D21" i="19"/>
  <c r="F21" i="19" s="1"/>
  <c r="C21" i="1"/>
  <c r="D21" i="16"/>
  <c r="D21" i="3"/>
  <c r="D21" i="4"/>
  <c r="D21" i="22"/>
  <c r="H31" i="2"/>
  <c r="F21" i="16" l="1"/>
  <c r="I21" i="4"/>
  <c r="I24" i="4" s="1"/>
  <c r="F21" i="4"/>
  <c r="F18" i="1" s="1"/>
  <c r="I21" i="13"/>
  <c r="I24" i="13" s="1"/>
  <c r="F21" i="13"/>
  <c r="I21" i="22"/>
  <c r="I24" i="22" s="1"/>
  <c r="F21" i="22"/>
  <c r="I24" i="24"/>
  <c r="D24" i="22"/>
  <c r="L31" i="2"/>
  <c r="D21" i="1"/>
  <c r="D24" i="4"/>
  <c r="F24" i="19"/>
  <c r="D24" i="19"/>
  <c r="D24" i="3"/>
  <c r="F21" i="3"/>
  <c r="D24" i="13"/>
  <c r="D24" i="16"/>
  <c r="D24" i="17"/>
  <c r="K21" i="4" l="1"/>
  <c r="K24" i="4" s="1"/>
  <c r="K21" i="13"/>
  <c r="K24" i="13" s="1"/>
  <c r="G18" i="1"/>
  <c r="G21" i="1" s="1"/>
  <c r="F24" i="13"/>
  <c r="F24" i="17"/>
  <c r="I18" i="1"/>
  <c r="I21" i="1" s="1"/>
  <c r="E18" i="1"/>
  <c r="F24" i="3"/>
  <c r="F24" i="16"/>
  <c r="H18" i="1"/>
  <c r="F24" i="4"/>
  <c r="F21" i="1"/>
  <c r="J18" i="1"/>
  <c r="J21" i="1" s="1"/>
  <c r="F24" i="22"/>
  <c r="H21" i="1" l="1"/>
  <c r="Q18" i="1"/>
  <c r="D16" i="24"/>
  <c r="I16" i="24" s="1"/>
  <c r="L14" i="1" s="1"/>
  <c r="E21" i="1"/>
  <c r="N18" i="1"/>
  <c r="Q21" i="1" l="1"/>
  <c r="D16" i="17"/>
  <c r="D16" i="4"/>
  <c r="F16" i="4" s="1"/>
  <c r="F14" i="1" s="1"/>
  <c r="D16" i="22"/>
  <c r="F16" i="22" s="1"/>
  <c r="D16" i="16"/>
  <c r="D16" i="3"/>
  <c r="F16" i="3" s="1"/>
  <c r="E14" i="1" s="1"/>
  <c r="D16" i="19"/>
  <c r="F16" i="19" s="1"/>
  <c r="D16" i="13"/>
  <c r="F16" i="13" s="1"/>
  <c r="N21" i="1"/>
  <c r="O18" i="1"/>
  <c r="O21" i="1" l="1"/>
  <c r="F16" i="17"/>
  <c r="I14" i="1" s="1"/>
  <c r="F16" i="16"/>
  <c r="I16" i="4"/>
  <c r="G14" i="1"/>
  <c r="I16" i="13"/>
  <c r="J14" i="1"/>
  <c r="I16" i="22"/>
  <c r="H14" i="1" l="1"/>
  <c r="Q14" i="1" s="1"/>
  <c r="K16" i="13"/>
  <c r="K16" i="4"/>
  <c r="N14" i="1" l="1"/>
  <c r="O14" i="1"/>
  <c r="P46" i="2"/>
  <c r="D14" i="3"/>
  <c r="F14" i="3" s="1"/>
  <c r="E13" i="1" s="1"/>
  <c r="D14" i="13"/>
  <c r="F14" i="13" s="1"/>
  <c r="D14" i="4"/>
  <c r="F14" i="4" s="1"/>
  <c r="F13" i="1" s="1"/>
  <c r="D14" i="16"/>
  <c r="D14" i="24"/>
  <c r="I14" i="24" s="1"/>
  <c r="L13" i="1" s="1"/>
  <c r="D14" i="22"/>
  <c r="F14" i="22" s="1"/>
  <c r="D14" i="17"/>
  <c r="D14" i="19"/>
  <c r="F14" i="19" s="1"/>
  <c r="F14" i="16" l="1"/>
  <c r="F14" i="17"/>
  <c r="I13" i="1" s="1"/>
  <c r="I14" i="4"/>
  <c r="J13" i="1"/>
  <c r="I14" i="22"/>
  <c r="G13" i="1"/>
  <c r="I14" i="13"/>
  <c r="Q46" i="2"/>
  <c r="H13" i="1" l="1"/>
  <c r="Q13" i="1" s="1"/>
  <c r="K14" i="13"/>
  <c r="K14" i="4"/>
  <c r="H25" i="2"/>
  <c r="H44" i="2" s="1"/>
  <c r="H48" i="2" s="1"/>
  <c r="N13" i="1" l="1"/>
  <c r="O13" i="1" l="1"/>
  <c r="D26" i="24" l="1"/>
  <c r="I26" i="24" s="1"/>
  <c r="L23" i="1" s="1"/>
  <c r="D26" i="19"/>
  <c r="F26" i="19" s="1"/>
  <c r="D26" i="3"/>
  <c r="D26" i="13"/>
  <c r="F26" i="13" s="1"/>
  <c r="D26" i="16"/>
  <c r="D26" i="22"/>
  <c r="F26" i="22" s="1"/>
  <c r="D26" i="17"/>
  <c r="D26" i="4"/>
  <c r="F26" i="4" s="1"/>
  <c r="F23" i="1" s="1"/>
  <c r="F26" i="17" l="1"/>
  <c r="I23" i="1" s="1"/>
  <c r="F26" i="3"/>
  <c r="E23" i="1" s="1"/>
  <c r="F26" i="16"/>
  <c r="I26" i="4"/>
  <c r="J23" i="1"/>
  <c r="I26" i="22"/>
  <c r="G23" i="1"/>
  <c r="I26" i="13"/>
  <c r="J25" i="2"/>
  <c r="J44" i="2" s="1"/>
  <c r="J48" i="2" s="1"/>
  <c r="J51" i="2" s="1"/>
  <c r="H23" i="1" l="1"/>
  <c r="Q23" i="1" s="1"/>
  <c r="K26" i="13"/>
  <c r="K26" i="4"/>
  <c r="L25" i="2"/>
  <c r="L44" i="2" s="1"/>
  <c r="L48" i="2" s="1"/>
  <c r="L51" i="2" s="1"/>
  <c r="D16" i="1"/>
  <c r="C16" i="1"/>
  <c r="C33" i="1" s="1"/>
  <c r="D12" i="17"/>
  <c r="F12" i="17" s="1"/>
  <c r="D12" i="22"/>
  <c r="D12" i="13"/>
  <c r="D12" i="4"/>
  <c r="D12" i="19"/>
  <c r="F12" i="19" s="1"/>
  <c r="D12" i="24"/>
  <c r="I12" i="24" s="1"/>
  <c r="L12" i="1" s="1"/>
  <c r="D12" i="16"/>
  <c r="D12" i="3"/>
  <c r="C37" i="1" l="1"/>
  <c r="D33" i="1"/>
  <c r="I12" i="4"/>
  <c r="I18" i="4" s="1"/>
  <c r="I36" i="4" s="1"/>
  <c r="I40" i="4" s="1"/>
  <c r="F12" i="4"/>
  <c r="F12" i="1" s="1"/>
  <c r="F12" i="16"/>
  <c r="I12" i="13"/>
  <c r="F12" i="13"/>
  <c r="I12" i="22"/>
  <c r="I18" i="22" s="1"/>
  <c r="I36" i="22" s="1"/>
  <c r="I40" i="22" s="1"/>
  <c r="F12" i="22"/>
  <c r="I18" i="24"/>
  <c r="F12" i="3"/>
  <c r="D18" i="3"/>
  <c r="D36" i="3" s="1"/>
  <c r="D40" i="3" s="1"/>
  <c r="D18" i="4"/>
  <c r="D36" i="4" s="1"/>
  <c r="D40" i="4" s="1"/>
  <c r="D18" i="16"/>
  <c r="D36" i="16" s="1"/>
  <c r="D40" i="16" s="1"/>
  <c r="D18" i="13"/>
  <c r="D36" i="13" s="1"/>
  <c r="D40" i="13" s="1"/>
  <c r="D18" i="24"/>
  <c r="D36" i="24" s="1"/>
  <c r="D40" i="24" s="1"/>
  <c r="D18" i="22"/>
  <c r="D36" i="22" s="1"/>
  <c r="D40" i="22" s="1"/>
  <c r="F18" i="19"/>
  <c r="F36" i="19" s="1"/>
  <c r="F40" i="19" s="1"/>
  <c r="D18" i="19"/>
  <c r="D36" i="19" s="1"/>
  <c r="D40" i="19" s="1"/>
  <c r="D18" i="17"/>
  <c r="D36" i="17" s="1"/>
  <c r="D40" i="17" s="1"/>
  <c r="K12" i="13" l="1"/>
  <c r="K18" i="13" s="1"/>
  <c r="K36" i="13" s="1"/>
  <c r="K40" i="13" s="1"/>
  <c r="K12" i="4"/>
  <c r="K18" i="4" s="1"/>
  <c r="K36" i="4" s="1"/>
  <c r="K40" i="4" s="1"/>
  <c r="I18" i="13"/>
  <c r="I36" i="13" s="1"/>
  <c r="I40" i="13" s="1"/>
  <c r="H40" i="13" s="1"/>
  <c r="H40" i="22"/>
  <c r="F18" i="17"/>
  <c r="F36" i="17" s="1"/>
  <c r="F40" i="17" s="1"/>
  <c r="I12" i="1"/>
  <c r="I16" i="1" s="1"/>
  <c r="I33" i="1" s="1"/>
  <c r="I37" i="1" s="1"/>
  <c r="F18" i="22"/>
  <c r="F36" i="22" s="1"/>
  <c r="F40" i="22" s="1"/>
  <c r="J12" i="1"/>
  <c r="J16" i="1" s="1"/>
  <c r="J33" i="1" s="1"/>
  <c r="J37" i="1" s="1"/>
  <c r="F16" i="1"/>
  <c r="F33" i="1" s="1"/>
  <c r="F37" i="1" s="1"/>
  <c r="F18" i="4"/>
  <c r="F36" i="4" s="1"/>
  <c r="F40" i="4" s="1"/>
  <c r="G12" i="1"/>
  <c r="G16" i="1" s="1"/>
  <c r="G33" i="1" s="1"/>
  <c r="G37" i="1" s="1"/>
  <c r="F18" i="13"/>
  <c r="F36" i="13" s="1"/>
  <c r="F40" i="13" s="1"/>
  <c r="E40" i="13" s="1"/>
  <c r="H12" i="1"/>
  <c r="F18" i="16"/>
  <c r="F18" i="3"/>
  <c r="F36" i="3" s="1"/>
  <c r="F40" i="3" s="1"/>
  <c r="F43" i="3" s="1"/>
  <c r="E12" i="1"/>
  <c r="F36" i="16" l="1"/>
  <c r="H16" i="1"/>
  <c r="H33" i="1" s="1"/>
  <c r="H37" i="1" s="1"/>
  <c r="Q12" i="1"/>
  <c r="E16" i="1"/>
  <c r="E33" i="1" s="1"/>
  <c r="E37" i="1" s="1"/>
  <c r="F40" i="16" l="1"/>
  <c r="I36" i="24"/>
  <c r="I40" i="24" s="1"/>
  <c r="Q16" i="1"/>
  <c r="Q33" i="1" s="1"/>
  <c r="Q37" i="1" s="1"/>
  <c r="N12" i="1"/>
  <c r="L16" i="1"/>
  <c r="L33" i="1" l="1"/>
  <c r="L37" i="1" s="1"/>
  <c r="N16" i="1"/>
  <c r="O12" i="1"/>
  <c r="N23" i="1"/>
  <c r="O16" i="1" l="1"/>
  <c r="N33" i="1"/>
  <c r="N37" i="1" s="1"/>
  <c r="O23" i="1"/>
  <c r="O33" i="1" l="1"/>
  <c r="P40" i="2"/>
  <c r="Q40" i="2" s="1"/>
  <c r="P17" i="2" l="1"/>
  <c r="N18" i="2"/>
  <c r="S18" i="2" s="1"/>
  <c r="P18" i="2" l="1"/>
  <c r="Q17" i="2"/>
  <c r="Q18" i="2" l="1"/>
  <c r="P37" i="2"/>
  <c r="Q37" i="2" s="1"/>
  <c r="P21" i="2" l="1"/>
  <c r="P36" i="2"/>
  <c r="N38" i="2"/>
  <c r="S38" i="2" s="1"/>
  <c r="P28" i="2"/>
  <c r="Q28" i="2" l="1"/>
  <c r="P38" i="2"/>
  <c r="Q36" i="2"/>
  <c r="Q21" i="2"/>
  <c r="Q38" i="2" l="1"/>
  <c r="P30" i="2"/>
  <c r="Q30" i="2" s="1"/>
  <c r="P23" i="2" l="1"/>
  <c r="Q23" i="2" s="1"/>
  <c r="P24" i="2"/>
  <c r="Q24" i="2" s="1"/>
  <c r="P29" i="2" l="1"/>
  <c r="N31" i="2"/>
  <c r="S31" i="2" s="1"/>
  <c r="P22" i="2" l="1"/>
  <c r="N25" i="2"/>
  <c r="S25" i="2" s="1"/>
  <c r="Q29" i="2"/>
  <c r="P31" i="2"/>
  <c r="Q31" i="2" l="1"/>
  <c r="Q22" i="2"/>
  <c r="P25" i="2"/>
  <c r="Q25" i="2" l="1"/>
  <c r="P33" i="2" l="1"/>
  <c r="Q33" i="2" l="1"/>
  <c r="P42" i="2" l="1"/>
  <c r="N44" i="2"/>
  <c r="S44" i="2" s="1"/>
  <c r="D35" i="1" s="1"/>
  <c r="O35" i="1" l="1"/>
  <c r="D37" i="1"/>
  <c r="N48" i="2"/>
  <c r="S48" i="2" s="1"/>
  <c r="P44" i="2"/>
  <c r="Q42" i="2"/>
  <c r="U35" i="1" l="1"/>
  <c r="T35" i="1"/>
  <c r="O37" i="1"/>
  <c r="Q44" i="2"/>
  <c r="P48" i="2"/>
  <c r="Q48" i="2" s="1"/>
  <c r="H32" i="16" l="1"/>
  <c r="I32" i="16" s="1"/>
  <c r="R29" i="1" s="1"/>
  <c r="S29" i="1" s="1"/>
  <c r="H17" i="16"/>
  <c r="I17" i="16" s="1"/>
  <c r="R15" i="1" s="1"/>
  <c r="S15" i="1" s="1"/>
  <c r="H23" i="16"/>
  <c r="I23" i="16" s="1"/>
  <c r="R20" i="1" s="1"/>
  <c r="S20" i="1" s="1"/>
  <c r="H20" i="16"/>
  <c r="H34" i="16"/>
  <c r="I34" i="16" s="1"/>
  <c r="R31" i="1" s="1"/>
  <c r="S31" i="1" s="1"/>
  <c r="H22" i="16"/>
  <c r="I22" i="16" s="1"/>
  <c r="R19" i="1" s="1"/>
  <c r="S19" i="1" s="1"/>
  <c r="H15" i="16"/>
  <c r="H7" i="16"/>
  <c r="I7" i="16" s="1"/>
  <c r="H26" i="16"/>
  <c r="I26" i="16" s="1"/>
  <c r="R23" i="1" s="1"/>
  <c r="S23" i="1" s="1"/>
  <c r="H11" i="16"/>
  <c r="H28" i="16"/>
  <c r="I28" i="16" s="1"/>
  <c r="H8" i="16"/>
  <c r="H29" i="16"/>
  <c r="I29" i="16" s="1"/>
  <c r="R26" i="1" s="1"/>
  <c r="S26" i="1" s="1"/>
  <c r="T19" i="1" l="1"/>
  <c r="U19" i="1"/>
  <c r="T15" i="1"/>
  <c r="U15" i="1"/>
  <c r="T23" i="1"/>
  <c r="U23" i="1"/>
  <c r="I11" i="16"/>
  <c r="H12" i="16"/>
  <c r="I12" i="16" s="1"/>
  <c r="R12" i="1" s="1"/>
  <c r="H16" i="16"/>
  <c r="I16" i="16" s="1"/>
  <c r="R14" i="1" s="1"/>
  <c r="S14" i="1" s="1"/>
  <c r="I15" i="16"/>
  <c r="T20" i="1"/>
  <c r="U20" i="1"/>
  <c r="R25" i="1"/>
  <c r="I30" i="16"/>
  <c r="R9" i="1"/>
  <c r="H21" i="16"/>
  <c r="I21" i="16" s="1"/>
  <c r="R18" i="1" s="1"/>
  <c r="I20" i="16"/>
  <c r="T26" i="1"/>
  <c r="U26" i="1"/>
  <c r="I8" i="16"/>
  <c r="I9" i="16" s="1"/>
  <c r="H13" i="16"/>
  <c r="T31" i="1"/>
  <c r="U31" i="1"/>
  <c r="T29" i="1"/>
  <c r="U29" i="1"/>
  <c r="I24" i="16" l="1"/>
  <c r="S12" i="1"/>
  <c r="S9" i="1"/>
  <c r="R10" i="1"/>
  <c r="H14" i="16"/>
  <c r="I14" i="16" s="1"/>
  <c r="R13" i="1" s="1"/>
  <c r="S13" i="1" s="1"/>
  <c r="I13" i="16"/>
  <c r="R21" i="1"/>
  <c r="S18" i="1"/>
  <c r="R27" i="1"/>
  <c r="S25" i="1"/>
  <c r="T14" i="1"/>
  <c r="U14" i="1"/>
  <c r="I18" i="16" l="1"/>
  <c r="I36" i="16" s="1"/>
  <c r="I40" i="16" s="1"/>
  <c r="S27" i="1"/>
  <c r="U27" i="1" s="1"/>
  <c r="T25" i="1"/>
  <c r="T27" i="1" s="1"/>
  <c r="U25" i="1"/>
  <c r="U9" i="1"/>
  <c r="S10" i="1"/>
  <c r="T9" i="1"/>
  <c r="T10" i="1" s="1"/>
  <c r="U13" i="1"/>
  <c r="T13" i="1"/>
  <c r="R16" i="1"/>
  <c r="R33" i="1" s="1"/>
  <c r="R37" i="1" s="1"/>
  <c r="S21" i="1"/>
  <c r="U21" i="1" s="1"/>
  <c r="U18" i="1"/>
  <c r="T18" i="1"/>
  <c r="T21" i="1" s="1"/>
  <c r="U12" i="1"/>
  <c r="S16" i="1"/>
  <c r="U16" i="1" s="1"/>
  <c r="T12" i="1"/>
  <c r="T16" i="1" l="1"/>
  <c r="T33" i="1"/>
  <c r="T37" i="1" s="1"/>
  <c r="U10" i="1"/>
  <c r="S33" i="1"/>
  <c r="S37" i="1" l="1"/>
  <c r="U37" i="1" s="1"/>
  <c r="U33" i="1"/>
</calcChain>
</file>

<file path=xl/sharedStrings.xml><?xml version="1.0" encoding="utf-8"?>
<sst xmlns="http://schemas.openxmlformats.org/spreadsheetml/2006/main" count="883" uniqueCount="441">
  <si>
    <t>Puget Sound Energy</t>
  </si>
  <si>
    <t>Remove:</t>
  </si>
  <si>
    <t>Add:</t>
  </si>
  <si>
    <t>Line No.</t>
  </si>
  <si>
    <t>Tariff</t>
  </si>
  <si>
    <t>Estimated Annual Proforma Base Revenue</t>
  </si>
  <si>
    <t>Schedule 95
PCORC</t>
  </si>
  <si>
    <t>Schedule 95A
Federal Incentive Credit</t>
  </si>
  <si>
    <t>Schedule 120
Conservation</t>
  </si>
  <si>
    <t>Schedule 129
Low Income</t>
  </si>
  <si>
    <t>Schedule 132
Merger Credit</t>
  </si>
  <si>
    <t>Schedule 140
Property Tax</t>
  </si>
  <si>
    <t>Schedule 141
ERF</t>
  </si>
  <si>
    <t>Schedule 194
BPA Res &amp; Farm Credit</t>
  </si>
  <si>
    <t>7A (Note 1)</t>
  </si>
  <si>
    <t>Residential</t>
  </si>
  <si>
    <t>26 &amp; 26P</t>
  </si>
  <si>
    <t>Total Secondary Voltage</t>
  </si>
  <si>
    <t>Total Primary Voltage</t>
  </si>
  <si>
    <t>Total High Voltage</t>
  </si>
  <si>
    <t>50-59</t>
  </si>
  <si>
    <t>449-459</t>
  </si>
  <si>
    <t>Total</t>
  </si>
  <si>
    <t>All Sales</t>
  </si>
  <si>
    <t xml:space="preserve"> </t>
  </si>
  <si>
    <t>TABLE A. PRESENT AND PROPOSED RATES</t>
  </si>
  <si>
    <t>PUGET SOUND ENERGY</t>
  </si>
  <si>
    <t>ESTIMATED EFFECT OF PROPOSED BASE RATE INCREASE</t>
  </si>
  <si>
    <t>ON REVENUES FROM ELECTRIC SALES</t>
  </si>
  <si>
    <t>12 MONTHS ENDED SEPTEMBER 2016</t>
  </si>
  <si>
    <t>Present</t>
  </si>
  <si>
    <t>Proposed</t>
  </si>
  <si>
    <t>Current</t>
  </si>
  <si>
    <t>Base</t>
  </si>
  <si>
    <t>Difference</t>
  </si>
  <si>
    <t>Line</t>
  </si>
  <si>
    <t>Sch.</t>
  </si>
  <si>
    <t>Avg.</t>
  </si>
  <si>
    <t>Revenues</t>
  </si>
  <si>
    <t>Increase</t>
  </si>
  <si>
    <t>Rates</t>
  </si>
  <si>
    <t>No.</t>
  </si>
  <si>
    <t>Description</t>
  </si>
  <si>
    <t>Cust.</t>
  </si>
  <si>
    <t>MWH</t>
  </si>
  <si>
    <t>($000)</t>
  </si>
  <si>
    <t>%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</si>
  <si>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</si>
  <si>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</si>
  <si>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</si>
  <si>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</si>
  <si>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</si>
  <si>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</si>
  <si>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</si>
  <si>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</si>
  <si>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</si>
  <si>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(6)-(5)</t>
  </si>
  <si>
    <t>(7)/(5)</t>
  </si>
  <si>
    <t>(6/4)</t>
  </si>
  <si>
    <t>Residential Service</t>
  </si>
  <si>
    <t>Total Residential Service</t>
  </si>
  <si>
    <t>Secondary Voltage Service</t>
  </si>
  <si>
    <t>Secondary General Service</t>
  </si>
  <si>
    <t>8, 24</t>
  </si>
  <si>
    <t>Small Secondary General Service</t>
  </si>
  <si>
    <t>7A, 11, 25</t>
  </si>
  <si>
    <t>Large Secondary General Service</t>
  </si>
  <si>
    <t>12, 26, 26P</t>
  </si>
  <si>
    <t>Secondary Irrigation &amp; Pumping Service</t>
  </si>
  <si>
    <t>Total Secondary Voltage Service</t>
  </si>
  <si>
    <t>Primary Voltage Service</t>
  </si>
  <si>
    <t>Primary General Service</t>
  </si>
  <si>
    <t>10, 31</t>
  </si>
  <si>
    <t>Primary Irrigation &amp; Pumping Service</t>
  </si>
  <si>
    <t>Primary All Electric Schools</t>
  </si>
  <si>
    <t>Total Primary Voltage Service</t>
  </si>
  <si>
    <t>Campus Rate</t>
  </si>
  <si>
    <t>High Voltage Service</t>
  </si>
  <si>
    <t>High Voltage Interruptible Service</t>
  </si>
  <si>
    <t>High Voltage General Service</t>
  </si>
  <si>
    <t>Retail Wheeling Transporation Service</t>
  </si>
  <si>
    <t>449, 459</t>
  </si>
  <si>
    <t>Street and Area Lighting</t>
  </si>
  <si>
    <t>Total Jurisdictional Sales</t>
  </si>
  <si>
    <t>Wholesale for Resale</t>
  </si>
  <si>
    <t xml:space="preserve">Total Sales </t>
  </si>
  <si>
    <t>Check</t>
  </si>
  <si>
    <t>Test Year ended September 2016</t>
  </si>
  <si>
    <t>24 (8)</t>
  </si>
  <si>
    <t>26 (12,26P)</t>
  </si>
  <si>
    <t>31 (10)</t>
  </si>
  <si>
    <t>Schedule 95 - PCORC Impacts</t>
  </si>
  <si>
    <t>Total Retail Sales</t>
  </si>
  <si>
    <t>Firm Resale</t>
  </si>
  <si>
    <t>Total Sales</t>
  </si>
  <si>
    <t>Schedule 95a - Federal Incentive Impacts</t>
  </si>
  <si>
    <t>Statement of Proforma and Proposed Revenues for Schedule 95</t>
  </si>
  <si>
    <t>CUSTOMER CLASS</t>
  </si>
  <si>
    <t>RATE SCHEDULE</t>
  </si>
  <si>
    <t>F2016
Forecast
Year Ending December 2017</t>
  </si>
  <si>
    <t>Estimated Revenue
Year Ending
December 2017
(Note 1)</t>
  </si>
  <si>
    <t>2014 PCORC $ per kWh Effective December 2014</t>
  </si>
  <si>
    <t>Proposed 2016 PCORC $ per kWh Effective December 2016</t>
  </si>
  <si>
    <t>REVENUE
(Including
Sch 95 Revenue Effective December 2014)</t>
  </si>
  <si>
    <t>REVENUE
(Including Proposed
Sch 95 Revenue Effective December 2016)</t>
  </si>
  <si>
    <t>INCREASE (DECREASE) $</t>
  </si>
  <si>
    <t>INCREASE (DECREASE) %</t>
  </si>
  <si>
    <t>a</t>
  </si>
  <si>
    <t>b</t>
  </si>
  <si>
    <t>c</t>
  </si>
  <si>
    <t>d</t>
  </si>
  <si>
    <t>e = b + (a * c)</t>
  </si>
  <si>
    <t>f = b + (a * d)</t>
  </si>
  <si>
    <t>g = f - e</t>
  </si>
  <si>
    <t>h = g / e</t>
  </si>
  <si>
    <t>Sec Gen Svc - Small</t>
  </si>
  <si>
    <t>8 &amp; 24</t>
  </si>
  <si>
    <t>Sec Gen Svc - Medium</t>
  </si>
  <si>
    <t>11, 25 &amp; 7A</t>
  </si>
  <si>
    <t>Sec Gen Svc - Large</t>
  </si>
  <si>
    <t>12, 26 &amp; 26P</t>
  </si>
  <si>
    <t>Sec Irrigation Svc</t>
  </si>
  <si>
    <t>Secondary Service Total</t>
  </si>
  <si>
    <t>Pri Gen Svc</t>
  </si>
  <si>
    <t>10 &amp; 31</t>
  </si>
  <si>
    <t>Pri Irrigation Svc</t>
  </si>
  <si>
    <t>Pri Interruptible Svc</t>
  </si>
  <si>
    <t>Primary Service Total</t>
  </si>
  <si>
    <t>Campus Rate Total</t>
  </si>
  <si>
    <t>HV Interruptible Svc</t>
  </si>
  <si>
    <t>HV Gen Svc</t>
  </si>
  <si>
    <t>High Voltage Service Total</t>
  </si>
  <si>
    <t>Lights</t>
  </si>
  <si>
    <t>Subtotal</t>
  </si>
  <si>
    <t>Transportation</t>
  </si>
  <si>
    <t>449 / 459</t>
  </si>
  <si>
    <t>`</t>
  </si>
  <si>
    <t>Current vs. Proposed Schedule 120</t>
  </si>
  <si>
    <t>SCHEDULE</t>
  </si>
  <si>
    <t>Settlement Methodology</t>
  </si>
  <si>
    <t>Customer Rate Impacts</t>
  </si>
  <si>
    <t>Customer Class</t>
  </si>
  <si>
    <t>Schedule</t>
  </si>
  <si>
    <t>Change In Rates</t>
  </si>
  <si>
    <t>$ Increase (Decrease) Due To Rate Change</t>
  </si>
  <si>
    <t>% Increase (Decrease) Due To Rate Change</t>
  </si>
  <si>
    <t>A</t>
  </si>
  <si>
    <t>B</t>
  </si>
  <si>
    <t>C</t>
  </si>
  <si>
    <t>D</t>
  </si>
  <si>
    <t>E = D - C</t>
  </si>
  <si>
    <t>F=
B+(A*C)</t>
  </si>
  <si>
    <t>G=
B+(A*D)</t>
  </si>
  <si>
    <t>H=
G - F</t>
  </si>
  <si>
    <t>I=
H / F</t>
  </si>
  <si>
    <t>8 / 24</t>
  </si>
  <si>
    <t>11 / 25 / 7A</t>
  </si>
  <si>
    <t>12 / 26 / 26P</t>
  </si>
  <si>
    <t>10 / 31</t>
  </si>
  <si>
    <t>Campus Service</t>
  </si>
  <si>
    <t>3, 50 - 59</t>
  </si>
  <si>
    <t>Retail Wheeling</t>
  </si>
  <si>
    <t>Electric Schedule 140 Property Tax Rider</t>
  </si>
  <si>
    <t>Voltage Level</t>
  </si>
  <si>
    <t>Schedule 140 Property Tax Revenue Change</t>
  </si>
  <si>
    <t>Schedule 140 Property Tax % Change</t>
  </si>
  <si>
    <t>(a)</t>
  </si>
  <si>
    <t>(b)</t>
  </si>
  <si>
    <t>(c)</t>
  </si>
  <si>
    <t>(d)</t>
  </si>
  <si>
    <t>(e)</t>
  </si>
  <si>
    <t>(f)</t>
  </si>
  <si>
    <t>(g) =
(f - e) * (c)</t>
  </si>
  <si>
    <t>(h) = (g) / 
[(c * e) + (d)]</t>
  </si>
  <si>
    <t>Total Residential</t>
  </si>
  <si>
    <t>Secondary Voltage</t>
  </si>
  <si>
    <t>Demand &lt;= 50 kW</t>
  </si>
  <si>
    <t>Demand &gt; 50 kW but &lt;= 350 kW</t>
  </si>
  <si>
    <t>7A / 11 / 25</t>
  </si>
  <si>
    <t>Demand &gt; 350 kW</t>
  </si>
  <si>
    <t>Seasonal Irrigation &amp; Drainage Pumping</t>
  </si>
  <si>
    <t>Primary Voltage</t>
  </si>
  <si>
    <t>General Service</t>
  </si>
  <si>
    <t>Interruptible Total Electric Schools</t>
  </si>
  <si>
    <t>High Voltage</t>
  </si>
  <si>
    <t>Interruptible</t>
  </si>
  <si>
    <t>Lighting</t>
  </si>
  <si>
    <t>Total Choice /Retail Wheeling</t>
  </si>
  <si>
    <t>Total Jurisdictional Retail Sales</t>
  </si>
  <si>
    <t>12 &amp; 26</t>
  </si>
  <si>
    <t>Proposed Schedule 194</t>
  </si>
  <si>
    <t>BPA Residential and Farm Energy Exchange Benefits</t>
  </si>
  <si>
    <t>Calculation</t>
  </si>
  <si>
    <t>= 3 + 5</t>
  </si>
  <si>
    <t>Total amount to be credited before revenue related expense conversion</t>
  </si>
  <si>
    <t>Revenue Related Expense Conversion Factor</t>
  </si>
  <si>
    <t>= 6 / 8</t>
  </si>
  <si>
    <t>Grossed up Total to be Credited</t>
  </si>
  <si>
    <t>= 9 / 1</t>
  </si>
  <si>
    <t>Bill Impacts:</t>
  </si>
  <si>
    <t>(including Schedules 95, 95a, 120, 129, 132, 133, 137, 140, 141, 142 and 194)</t>
  </si>
  <si>
    <t>= 17 - 16</t>
  </si>
  <si>
    <t>Increase (Decrease) to average monthly bill</t>
  </si>
  <si>
    <t>= 18 / 16</t>
  </si>
  <si>
    <t>Percentage Increase (Decrease) to average bill</t>
  </si>
  <si>
    <t>Statement of Proforma and Proposed Revenues for Federal Incentive Tracker Credit</t>
  </si>
  <si>
    <t>Increase / Decrease 
$</t>
  </si>
  <si>
    <t>Increase / Decrease
%</t>
  </si>
  <si>
    <t>e = 
b + (a * c)</t>
  </si>
  <si>
    <t>f = 
b + (a * d)</t>
  </si>
  <si>
    <t>Small Firm Resale</t>
  </si>
  <si>
    <t>005</t>
  </si>
  <si>
    <t>Excluded Schedules</t>
  </si>
  <si>
    <t>Schedule 120 - DSM</t>
  </si>
  <si>
    <t xml:space="preserve">DSM
Schedule 120 Rider Rev </t>
  </si>
  <si>
    <t>Fed Inc Tracker
Schedule 95a
Revenue</t>
  </si>
  <si>
    <t xml:space="preserve">PCORC
Schedule 95
Revenue </t>
  </si>
  <si>
    <t>Low Income
Sch 129
Rider Revenue</t>
  </si>
  <si>
    <t>Schedule 129 - Low Income</t>
  </si>
  <si>
    <t>Schedule 132 - Merger Credit</t>
  </si>
  <si>
    <t>Merger Credit
Sch 132
Rider Revenue</t>
  </si>
  <si>
    <t>Electric Merger Credit Tariff Impacts</t>
  </si>
  <si>
    <t>Docket No. UE-072375</t>
  </si>
  <si>
    <t>Schedule 132</t>
  </si>
  <si>
    <t>Rate Schedule</t>
  </si>
  <si>
    <t>Revenue Including Current Sch 132 Credit</t>
  </si>
  <si>
    <t>Revenue Including Proposed Sch 132 Credit</t>
  </si>
  <si>
    <t>$ Change in Schedule 132</t>
  </si>
  <si>
    <t>% Revenue Change</t>
  </si>
  <si>
    <t>e</t>
  </si>
  <si>
    <t>f</t>
  </si>
  <si>
    <t>g</t>
  </si>
  <si>
    <t>h = d * f + e</t>
  </si>
  <si>
    <t>i = d * g + e</t>
  </si>
  <si>
    <t>j = i - h</t>
  </si>
  <si>
    <t>k = j / h</t>
  </si>
  <si>
    <t>Secondary Voltage General Service &lt; 50 kW</t>
  </si>
  <si>
    <t>Secondary Voltage General Service &gt; 50 kW and &lt; 350 kW &amp; Irrigation</t>
  </si>
  <si>
    <t>7A, 11, 25 &amp; 29</t>
  </si>
  <si>
    <t>Secondary Voltage General Service &gt; 350 kW</t>
  </si>
  <si>
    <t>10, 31, 35 &amp; 43</t>
  </si>
  <si>
    <t>Campus</t>
  </si>
  <si>
    <t>46 &amp; 49</t>
  </si>
  <si>
    <t>Schedule 137 - REC's</t>
  </si>
  <si>
    <t>REC's
Sch 137
Rider Revenue</t>
  </si>
  <si>
    <t>Statement of Proforma and Proposed Revenues for Renewable Energy Credit</t>
  </si>
  <si>
    <t>Estimated Revenue
Including
Proposed
Sch 137</t>
  </si>
  <si>
    <t>e = 
b + (a * c / 100)</t>
  </si>
  <si>
    <t>f = 
b + (a * d / 100)</t>
  </si>
  <si>
    <t>12 / 26</t>
  </si>
  <si>
    <t>Schedule 140 - Property Tax</t>
  </si>
  <si>
    <t>Property Tax
Sch 140
Rider Revenue</t>
  </si>
  <si>
    <t>7A</t>
  </si>
  <si>
    <t>25 (11, 7A)</t>
  </si>
  <si>
    <t>PSE Rider Revenue Estimates</t>
  </si>
  <si>
    <t>2017 GRC</t>
  </si>
  <si>
    <t>TY ended September 2016</t>
  </si>
  <si>
    <t>Line No</t>
  </si>
  <si>
    <t>Schedule 141 ERF Rider</t>
  </si>
  <si>
    <t>11 / 25</t>
  </si>
  <si>
    <t>26P</t>
  </si>
  <si>
    <t>Total Retail Delivered Sales</t>
  </si>
  <si>
    <t>Total Delivered Sales</t>
  </si>
  <si>
    <t>Schedule 142 - Decoupling</t>
  </si>
  <si>
    <t>h</t>
  </si>
  <si>
    <t>i</t>
  </si>
  <si>
    <t>j</t>
  </si>
  <si>
    <t>k</t>
  </si>
  <si>
    <t>Total Secondary</t>
  </si>
  <si>
    <t>Total Primary</t>
  </si>
  <si>
    <t>Total 
Proposed
Rates</t>
  </si>
  <si>
    <t>Subtotal
Rider
Rates</t>
  </si>
  <si>
    <t>% Change (Net)</t>
  </si>
  <si>
    <t>Schedule 194 - BPA Residential Credit</t>
  </si>
  <si>
    <t>Schedule 194
BPA
Residential &amp;
Farm Credit</t>
  </si>
  <si>
    <t>REVENUE
(Including 5-1-17
Sch 120 revenue)</t>
  </si>
  <si>
    <t>8/24</t>
  </si>
  <si>
    <t>7A/11/25</t>
  </si>
  <si>
    <t>12/26</t>
  </si>
  <si>
    <t>10/31</t>
  </si>
  <si>
    <t xml:space="preserve">Transportation </t>
  </si>
  <si>
    <t>l = 
∑ (c…k)</t>
  </si>
  <si>
    <t>m = 
b + l</t>
  </si>
  <si>
    <t>Forecast Exchange Delivered Sales (MWh 12 Months October 2017 to September 2018)</t>
  </si>
  <si>
    <t>Forecast Net REP Benefits to be paid by BPA  (October 2017 to September 2018)</t>
  </si>
  <si>
    <t>Residential Exchange Balance 7-31-17 to recover over 2 years</t>
  </si>
  <si>
    <t>Proposed Residential and Farm Exchange Benefit Rate Effective 10-1-17 ($ / kWh)</t>
  </si>
  <si>
    <t>Average monthly bill for residential customer consuming 900 kWh per month</t>
  </si>
  <si>
    <t>Before proposed change in credit (Based on rates effective 9-30-17)</t>
  </si>
  <si>
    <t>After proposed change in credit (Based on rates effective 10-1-17)</t>
  </si>
  <si>
    <t>BPA FY 2018</t>
  </si>
  <si>
    <t>October 1, 2017 through September 30, 2018</t>
  </si>
  <si>
    <t>Proposed Rates
Eff. 10-1-17</t>
  </si>
  <si>
    <t>Proposed Rates
Eff. 1-1-18</t>
  </si>
  <si>
    <t>Sch 132
Current
Rate
Effective
01-01-2017</t>
  </si>
  <si>
    <t>Sch 132
Proposed
Rate
Effective
01-01-2018</t>
  </si>
  <si>
    <t>Annual kWh Delivered Sales (Normalized)
YE Dec 2018</t>
  </si>
  <si>
    <t>Estimated Net Annual Proforma Base Revenue (Excluding Sch 132)
YE Dec 2018</t>
  </si>
  <si>
    <t>kWh
Source: F2017
January 1, 2018 to December 31, 2018</t>
  </si>
  <si>
    <t>Estimated Revenue Based on Rates Effective October 1, 2017</t>
  </si>
  <si>
    <t>Sch 137
Effective
1-1-17
$ per kWh</t>
  </si>
  <si>
    <t>Proposed Sch 137
Effective
1-1-18
$ per kWh</t>
  </si>
  <si>
    <t>Estimated Revenue Including Sch 137 Effective January 1, 2017</t>
  </si>
  <si>
    <t>kWh
Source: F2017 January 2018 to December 2018</t>
  </si>
  <si>
    <t>Estimated Net Revenue @
Rates Effective
10-1-2017
(*Note 1)</t>
  </si>
  <si>
    <t>Supplemental Filing</t>
  </si>
  <si>
    <t>Difference due to Sch 40 Settlement</t>
  </si>
  <si>
    <t>Proposed Rates
Eff. 5-1-18</t>
  </si>
  <si>
    <t>Change in Sch 120 Revenue</t>
  </si>
  <si>
    <t>Decoupling
Sch 142
Rider Revenue</t>
  </si>
  <si>
    <t>Proposed kW Rates
Eff. 5-1-18</t>
  </si>
  <si>
    <t>Proposed kWh Rates
Eff. 5-1-18</t>
  </si>
  <si>
    <t>RATE EFFECTS</t>
  </si>
  <si>
    <t>F2017
Delivered kWh
05/18 to 04/19</t>
  </si>
  <si>
    <t>Projected
Revenue
05/18 to 04/19
(Note 1)</t>
  </si>
  <si>
    <t>Schedule 120
Effective
5-1-17</t>
  </si>
  <si>
    <t>Proposed
Schedule 120
Effective
5-1-18</t>
  </si>
  <si>
    <t>REVENUE
(Including 5-1-18
Sch 120 revenue)</t>
  </si>
  <si>
    <t>Note 1 - Projected Revenue Includes Base Revenue plus Rider Schedules 95, 95A, 129, 132, 137, 140, 141, 142 &amp; 194</t>
  </si>
  <si>
    <t>2018 Electric Decoupling Filing</t>
  </si>
  <si>
    <t>Schedule 142 Revenue Change</t>
  </si>
  <si>
    <t>Proposed Effective May 1, 2018</t>
  </si>
  <si>
    <t>F2017 YE April 2019</t>
  </si>
  <si>
    <t>Annual kWh Delivered Sales (Normalized)</t>
  </si>
  <si>
    <t>Annual Demand (kW or kVa)</t>
  </si>
  <si>
    <t>8</t>
  </si>
  <si>
    <t>26</t>
  </si>
  <si>
    <t>Current Rates
Eff. 5-1-17</t>
  </si>
  <si>
    <t>Decoupling
Schedule 142
Revenue 
@ 5-1-17</t>
  </si>
  <si>
    <t>Decoupling
Schedule 142
Revenue 
@ 5-1-18</t>
  </si>
  <si>
    <t>(f) = (a) x (d)
or
(f) = (b) x (d)</t>
  </si>
  <si>
    <t>(f) = (a) x (e)
or
(f) = (b) x (e)</t>
  </si>
  <si>
    <t>Impacts of Rate Change Effective May 1, 2018</t>
  </si>
  <si>
    <t>F2017 kWh 
May 2018
to April 2019</t>
  </si>
  <si>
    <t>Projected
Revenue 
(Based on Rates
Effective
1-1-2018)</t>
  </si>
  <si>
    <t>Current
Schedule 140 Property Tax Effective 5-1-17</t>
  </si>
  <si>
    <t>Proposed Schedule 140 Property Tax Effective 5-1-18</t>
  </si>
  <si>
    <t>Sch 95a
Effective
January 1, 2018
$ per kWh</t>
  </si>
  <si>
    <t>Proposed 
Sch 95a
Effective
May 1, 2018
$ per kWh</t>
  </si>
  <si>
    <t>Revenue Including
Sch 95a
Eff 1-1-18</t>
  </si>
  <si>
    <t>Revenue
Including
Proposed
Sch 95a
Effective 5-1-18</t>
  </si>
  <si>
    <t>Low Income Rate Impacts</t>
  </si>
  <si>
    <t>Test Year ended September 2019</t>
  </si>
  <si>
    <t>LFG's Monthly Summary by Class</t>
  </si>
  <si>
    <t>Rate Dept's Monthly Summary by Class</t>
  </si>
  <si>
    <t>Difference (LFG's - Rate Dept's)</t>
  </si>
  <si>
    <t>As-Delivered Monthly Sales &amp; Transportation by Rate Schedule</t>
  </si>
  <si>
    <t>(After DSM Program Impacts)</t>
  </si>
  <si>
    <t>Year</t>
  </si>
  <si>
    <t>Month</t>
  </si>
  <si>
    <t>Commercial</t>
  </si>
  <si>
    <t>Industrial</t>
  </si>
  <si>
    <t>Resale</t>
  </si>
  <si>
    <t>Sales Total</t>
  </si>
  <si>
    <t>Transport</t>
  </si>
  <si>
    <t>Sales+Transport</t>
  </si>
  <si>
    <t>RC 03</t>
  </si>
  <si>
    <t>RC 05</t>
  </si>
  <si>
    <t>RC 07</t>
  </si>
  <si>
    <t>RC 7A</t>
  </si>
  <si>
    <t>RC 08</t>
  </si>
  <si>
    <t>RC 10</t>
  </si>
  <si>
    <t>RC 11</t>
  </si>
  <si>
    <t>RC 12</t>
  </si>
  <si>
    <t>RC 24C</t>
  </si>
  <si>
    <t>RC 24I</t>
  </si>
  <si>
    <t>RC 25C</t>
  </si>
  <si>
    <t>RC 25I</t>
  </si>
  <si>
    <t>RC 26C</t>
  </si>
  <si>
    <t>RC 26I</t>
  </si>
  <si>
    <t>RC 29</t>
  </si>
  <si>
    <t>RC 31C</t>
  </si>
  <si>
    <t>RC 31I</t>
  </si>
  <si>
    <t>RC 35</t>
  </si>
  <si>
    <t>RC 40C</t>
  </si>
  <si>
    <t>RC 40I</t>
  </si>
  <si>
    <t>RC 43</t>
  </si>
  <si>
    <t>RC 46C</t>
  </si>
  <si>
    <t>RC 46I</t>
  </si>
  <si>
    <t>RC 49C</t>
  </si>
  <si>
    <t>RC 49I</t>
  </si>
  <si>
    <t>RC 24L</t>
  </si>
  <si>
    <t>RC 25L</t>
  </si>
  <si>
    <t>RC 50</t>
  </si>
  <si>
    <t>RC 51</t>
  </si>
  <si>
    <t>RC 52</t>
  </si>
  <si>
    <t>RC 53</t>
  </si>
  <si>
    <t>RC 54</t>
  </si>
  <si>
    <t>RC 55</t>
  </si>
  <si>
    <t>RC 56</t>
  </si>
  <si>
    <t>RC 57</t>
  </si>
  <si>
    <t>RC 58</t>
  </si>
  <si>
    <t>RC 59</t>
  </si>
  <si>
    <t>RC 449PV</t>
  </si>
  <si>
    <t>RC449HV</t>
  </si>
  <si>
    <t>RC 459HV</t>
  </si>
  <si>
    <t>Tariff 7</t>
  </si>
  <si>
    <t>Tariff 7A</t>
  </si>
  <si>
    <t>Tariff 24</t>
  </si>
  <si>
    <t>Tariff 25</t>
  </si>
  <si>
    <t>Tariff 26</t>
  </si>
  <si>
    <t>Tariff 29</t>
  </si>
  <si>
    <t>Tariff 31</t>
  </si>
  <si>
    <t>Tariff 35</t>
  </si>
  <si>
    <t>Tariff 43</t>
  </si>
  <si>
    <t>Tariff 40 &amp; 451</t>
  </si>
  <si>
    <t>Tariff 46</t>
  </si>
  <si>
    <t>Tariff 49</t>
  </si>
  <si>
    <t>Total Tariff</t>
  </si>
  <si>
    <t>Total Oct 2018-Sept 2019</t>
  </si>
  <si>
    <t>Annual kWh Delivered Sales YE 9-2019 (F2018)</t>
  </si>
  <si>
    <t>Estimated Annual Base Revenue Effective
6-1-2018</t>
  </si>
  <si>
    <t>Proposed Rates
Eff. 12-19-17</t>
  </si>
  <si>
    <t>Proposed Rates
Eff. 10-1-18</t>
  </si>
  <si>
    <t>Rates
Eff. 10-1-17</t>
  </si>
  <si>
    <t>Monthly Billing Demand by Rate Schedule</t>
  </si>
  <si>
    <t>Monthly kW or kVa History and Projections, Jan. 2018 - Dec. 2023</t>
  </si>
  <si>
    <t>(Actual Values for Jan. - Mar. 2018)</t>
  </si>
  <si>
    <t>Annual kW Demand YE 9-2018
(F2018)</t>
  </si>
  <si>
    <t>Schedule 142
 Deferral</t>
  </si>
  <si>
    <t>Adjustment for Low Income</t>
  </si>
  <si>
    <t>2018 Low Income Customer Charge</t>
  </si>
  <si>
    <t>For the Twelve Months ended September 2019</t>
  </si>
  <si>
    <t>Forecast Delivered kWh
Oct 2018 Through
Sept 2019</t>
  </si>
  <si>
    <t>Forecast Delivered Revenue
Oct 2018 Through
Sept 2019
(Note 1)</t>
  </si>
  <si>
    <t>2017
Low Income
Rider Effective
10-1-17</t>
  </si>
  <si>
    <t xml:space="preserve">Proposed
2018
Low Income
Rider </t>
  </si>
  <si>
    <t>$ Including 2017 Low Income Effective
10-1-17</t>
  </si>
  <si>
    <t>$ Including Proposed 2018 Low Income</t>
  </si>
  <si>
    <t>($/kWh)</t>
  </si>
  <si>
    <t>Effective June 1, 2018</t>
  </si>
  <si>
    <t>n = -f</t>
  </si>
  <si>
    <t>o</t>
  </si>
  <si>
    <t>q =
m + p</t>
  </si>
  <si>
    <t>p = 
n + o</t>
  </si>
  <si>
    <t>r = 
p / m</t>
  </si>
  <si>
    <t>Annual Estimated Revenue @ Rates Effective 9/30/2019</t>
  </si>
  <si>
    <t>Reconciled to LFG's F2018</t>
  </si>
  <si>
    <t>LFG's F2018 Forecast as of May 25, 2018</t>
  </si>
  <si>
    <t>Special Contract</t>
  </si>
  <si>
    <t>F2018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</si>
</sst>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%"/>
    <numFmt numFmtId="168" formatCode="&quot;$&quot;#,##0"/>
    <numFmt numFmtId="169" formatCode="0.00000000000000%"/>
    <numFmt numFmtId="170" formatCode="_(&quot;$&quot;* #,##0.000000_);_(&quot;$&quot;* \(#,##0.000000\);_(&quot;$&quot;* &quot;-&quot;??_);_(@_)"/>
    <numFmt numFmtId="171" formatCode="0.0000\ \¢"/>
    <numFmt numFmtId="172" formatCode="0.00000\ \¢"/>
    <numFmt numFmtId="173" formatCode="_(* #,##0.0000000_);_(* \(#,##0.0000000\);_(* &quot;-&quot;??_);_(@_)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u/>
      <sz val="11"/>
      <color indexed="8"/>
      <name val="TimesNewRomanPS"/>
    </font>
    <font>
      <sz val="11"/>
      <name val="Times New Roman"/>
      <family val="1"/>
    </font>
    <font>
      <b/>
      <sz val="11"/>
      <color indexed="8"/>
      <name val="TimesNewRomanPS"/>
    </font>
    <font>
      <b/>
      <sz val="12"/>
      <color indexed="8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sz val="10"/>
      <color rgb="FF00808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6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4">
    <xf numFmtId="0" fontId="0" fillId="0" borderId="0" xfId="0"/>
    <xf numFmtId="0" fontId="0" fillId="0" borderId="0" xfId="0" applyFill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2" fillId="0" borderId="0" xfId="0" applyNumberFormat="1" applyFont="1" applyFill="1"/>
    <xf numFmtId="0" fontId="2" fillId="0" borderId="1" xfId="0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horizontal="center" wrapText="1"/>
    </xf>
    <xf numFmtId="17" fontId="2" fillId="0" borderId="1" xfId="0" quotePrefix="1" applyNumberFormat="1" applyFont="1" applyFill="1" applyBorder="1" applyAlignment="1">
      <alignment horizontal="center" wrapText="1"/>
    </xf>
    <xf numFmtId="164" fontId="0" fillId="0" borderId="0" xfId="0" applyNumberFormat="1" applyFont="1" applyFill="1"/>
    <xf numFmtId="165" fontId="0" fillId="0" borderId="0" xfId="0" applyNumberFormat="1" applyFont="1" applyFill="1"/>
    <xf numFmtId="166" fontId="0" fillId="0" borderId="0" xfId="0" applyNumberFormat="1" applyFont="1" applyFill="1"/>
    <xf numFmtId="0" fontId="2" fillId="0" borderId="0" xfId="0" quotePrefix="1" applyFont="1" applyFill="1" applyAlignment="1">
      <alignment horizontal="left"/>
    </xf>
    <xf numFmtId="164" fontId="0" fillId="0" borderId="2" xfId="0" applyNumberFormat="1" applyFont="1" applyFill="1" applyBorder="1"/>
    <xf numFmtId="164" fontId="0" fillId="0" borderId="3" xfId="0" applyNumberFormat="1" applyFont="1" applyFill="1" applyBorder="1"/>
    <xf numFmtId="164" fontId="0" fillId="0" borderId="0" xfId="0" applyNumberFormat="1" applyFont="1" applyFill="1" applyBorder="1"/>
    <xf numFmtId="0" fontId="3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10" fillId="0" borderId="0" xfId="0" quotePrefix="1" applyFont="1" applyFill="1" applyAlignment="1"/>
    <xf numFmtId="0" fontId="10" fillId="0" borderId="0" xfId="0" applyFont="1" applyFill="1" applyAlignment="1"/>
    <xf numFmtId="0" fontId="10" fillId="0" borderId="0" xfId="0" quotePrefix="1" applyFont="1" applyFill="1" applyAlignment="1">
      <alignment horizontal="center"/>
    </xf>
    <xf numFmtId="0" fontId="3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quotePrefix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9" fillId="0" borderId="0" xfId="0" quotePrefix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6" fontId="3" fillId="0" borderId="7" xfId="0" quotePrefix="1" applyNumberFormat="1" applyFont="1" applyFill="1" applyBorder="1" applyAlignment="1">
      <alignment horizontal="center"/>
    </xf>
    <xf numFmtId="6" fontId="3" fillId="0" borderId="0" xfId="0" quotePrefix="1" applyNumberFormat="1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3" fillId="0" borderId="0" xfId="0" quotePrefix="1" applyFont="1" applyFill="1"/>
    <xf numFmtId="0" fontId="12" fillId="0" borderId="0" xfId="0" quotePrefix="1" applyFont="1" applyFill="1" applyAlignment="1">
      <alignment horizontal="left"/>
    </xf>
    <xf numFmtId="37" fontId="3" fillId="0" borderId="0" xfId="0" applyNumberFormat="1" applyFont="1" applyFill="1" applyProtection="1"/>
    <xf numFmtId="168" fontId="9" fillId="0" borderId="0" xfId="0" applyNumberFormat="1" applyFont="1" applyFill="1" applyProtection="1">
      <protection locked="0"/>
    </xf>
    <xf numFmtId="168" fontId="9" fillId="0" borderId="0" xfId="0" applyNumberFormat="1" applyFont="1" applyFill="1" applyProtection="1">
      <protection locked="0"/>
    </xf>
    <xf numFmtId="10" fontId="9" fillId="0" borderId="0" xfId="0" applyNumberFormat="1" applyFont="1" applyFill="1" applyProtection="1">
      <protection locked="0"/>
    </xf>
    <xf numFmtId="10" fontId="9" fillId="0" borderId="0" xfId="0" applyNumberFormat="1" applyFont="1" applyFill="1" applyBorder="1" applyProtection="1">
      <protection locked="0"/>
    </xf>
    <xf numFmtId="0" fontId="13" fillId="0" borderId="0" xfId="0" applyFont="1" applyFill="1" applyAlignment="1">
      <alignment horizontal="center"/>
    </xf>
    <xf numFmtId="0" fontId="14" fillId="0" borderId="0" xfId="0" quotePrefix="1" applyFont="1" applyFill="1" applyAlignment="1">
      <alignment horizontal="left" indent="1"/>
    </xf>
    <xf numFmtId="37" fontId="3" fillId="0" borderId="2" xfId="0" applyNumberFormat="1" applyFont="1" applyFill="1" applyBorder="1" applyProtection="1"/>
    <xf numFmtId="168" fontId="9" fillId="0" borderId="2" xfId="0" applyNumberFormat="1" applyFont="1" applyFill="1" applyBorder="1" applyProtection="1">
      <protection locked="0"/>
    </xf>
    <xf numFmtId="168" fontId="3" fillId="0" borderId="0" xfId="0" applyNumberFormat="1" applyFont="1" applyFill="1"/>
    <xf numFmtId="10" fontId="3" fillId="0" borderId="0" xfId="0" applyNumberFormat="1" applyFont="1" applyFill="1"/>
    <xf numFmtId="0" fontId="14" fillId="0" borderId="0" xfId="0" applyFont="1" applyFill="1"/>
    <xf numFmtId="37" fontId="3" fillId="0" borderId="0" xfId="0" applyNumberFormat="1" applyFont="1" applyFill="1"/>
    <xf numFmtId="0" fontId="9" fillId="0" borderId="0" xfId="0" quotePrefix="1" applyFont="1" applyFill="1" applyAlignment="1">
      <alignment horizontal="left"/>
    </xf>
    <xf numFmtId="0" fontId="13" fillId="0" borderId="0" xfId="0" applyFont="1" applyFill="1"/>
    <xf numFmtId="0" fontId="15" fillId="0" borderId="0" xfId="0" quotePrefix="1" applyFont="1" applyFill="1" applyAlignment="1">
      <alignment horizontal="left"/>
    </xf>
    <xf numFmtId="37" fontId="3" fillId="0" borderId="12" xfId="0" applyNumberFormat="1" applyFont="1" applyFill="1" applyBorder="1"/>
    <xf numFmtId="168" fontId="3" fillId="0" borderId="12" xfId="0" applyNumberFormat="1" applyFont="1" applyFill="1" applyBorder="1"/>
    <xf numFmtId="168" fontId="9" fillId="0" borderId="0" xfId="0" applyNumberFormat="1" applyFont="1" applyFill="1" applyBorder="1" applyProtection="1">
      <protection locked="0"/>
    </xf>
    <xf numFmtId="168" fontId="3" fillId="0" borderId="0" xfId="0" applyNumberFormat="1" applyFont="1" applyFill="1" applyBorder="1"/>
    <xf numFmtId="37" fontId="3" fillId="0" borderId="0" xfId="0" applyNumberFormat="1" applyFont="1" applyFill="1" applyBorder="1"/>
    <xf numFmtId="5" fontId="3" fillId="0" borderId="0" xfId="0" applyNumberFormat="1" applyFont="1" applyFill="1" applyBorder="1"/>
    <xf numFmtId="5" fontId="3" fillId="0" borderId="0" xfId="0" applyNumberFormat="1" applyFont="1" applyFill="1" applyBorder="1"/>
    <xf numFmtId="166" fontId="9" fillId="0" borderId="0" xfId="0" applyNumberFormat="1" applyFont="1" applyFill="1" applyBorder="1" applyProtection="1">
      <protection locked="0"/>
    </xf>
    <xf numFmtId="165" fontId="3" fillId="0" borderId="0" xfId="0" applyNumberFormat="1" applyFont="1" applyFill="1" applyAlignment="1">
      <alignment horizontal="right"/>
    </xf>
    <xf numFmtId="43" fontId="3" fillId="0" borderId="0" xfId="0" applyNumberFormat="1" applyFont="1" applyFill="1"/>
    <xf numFmtId="165" fontId="3" fillId="0" borderId="0" xfId="0" applyNumberFormat="1" applyFont="1" applyFill="1"/>
    <xf numFmtId="0" fontId="3" fillId="0" borderId="0" xfId="0" applyFont="1" applyFill="1" applyBorder="1"/>
    <xf numFmtId="165" fontId="16" fillId="0" borderId="0" xfId="0" applyNumberFormat="1" applyFont="1" applyFill="1"/>
    <xf numFmtId="166" fontId="16" fillId="0" borderId="0" xfId="0" applyNumberFormat="1" applyFont="1" applyFill="1" applyBorder="1" applyProtection="1">
      <protection locked="0"/>
    </xf>
    <xf numFmtId="1" fontId="3" fillId="0" borderId="0" xfId="0" applyNumberFormat="1" applyFont="1" applyFill="1"/>
    <xf numFmtId="166" fontId="3" fillId="0" borderId="0" xfId="0" applyNumberFormat="1" applyFont="1" applyFill="1" applyBorder="1"/>
    <xf numFmtId="1" fontId="16" fillId="0" borderId="0" xfId="0" applyNumberFormat="1" applyFont="1" applyFill="1"/>
    <xf numFmtId="166" fontId="16" fillId="0" borderId="0" xfId="0" applyNumberFormat="1" applyFont="1" applyFill="1"/>
    <xf numFmtId="169" fontId="3" fillId="0" borderId="0" xfId="0" applyNumberFormat="1" applyFont="1" applyFill="1"/>
    <xf numFmtId="166" fontId="3" fillId="0" borderId="0" xfId="0" applyNumberFormat="1" applyFont="1" applyFill="1"/>
    <xf numFmtId="166" fontId="17" fillId="0" borderId="0" xfId="0" applyNumberFormat="1" applyFont="1" applyFill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165" fontId="0" fillId="0" borderId="0" xfId="0" applyNumberFormat="1" applyFont="1" applyFill="1" applyBorder="1"/>
    <xf numFmtId="164" fontId="6" fillId="0" borderId="4" xfId="0" quotePrefix="1" applyNumberFormat="1" applyFont="1" applyFill="1" applyBorder="1" applyAlignment="1">
      <alignment horizontal="center" wrapText="1"/>
    </xf>
    <xf numFmtId="0" fontId="6" fillId="0" borderId="4" xfId="0" quotePrefix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65" fontId="2" fillId="0" borderId="0" xfId="0" applyNumberFormat="1" applyFont="1" applyFill="1" applyBorder="1"/>
    <xf numFmtId="0" fontId="2" fillId="0" borderId="0" xfId="0" applyFont="1" applyBorder="1"/>
    <xf numFmtId="164" fontId="2" fillId="0" borderId="4" xfId="0" quotePrefix="1" applyNumberFormat="1" applyFont="1" applyFill="1" applyBorder="1" applyAlignment="1">
      <alignment horizontal="center" wrapText="1"/>
    </xf>
    <xf numFmtId="0" fontId="2" fillId="0" borderId="4" xfId="0" quotePrefix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70" fontId="2" fillId="0" borderId="0" xfId="0" applyNumberFormat="1" applyFont="1" applyFill="1" applyBorder="1"/>
    <xf numFmtId="0" fontId="5" fillId="0" borderId="0" xfId="0" applyFont="1" applyFill="1" applyAlignment="1">
      <alignment horizontal="centerContinuous"/>
    </xf>
    <xf numFmtId="0" fontId="5" fillId="0" borderId="1" xfId="0" applyFont="1" applyFill="1" applyBorder="1" applyAlignment="1">
      <alignment horizontal="center" wrapText="1"/>
    </xf>
    <xf numFmtId="0" fontId="5" fillId="0" borderId="1" xfId="0" quotePrefix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quotePrefix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quotePrefix="1" applyFont="1" applyFill="1" applyBorder="1" applyAlignment="1">
      <alignment horizontal="center" wrapText="1"/>
    </xf>
    <xf numFmtId="0" fontId="5" fillId="0" borderId="0" xfId="0" applyFont="1" applyFill="1" applyAlignment="1">
      <alignment horizontal="left" indent="1"/>
    </xf>
    <xf numFmtId="164" fontId="5" fillId="0" borderId="0" xfId="0" quotePrefix="1" applyNumberFormat="1" applyFont="1" applyFill="1" applyAlignment="1">
      <alignment horizontal="left"/>
    </xf>
    <xf numFmtId="165" fontId="5" fillId="0" borderId="0" xfId="0" quotePrefix="1" applyNumberFormat="1" applyFont="1" applyFill="1" applyAlignment="1">
      <alignment horizontal="left"/>
    </xf>
    <xf numFmtId="170" fontId="5" fillId="0" borderId="0" xfId="0" quotePrefix="1" applyNumberFormat="1" applyFont="1" applyFill="1" applyAlignment="1">
      <alignment horizontal="left"/>
    </xf>
    <xf numFmtId="10" fontId="5" fillId="0" borderId="0" xfId="0" quotePrefix="1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164" fontId="5" fillId="0" borderId="2" xfId="0" applyNumberFormat="1" applyFont="1" applyFill="1" applyBorder="1"/>
    <xf numFmtId="165" fontId="5" fillId="0" borderId="2" xfId="0" applyNumberFormat="1" applyFont="1" applyFill="1" applyBorder="1"/>
    <xf numFmtId="170" fontId="5" fillId="0" borderId="2" xfId="0" applyNumberFormat="1" applyFont="1" applyFill="1" applyBorder="1"/>
    <xf numFmtId="10" fontId="5" fillId="0" borderId="2" xfId="0" applyNumberFormat="1" applyFont="1" applyFill="1" applyBorder="1" applyAlignment="1">
      <alignment horizontal="center"/>
    </xf>
    <xf numFmtId="164" fontId="5" fillId="0" borderId="0" xfId="0" applyNumberFormat="1" applyFont="1" applyFill="1" applyBorder="1"/>
    <xf numFmtId="165" fontId="5" fillId="0" borderId="0" xfId="0" applyNumberFormat="1" applyFont="1" applyFill="1" applyBorder="1"/>
    <xf numFmtId="170" fontId="5" fillId="0" borderId="0" xfId="0" applyNumberFormat="1" applyFont="1" applyFill="1" applyBorder="1"/>
    <xf numFmtId="10" fontId="5" fillId="0" borderId="0" xfId="0" applyNumberFormat="1" applyFont="1" applyFill="1" applyBorder="1" applyAlignment="1">
      <alignment horizontal="center"/>
    </xf>
    <xf numFmtId="0" fontId="5" fillId="0" borderId="0" xfId="0" quotePrefix="1" applyFont="1" applyFill="1" applyAlignment="1">
      <alignment horizontal="left" indent="1"/>
    </xf>
    <xf numFmtId="0" fontId="5" fillId="0" borderId="0" xfId="0" quotePrefix="1" applyFont="1" applyFill="1" applyAlignment="1">
      <alignment horizontal="left"/>
    </xf>
    <xf numFmtId="164" fontId="5" fillId="0" borderId="3" xfId="0" applyNumberFormat="1" applyFont="1" applyFill="1" applyBorder="1"/>
    <xf numFmtId="165" fontId="5" fillId="0" borderId="3" xfId="0" applyNumberFormat="1" applyFont="1" applyFill="1" applyBorder="1"/>
    <xf numFmtId="170" fontId="5" fillId="0" borderId="3" xfId="0" applyNumberFormat="1" applyFont="1" applyFill="1" applyBorder="1"/>
    <xf numFmtId="10" fontId="5" fillId="0" borderId="3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6" fillId="0" borderId="0" xfId="0" quotePrefix="1" applyFont="1" applyFill="1" applyBorder="1" applyAlignment="1">
      <alignment horizontal="left"/>
    </xf>
    <xf numFmtId="164" fontId="6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164" fontId="2" fillId="0" borderId="0" xfId="0" applyNumberFormat="1" applyFont="1" applyFill="1" applyBorder="1"/>
    <xf numFmtId="165" fontId="6" fillId="0" borderId="2" xfId="0" applyNumberFormat="1" applyFont="1" applyFill="1" applyBorder="1"/>
    <xf numFmtId="165" fontId="2" fillId="0" borderId="0" xfId="0" applyNumberFormat="1" applyFont="1" applyFill="1" applyBorder="1"/>
    <xf numFmtId="0" fontId="0" fillId="0" borderId="0" xfId="0" quotePrefix="1" applyFill="1" applyBorder="1" applyAlignment="1">
      <alignment horizontal="left" indent="1"/>
    </xf>
    <xf numFmtId="165" fontId="2" fillId="0" borderId="0" xfId="0" applyNumberFormat="1" applyFont="1" applyFill="1" applyBorder="1"/>
    <xf numFmtId="0" fontId="0" fillId="0" borderId="0" xfId="0" applyFill="1" applyBorder="1" applyAlignment="1">
      <alignment horizontal="left" indent="2"/>
    </xf>
    <xf numFmtId="165" fontId="2" fillId="0" borderId="2" xfId="0" applyNumberFormat="1" applyFont="1" applyFill="1" applyBorder="1"/>
    <xf numFmtId="0" fontId="0" fillId="0" borderId="0" xfId="0" quotePrefix="1" applyFill="1" applyBorder="1" applyAlignment="1">
      <alignment horizontal="left" indent="3"/>
    </xf>
    <xf numFmtId="173" fontId="2" fillId="0" borderId="0" xfId="0" applyNumberFormat="1" applyFont="1" applyFill="1" applyBorder="1"/>
    <xf numFmtId="0" fontId="6" fillId="0" borderId="0" xfId="0" quotePrefix="1" applyFont="1" applyFill="1" applyBorder="1" applyAlignment="1">
      <alignment horizontal="left" indent="4"/>
    </xf>
    <xf numFmtId="165" fontId="6" fillId="0" borderId="3" xfId="0" applyNumberFormat="1" applyFont="1" applyFill="1" applyBorder="1"/>
    <xf numFmtId="0" fontId="2" fillId="0" borderId="0" xfId="0" applyFont="1" applyFill="1" applyBorder="1"/>
    <xf numFmtId="170" fontId="6" fillId="0" borderId="3" xfId="0" applyNumberFormat="1" applyFont="1" applyFill="1" applyBorder="1"/>
    <xf numFmtId="0" fontId="19" fillId="0" borderId="0" xfId="0" applyFont="1" applyFill="1" applyBorder="1"/>
    <xf numFmtId="44" fontId="2" fillId="0" borderId="0" xfId="0" applyNumberFormat="1" applyFont="1" applyFill="1" applyBorder="1"/>
    <xf numFmtId="44" fontId="2" fillId="0" borderId="2" xfId="0" applyNumberFormat="1" applyFont="1" applyFill="1" applyBorder="1"/>
    <xf numFmtId="0" fontId="6" fillId="0" borderId="0" xfId="0" quotePrefix="1" applyFont="1" applyFill="1" applyBorder="1" applyAlignment="1">
      <alignment horizontal="left" indent="1"/>
    </xf>
    <xf numFmtId="0" fontId="4" fillId="0" borderId="0" xfId="0" applyFont="1"/>
    <xf numFmtId="0" fontId="0" fillId="0" borderId="0" xfId="0" quotePrefix="1" applyAlignment="1">
      <alignment horizontal="left"/>
    </xf>
    <xf numFmtId="165" fontId="0" fillId="0" borderId="0" xfId="0" applyNumberFormat="1"/>
    <xf numFmtId="0" fontId="2" fillId="0" borderId="13" xfId="0" applyFont="1" applyFill="1" applyBorder="1" applyAlignment="1">
      <alignment horizontal="centerContinuous"/>
    </xf>
    <xf numFmtId="0" fontId="2" fillId="0" borderId="14" xfId="0" applyFont="1" applyFill="1" applyBorder="1" applyAlignment="1">
      <alignment horizontal="centerContinuous"/>
    </xf>
    <xf numFmtId="0" fontId="2" fillId="0" borderId="15" xfId="0" applyFont="1" applyFill="1" applyBorder="1" applyAlignment="1">
      <alignment horizontal="centerContinuous"/>
    </xf>
    <xf numFmtId="0" fontId="2" fillId="0" borderId="16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17" xfId="0" applyFont="1" applyFill="1" applyBorder="1" applyAlignment="1">
      <alignment horizontal="centerContinuous"/>
    </xf>
    <xf numFmtId="0" fontId="2" fillId="0" borderId="1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6" xfId="0" applyFont="1" applyFill="1" applyBorder="1" applyAlignment="1">
      <alignment horizontal="center" wrapText="1"/>
    </xf>
    <xf numFmtId="164" fontId="2" fillId="0" borderId="0" xfId="0" quotePrefix="1" applyNumberFormat="1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center" wrapText="1"/>
    </xf>
    <xf numFmtId="0" fontId="2" fillId="0" borderId="17" xfId="0" quotePrefix="1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164" fontId="2" fillId="0" borderId="0" xfId="0" quotePrefix="1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center" vertical="top" wrapText="1"/>
    </xf>
    <xf numFmtId="0" fontId="2" fillId="0" borderId="17" xfId="0" quotePrefix="1" applyFont="1" applyFill="1" applyBorder="1" applyAlignment="1">
      <alignment horizontal="center" vertical="top" wrapText="1"/>
    </xf>
    <xf numFmtId="10" fontId="2" fillId="0" borderId="17" xfId="0" applyNumberFormat="1" applyFont="1" applyFill="1" applyBorder="1"/>
    <xf numFmtId="171" fontId="2" fillId="0" borderId="0" xfId="0" applyNumberFormat="1" applyFont="1" applyFill="1" applyBorder="1"/>
    <xf numFmtId="0" fontId="2" fillId="0" borderId="0" xfId="0" quotePrefix="1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quotePrefix="1" applyFont="1" applyFill="1" applyBorder="1" applyAlignment="1"/>
    <xf numFmtId="0" fontId="2" fillId="0" borderId="18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164" fontId="2" fillId="0" borderId="4" xfId="0" applyNumberFormat="1" applyFont="1" applyFill="1" applyBorder="1"/>
    <xf numFmtId="165" fontId="2" fillId="0" borderId="4" xfId="0" applyNumberFormat="1" applyFont="1" applyFill="1" applyBorder="1"/>
    <xf numFmtId="0" fontId="2" fillId="0" borderId="19" xfId="0" applyFont="1" applyFill="1" applyBorder="1"/>
    <xf numFmtId="170" fontId="2" fillId="0" borderId="0" xfId="0" applyNumberFormat="1" applyFont="1" applyFill="1"/>
    <xf numFmtId="165" fontId="0" fillId="0" borderId="0" xfId="0" applyNumberFormat="1" applyFont="1" applyFill="1"/>
    <xf numFmtId="170" fontId="2" fillId="0" borderId="2" xfId="0" applyNumberFormat="1" applyFont="1" applyFill="1" applyBorder="1"/>
    <xf numFmtId="165" fontId="0" fillId="0" borderId="2" xfId="0" applyNumberFormat="1" applyFont="1" applyFill="1" applyBorder="1"/>
    <xf numFmtId="170" fontId="0" fillId="0" borderId="0" xfId="0" applyNumberFormat="1" applyFill="1"/>
    <xf numFmtId="170" fontId="2" fillId="0" borderId="3" xfId="0" applyNumberFormat="1" applyFont="1" applyFill="1" applyBorder="1"/>
    <xf numFmtId="165" fontId="0" fillId="0" borderId="3" xfId="0" applyNumberFormat="1" applyFont="1" applyFill="1" applyBorder="1"/>
    <xf numFmtId="0" fontId="0" fillId="0" borderId="14" xfId="0" applyFill="1" applyBorder="1" applyAlignment="1">
      <alignment horizontal="centerContinuous"/>
    </xf>
    <xf numFmtId="164" fontId="2" fillId="0" borderId="14" xfId="0" applyNumberFormat="1" applyFont="1" applyFill="1" applyBorder="1" applyAlignment="1">
      <alignment horizontal="centerContinuous"/>
    </xf>
    <xf numFmtId="0" fontId="0" fillId="0" borderId="15" xfId="0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2" fillId="0" borderId="0" xfId="0" applyNumberFormat="1" applyFont="1" applyFill="1" applyBorder="1" applyAlignment="1">
      <alignment horizontal="centerContinuous"/>
    </xf>
    <xf numFmtId="0" fontId="0" fillId="0" borderId="17" xfId="0" applyFill="1" applyBorder="1" applyAlignment="1">
      <alignment horizontal="centerContinuous"/>
    </xf>
    <xf numFmtId="0" fontId="2" fillId="0" borderId="16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0" fontId="2" fillId="0" borderId="17" xfId="0" applyFont="1" applyFill="1" applyBorder="1"/>
    <xf numFmtId="0" fontId="6" fillId="0" borderId="18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19" xfId="0" quotePrefix="1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164" fontId="2" fillId="0" borderId="0" xfId="0" quotePrefix="1" applyNumberFormat="1" applyFont="1" applyFill="1" applyBorder="1" applyAlignment="1">
      <alignment horizontal="center" wrapText="1"/>
    </xf>
    <xf numFmtId="0" fontId="2" fillId="0" borderId="17" xfId="0" quotePrefix="1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14" xfId="0" applyFont="1" applyFill="1" applyBorder="1" applyAlignment="1">
      <alignment horizontal="center"/>
    </xf>
    <xf numFmtId="164" fontId="2" fillId="0" borderId="14" xfId="0" applyNumberFormat="1" applyFont="1" applyFill="1" applyBorder="1"/>
    <xf numFmtId="0" fontId="2" fillId="0" borderId="15" xfId="0" applyFont="1" applyFill="1" applyBorder="1"/>
    <xf numFmtId="170" fontId="2" fillId="0" borderId="0" xfId="0" applyNumberFormat="1" applyFont="1" applyFill="1" applyBorder="1"/>
    <xf numFmtId="167" fontId="2" fillId="0" borderId="17" xfId="0" applyNumberFormat="1" applyFont="1" applyFill="1" applyBorder="1" applyAlignment="1">
      <alignment horizontal="right"/>
    </xf>
    <xf numFmtId="171" fontId="2" fillId="0" borderId="0" xfId="0" applyNumberFormat="1" applyFont="1" applyFill="1" applyBorder="1"/>
    <xf numFmtId="0" fontId="2" fillId="0" borderId="0" xfId="0" quotePrefix="1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right"/>
    </xf>
    <xf numFmtId="0" fontId="2" fillId="0" borderId="18" xfId="0" applyFont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164" fontId="2" fillId="0" borderId="4" xfId="0" applyNumberFormat="1" applyFont="1" applyFill="1" applyBorder="1"/>
    <xf numFmtId="0" fontId="2" fillId="0" borderId="19" xfId="0" applyFont="1" applyFill="1" applyBorder="1"/>
    <xf numFmtId="5" fontId="3" fillId="0" borderId="0" xfId="0" applyNumberFormat="1" applyFont="1" applyFill="1" applyBorder="1" applyAlignment="1">
      <alignment horizontal="center"/>
    </xf>
    <xf numFmtId="5" fontId="3" fillId="0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 wrapText="1"/>
    </xf>
    <xf numFmtId="0" fontId="0" fillId="0" borderId="1" xfId="0" quotePrefix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quotePrefix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quotePrefix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2" fillId="0" borderId="0" xfId="0" applyNumberFormat="1" applyFont="1"/>
    <xf numFmtId="165" fontId="2" fillId="0" borderId="0" xfId="0" applyNumberFormat="1" applyFont="1"/>
    <xf numFmtId="170" fontId="0" fillId="0" borderId="0" xfId="0" applyNumberFormat="1" applyFont="1" applyAlignment="1">
      <alignment horizontal="center"/>
    </xf>
    <xf numFmtId="170" fontId="0" fillId="0" borderId="0" xfId="0" applyNumberFormat="1" applyFont="1" applyFill="1" applyAlignment="1">
      <alignment horizontal="center"/>
    </xf>
    <xf numFmtId="165" fontId="0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42" fontId="0" fillId="0" borderId="0" xfId="0" applyNumberFormat="1" applyAlignment="1">
      <alignment horizontal="center"/>
    </xf>
    <xf numFmtId="42" fontId="0" fillId="0" borderId="0" xfId="0" applyNumberFormat="1" applyFill="1" applyAlignment="1">
      <alignment horizontal="center"/>
    </xf>
    <xf numFmtId="165" fontId="2" fillId="0" borderId="0" xfId="0" applyNumberFormat="1" applyFont="1" applyFill="1" applyBorder="1"/>
    <xf numFmtId="10" fontId="2" fillId="0" borderId="17" xfId="0" applyNumberFormat="1" applyFont="1" applyFill="1" applyBorder="1"/>
    <xf numFmtId="17" fontId="2" fillId="0" borderId="10" xfId="0" quotePrefix="1" applyNumberFormat="1" applyFont="1" applyFill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5" fontId="4" fillId="0" borderId="0" xfId="0" applyNumberFormat="1" applyFont="1" applyFill="1" applyAlignment="1">
      <alignment horizontal="center"/>
    </xf>
    <xf numFmtId="42" fontId="4" fillId="0" borderId="0" xfId="0" applyNumberFormat="1" applyFont="1"/>
    <xf numFmtId="165" fontId="4" fillId="0" borderId="0" xfId="0" applyNumberFormat="1" applyFont="1"/>
    <xf numFmtId="17" fontId="2" fillId="0" borderId="0" xfId="0" quotePrefix="1" applyNumberFormat="1" applyFont="1" applyFill="1" applyBorder="1" applyAlignment="1">
      <alignment horizontal="center" wrapText="1"/>
    </xf>
    <xf numFmtId="0" fontId="2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0" xfId="0" quotePrefix="1" applyFont="1" applyFill="1" applyBorder="1" applyAlignment="1">
      <alignment horizontal="center" vertical="top" wrapText="1"/>
    </xf>
    <xf numFmtId="17" fontId="2" fillId="0" borderId="0" xfId="0" quotePrefix="1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164" fontId="0" fillId="0" borderId="0" xfId="0" applyNumberFormat="1" applyFont="1"/>
    <xf numFmtId="165" fontId="0" fillId="0" borderId="0" xfId="0" applyNumberFormat="1" applyFont="1" applyFill="1" applyBorder="1"/>
    <xf numFmtId="170" fontId="0" fillId="0" borderId="0" xfId="0" applyNumberFormat="1" applyFont="1" applyFill="1"/>
    <xf numFmtId="0" fontId="5" fillId="0" borderId="0" xfId="0" applyFont="1" applyFill="1"/>
    <xf numFmtId="0" fontId="2" fillId="0" borderId="13" xfId="0" applyFont="1" applyBorder="1"/>
    <xf numFmtId="0" fontId="2" fillId="0" borderId="14" xfId="0" applyFont="1" applyBorder="1" applyAlignment="1">
      <alignment horizontal="centerContinuous"/>
    </xf>
    <xf numFmtId="164" fontId="2" fillId="0" borderId="14" xfId="0" applyNumberFormat="1" applyFont="1" applyBorder="1" applyAlignment="1">
      <alignment horizontal="centerContinuous"/>
    </xf>
    <xf numFmtId="0" fontId="2" fillId="0" borderId="15" xfId="0" applyFont="1" applyBorder="1" applyAlignment="1">
      <alignment horizontal="centerContinuous"/>
    </xf>
    <xf numFmtId="0" fontId="2" fillId="0" borderId="16" xfId="0" applyFont="1" applyBorder="1"/>
    <xf numFmtId="0" fontId="2" fillId="0" borderId="0" xfId="0" applyFont="1" applyBorder="1" applyAlignment="1">
      <alignment horizontal="centerContinuous"/>
    </xf>
    <xf numFmtId="164" fontId="2" fillId="0" borderId="0" xfId="0" applyNumberFormat="1" applyFont="1" applyBorder="1" applyAlignment="1">
      <alignment horizontal="centerContinuous"/>
    </xf>
    <xf numFmtId="0" fontId="2" fillId="0" borderId="17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0" fontId="2" fillId="0" borderId="17" xfId="0" applyFont="1" applyBorder="1"/>
    <xf numFmtId="0" fontId="2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2" fillId="0" borderId="1" xfId="0" quotePrefix="1" applyNumberFormat="1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horizontal="center" wrapText="1"/>
    </xf>
    <xf numFmtId="164" fontId="2" fillId="0" borderId="1" xfId="0" quotePrefix="1" applyNumberFormat="1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 wrapText="1"/>
    </xf>
    <xf numFmtId="0" fontId="2" fillId="0" borderId="22" xfId="0" quotePrefix="1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4" fontId="2" fillId="0" borderId="0" xfId="0" quotePrefix="1" applyNumberFormat="1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5" fontId="2" fillId="0" borderId="0" xfId="0" applyNumberFormat="1" applyFont="1" applyBorder="1"/>
    <xf numFmtId="170" fontId="2" fillId="0" borderId="0" xfId="0" applyNumberFormat="1" applyFont="1" applyBorder="1"/>
    <xf numFmtId="0" fontId="2" fillId="0" borderId="0" xfId="0" quotePrefix="1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2" fillId="0" borderId="0" xfId="0" quotePrefix="1" applyFont="1" applyBorder="1" applyAlignment="1">
      <alignment horizontal="left"/>
    </xf>
    <xf numFmtId="0" fontId="2" fillId="0" borderId="18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/>
    <xf numFmtId="172" fontId="2" fillId="0" borderId="4" xfId="0" applyNumberFormat="1" applyFont="1" applyBorder="1"/>
    <xf numFmtId="0" fontId="2" fillId="0" borderId="19" xfId="0" applyFont="1" applyBorder="1"/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65" fontId="0" fillId="0" borderId="0" xfId="0" applyNumberFormat="1" applyFont="1" applyFill="1"/>
    <xf numFmtId="165" fontId="0" fillId="0" borderId="2" xfId="0" applyNumberFormat="1" applyFont="1" applyFill="1" applyBorder="1"/>
    <xf numFmtId="166" fontId="9" fillId="0" borderId="0" xfId="0" applyNumberFormat="1" applyFont="1" applyFill="1" applyProtection="1">
      <protection locked="0"/>
    </xf>
    <xf numFmtId="166" fontId="9" fillId="0" borderId="2" xfId="0" applyNumberFormat="1" applyFont="1" applyFill="1" applyBorder="1" applyProtection="1">
      <protection locked="0"/>
    </xf>
    <xf numFmtId="166" fontId="9" fillId="0" borderId="12" xfId="0" applyNumberFormat="1" applyFont="1" applyFill="1" applyBorder="1" applyProtection="1">
      <protection locked="0"/>
    </xf>
    <xf numFmtId="10" fontId="6" fillId="0" borderId="3" xfId="0" applyNumberFormat="1" applyFont="1" applyFill="1" applyBorder="1"/>
    <xf numFmtId="0" fontId="0" fillId="0" borderId="13" xfId="0" applyBorder="1" applyAlignment="1">
      <alignment horizontal="centerContinuous"/>
    </xf>
    <xf numFmtId="0" fontId="0" fillId="0" borderId="16" xfId="0" applyBorder="1" applyAlignment="1">
      <alignment horizontal="centerContinuous"/>
    </xf>
    <xf numFmtId="167" fontId="2" fillId="0" borderId="0" xfId="0" applyNumberFormat="1" applyFont="1"/>
    <xf numFmtId="167" fontId="0" fillId="0" borderId="0" xfId="0" applyNumberFormat="1"/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164" fontId="0" fillId="0" borderId="0" xfId="0" applyNumberFormat="1" applyFont="1" applyFill="1"/>
    <xf numFmtId="17" fontId="2" fillId="0" borderId="6" xfId="0" quotePrefix="1" applyNumberFormat="1" applyFont="1" applyFill="1" applyBorder="1" applyAlignment="1">
      <alignment horizontal="center" wrapText="1"/>
    </xf>
    <xf numFmtId="0" fontId="0" fillId="0" borderId="0" xfId="0" quotePrefix="1" applyFill="1" applyAlignment="1">
      <alignment horizontal="left"/>
    </xf>
    <xf numFmtId="0" fontId="2" fillId="0" borderId="0" xfId="0" quotePrefix="1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10" fontId="2" fillId="0" borderId="17" xfId="0" applyNumberFormat="1" applyFont="1" applyBorder="1" applyAlignment="1">
      <alignment horizontal="right"/>
    </xf>
    <xf numFmtId="165" fontId="0" fillId="0" borderId="0" xfId="0" applyNumberFormat="1" applyFill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 wrapText="1"/>
    </xf>
    <xf numFmtId="0" fontId="2" fillId="0" borderId="0" xfId="0" quotePrefix="1" applyFont="1" applyFill="1" applyAlignment="1">
      <alignment horizontal="center" wrapText="1"/>
    </xf>
    <xf numFmtId="0" fontId="2" fillId="0" borderId="1" xfId="0" quotePrefix="1" applyFont="1" applyFill="1" applyBorder="1" applyAlignment="1">
      <alignment horizontal="center" wrapText="1"/>
    </xf>
    <xf numFmtId="17" fontId="2" fillId="0" borderId="1" xfId="0" quotePrefix="1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center" wrapText="1"/>
    </xf>
    <xf numFmtId="17" fontId="2" fillId="0" borderId="0" xfId="0" quotePrefix="1" applyNumberFormat="1" applyFont="1" applyFill="1" applyBorder="1" applyAlignment="1">
      <alignment horizontal="center" wrapText="1"/>
    </xf>
    <xf numFmtId="164" fontId="22" fillId="0" borderId="0" xfId="0" applyNumberFormat="1" applyFont="1" applyFill="1"/>
    <xf numFmtId="164" fontId="21" fillId="0" borderId="0" xfId="0" applyNumberFormat="1" applyFont="1" applyFill="1"/>
    <xf numFmtId="165" fontId="22" fillId="0" borderId="0" xfId="0" applyNumberFormat="1" applyFont="1" applyFill="1"/>
    <xf numFmtId="170" fontId="22" fillId="0" borderId="0" xfId="0" applyNumberFormat="1" applyFont="1" applyFill="1" applyBorder="1"/>
    <xf numFmtId="170" fontId="18" fillId="0" borderId="0" xfId="0" applyNumberFormat="1" applyFont="1" applyFill="1" applyBorder="1"/>
    <xf numFmtId="165" fontId="21" fillId="0" borderId="0" xfId="0" applyNumberFormat="1" applyFont="1" applyFill="1"/>
    <xf numFmtId="164" fontId="21" fillId="0" borderId="2" xfId="0" applyNumberFormat="1" applyFont="1" applyFill="1" applyBorder="1"/>
    <xf numFmtId="165" fontId="21" fillId="0" borderId="2" xfId="0" applyNumberFormat="1" applyFont="1" applyFill="1" applyBorder="1"/>
    <xf numFmtId="170" fontId="2" fillId="0" borderId="0" xfId="0" applyNumberFormat="1" applyFont="1" applyFill="1" applyBorder="1"/>
    <xf numFmtId="0" fontId="2" fillId="0" borderId="0" xfId="0" applyFont="1" applyFill="1" applyBorder="1"/>
    <xf numFmtId="44" fontId="22" fillId="0" borderId="0" xfId="0" applyNumberFormat="1" applyFont="1" applyFill="1" applyBorder="1"/>
    <xf numFmtId="44" fontId="18" fillId="0" borderId="0" xfId="0" applyNumberFormat="1" applyFont="1" applyFill="1" applyBorder="1"/>
    <xf numFmtId="0" fontId="2" fillId="0" borderId="0" xfId="0" quotePrefix="1" applyFont="1" applyFill="1" applyAlignment="1">
      <alignment horizontal="left"/>
    </xf>
    <xf numFmtId="0" fontId="22" fillId="0" borderId="0" xfId="0" applyFont="1" applyFill="1"/>
    <xf numFmtId="164" fontId="22" fillId="0" borderId="2" xfId="0" applyNumberFormat="1" applyFont="1" applyFill="1" applyBorder="1"/>
    <xf numFmtId="170" fontId="2" fillId="0" borderId="0" xfId="0" applyNumberFormat="1" applyFont="1" applyFill="1"/>
    <xf numFmtId="164" fontId="21" fillId="0" borderId="3" xfId="0" applyNumberFormat="1" applyFont="1" applyFill="1" applyBorder="1"/>
    <xf numFmtId="165" fontId="21" fillId="0" borderId="3" xfId="0" applyNumberFormat="1" applyFont="1" applyFill="1" applyBorder="1"/>
    <xf numFmtId="0" fontId="2" fillId="0" borderId="20" xfId="0" applyFont="1" applyFill="1" applyBorder="1" applyAlignment="1">
      <alignment horizontal="center"/>
    </xf>
    <xf numFmtId="0" fontId="23" fillId="0" borderId="0" xfId="0" applyFont="1"/>
    <xf numFmtId="0" fontId="23" fillId="3" borderId="0" xfId="0" applyFont="1" applyFill="1"/>
    <xf numFmtId="0" fontId="0" fillId="3" borderId="0" xfId="0" applyFill="1"/>
    <xf numFmtId="0" fontId="23" fillId="3" borderId="0" xfId="0" applyFont="1" applyFill="1" applyAlignment="1"/>
    <xf numFmtId="0" fontId="25" fillId="0" borderId="0" xfId="0" applyFont="1"/>
    <xf numFmtId="0" fontId="24" fillId="3" borderId="0" xfId="0" applyFont="1" applyFill="1"/>
    <xf numFmtId="0" fontId="24" fillId="3" borderId="0" xfId="0" applyFont="1" applyFill="1" applyAlignment="1"/>
    <xf numFmtId="0" fontId="25" fillId="3" borderId="0" xfId="0" applyFont="1" applyFill="1"/>
    <xf numFmtId="0" fontId="25" fillId="3" borderId="0" xfId="0" applyFont="1" applyFill="1" applyAlignment="1"/>
    <xf numFmtId="0" fontId="26" fillId="0" borderId="0" xfId="0" applyFont="1"/>
    <xf numFmtId="0" fontId="26" fillId="3" borderId="0" xfId="0" applyFont="1" applyFill="1"/>
    <xf numFmtId="0" fontId="26" fillId="3" borderId="0" xfId="0" applyFont="1" applyFill="1" applyAlignment="1"/>
    <xf numFmtId="0" fontId="27" fillId="0" borderId="0" xfId="0" applyFont="1"/>
    <xf numFmtId="0" fontId="27" fillId="3" borderId="0" xfId="0" applyFont="1" applyFill="1"/>
    <xf numFmtId="0" fontId="27" fillId="3" borderId="0" xfId="0" applyFont="1" applyFill="1" applyAlignment="1"/>
    <xf numFmtId="0" fontId="28" fillId="0" borderId="20" xfId="0" applyFont="1" applyFill="1" applyBorder="1" applyAlignment="1">
      <alignment horizontal="center"/>
    </xf>
    <xf numFmtId="0" fontId="28" fillId="0" borderId="23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28" fillId="3" borderId="20" xfId="0" applyFont="1" applyFill="1" applyBorder="1" applyAlignment="1">
      <alignment horizontal="center"/>
    </xf>
    <xf numFmtId="0" fontId="28" fillId="3" borderId="2" xfId="0" applyFont="1" applyFill="1" applyBorder="1" applyAlignment="1">
      <alignment horizontal="center"/>
    </xf>
    <xf numFmtId="0" fontId="28" fillId="3" borderId="23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8" fillId="0" borderId="8" xfId="0" quotePrefix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3" fontId="0" fillId="4" borderId="8" xfId="0" applyNumberFormat="1" applyFill="1" applyBorder="1"/>
    <xf numFmtId="3" fontId="0" fillId="4" borderId="9" xfId="0" applyNumberFormat="1" applyFill="1" applyBorder="1"/>
    <xf numFmtId="3" fontId="0" fillId="0" borderId="24" xfId="0" applyNumberFormat="1" applyBorder="1"/>
    <xf numFmtId="3" fontId="0" fillId="4" borderId="25" xfId="0" applyNumberFormat="1" applyFill="1" applyBorder="1"/>
    <xf numFmtId="3" fontId="0" fillId="0" borderId="25" xfId="0" applyNumberFormat="1" applyBorder="1"/>
    <xf numFmtId="3" fontId="0" fillId="0" borderId="8" xfId="0" applyNumberFormat="1" applyBorder="1"/>
    <xf numFmtId="3" fontId="0" fillId="0" borderId="9" xfId="0" applyNumberFormat="1" applyBorder="1"/>
    <xf numFmtId="0" fontId="0" fillId="3" borderId="24" xfId="0" applyFill="1" applyBorder="1" applyAlignment="1">
      <alignment horizontal="center"/>
    </xf>
    <xf numFmtId="3" fontId="0" fillId="3" borderId="5" xfId="0" applyNumberFormat="1" applyFill="1" applyBorder="1" applyAlignment="1">
      <alignment horizontal="right"/>
    </xf>
    <xf numFmtId="3" fontId="0" fillId="3" borderId="8" xfId="0" applyNumberFormat="1" applyFill="1" applyBorder="1"/>
    <xf numFmtId="3" fontId="0" fillId="3" borderId="24" xfId="0" applyNumberFormat="1" applyFill="1" applyBorder="1"/>
    <xf numFmtId="164" fontId="4" fillId="0" borderId="0" xfId="0" applyNumberFormat="1" applyFont="1" applyFill="1" applyBorder="1"/>
    <xf numFmtId="3" fontId="0" fillId="0" borderId="0" xfId="0" applyNumberFormat="1" applyFill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3" fontId="0" fillId="4" borderId="0" xfId="0" applyNumberFormat="1" applyFill="1" applyBorder="1"/>
    <xf numFmtId="3" fontId="0" fillId="4" borderId="27" xfId="0" applyNumberFormat="1" applyFill="1" applyBorder="1"/>
    <xf numFmtId="3" fontId="0" fillId="0" borderId="0" xfId="0" applyNumberFormat="1" applyBorder="1"/>
    <xf numFmtId="3" fontId="0" fillId="0" borderId="27" xfId="0" applyNumberFormat="1" applyBorder="1"/>
    <xf numFmtId="0" fontId="0" fillId="3" borderId="25" xfId="0" applyFill="1" applyBorder="1"/>
    <xf numFmtId="0" fontId="0" fillId="3" borderId="25" xfId="0" applyFill="1" applyBorder="1" applyAlignment="1">
      <alignment horizontal="center"/>
    </xf>
    <xf numFmtId="3" fontId="0" fillId="3" borderId="26" xfId="0" applyNumberFormat="1" applyFill="1" applyBorder="1" applyAlignment="1">
      <alignment horizontal="right"/>
    </xf>
    <xf numFmtId="3" fontId="0" fillId="3" borderId="0" xfId="0" applyNumberFormat="1" applyFill="1" applyBorder="1"/>
    <xf numFmtId="3" fontId="0" fillId="3" borderId="25" xfId="0" applyNumberFormat="1" applyFill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3" fontId="0" fillId="4" borderId="4" xfId="0" applyNumberFormat="1" applyFill="1" applyBorder="1"/>
    <xf numFmtId="3" fontId="0" fillId="4" borderId="29" xfId="0" applyNumberFormat="1" applyFill="1" applyBorder="1"/>
    <xf numFmtId="3" fontId="0" fillId="0" borderId="30" xfId="0" applyNumberFormat="1" applyBorder="1"/>
    <xf numFmtId="3" fontId="0" fillId="4" borderId="30" xfId="0" applyNumberFormat="1" applyFill="1" applyBorder="1"/>
    <xf numFmtId="0" fontId="0" fillId="0" borderId="4" xfId="0" applyBorder="1"/>
    <xf numFmtId="3" fontId="0" fillId="0" borderId="4" xfId="0" applyNumberFormat="1" applyBorder="1"/>
    <xf numFmtId="3" fontId="0" fillId="0" borderId="29" xfId="0" applyNumberFormat="1" applyBorder="1"/>
    <xf numFmtId="0" fontId="0" fillId="3" borderId="30" xfId="0" applyFill="1" applyBorder="1"/>
    <xf numFmtId="0" fontId="0" fillId="3" borderId="30" xfId="0" applyFill="1" applyBorder="1" applyAlignment="1">
      <alignment horizontal="center"/>
    </xf>
    <xf numFmtId="3" fontId="0" fillId="3" borderId="28" xfId="0" applyNumberFormat="1" applyFill="1" applyBorder="1" applyAlignment="1">
      <alignment horizontal="right"/>
    </xf>
    <xf numFmtId="3" fontId="0" fillId="3" borderId="4" xfId="0" applyNumberFormat="1" applyFill="1" applyBorder="1"/>
    <xf numFmtId="3" fontId="0" fillId="3" borderId="30" xfId="0" applyNumberFormat="1" applyFill="1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3" fontId="0" fillId="4" borderId="14" xfId="0" applyNumberFormat="1" applyFill="1" applyBorder="1"/>
    <xf numFmtId="3" fontId="0" fillId="4" borderId="32" xfId="0" applyNumberFormat="1" applyFill="1" applyBorder="1"/>
    <xf numFmtId="3" fontId="0" fillId="0" borderId="33" xfId="0" applyNumberFormat="1" applyBorder="1"/>
    <xf numFmtId="3" fontId="0" fillId="4" borderId="33" xfId="0" applyNumberFormat="1" applyFill="1" applyBorder="1"/>
    <xf numFmtId="0" fontId="0" fillId="0" borderId="14" xfId="0" applyBorder="1"/>
    <xf numFmtId="3" fontId="0" fillId="0" borderId="14" xfId="0" applyNumberFormat="1" applyBorder="1"/>
    <xf numFmtId="3" fontId="0" fillId="0" borderId="32" xfId="0" applyNumberFormat="1" applyBorder="1"/>
    <xf numFmtId="0" fontId="0" fillId="3" borderId="33" xfId="0" applyFill="1" applyBorder="1"/>
    <xf numFmtId="0" fontId="0" fillId="3" borderId="33" xfId="0" applyFill="1" applyBorder="1" applyAlignment="1">
      <alignment horizontal="center"/>
    </xf>
    <xf numFmtId="3" fontId="0" fillId="3" borderId="31" xfId="0" applyNumberFormat="1" applyFill="1" applyBorder="1" applyAlignment="1">
      <alignment horizontal="right"/>
    </xf>
    <xf numFmtId="3" fontId="0" fillId="3" borderId="14" xfId="0" applyNumberFormat="1" applyFill="1" applyBorder="1"/>
    <xf numFmtId="3" fontId="0" fillId="3" borderId="33" xfId="0" applyNumberFormat="1" applyFill="1" applyBorder="1"/>
    <xf numFmtId="0" fontId="0" fillId="2" borderId="25" xfId="0" applyFill="1" applyBorder="1"/>
    <xf numFmtId="0" fontId="0" fillId="2" borderId="25" xfId="0" applyFill="1" applyBorder="1" applyAlignment="1">
      <alignment horizontal="center"/>
    </xf>
    <xf numFmtId="3" fontId="0" fillId="2" borderId="26" xfId="0" applyNumberFormat="1" applyFill="1" applyBorder="1" applyAlignment="1">
      <alignment horizontal="right"/>
    </xf>
    <xf numFmtId="3" fontId="0" fillId="2" borderId="0" xfId="0" applyNumberFormat="1" applyFill="1" applyBorder="1"/>
    <xf numFmtId="3" fontId="0" fillId="2" borderId="25" xfId="0" applyNumberFormat="1" applyFill="1" applyBorder="1"/>
    <xf numFmtId="0" fontId="0" fillId="2" borderId="0" xfId="0" applyFill="1"/>
    <xf numFmtId="164" fontId="4" fillId="2" borderId="0" xfId="0" applyNumberFormat="1" applyFont="1" applyFill="1" applyBorder="1"/>
    <xf numFmtId="3" fontId="0" fillId="2" borderId="0" xfId="0" applyNumberFormat="1" applyFill="1"/>
    <xf numFmtId="3" fontId="0" fillId="0" borderId="26" xfId="0" applyNumberFormat="1" applyBorder="1"/>
    <xf numFmtId="3" fontId="0" fillId="4" borderId="26" xfId="0" applyNumberForma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3" fontId="0" fillId="4" borderId="1" xfId="0" applyNumberFormat="1" applyFill="1" applyBorder="1"/>
    <xf numFmtId="3" fontId="0" fillId="4" borderId="11" xfId="0" applyNumberFormat="1" applyFill="1" applyBorder="1"/>
    <xf numFmtId="3" fontId="0" fillId="0" borderId="34" xfId="0" applyNumberFormat="1" applyBorder="1"/>
    <xf numFmtId="3" fontId="0" fillId="4" borderId="34" xfId="0" applyNumberFormat="1" applyFill="1" applyBorder="1"/>
    <xf numFmtId="3" fontId="0" fillId="0" borderId="1" xfId="0" applyNumberFormat="1" applyBorder="1"/>
    <xf numFmtId="3" fontId="0" fillId="0" borderId="11" xfId="0" applyNumberFormat="1" applyBorder="1"/>
    <xf numFmtId="0" fontId="0" fillId="2" borderId="34" xfId="0" applyFill="1" applyBorder="1"/>
    <xf numFmtId="0" fontId="0" fillId="2" borderId="34" xfId="0" applyFill="1" applyBorder="1" applyAlignment="1">
      <alignment horizontal="center"/>
    </xf>
    <xf numFmtId="3" fontId="0" fillId="2" borderId="10" xfId="0" applyNumberFormat="1" applyFill="1" applyBorder="1" applyAlignment="1">
      <alignment horizontal="right"/>
    </xf>
    <xf numFmtId="3" fontId="0" fillId="2" borderId="1" xfId="0" applyNumberFormat="1" applyFill="1" applyBorder="1"/>
    <xf numFmtId="3" fontId="0" fillId="2" borderId="34" xfId="0" applyNumberFormat="1" applyFill="1" applyBorder="1"/>
    <xf numFmtId="0" fontId="0" fillId="2" borderId="24" xfId="0" applyFill="1" applyBorder="1" applyAlignment="1">
      <alignment horizontal="center"/>
    </xf>
    <xf numFmtId="3" fontId="0" fillId="2" borderId="5" xfId="0" applyNumberFormat="1" applyFill="1" applyBorder="1" applyAlignment="1">
      <alignment horizontal="right"/>
    </xf>
    <xf numFmtId="3" fontId="0" fillId="2" borderId="8" xfId="0" applyNumberFormat="1" applyFill="1" applyBorder="1"/>
    <xf numFmtId="3" fontId="0" fillId="2" borderId="24" xfId="0" applyNumberFormat="1" applyFill="1" applyBorder="1"/>
    <xf numFmtId="0" fontId="0" fillId="3" borderId="34" xfId="0" applyFill="1" applyBorder="1"/>
    <xf numFmtId="0" fontId="0" fillId="3" borderId="34" xfId="0" applyFill="1" applyBorder="1" applyAlignment="1">
      <alignment horizontal="center"/>
    </xf>
    <xf numFmtId="3" fontId="0" fillId="3" borderId="10" xfId="0" applyNumberFormat="1" applyFill="1" applyBorder="1" applyAlignment="1">
      <alignment horizontal="right"/>
    </xf>
    <xf numFmtId="3" fontId="0" fillId="3" borderId="1" xfId="0" applyNumberFormat="1" applyFill="1" applyBorder="1"/>
    <xf numFmtId="3" fontId="0" fillId="3" borderId="34" xfId="0" applyNumberFormat="1" applyFill="1" applyBorder="1"/>
    <xf numFmtId="43" fontId="0" fillId="0" borderId="0" xfId="0" applyNumberFormat="1" applyFill="1"/>
    <xf numFmtId="165" fontId="0" fillId="0" borderId="0" xfId="0" applyNumberFormat="1" applyFont="1" applyFill="1"/>
    <xf numFmtId="165" fontId="2" fillId="0" borderId="2" xfId="0" applyNumberFormat="1" applyFont="1" applyFill="1" applyBorder="1"/>
    <xf numFmtId="0" fontId="23" fillId="3" borderId="0" xfId="0" applyFont="1" applyFill="1"/>
    <xf numFmtId="0" fontId="1" fillId="3" borderId="0" xfId="0" applyFont="1" applyFill="1"/>
    <xf numFmtId="0" fontId="1" fillId="0" borderId="0" xfId="0" applyFont="1"/>
    <xf numFmtId="0" fontId="25" fillId="3" borderId="0" xfId="0" applyFont="1" applyFill="1"/>
    <xf numFmtId="0" fontId="26" fillId="3" borderId="0" xfId="0" applyFont="1" applyFill="1"/>
    <xf numFmtId="0" fontId="27" fillId="3" borderId="0" xfId="0" applyFont="1" applyFill="1"/>
    <xf numFmtId="0" fontId="28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horizontal="right"/>
    </xf>
    <xf numFmtId="3" fontId="1" fillId="3" borderId="8" xfId="0" applyNumberFormat="1" applyFont="1" applyFill="1" applyBorder="1"/>
    <xf numFmtId="3" fontId="1" fillId="3" borderId="0" xfId="0" applyNumberFormat="1" applyFont="1" applyFill="1" applyBorder="1"/>
    <xf numFmtId="3" fontId="1" fillId="3" borderId="5" xfId="0" applyNumberFormat="1" applyFont="1" applyFill="1" applyBorder="1"/>
    <xf numFmtId="3" fontId="1" fillId="3" borderId="9" xfId="0" applyNumberFormat="1" applyFont="1" applyFill="1" applyBorder="1"/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right"/>
    </xf>
    <xf numFmtId="3" fontId="1" fillId="3" borderId="26" xfId="0" applyNumberFormat="1" applyFont="1" applyFill="1" applyBorder="1"/>
    <xf numFmtId="3" fontId="1" fillId="3" borderId="27" xfId="0" applyNumberFormat="1" applyFont="1" applyFill="1" applyBorder="1"/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3" fontId="1" fillId="3" borderId="4" xfId="0" applyNumberFormat="1" applyFont="1" applyFill="1" applyBorder="1" applyAlignment="1">
      <alignment horizontal="right"/>
    </xf>
    <xf numFmtId="3" fontId="1" fillId="3" borderId="4" xfId="0" applyNumberFormat="1" applyFont="1" applyFill="1" applyBorder="1"/>
    <xf numFmtId="3" fontId="1" fillId="3" borderId="28" xfId="0" applyNumberFormat="1" applyFont="1" applyFill="1" applyBorder="1"/>
    <xf numFmtId="3" fontId="1" fillId="3" borderId="29" xfId="0" applyNumberFormat="1" applyFont="1" applyFill="1" applyBorder="1"/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right"/>
    </xf>
    <xf numFmtId="3" fontId="1" fillId="3" borderId="1" xfId="0" applyNumberFormat="1" applyFont="1" applyFill="1" applyBorder="1"/>
    <xf numFmtId="3" fontId="1" fillId="3" borderId="10" xfId="0" applyNumberFormat="1" applyFont="1" applyFill="1" applyBorder="1"/>
    <xf numFmtId="3" fontId="1" fillId="3" borderId="11" xfId="0" applyNumberFormat="1" applyFont="1" applyFill="1" applyBorder="1"/>
    <xf numFmtId="3" fontId="1" fillId="0" borderId="0" xfId="0" applyNumberFormat="1" applyFont="1"/>
    <xf numFmtId="3" fontId="1" fillId="2" borderId="0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3" fontId="1" fillId="2" borderId="0" xfId="0" applyNumberFormat="1" applyFont="1" applyFill="1" applyBorder="1"/>
    <xf numFmtId="3" fontId="1" fillId="2" borderId="26" xfId="0" applyNumberFormat="1" applyFont="1" applyFill="1" applyBorder="1"/>
    <xf numFmtId="3" fontId="1" fillId="2" borderId="27" xfId="0" applyNumberFormat="1" applyFont="1" applyFill="1" applyBorder="1"/>
    <xf numFmtId="0" fontId="1" fillId="2" borderId="0" xfId="0" applyFont="1" applyFill="1"/>
    <xf numFmtId="3" fontId="1" fillId="2" borderId="0" xfId="0" applyNumberFormat="1" applyFont="1" applyFill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1" fillId="2" borderId="1" xfId="0" applyNumberFormat="1" applyFont="1" applyFill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0" fontId="0" fillId="0" borderId="1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1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4" fontId="2" fillId="0" borderId="4" xfId="0" quotePrefix="1" applyNumberFormat="1" applyFont="1" applyBorder="1" applyAlignment="1">
      <alignment horizontal="center" wrapText="1"/>
    </xf>
    <xf numFmtId="0" fontId="0" fillId="0" borderId="4" xfId="0" quotePrefix="1" applyBorder="1" applyAlignment="1">
      <alignment horizontal="center" wrapText="1"/>
    </xf>
    <xf numFmtId="0" fontId="0" fillId="0" borderId="19" xfId="0" quotePrefix="1" applyBorder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2" fillId="0" borderId="0" xfId="0" applyNumberFormat="1" applyFont="1" applyBorder="1"/>
    <xf numFmtId="0" fontId="0" fillId="0" borderId="17" xfId="0" applyBorder="1"/>
    <xf numFmtId="0" fontId="0" fillId="0" borderId="0" xfId="0" applyBorder="1" applyAlignment="1">
      <alignment horizontal="left"/>
    </xf>
    <xf numFmtId="164" fontId="2" fillId="0" borderId="0" xfId="0" applyNumberFormat="1" applyFont="1" applyBorder="1"/>
    <xf numFmtId="165" fontId="2" fillId="0" borderId="0" xfId="0" applyNumberFormat="1" applyFont="1" applyBorder="1"/>
    <xf numFmtId="170" fontId="0" fillId="0" borderId="0" xfId="0" applyNumberFormat="1" applyFont="1" applyBorder="1"/>
    <xf numFmtId="165" fontId="2" fillId="0" borderId="0" xfId="0" applyNumberFormat="1" applyFont="1" applyBorder="1"/>
    <xf numFmtId="167" fontId="0" fillId="0" borderId="17" xfId="0" applyNumberFormat="1" applyBorder="1"/>
    <xf numFmtId="171" fontId="0" fillId="0" borderId="0" xfId="0" applyNumberFormat="1" applyBorder="1"/>
    <xf numFmtId="0" fontId="0" fillId="0" borderId="0" xfId="0" quotePrefix="1" applyBorder="1" applyAlignment="1">
      <alignment horizontal="left" indent="1"/>
    </xf>
    <xf numFmtId="16" fontId="0" fillId="0" borderId="0" xfId="0" quotePrefix="1" applyNumberFormat="1" applyBorder="1" applyAlignment="1">
      <alignment horizontal="center"/>
    </xf>
    <xf numFmtId="0" fontId="0" fillId="0" borderId="0" xfId="0" applyBorder="1" applyAlignment="1">
      <alignment horizontal="left" indent="1"/>
    </xf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164" fontId="2" fillId="0" borderId="4" xfId="0" applyNumberFormat="1" applyFont="1" applyBorder="1"/>
    <xf numFmtId="165" fontId="2" fillId="0" borderId="4" xfId="0" applyNumberFormat="1" applyFont="1" applyBorder="1"/>
    <xf numFmtId="167" fontId="0" fillId="0" borderId="19" xfId="0" applyNumberFormat="1" applyBorder="1"/>
    <xf numFmtId="170" fontId="9" fillId="0" borderId="0" xfId="0" applyNumberFormat="1" applyFont="1" applyFill="1" applyProtection="1">
      <protection locked="0"/>
    </xf>
    <xf numFmtId="170" fontId="9" fillId="0" borderId="2" xfId="0" applyNumberFormat="1" applyFont="1" applyFill="1" applyBorder="1" applyProtection="1">
      <protection locked="0"/>
    </xf>
    <xf numFmtId="170" fontId="3" fillId="0" borderId="0" xfId="0" applyNumberFormat="1" applyFont="1" applyFill="1"/>
    <xf numFmtId="170" fontId="3" fillId="0" borderId="12" xfId="0" applyNumberFormat="1" applyFont="1" applyFill="1" applyBorder="1"/>
    <xf numFmtId="170" fontId="0" fillId="0" borderId="0" xfId="0" applyNumberFormat="1" applyFont="1" applyFill="1"/>
    <xf numFmtId="44" fontId="0" fillId="0" borderId="0" xfId="0" applyNumberFormat="1" applyFill="1"/>
    <xf numFmtId="0" fontId="24" fillId="3" borderId="0" xfId="0" quotePrefix="1" applyFont="1" applyFill="1" applyAlignment="1">
      <alignment horizontal="left"/>
    </xf>
    <xf numFmtId="0" fontId="24" fillId="0" borderId="0" xfId="0" quotePrefix="1" applyFont="1" applyAlignment="1">
      <alignment horizontal="left"/>
    </xf>
    <xf numFmtId="10" fontId="0" fillId="0" borderId="0" xfId="0" applyNumberFormat="1" applyFont="1" applyFill="1"/>
    <xf numFmtId="10" fontId="0" fillId="0" borderId="2" xfId="0" applyNumberFormat="1" applyFont="1" applyFill="1" applyBorder="1"/>
    <xf numFmtId="10" fontId="0" fillId="0" borderId="3" xfId="0" applyNumberFormat="1" applyFont="1" applyFill="1" applyBorder="1"/>
    <xf numFmtId="10" fontId="0" fillId="0" borderId="0" xfId="0" applyNumberFormat="1" applyFont="1" applyFill="1" applyBorder="1"/>
    <xf numFmtId="0" fontId="28" fillId="3" borderId="20" xfId="0" applyFont="1" applyFill="1" applyBorder="1" applyAlignment="1">
      <alignment horizontal="center" wrapText="1"/>
    </xf>
    <xf numFmtId="0" fontId="28" fillId="3" borderId="23" xfId="0" applyFont="1" applyFill="1" applyBorder="1" applyAlignment="1">
      <alignment horizontal="center" wrapText="1"/>
    </xf>
    <xf numFmtId="0" fontId="28" fillId="3" borderId="2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28" fillId="0" borderId="8" xfId="0" quotePrefix="1" applyFont="1" applyFill="1" applyBorder="1" applyAlignment="1">
      <alignment horizontal="center" wrapText="1"/>
    </xf>
    <xf numFmtId="0" fontId="28" fillId="0" borderId="8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"/>
    </xf>
    <xf numFmtId="0" fontId="20" fillId="0" borderId="0" xfId="0" quotePrefix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3" fillId="0" borderId="5" xfId="0" quotePrefix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10" fillId="0" borderId="0" xfId="0" quotePrefix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0" fontId="2" fillId="0" borderId="0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quotePrefix="1" applyFont="1" applyFill="1" applyBorder="1" applyAlignment="1">
      <alignment horizontal="left" wrapText="1"/>
    </xf>
    <xf numFmtId="0" fontId="5" fillId="0" borderId="0" xfId="0" applyFon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Rate%20Filings/Sch%20129%20Low%20Income/2018%20Filing/NEW-PSE-WP-2018-Electric-Low-Income-Rate-Desig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Proposed Impacts"/>
      <sheetName val="2018 Equal % Allocation"/>
      <sheetName val="2018 Street &amp; Area Lighting"/>
      <sheetName val="Typ Res Tot Elec"/>
      <sheetName val="Estimated Proforma Base Revenue"/>
      <sheetName val="F2018 Sch Level Delivered Load"/>
      <sheetName val="F2018 Electric Load"/>
      <sheetName val="F2018 Forecast Cust"/>
      <sheetName val="2017 Equal % Allocation "/>
      <sheetName val="Revenue Requirements 2017-2018"/>
    </sheetNames>
    <sheetDataSet>
      <sheetData sheetId="0">
        <row r="9">
          <cell r="G9">
            <v>8.9499999999999996E-4</v>
          </cell>
        </row>
        <row r="11">
          <cell r="G11">
            <v>8.5700000000000001E-4</v>
          </cell>
        </row>
        <row r="12">
          <cell r="G12">
            <v>7.9600000000000005E-4</v>
          </cell>
        </row>
        <row r="13">
          <cell r="G13">
            <v>7.1699999999999997E-4</v>
          </cell>
        </row>
        <row r="14">
          <cell r="G14">
            <v>7.1199999999999996E-4</v>
          </cell>
        </row>
        <row r="18">
          <cell r="G18">
            <v>7.0399999999999998E-4</v>
          </cell>
        </row>
        <row r="19">
          <cell r="G19">
            <v>5.1199999999999998E-4</v>
          </cell>
        </row>
        <row r="20">
          <cell r="G20">
            <v>7.7899999999999996E-4</v>
          </cell>
        </row>
        <row r="24">
          <cell r="G24">
            <v>6.4800000000000003E-4</v>
          </cell>
        </row>
        <row r="26">
          <cell r="G26">
            <v>5.8799999999999998E-4</v>
          </cell>
        </row>
        <row r="27">
          <cell r="G27">
            <v>5.7300000000000005E-4</v>
          </cell>
        </row>
        <row r="31">
          <cell r="G31">
            <v>1.951E-3</v>
          </cell>
        </row>
        <row r="33">
          <cell r="G33">
            <v>3.3000000000000003E-5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tabSelected="1" zoomScale="90" zoomScaleNormal="90" workbookViewId="0">
      <pane xSplit="4" ySplit="7" topLeftCell="E8" activePane="bottomRight" state="frozen"/>
      <selection activeCell="D36" sqref="D36:J36"/>
      <selection pane="topRight" activeCell="D36" sqref="D36:J36"/>
      <selection pane="bottomLeft" activeCell="D36" sqref="D36:J36"/>
      <selection pane="bottomRight" activeCell="E8" sqref="E8"/>
    </sheetView>
  </sheetViews>
  <sheetFormatPr defaultColWidth="6.28515625" defaultRowHeight="12.75"/>
  <cols>
    <col min="1" max="1" width="4.42578125" style="1" bestFit="1" customWidth="1"/>
    <col min="2" max="2" width="23" style="1" customWidth="1"/>
    <col min="3" max="3" width="15.140625" style="1" bestFit="1" customWidth="1"/>
    <col min="4" max="4" width="17.28515625" style="1" bestFit="1" customWidth="1"/>
    <col min="5" max="5" width="12.140625" style="1" bestFit="1" customWidth="1"/>
    <col min="6" max="6" width="13.28515625" style="1" bestFit="1" customWidth="1"/>
    <col min="7" max="7" width="13.5703125" style="1" bestFit="1" customWidth="1"/>
    <col min="8" max="8" width="12.42578125" style="1" bestFit="1" customWidth="1"/>
    <col min="9" max="9" width="12.140625" style="1" bestFit="1" customWidth="1"/>
    <col min="10" max="10" width="12.42578125" style="1" bestFit="1" customWidth="1"/>
    <col min="11" max="11" width="11.42578125" style="1" bestFit="1" customWidth="1"/>
    <col min="12" max="13" width="13.28515625" style="1" bestFit="1" customWidth="1"/>
    <col min="14" max="14" width="15.7109375" style="1" customWidth="1"/>
    <col min="15" max="15" width="15.140625" style="1" bestFit="1" customWidth="1"/>
    <col min="16" max="16" width="1.7109375" style="1" customWidth="1"/>
    <col min="17" max="17" width="13.28515625" style="1" bestFit="1" customWidth="1"/>
    <col min="18" max="18" width="12.42578125" style="1" bestFit="1" customWidth="1"/>
    <col min="19" max="19" width="11.7109375" style="1" bestFit="1" customWidth="1"/>
    <col min="20" max="20" width="15.140625" style="1" bestFit="1" customWidth="1"/>
    <col min="21" max="21" width="7.7109375" style="1" customWidth="1"/>
    <col min="22" max="22" width="6.28515625" style="1"/>
    <col min="23" max="23" width="10.28515625" style="1" bestFit="1" customWidth="1"/>
    <col min="24" max="16384" width="6.28515625" style="1"/>
  </cols>
  <sheetData>
    <row r="1" spans="1:27">
      <c r="A1" s="572" t="s">
        <v>0</v>
      </c>
      <c r="B1" s="572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</row>
    <row r="2" spans="1:27">
      <c r="A2" s="572" t="s">
        <v>341</v>
      </c>
      <c r="B2" s="572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</row>
    <row r="3" spans="1:27">
      <c r="A3" s="573" t="s">
        <v>342</v>
      </c>
      <c r="B3" s="572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</row>
    <row r="4" spans="1:27">
      <c r="A4" s="572"/>
      <c r="B4" s="572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</row>
    <row r="5" spans="1:27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12"/>
      <c r="M5" s="3"/>
      <c r="N5" s="3"/>
      <c r="O5" s="4"/>
      <c r="P5" s="4"/>
      <c r="Q5" s="4"/>
      <c r="R5" s="4"/>
      <c r="S5" s="4"/>
      <c r="T5" s="4"/>
    </row>
    <row r="6" spans="1:27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12"/>
      <c r="M6" s="3"/>
      <c r="N6" s="3"/>
      <c r="O6" s="5"/>
      <c r="P6" s="5"/>
      <c r="Q6" s="362" t="s">
        <v>1</v>
      </c>
      <c r="R6" s="325" t="s">
        <v>2</v>
      </c>
      <c r="S6" s="324"/>
      <c r="T6" s="4"/>
    </row>
    <row r="7" spans="1:27" ht="63.75">
      <c r="A7" s="6" t="s">
        <v>3</v>
      </c>
      <c r="B7" s="6" t="s">
        <v>4</v>
      </c>
      <c r="C7" s="290" t="s">
        <v>410</v>
      </c>
      <c r="D7" s="8" t="s">
        <v>411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419</v>
      </c>
      <c r="M7" s="8" t="s">
        <v>13</v>
      </c>
      <c r="N7" s="8" t="s">
        <v>271</v>
      </c>
      <c r="O7" s="8" t="s">
        <v>436</v>
      </c>
      <c r="P7" s="266"/>
      <c r="Q7" s="258" t="str">
        <f>+H7</f>
        <v>Schedule 129
Low Income</v>
      </c>
      <c r="R7" s="327" t="str">
        <f>+Q7</f>
        <v>Schedule 129
Low Income</v>
      </c>
      <c r="S7" s="8" t="s">
        <v>420</v>
      </c>
      <c r="T7" s="8" t="s">
        <v>270</v>
      </c>
      <c r="U7" s="7" t="s">
        <v>272</v>
      </c>
    </row>
    <row r="8" spans="1:27" s="271" customFormat="1" ht="25.5">
      <c r="A8" s="268"/>
      <c r="B8" s="268"/>
      <c r="C8" s="269" t="s">
        <v>107</v>
      </c>
      <c r="D8" s="270" t="s">
        <v>108</v>
      </c>
      <c r="E8" s="270" t="s">
        <v>109</v>
      </c>
      <c r="F8" s="270" t="s">
        <v>110</v>
      </c>
      <c r="G8" s="270" t="s">
        <v>229</v>
      </c>
      <c r="H8" s="270" t="s">
        <v>230</v>
      </c>
      <c r="I8" s="270" t="s">
        <v>231</v>
      </c>
      <c r="J8" s="270" t="s">
        <v>264</v>
      </c>
      <c r="K8" s="270" t="s">
        <v>265</v>
      </c>
      <c r="L8" s="270" t="s">
        <v>266</v>
      </c>
      <c r="M8" s="270" t="s">
        <v>267</v>
      </c>
      <c r="N8" s="270" t="s">
        <v>281</v>
      </c>
      <c r="O8" s="270" t="s">
        <v>282</v>
      </c>
      <c r="P8" s="270"/>
      <c r="Q8" s="270" t="s">
        <v>431</v>
      </c>
      <c r="R8" s="270" t="s">
        <v>432</v>
      </c>
      <c r="S8" s="270" t="s">
        <v>434</v>
      </c>
      <c r="T8" s="270" t="s">
        <v>433</v>
      </c>
      <c r="U8" s="269" t="s">
        <v>435</v>
      </c>
    </row>
    <row r="9" spans="1:27">
      <c r="A9" s="3">
        <v>1</v>
      </c>
      <c r="B9" s="3">
        <v>7</v>
      </c>
      <c r="C9" s="9">
        <f>+'F2018 Sch Level Delivered Load'!BY33</f>
        <v>10809562000</v>
      </c>
      <c r="D9" s="314">
        <f>ROUND(+C9*'UE-180282 Prof Prop Rev'!S17,-3)</f>
        <v>1124904000</v>
      </c>
      <c r="E9" s="84">
        <f>+'Sch 95'!F7</f>
        <v>0</v>
      </c>
      <c r="F9" s="84">
        <f>+'Sch 95a'!F7</f>
        <v>-22397000</v>
      </c>
      <c r="G9" s="84">
        <f>+'Sch 120'!F7</f>
        <v>52534000</v>
      </c>
      <c r="H9" s="84">
        <f>+'Sch 129'!F7</f>
        <v>10129000</v>
      </c>
      <c r="I9" s="84">
        <f>+'Sch 132'!F7</f>
        <v>-3740000</v>
      </c>
      <c r="J9" s="84">
        <f>+'Sch 140'!F7</f>
        <v>36839000</v>
      </c>
      <c r="K9" s="84">
        <f>+'Sch 141'!C7</f>
        <v>0</v>
      </c>
      <c r="L9" s="84">
        <f>+'Sch 142 Deferral'!I7</f>
        <v>-12193000</v>
      </c>
      <c r="M9" s="84">
        <f>+'Sch 194'!F7</f>
        <v>-80054000</v>
      </c>
      <c r="N9" s="84">
        <f>SUM(E9:M9)</f>
        <v>-18882000</v>
      </c>
      <c r="O9" s="84">
        <f>SUM(N9,D9)</f>
        <v>1106022000</v>
      </c>
      <c r="P9" s="87"/>
      <c r="Q9" s="314">
        <f>-H9</f>
        <v>-10129000</v>
      </c>
      <c r="R9" s="314">
        <f>+'Sch 129'!I7</f>
        <v>9675000</v>
      </c>
      <c r="S9" s="314">
        <f>SUM(Q9:R9)</f>
        <v>-454000</v>
      </c>
      <c r="T9" s="314">
        <f>SUM(O9,S9)</f>
        <v>1105568000</v>
      </c>
      <c r="U9" s="562">
        <f>S9/O9</f>
        <v>-4.1048008086638419E-4</v>
      </c>
      <c r="V9" s="11"/>
      <c r="W9" s="11"/>
      <c r="X9" s="11"/>
      <c r="Y9" s="11"/>
      <c r="AA9" s="274"/>
    </row>
    <row r="10" spans="1:27">
      <c r="A10" s="3">
        <f>+A9+1</f>
        <v>2</v>
      </c>
      <c r="B10" s="3" t="s">
        <v>15</v>
      </c>
      <c r="C10" s="13">
        <f t="shared" ref="C10:O10" si="0">SUM(C9:C9)</f>
        <v>10809562000</v>
      </c>
      <c r="D10" s="315">
        <f t="shared" si="0"/>
        <v>1124904000</v>
      </c>
      <c r="E10" s="85">
        <f t="shared" si="0"/>
        <v>0</v>
      </c>
      <c r="F10" s="85">
        <f t="shared" si="0"/>
        <v>-22397000</v>
      </c>
      <c r="G10" s="85">
        <f t="shared" si="0"/>
        <v>52534000</v>
      </c>
      <c r="H10" s="85">
        <f t="shared" si="0"/>
        <v>10129000</v>
      </c>
      <c r="I10" s="85">
        <f t="shared" si="0"/>
        <v>-3740000</v>
      </c>
      <c r="J10" s="85">
        <f t="shared" si="0"/>
        <v>36839000</v>
      </c>
      <c r="K10" s="85">
        <f t="shared" si="0"/>
        <v>0</v>
      </c>
      <c r="L10" s="85">
        <f t="shared" si="0"/>
        <v>-12193000</v>
      </c>
      <c r="M10" s="85">
        <f t="shared" si="0"/>
        <v>-80054000</v>
      </c>
      <c r="N10" s="85">
        <f t="shared" si="0"/>
        <v>-18882000</v>
      </c>
      <c r="O10" s="85">
        <f t="shared" si="0"/>
        <v>1106022000</v>
      </c>
      <c r="P10" s="87"/>
      <c r="Q10" s="315">
        <f t="shared" ref="Q10:T10" si="1">SUM(Q9:Q9)</f>
        <v>-10129000</v>
      </c>
      <c r="R10" s="315">
        <f t="shared" si="1"/>
        <v>9675000</v>
      </c>
      <c r="S10" s="315">
        <f t="shared" ref="S10" si="2">SUM(S9:S9)</f>
        <v>-454000</v>
      </c>
      <c r="T10" s="315">
        <f t="shared" si="1"/>
        <v>1105568000</v>
      </c>
      <c r="U10" s="563">
        <f>S10/O10</f>
        <v>-4.1048008086638419E-4</v>
      </c>
      <c r="V10" s="11"/>
      <c r="W10" s="11"/>
      <c r="X10" s="11"/>
      <c r="Y10" s="11"/>
      <c r="AA10" s="274"/>
    </row>
    <row r="11" spans="1:27">
      <c r="A11" s="3">
        <f t="shared" ref="A11:A37" si="3">+A10+1</f>
        <v>3</v>
      </c>
      <c r="B11" s="3"/>
      <c r="C11" s="9"/>
      <c r="D11" s="31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7"/>
      <c r="Q11" s="314"/>
      <c r="R11" s="314"/>
      <c r="S11" s="314"/>
      <c r="T11" s="314"/>
      <c r="U11" s="562"/>
      <c r="AA11" s="274"/>
    </row>
    <row r="12" spans="1:27">
      <c r="A12" s="3">
        <f t="shared" si="3"/>
        <v>4</v>
      </c>
      <c r="B12" s="2" t="s">
        <v>88</v>
      </c>
      <c r="C12" s="9">
        <f>+'F2018 Sch Level Delivered Load'!CA33</f>
        <v>3049254000</v>
      </c>
      <c r="D12" s="314">
        <f>ROUND(+C12*'UE-180282 Prof Prop Rev'!S21,-3)</f>
        <v>296137000</v>
      </c>
      <c r="E12" s="84">
        <f>+'Sch 95'!F12</f>
        <v>0</v>
      </c>
      <c r="F12" s="84">
        <f>+'Sch 95a'!F12</f>
        <v>-5104000</v>
      </c>
      <c r="G12" s="84">
        <f>+'Sch 120'!F12</f>
        <v>12831000</v>
      </c>
      <c r="H12" s="84">
        <f>+'Sch 129'!F12</f>
        <v>2607000</v>
      </c>
      <c r="I12" s="84">
        <f>+'Sch 132'!F12</f>
        <v>-802000</v>
      </c>
      <c r="J12" s="84">
        <f>+'Sch 140'!F12</f>
        <v>7867000</v>
      </c>
      <c r="K12" s="84">
        <f>+'Sch 141'!C11</f>
        <v>0</v>
      </c>
      <c r="L12" s="84">
        <f>+'Sch 142 Deferral'!I12</f>
        <v>4174000</v>
      </c>
      <c r="M12" s="84">
        <f>+'Sch 194'!F12</f>
        <v>-2012000</v>
      </c>
      <c r="N12" s="84">
        <f>SUM(E12:M12)</f>
        <v>19561000</v>
      </c>
      <c r="O12" s="84">
        <f>SUM(N12,D12)</f>
        <v>315698000</v>
      </c>
      <c r="P12" s="87"/>
      <c r="Q12" s="314">
        <f t="shared" ref="Q12:Q15" si="4">-H12</f>
        <v>-2607000</v>
      </c>
      <c r="R12" s="314">
        <f>+'Sch 129'!I12</f>
        <v>2613000</v>
      </c>
      <c r="S12" s="314">
        <f>SUM(Q12:R12)</f>
        <v>6000</v>
      </c>
      <c r="T12" s="314">
        <f t="shared" ref="T12:T15" si="5">SUM(O12,S12)</f>
        <v>315704000</v>
      </c>
      <c r="U12" s="562">
        <f t="shared" ref="U12:U16" si="6">S12/O12</f>
        <v>1.9005505261357372E-5</v>
      </c>
      <c r="V12" s="11"/>
      <c r="W12" s="11"/>
      <c r="X12" s="11"/>
      <c r="Y12" s="11"/>
      <c r="AA12" s="274"/>
    </row>
    <row r="13" spans="1:27">
      <c r="A13" s="3">
        <f t="shared" si="3"/>
        <v>5</v>
      </c>
      <c r="B13" s="2" t="s">
        <v>253</v>
      </c>
      <c r="C13" s="9">
        <f>+'F2018 Sch Level Delivered Load'!BZ33+'F2018 Sch Level Delivered Load'!CB33</f>
        <v>3208495000</v>
      </c>
      <c r="D13" s="314">
        <f>ROUND(+C13*'UE-180282 Prof Prop Rev'!S22,-3)</f>
        <v>288839000</v>
      </c>
      <c r="E13" s="84">
        <f>+'Sch 95'!F14</f>
        <v>0</v>
      </c>
      <c r="F13" s="84">
        <f>+'Sch 95a'!F14</f>
        <v>-5496000</v>
      </c>
      <c r="G13" s="84">
        <f>+'Sch 120'!F14</f>
        <v>13659000</v>
      </c>
      <c r="H13" s="84">
        <f>+'Sch 129'!F14</f>
        <v>2548000</v>
      </c>
      <c r="I13" s="84">
        <f>+'Sch 132'!F14</f>
        <v>-786000</v>
      </c>
      <c r="J13" s="84">
        <f>+'Sch 140'!F14</f>
        <v>7768000</v>
      </c>
      <c r="K13" s="84">
        <f>SUM('Sch 141'!C8,'Sch 141'!C12)</f>
        <v>0</v>
      </c>
      <c r="L13" s="84">
        <f>+'Sch 142 Deferral'!I14</f>
        <v>4890000</v>
      </c>
      <c r="M13" s="84">
        <f>+'Sch 194'!F14</f>
        <v>-1188000</v>
      </c>
      <c r="N13" s="84">
        <f>SUM(E13:M13)</f>
        <v>21395000</v>
      </c>
      <c r="O13" s="84">
        <f>SUM(N13,D13)</f>
        <v>310234000</v>
      </c>
      <c r="P13" s="87"/>
      <c r="Q13" s="314">
        <f t="shared" si="4"/>
        <v>-2548000</v>
      </c>
      <c r="R13" s="314">
        <f>+'Sch 129'!I14</f>
        <v>2554000</v>
      </c>
      <c r="S13" s="314">
        <f>SUM(Q13:R13)</f>
        <v>6000</v>
      </c>
      <c r="T13" s="314">
        <f t="shared" si="5"/>
        <v>310240000</v>
      </c>
      <c r="U13" s="562">
        <f t="shared" si="6"/>
        <v>1.9340239947910287E-5</v>
      </c>
      <c r="V13" s="11"/>
      <c r="W13" s="11"/>
      <c r="X13" s="11"/>
      <c r="Y13" s="11"/>
      <c r="AA13" s="274"/>
    </row>
    <row r="14" spans="1:27">
      <c r="A14" s="3">
        <f t="shared" si="3"/>
        <v>6</v>
      </c>
      <c r="B14" s="2" t="s">
        <v>89</v>
      </c>
      <c r="C14" s="9">
        <f>+'F2018 Sch Level Delivered Load'!CC33</f>
        <v>1921550000</v>
      </c>
      <c r="D14" s="314">
        <f>ROUND(+C14*'UE-180282 Prof Prop Rev'!S23,-3)</f>
        <v>158173000</v>
      </c>
      <c r="E14" s="84">
        <f>+'Sch 95'!F16</f>
        <v>0</v>
      </c>
      <c r="F14" s="84">
        <f>+'Sch 95a'!F16</f>
        <v>-3432000</v>
      </c>
      <c r="G14" s="84">
        <f>+'Sch 120'!F16</f>
        <v>8311000</v>
      </c>
      <c r="H14" s="84">
        <f>+'Sch 129'!F16</f>
        <v>1359000</v>
      </c>
      <c r="I14" s="84">
        <f>+'Sch 132'!F16</f>
        <v>-388000</v>
      </c>
      <c r="J14" s="84">
        <f>+'Sch 140'!F16</f>
        <v>4274000</v>
      </c>
      <c r="K14" s="84">
        <f>+'Sch 141'!C13</f>
        <v>0</v>
      </c>
      <c r="L14" s="84">
        <f>+'Sch 142 Deferral'!I16</f>
        <v>184000</v>
      </c>
      <c r="M14" s="84">
        <f>+'Sch 194'!F16</f>
        <v>-144000</v>
      </c>
      <c r="N14" s="84">
        <f>SUM(E14:M14)</f>
        <v>10164000</v>
      </c>
      <c r="O14" s="84">
        <f>SUM(N14,D14)</f>
        <v>168337000</v>
      </c>
      <c r="P14" s="87"/>
      <c r="Q14" s="314">
        <f t="shared" si="4"/>
        <v>-1359000</v>
      </c>
      <c r="R14" s="314">
        <f>+'Sch 129'!I16</f>
        <v>1378000</v>
      </c>
      <c r="S14" s="314">
        <f>SUM(Q14:R14)</f>
        <v>19000</v>
      </c>
      <c r="T14" s="314">
        <f t="shared" si="5"/>
        <v>168356000</v>
      </c>
      <c r="U14" s="562">
        <f t="shared" si="6"/>
        <v>1.1286882859977307E-4</v>
      </c>
      <c r="V14" s="11"/>
      <c r="W14" s="11"/>
      <c r="X14" s="11"/>
      <c r="Y14" s="11"/>
      <c r="AA14" s="274"/>
    </row>
    <row r="15" spans="1:27">
      <c r="A15" s="3">
        <f t="shared" si="3"/>
        <v>7</v>
      </c>
      <c r="B15" s="3">
        <v>29</v>
      </c>
      <c r="C15" s="9">
        <f>+'F2018 Sch Level Delivered Load'!CD33</f>
        <v>16140000</v>
      </c>
      <c r="D15" s="314">
        <f>ROUND(+C15*'UE-180282 Prof Prop Rev'!S24,-3)</f>
        <v>1297000</v>
      </c>
      <c r="E15" s="84">
        <f>+'Sch 95'!F17</f>
        <v>0</v>
      </c>
      <c r="F15" s="84">
        <f>+'Sch 95a'!F17</f>
        <v>-25000</v>
      </c>
      <c r="G15" s="84">
        <f>+'Sch 120'!F17</f>
        <v>52000</v>
      </c>
      <c r="H15" s="84">
        <f>+'Sch 129'!F17</f>
        <v>11000</v>
      </c>
      <c r="I15" s="84">
        <f>+'Sch 132'!F17</f>
        <v>-4000</v>
      </c>
      <c r="J15" s="84">
        <f>+'Sch 140'!F17</f>
        <v>39000</v>
      </c>
      <c r="K15" s="84">
        <f>+'Sch 141'!C15</f>
        <v>0</v>
      </c>
      <c r="L15" s="84">
        <f>+'Sch 142 Deferral'!I17</f>
        <v>25000</v>
      </c>
      <c r="M15" s="84">
        <f>+'Sch 194'!F17</f>
        <v>-120000</v>
      </c>
      <c r="N15" s="84">
        <f>SUM(E15:M15)</f>
        <v>-22000</v>
      </c>
      <c r="O15" s="84">
        <f>SUM(N15,D15)</f>
        <v>1275000</v>
      </c>
      <c r="P15" s="87"/>
      <c r="Q15" s="314">
        <f t="shared" si="4"/>
        <v>-11000</v>
      </c>
      <c r="R15" s="314">
        <f>+'Sch 129'!I17</f>
        <v>11000</v>
      </c>
      <c r="S15" s="314">
        <f>SUM(Q15:R15)</f>
        <v>0</v>
      </c>
      <c r="T15" s="314">
        <f t="shared" si="5"/>
        <v>1275000</v>
      </c>
      <c r="U15" s="562">
        <f t="shared" si="6"/>
        <v>0</v>
      </c>
      <c r="V15" s="11"/>
      <c r="W15" s="11"/>
      <c r="X15" s="11"/>
      <c r="Y15" s="11"/>
      <c r="AA15" s="274"/>
    </row>
    <row r="16" spans="1:27">
      <c r="A16" s="3">
        <f t="shared" si="3"/>
        <v>8</v>
      </c>
      <c r="B16" s="2" t="s">
        <v>268</v>
      </c>
      <c r="C16" s="13">
        <f t="shared" ref="C16:O16" si="7">SUM(C12:C15)</f>
        <v>8195439000</v>
      </c>
      <c r="D16" s="315">
        <f t="shared" si="7"/>
        <v>744446000</v>
      </c>
      <c r="E16" s="85">
        <f t="shared" si="7"/>
        <v>0</v>
      </c>
      <c r="F16" s="85">
        <f t="shared" si="7"/>
        <v>-14057000</v>
      </c>
      <c r="G16" s="85">
        <f t="shared" si="7"/>
        <v>34853000</v>
      </c>
      <c r="H16" s="85">
        <f t="shared" si="7"/>
        <v>6525000</v>
      </c>
      <c r="I16" s="85">
        <f t="shared" si="7"/>
        <v>-1980000</v>
      </c>
      <c r="J16" s="85">
        <f t="shared" si="7"/>
        <v>19948000</v>
      </c>
      <c r="K16" s="85">
        <f t="shared" si="7"/>
        <v>0</v>
      </c>
      <c r="L16" s="85">
        <f t="shared" si="7"/>
        <v>9273000</v>
      </c>
      <c r="M16" s="85">
        <f t="shared" si="7"/>
        <v>-3464000</v>
      </c>
      <c r="N16" s="85">
        <f t="shared" si="7"/>
        <v>51098000</v>
      </c>
      <c r="O16" s="85">
        <f t="shared" si="7"/>
        <v>795544000</v>
      </c>
      <c r="P16" s="87"/>
      <c r="Q16" s="315">
        <f t="shared" ref="Q16:T16" si="8">SUM(Q12:Q15)</f>
        <v>-6525000</v>
      </c>
      <c r="R16" s="315">
        <f t="shared" si="8"/>
        <v>6556000</v>
      </c>
      <c r="S16" s="315">
        <f t="shared" ref="S16" si="9">SUM(S12:S15)</f>
        <v>31000</v>
      </c>
      <c r="T16" s="315">
        <f t="shared" si="8"/>
        <v>795575000</v>
      </c>
      <c r="U16" s="563">
        <f t="shared" si="6"/>
        <v>3.8967046448719364E-5</v>
      </c>
      <c r="V16" s="11"/>
      <c r="W16" s="11"/>
      <c r="X16" s="11"/>
      <c r="Y16" s="11"/>
      <c r="AA16" s="274"/>
    </row>
    <row r="17" spans="1:27">
      <c r="A17" s="3">
        <f t="shared" si="3"/>
        <v>9</v>
      </c>
      <c r="B17" s="3"/>
      <c r="C17" s="9"/>
      <c r="D17" s="31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7"/>
      <c r="Q17" s="314"/>
      <c r="R17" s="314"/>
      <c r="S17" s="314"/>
      <c r="T17" s="314"/>
      <c r="U17" s="562"/>
      <c r="W17" s="11"/>
      <c r="X17" s="11"/>
      <c r="AA17" s="274"/>
    </row>
    <row r="18" spans="1:27">
      <c r="A18" s="3">
        <f t="shared" si="3"/>
        <v>10</v>
      </c>
      <c r="B18" s="3" t="s">
        <v>90</v>
      </c>
      <c r="C18" s="9">
        <f>+'F2018 Sch Level Delivered Load'!CE33</f>
        <v>1409546000</v>
      </c>
      <c r="D18" s="314">
        <f>ROUND(+C18*'UE-180282 Prof Prop Rev'!S28,-3)</f>
        <v>114296000</v>
      </c>
      <c r="E18" s="84">
        <f>+'Sch 95'!F21</f>
        <v>0</v>
      </c>
      <c r="F18" s="84">
        <f>+'Sch 95a'!F21</f>
        <v>-2351000</v>
      </c>
      <c r="G18" s="84">
        <f>+'Sch 120'!F21</f>
        <v>5852000</v>
      </c>
      <c r="H18" s="84">
        <f>+'Sch 129'!F21</f>
        <v>981000</v>
      </c>
      <c r="I18" s="84">
        <f>+'Sch 132'!F21</f>
        <v>-335000</v>
      </c>
      <c r="J18" s="84">
        <f>+'Sch 140'!F21</f>
        <v>3119000</v>
      </c>
      <c r="K18" s="84">
        <f>+'Sch 141'!C18</f>
        <v>0</v>
      </c>
      <c r="L18" s="84">
        <f>+'Sch 142 Deferral'!I21</f>
        <v>-156000</v>
      </c>
      <c r="M18" s="84">
        <f>+'Sch 194'!F21</f>
        <v>-264000</v>
      </c>
      <c r="N18" s="84">
        <f>SUM(E18:M18)</f>
        <v>6846000</v>
      </c>
      <c r="O18" s="84">
        <f>SUM(N18,D18)</f>
        <v>121142000</v>
      </c>
      <c r="P18" s="87"/>
      <c r="Q18" s="314">
        <f t="shared" ref="Q18:Q20" si="10">-H18</f>
        <v>-981000</v>
      </c>
      <c r="R18" s="314">
        <f>+'Sch 129'!I21</f>
        <v>992000</v>
      </c>
      <c r="S18" s="314">
        <f>SUM(Q18:R18)</f>
        <v>11000</v>
      </c>
      <c r="T18" s="314">
        <f t="shared" ref="T18:T20" si="11">SUM(O18,S18)</f>
        <v>121153000</v>
      </c>
      <c r="U18" s="562">
        <f t="shared" ref="U18:U21" si="12">S18/O18</f>
        <v>9.080252926317875E-5</v>
      </c>
      <c r="V18" s="11"/>
      <c r="W18" s="11"/>
      <c r="X18" s="11"/>
      <c r="Y18" s="11"/>
      <c r="AA18" s="274"/>
    </row>
    <row r="19" spans="1:27">
      <c r="A19" s="3">
        <f t="shared" si="3"/>
        <v>11</v>
      </c>
      <c r="B19" s="3">
        <v>35</v>
      </c>
      <c r="C19" s="9">
        <f>+'F2018 Sch Level Delivered Load'!CF33</f>
        <v>5150000</v>
      </c>
      <c r="D19" s="314">
        <f>ROUND(+C19*'UE-180282 Prof Prop Rev'!S29,-3)</f>
        <v>295000</v>
      </c>
      <c r="E19" s="84">
        <f>+'Sch 95'!F22</f>
        <v>0</v>
      </c>
      <c r="F19" s="84">
        <f>+'Sch 95a'!F22</f>
        <v>-6000</v>
      </c>
      <c r="G19" s="84">
        <f>+'Sch 120'!F22</f>
        <v>15000</v>
      </c>
      <c r="H19" s="84">
        <f>+'Sch 129'!F22</f>
        <v>2000</v>
      </c>
      <c r="I19" s="84">
        <f>+'Sch 132'!F22</f>
        <v>-1000</v>
      </c>
      <c r="J19" s="84">
        <f>+'Sch 140'!F22</f>
        <v>11000</v>
      </c>
      <c r="K19" s="84">
        <f>+'Sch 141'!C19</f>
        <v>0</v>
      </c>
      <c r="L19" s="314">
        <f>+'Sch 142 Deferral'!I22</f>
        <v>8000</v>
      </c>
      <c r="M19" s="84">
        <f>+'Sch 194'!F22</f>
        <v>-38000</v>
      </c>
      <c r="N19" s="84">
        <f>SUM(E19:M19)</f>
        <v>-9000</v>
      </c>
      <c r="O19" s="84">
        <f>SUM(N19,D19)</f>
        <v>286000</v>
      </c>
      <c r="P19" s="87"/>
      <c r="Q19" s="314">
        <f t="shared" si="10"/>
        <v>-2000</v>
      </c>
      <c r="R19" s="314">
        <f>+'Sch 129'!I22</f>
        <v>3000</v>
      </c>
      <c r="S19" s="314">
        <f>SUM(Q19:R19)</f>
        <v>1000</v>
      </c>
      <c r="T19" s="314">
        <f t="shared" si="11"/>
        <v>287000</v>
      </c>
      <c r="U19" s="562">
        <f t="shared" si="12"/>
        <v>3.4965034965034965E-3</v>
      </c>
      <c r="V19" s="11"/>
      <c r="W19" s="11"/>
      <c r="X19" s="11"/>
      <c r="Y19" s="11"/>
      <c r="AA19" s="274"/>
    </row>
    <row r="20" spans="1:27">
      <c r="A20" s="3">
        <f t="shared" si="3"/>
        <v>12</v>
      </c>
      <c r="B20" s="3">
        <v>43</v>
      </c>
      <c r="C20" s="9">
        <f>+'F2018 Sch Level Delivered Load'!CG33</f>
        <v>123766000</v>
      </c>
      <c r="D20" s="314">
        <f>ROUND(+C20*'UE-180282 Prof Prop Rev'!S30,-3)</f>
        <v>10894000</v>
      </c>
      <c r="E20" s="84">
        <f>+'Sch 95'!F23</f>
        <v>0</v>
      </c>
      <c r="F20" s="84">
        <f>+'Sch 95a'!F23</f>
        <v>-187000</v>
      </c>
      <c r="G20" s="84">
        <f>+'Sch 120'!F23</f>
        <v>408000</v>
      </c>
      <c r="H20" s="84">
        <f>+'Sch 129'!F23</f>
        <v>95000</v>
      </c>
      <c r="I20" s="84">
        <f>+'Sch 132'!F23</f>
        <v>-29000</v>
      </c>
      <c r="J20" s="84">
        <f>+'Sch 140'!F23</f>
        <v>401000</v>
      </c>
      <c r="K20" s="84">
        <f>+'Sch 141'!C20</f>
        <v>0</v>
      </c>
      <c r="L20" s="314">
        <f>+'Sch 142 Deferral'!I23</f>
        <v>189000</v>
      </c>
      <c r="M20" s="84">
        <f>+'Sch 194'!F23</f>
        <v>0</v>
      </c>
      <c r="N20" s="84">
        <f>SUM(E20:M20)</f>
        <v>877000</v>
      </c>
      <c r="O20" s="84">
        <f>SUM(N20,D20)</f>
        <v>11771000</v>
      </c>
      <c r="P20" s="87"/>
      <c r="Q20" s="314">
        <f t="shared" si="10"/>
        <v>-95000</v>
      </c>
      <c r="R20" s="314">
        <f>+'Sch 129'!I23</f>
        <v>96000</v>
      </c>
      <c r="S20" s="314">
        <f>SUM(Q20:R20)</f>
        <v>1000</v>
      </c>
      <c r="T20" s="314">
        <f t="shared" si="11"/>
        <v>11772000</v>
      </c>
      <c r="U20" s="562">
        <f t="shared" si="12"/>
        <v>8.4954549316115883E-5</v>
      </c>
      <c r="V20" s="11"/>
      <c r="W20" s="11"/>
      <c r="X20" s="11"/>
      <c r="Y20" s="11"/>
      <c r="AA20" s="274"/>
    </row>
    <row r="21" spans="1:27">
      <c r="A21" s="3">
        <f t="shared" si="3"/>
        <v>13</v>
      </c>
      <c r="B21" s="2" t="s">
        <v>269</v>
      </c>
      <c r="C21" s="13">
        <f t="shared" ref="C21:O21" si="13">SUM(C18:C20)</f>
        <v>1538462000</v>
      </c>
      <c r="D21" s="315">
        <f t="shared" si="13"/>
        <v>125485000</v>
      </c>
      <c r="E21" s="85">
        <f t="shared" si="13"/>
        <v>0</v>
      </c>
      <c r="F21" s="85">
        <f t="shared" si="13"/>
        <v>-2544000</v>
      </c>
      <c r="G21" s="85">
        <f t="shared" si="13"/>
        <v>6275000</v>
      </c>
      <c r="H21" s="85">
        <f t="shared" si="13"/>
        <v>1078000</v>
      </c>
      <c r="I21" s="85">
        <f t="shared" si="13"/>
        <v>-365000</v>
      </c>
      <c r="J21" s="85">
        <f t="shared" si="13"/>
        <v>3531000</v>
      </c>
      <c r="K21" s="85">
        <f t="shared" si="13"/>
        <v>0</v>
      </c>
      <c r="L21" s="85">
        <f t="shared" si="13"/>
        <v>41000</v>
      </c>
      <c r="M21" s="85">
        <f t="shared" si="13"/>
        <v>-302000</v>
      </c>
      <c r="N21" s="85">
        <f t="shared" si="13"/>
        <v>7714000</v>
      </c>
      <c r="O21" s="85">
        <f t="shared" si="13"/>
        <v>133199000</v>
      </c>
      <c r="P21" s="87"/>
      <c r="Q21" s="315">
        <f t="shared" ref="Q21:T21" si="14">SUM(Q18:Q20)</f>
        <v>-1078000</v>
      </c>
      <c r="R21" s="315">
        <f t="shared" si="14"/>
        <v>1091000</v>
      </c>
      <c r="S21" s="315">
        <f t="shared" ref="S21" si="15">SUM(S18:S20)</f>
        <v>13000</v>
      </c>
      <c r="T21" s="315">
        <f t="shared" si="14"/>
        <v>133212000</v>
      </c>
      <c r="U21" s="563">
        <f t="shared" si="12"/>
        <v>9.759833031779518E-5</v>
      </c>
      <c r="V21" s="11"/>
      <c r="W21" s="11"/>
      <c r="X21" s="11"/>
      <c r="Y21" s="11"/>
      <c r="AA21" s="274"/>
    </row>
    <row r="22" spans="1:27">
      <c r="A22" s="3">
        <f t="shared" si="3"/>
        <v>14</v>
      </c>
      <c r="B22" s="3"/>
      <c r="C22" s="9"/>
      <c r="D22" s="31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7"/>
      <c r="Q22" s="314"/>
      <c r="R22" s="314"/>
      <c r="S22" s="314"/>
      <c r="T22" s="314"/>
      <c r="U22" s="562"/>
      <c r="AA22" s="274"/>
    </row>
    <row r="23" spans="1:27">
      <c r="A23" s="3">
        <f t="shared" si="3"/>
        <v>15</v>
      </c>
      <c r="B23" s="3">
        <v>40</v>
      </c>
      <c r="C23" s="13">
        <f>+'F2018 Sch Level Delivered Load'!CH33</f>
        <v>586365000</v>
      </c>
      <c r="D23" s="315">
        <f>ROUND(+C23*'UE-180282 Prof Prop Rev'!S33,-3)</f>
        <v>42551000</v>
      </c>
      <c r="E23" s="85">
        <f>+'Sch 95'!F26</f>
        <v>0</v>
      </c>
      <c r="F23" s="85">
        <f>+'Sch 95a'!F26</f>
        <v>-1039000</v>
      </c>
      <c r="G23" s="85">
        <f>+'Sch 120'!F26</f>
        <v>2222000</v>
      </c>
      <c r="H23" s="85">
        <f>+'Sch 129'!F26</f>
        <v>393000</v>
      </c>
      <c r="I23" s="85">
        <f>+'Sch 132'!F26</f>
        <v>-77000</v>
      </c>
      <c r="J23" s="85">
        <f>+'Sch 140'!F26</f>
        <v>1212000</v>
      </c>
      <c r="K23" s="85">
        <f>+'Sch 141'!C23</f>
        <v>0</v>
      </c>
      <c r="L23" s="85">
        <f>+'Sch 142 Deferral'!I26</f>
        <v>1121000</v>
      </c>
      <c r="M23" s="85">
        <f>+'Sch 194'!F26</f>
        <v>0</v>
      </c>
      <c r="N23" s="85">
        <f>SUM(E23:M23)</f>
        <v>3832000</v>
      </c>
      <c r="O23" s="85">
        <f>SUM(N23,D23)</f>
        <v>46383000</v>
      </c>
      <c r="P23" s="87"/>
      <c r="Q23" s="315">
        <f>-H23</f>
        <v>-393000</v>
      </c>
      <c r="R23" s="315">
        <f>+'Sch 129'!I26</f>
        <v>380000</v>
      </c>
      <c r="S23" s="315">
        <f>SUM(Q23:R23)</f>
        <v>-13000</v>
      </c>
      <c r="T23" s="315">
        <f>SUM(O23,S23)</f>
        <v>46370000</v>
      </c>
      <c r="U23" s="563">
        <f>S23/O23</f>
        <v>-2.8027510079123817E-4</v>
      </c>
      <c r="V23" s="11"/>
      <c r="W23" s="11"/>
      <c r="X23" s="11"/>
      <c r="Y23" s="11"/>
      <c r="AA23" s="274"/>
    </row>
    <row r="24" spans="1:27">
      <c r="A24" s="3">
        <f t="shared" si="3"/>
        <v>16</v>
      </c>
      <c r="B24" s="3"/>
      <c r="C24" s="9"/>
      <c r="D24" s="31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7"/>
      <c r="Q24" s="314"/>
      <c r="R24" s="314"/>
      <c r="S24" s="314"/>
      <c r="T24" s="314"/>
      <c r="U24" s="562"/>
      <c r="AA24" s="274"/>
    </row>
    <row r="25" spans="1:27">
      <c r="A25" s="3">
        <f t="shared" si="3"/>
        <v>17</v>
      </c>
      <c r="B25" s="3">
        <v>46</v>
      </c>
      <c r="C25" s="9">
        <f>+'F2018 Sch Level Delivered Load'!CI33</f>
        <v>79268000</v>
      </c>
      <c r="D25" s="314">
        <f>ROUND(+C25*'UE-180282 Prof Prop Rev'!S36,-3)</f>
        <v>5249000</v>
      </c>
      <c r="E25" s="84">
        <f>+'Sch 95'!F28</f>
        <v>0</v>
      </c>
      <c r="F25" s="84">
        <f>+'Sch 95a'!F28</f>
        <v>-68000</v>
      </c>
      <c r="G25" s="84">
        <f>+'Sch 120'!F28</f>
        <v>207000</v>
      </c>
      <c r="H25" s="84">
        <f>+'Sch 129'!F28</f>
        <v>47000</v>
      </c>
      <c r="I25" s="84">
        <f>+'Sch 132'!F28</f>
        <v>-9000</v>
      </c>
      <c r="J25" s="84">
        <f>+'Sch 140'!F28</f>
        <v>128000</v>
      </c>
      <c r="K25" s="84">
        <f>+'Sch 141'!C25</f>
        <v>0</v>
      </c>
      <c r="L25" s="84">
        <f>+'Sch 142 Deferral'!I28</f>
        <v>112000</v>
      </c>
      <c r="M25" s="84">
        <f>+'Sch 194'!F28</f>
        <v>0</v>
      </c>
      <c r="N25" s="84">
        <f>SUM(E25:M25)</f>
        <v>417000</v>
      </c>
      <c r="O25" s="84">
        <f>SUM(N25,D25)</f>
        <v>5666000</v>
      </c>
      <c r="P25" s="87"/>
      <c r="Q25" s="314">
        <f t="shared" ref="Q25:Q26" si="16">-H25</f>
        <v>-47000</v>
      </c>
      <c r="R25" s="314">
        <f>+'Sch 129'!I28</f>
        <v>47000</v>
      </c>
      <c r="S25" s="314">
        <f>SUM(Q25:R25)</f>
        <v>0</v>
      </c>
      <c r="T25" s="314">
        <f t="shared" ref="T25:T26" si="17">SUM(O25,S25)</f>
        <v>5666000</v>
      </c>
      <c r="U25" s="562">
        <f t="shared" ref="U25:U27" si="18">S25/O25</f>
        <v>0</v>
      </c>
      <c r="V25" s="11"/>
      <c r="W25" s="11"/>
      <c r="X25" s="11"/>
      <c r="Y25" s="11"/>
      <c r="AA25" s="274"/>
    </row>
    <row r="26" spans="1:27">
      <c r="A26" s="3">
        <f t="shared" si="3"/>
        <v>18</v>
      </c>
      <c r="B26" s="3">
        <v>49</v>
      </c>
      <c r="C26" s="9">
        <f>+'F2018 Sch Level Delivered Load'!CJ33</f>
        <v>597895000</v>
      </c>
      <c r="D26" s="314">
        <f>ROUND(+C26*'UE-180282 Prof Prop Rev'!S37,-3)</f>
        <v>38525000</v>
      </c>
      <c r="E26" s="84">
        <f>+'Sch 95'!F29</f>
        <v>0</v>
      </c>
      <c r="F26" s="84">
        <f>+'Sch 95a'!F29</f>
        <v>-1013000</v>
      </c>
      <c r="G26" s="84">
        <f>+'Sch 120'!F29</f>
        <v>2334000</v>
      </c>
      <c r="H26" s="84">
        <f>+'Sch 129'!F29</f>
        <v>344000</v>
      </c>
      <c r="I26" s="84">
        <f>+'Sch 132'!F29</f>
        <v>-66000</v>
      </c>
      <c r="J26" s="84">
        <f>+'Sch 140'!F29</f>
        <v>969000</v>
      </c>
      <c r="K26" s="84">
        <f>+'Sch 141'!C26</f>
        <v>0</v>
      </c>
      <c r="L26" s="314">
        <f>+'Sch 142 Deferral'!I29</f>
        <v>848000</v>
      </c>
      <c r="M26" s="84">
        <f>+'Sch 194'!F29</f>
        <v>0</v>
      </c>
      <c r="N26" s="84">
        <f>SUM(E26:M26)</f>
        <v>3416000</v>
      </c>
      <c r="O26" s="84">
        <f>SUM(N26,D26)</f>
        <v>41941000</v>
      </c>
      <c r="P26" s="87"/>
      <c r="Q26" s="314">
        <f t="shared" si="16"/>
        <v>-344000</v>
      </c>
      <c r="R26" s="314">
        <f>+'Sch 129'!I29</f>
        <v>343000</v>
      </c>
      <c r="S26" s="314">
        <f>SUM(Q26:R26)</f>
        <v>-1000</v>
      </c>
      <c r="T26" s="314">
        <f t="shared" si="17"/>
        <v>41940000</v>
      </c>
      <c r="U26" s="562">
        <f t="shared" si="18"/>
        <v>-2.3843017572303952E-5</v>
      </c>
      <c r="V26" s="11"/>
      <c r="W26" s="11"/>
      <c r="X26" s="11"/>
      <c r="Y26" s="11"/>
      <c r="AA26" s="274"/>
    </row>
    <row r="27" spans="1:27">
      <c r="A27" s="3">
        <f t="shared" si="3"/>
        <v>19</v>
      </c>
      <c r="B27" s="3" t="s">
        <v>19</v>
      </c>
      <c r="C27" s="13">
        <f>SUM(C25:C26)</f>
        <v>677163000</v>
      </c>
      <c r="D27" s="315">
        <f>SUM(D25:D26)</f>
        <v>43774000</v>
      </c>
      <c r="E27" s="85">
        <f t="shared" ref="E27:I27" si="19">SUM(E25:E26)</f>
        <v>0</v>
      </c>
      <c r="F27" s="85">
        <f t="shared" si="19"/>
        <v>-1081000</v>
      </c>
      <c r="G27" s="85">
        <f>SUM(G25:G26)</f>
        <v>2541000</v>
      </c>
      <c r="H27" s="85">
        <f t="shared" si="19"/>
        <v>391000</v>
      </c>
      <c r="I27" s="85">
        <f t="shared" si="19"/>
        <v>-75000</v>
      </c>
      <c r="J27" s="85">
        <f>SUM(J25:J26)</f>
        <v>1097000</v>
      </c>
      <c r="K27" s="85">
        <f t="shared" ref="K27:L27" si="20">SUM(K25:K26)</f>
        <v>0</v>
      </c>
      <c r="L27" s="85">
        <f t="shared" si="20"/>
        <v>960000</v>
      </c>
      <c r="M27" s="85">
        <f t="shared" ref="M27:T27" si="21">SUM(M25:M26)</f>
        <v>0</v>
      </c>
      <c r="N27" s="85">
        <f t="shared" ref="N27" si="22">SUM(N25:N26)</f>
        <v>3833000</v>
      </c>
      <c r="O27" s="85">
        <f t="shared" si="21"/>
        <v>47607000</v>
      </c>
      <c r="P27" s="87"/>
      <c r="Q27" s="315">
        <f t="shared" si="21"/>
        <v>-391000</v>
      </c>
      <c r="R27" s="315">
        <f t="shared" si="21"/>
        <v>390000</v>
      </c>
      <c r="S27" s="315">
        <f t="shared" ref="S27" si="23">SUM(S25:S26)</f>
        <v>-1000</v>
      </c>
      <c r="T27" s="315">
        <f t="shared" si="21"/>
        <v>47606000</v>
      </c>
      <c r="U27" s="563">
        <f t="shared" si="18"/>
        <v>-2.1005314344529166E-5</v>
      </c>
      <c r="V27" s="11"/>
      <c r="W27" s="11"/>
      <c r="X27" s="11"/>
      <c r="Y27" s="11"/>
      <c r="AA27" s="274"/>
    </row>
    <row r="28" spans="1:27">
      <c r="A28" s="3">
        <f t="shared" si="3"/>
        <v>20</v>
      </c>
      <c r="B28" s="3"/>
      <c r="C28" s="9"/>
      <c r="D28" s="31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7"/>
      <c r="Q28" s="314"/>
      <c r="R28" s="314"/>
      <c r="S28" s="314"/>
      <c r="T28" s="314"/>
      <c r="U28" s="562"/>
      <c r="AA28" s="274"/>
    </row>
    <row r="29" spans="1:27">
      <c r="A29" s="3">
        <f t="shared" si="3"/>
        <v>21</v>
      </c>
      <c r="B29" s="3" t="s">
        <v>20</v>
      </c>
      <c r="C29" s="13">
        <f>+'F2018 Sch Level Delivered Load'!CK33</f>
        <v>70960000</v>
      </c>
      <c r="D29" s="315">
        <f>ROUND(+C29*'UE-180282 Prof Prop Rev'!S42,-3)</f>
        <v>15916000</v>
      </c>
      <c r="E29" s="85">
        <f>+'Sch 95'!F32</f>
        <v>0</v>
      </c>
      <c r="F29" s="85">
        <f>+'Sch 95a'!F32</f>
        <v>-150000</v>
      </c>
      <c r="G29" s="85">
        <f>+'Sch 120'!F32</f>
        <v>324000</v>
      </c>
      <c r="H29" s="85">
        <f>+'Sch 129'!F32</f>
        <v>154000</v>
      </c>
      <c r="I29" s="85">
        <f>+'Sch 132'!F32</f>
        <v>-99000</v>
      </c>
      <c r="J29" s="85">
        <f>+'Sch 140'!F32</f>
        <v>647000</v>
      </c>
      <c r="K29" s="85">
        <f>+'Sch 141'!C29</f>
        <v>0</v>
      </c>
      <c r="L29" s="85">
        <f>+'Sch 142 Deferral'!I32</f>
        <v>0</v>
      </c>
      <c r="M29" s="85">
        <f>+'Sch 194'!F32</f>
        <v>-15000</v>
      </c>
      <c r="N29" s="85">
        <f>SUM(E29:M29)</f>
        <v>861000</v>
      </c>
      <c r="O29" s="85">
        <f>SUM(N29,D29)</f>
        <v>16777000</v>
      </c>
      <c r="P29" s="87"/>
      <c r="Q29" s="315">
        <f>-H29</f>
        <v>-154000</v>
      </c>
      <c r="R29" s="315">
        <f>+'Sch 129'!I32</f>
        <v>138000</v>
      </c>
      <c r="S29" s="315">
        <f>SUM(Q29:R29)</f>
        <v>-16000</v>
      </c>
      <c r="T29" s="315">
        <f>SUM(O29,S29)</f>
        <v>16761000</v>
      </c>
      <c r="U29" s="563">
        <f>S29/O29</f>
        <v>-9.5368659474280267E-4</v>
      </c>
      <c r="V29" s="11"/>
      <c r="W29" s="11"/>
      <c r="X29" s="11"/>
      <c r="Y29" s="11"/>
      <c r="AA29" s="274"/>
    </row>
    <row r="30" spans="1:27">
      <c r="A30" s="3">
        <f t="shared" si="3"/>
        <v>22</v>
      </c>
      <c r="B30" s="3"/>
      <c r="C30" s="9"/>
      <c r="D30" s="31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7"/>
      <c r="Q30" s="314"/>
      <c r="R30" s="314"/>
      <c r="S30" s="314"/>
      <c r="T30" s="314"/>
      <c r="U30" s="562"/>
      <c r="AA30" s="274"/>
    </row>
    <row r="31" spans="1:27">
      <c r="A31" s="3">
        <f t="shared" si="3"/>
        <v>23</v>
      </c>
      <c r="B31" s="3" t="s">
        <v>21</v>
      </c>
      <c r="C31" s="13">
        <f>+'F2018 Sch Level Delivered Load'!CM33</f>
        <v>2030932000</v>
      </c>
      <c r="D31" s="315">
        <f>ROUND(+C31*'UE-180282 Prof Prop Rev'!S40,-3)</f>
        <v>7703000</v>
      </c>
      <c r="E31" s="85">
        <f>+'Sch 95'!F34</f>
        <v>0</v>
      </c>
      <c r="F31" s="85">
        <f>+'Sch 95a'!F34</f>
        <v>0</v>
      </c>
      <c r="G31" s="85">
        <f>+'Sch 120'!F34</f>
        <v>2143000</v>
      </c>
      <c r="H31" s="85">
        <f>+'Sch 129'!F34</f>
        <v>67000</v>
      </c>
      <c r="I31" s="85">
        <f>+'Sch 132'!F34</f>
        <v>-57000</v>
      </c>
      <c r="J31" s="85">
        <f>+'Sch 140'!F34</f>
        <v>59000</v>
      </c>
      <c r="K31" s="85">
        <f>+'Sch 141'!C31</f>
        <v>0</v>
      </c>
      <c r="L31" s="85">
        <f>+'Sch 142 Deferral'!I34</f>
        <v>0</v>
      </c>
      <c r="M31" s="85">
        <f>+'Sch 194'!F34</f>
        <v>0</v>
      </c>
      <c r="N31" s="85">
        <f>SUM(E31:M31)</f>
        <v>2212000</v>
      </c>
      <c r="O31" s="85">
        <f>SUM(N31,D31)</f>
        <v>9915000</v>
      </c>
      <c r="P31" s="87"/>
      <c r="Q31" s="315">
        <f>-H31</f>
        <v>-67000</v>
      </c>
      <c r="R31" s="315">
        <f>+'Sch 129'!I34</f>
        <v>67000</v>
      </c>
      <c r="S31" s="315">
        <f>SUM(Q31:R31)</f>
        <v>0</v>
      </c>
      <c r="T31" s="315">
        <f>SUM(O31,S31)</f>
        <v>9915000</v>
      </c>
      <c r="U31" s="563">
        <f>S31/O31</f>
        <v>0</v>
      </c>
      <c r="V31" s="11"/>
      <c r="W31" s="11"/>
      <c r="X31" s="11"/>
      <c r="Y31" s="11"/>
      <c r="AA31" s="274"/>
    </row>
    <row r="32" spans="1:27">
      <c r="A32" s="3">
        <f t="shared" si="3"/>
        <v>24</v>
      </c>
      <c r="B32" s="3"/>
      <c r="C32" s="9"/>
      <c r="D32" s="31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7"/>
      <c r="Q32" s="314"/>
      <c r="R32" s="314"/>
      <c r="S32" s="314"/>
      <c r="T32" s="314"/>
      <c r="U32" s="562"/>
      <c r="AA32" s="274"/>
    </row>
    <row r="33" spans="1:27" ht="13.5" thickBot="1">
      <c r="A33" s="3">
        <f t="shared" si="3"/>
        <v>25</v>
      </c>
      <c r="B33" s="3" t="s">
        <v>22</v>
      </c>
      <c r="C33" s="14">
        <f t="shared" ref="C33:O33" si="24">SUM(C10,C16,C21,C23,C27,C29,C31)</f>
        <v>23908883000</v>
      </c>
      <c r="D33" s="199">
        <f t="shared" si="24"/>
        <v>2104779000</v>
      </c>
      <c r="E33" s="86">
        <f t="shared" si="24"/>
        <v>0</v>
      </c>
      <c r="F33" s="86">
        <f t="shared" si="24"/>
        <v>-41268000</v>
      </c>
      <c r="G33" s="86">
        <f t="shared" si="24"/>
        <v>100892000</v>
      </c>
      <c r="H33" s="86">
        <f t="shared" si="24"/>
        <v>18737000</v>
      </c>
      <c r="I33" s="86">
        <f t="shared" si="24"/>
        <v>-6393000</v>
      </c>
      <c r="J33" s="86">
        <f t="shared" si="24"/>
        <v>63333000</v>
      </c>
      <c r="K33" s="86">
        <f t="shared" si="24"/>
        <v>0</v>
      </c>
      <c r="L33" s="86">
        <f t="shared" si="24"/>
        <v>-798000</v>
      </c>
      <c r="M33" s="86">
        <f t="shared" si="24"/>
        <v>-83835000</v>
      </c>
      <c r="N33" s="86">
        <f t="shared" si="24"/>
        <v>50668000</v>
      </c>
      <c r="O33" s="86">
        <f t="shared" si="24"/>
        <v>2155447000</v>
      </c>
      <c r="P33" s="87"/>
      <c r="Q33" s="199">
        <f t="shared" ref="Q33:T33" si="25">SUM(Q10,Q16,Q21,Q23,Q27,Q29,Q31)</f>
        <v>-18737000</v>
      </c>
      <c r="R33" s="199">
        <f t="shared" si="25"/>
        <v>18297000</v>
      </c>
      <c r="S33" s="199">
        <f t="shared" ref="S33" si="26">SUM(S10,S16,S21,S23,S27,S29,S31)</f>
        <v>-440000</v>
      </c>
      <c r="T33" s="199">
        <f t="shared" si="25"/>
        <v>2155007000</v>
      </c>
      <c r="U33" s="564">
        <f>S33/O33</f>
        <v>-2.0413399169638596E-4</v>
      </c>
      <c r="V33" s="10"/>
      <c r="W33" s="10"/>
      <c r="X33" s="10"/>
      <c r="Y33" s="11"/>
      <c r="AA33" s="274"/>
    </row>
    <row r="34" spans="1:27" ht="13.5" thickTop="1">
      <c r="A34" s="3">
        <f t="shared" si="3"/>
        <v>26</v>
      </c>
      <c r="B34" s="3"/>
      <c r="C34" s="15"/>
      <c r="D34" s="273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273"/>
      <c r="R34" s="273"/>
      <c r="S34" s="273"/>
      <c r="T34" s="273"/>
      <c r="U34" s="565"/>
      <c r="V34" s="10"/>
      <c r="W34" s="10"/>
      <c r="X34" s="10"/>
      <c r="Y34" s="11"/>
      <c r="AA34" s="274"/>
    </row>
    <row r="35" spans="1:27">
      <c r="A35" s="3">
        <f t="shared" si="3"/>
        <v>27</v>
      </c>
      <c r="B35" s="3">
        <v>5</v>
      </c>
      <c r="C35" s="13">
        <f>+'F2018 Sch Level Delivered Load'!CL33</f>
        <v>7036000</v>
      </c>
      <c r="D35" s="315">
        <f>ROUND(+C35*'UE-180282 Prof Prop Rev'!S44,-3)</f>
        <v>616000</v>
      </c>
      <c r="E35" s="85">
        <f>+'Sch 95'!F38</f>
        <v>0</v>
      </c>
      <c r="F35" s="85">
        <f>+'Sch 95a'!F38</f>
        <v>-14000</v>
      </c>
      <c r="G35" s="85">
        <f>+'Sch 120'!F38</f>
        <v>0</v>
      </c>
      <c r="H35" s="85">
        <f>+'Sch 129'!F38</f>
        <v>0</v>
      </c>
      <c r="I35" s="85">
        <f>+'Sch 132'!F38</f>
        <v>0</v>
      </c>
      <c r="J35" s="85">
        <f>+'Sch 140'!F38</f>
        <v>0</v>
      </c>
      <c r="K35" s="85">
        <f>+'Sch 141'!C35</f>
        <v>0</v>
      </c>
      <c r="L35" s="85">
        <f>+'Sch 142 Deferral'!I38</f>
        <v>0</v>
      </c>
      <c r="M35" s="85">
        <f>+'Sch 194'!F38</f>
        <v>0</v>
      </c>
      <c r="N35" s="85">
        <f>SUM(E35:M35)</f>
        <v>-14000</v>
      </c>
      <c r="O35" s="85">
        <f>SUM(N35,D35)</f>
        <v>602000</v>
      </c>
      <c r="P35" s="87"/>
      <c r="Q35" s="315">
        <f>-H35</f>
        <v>0</v>
      </c>
      <c r="R35" s="315">
        <f>+'Sch 129'!I38</f>
        <v>0</v>
      </c>
      <c r="S35" s="315">
        <f>SUM(Q35:R35)</f>
        <v>0</v>
      </c>
      <c r="T35" s="315">
        <f>SUM(O35,S35)</f>
        <v>602000</v>
      </c>
      <c r="U35" s="563">
        <f>S35/O35</f>
        <v>0</v>
      </c>
      <c r="V35" s="10"/>
      <c r="W35" s="10"/>
      <c r="X35" s="10"/>
      <c r="Y35" s="11"/>
      <c r="AA35" s="274"/>
    </row>
    <row r="36" spans="1:27">
      <c r="A36" s="3">
        <f t="shared" si="3"/>
        <v>28</v>
      </c>
      <c r="B36" s="3"/>
      <c r="C36" s="15"/>
      <c r="D36" s="273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273"/>
      <c r="R36" s="273"/>
      <c r="S36" s="273"/>
      <c r="T36" s="273"/>
      <c r="U36" s="565"/>
      <c r="V36" s="10"/>
      <c r="W36" s="10"/>
      <c r="X36" s="10"/>
      <c r="Y36" s="11"/>
      <c r="AA36" s="274"/>
    </row>
    <row r="37" spans="1:27" ht="13.5" thickBot="1">
      <c r="A37" s="3">
        <f t="shared" si="3"/>
        <v>29</v>
      </c>
      <c r="B37" s="3" t="s">
        <v>23</v>
      </c>
      <c r="C37" s="14">
        <f>+C35+C33</f>
        <v>23915919000</v>
      </c>
      <c r="D37" s="199">
        <f>+D35+D33</f>
        <v>2105395000</v>
      </c>
      <c r="E37" s="86">
        <f t="shared" ref="E37:I37" si="27">+E35+E33</f>
        <v>0</v>
      </c>
      <c r="F37" s="86">
        <f t="shared" si="27"/>
        <v>-41282000</v>
      </c>
      <c r="G37" s="86">
        <f>+G35+G33</f>
        <v>100892000</v>
      </c>
      <c r="H37" s="86">
        <f t="shared" si="27"/>
        <v>18737000</v>
      </c>
      <c r="I37" s="86">
        <f t="shared" si="27"/>
        <v>-6393000</v>
      </c>
      <c r="J37" s="86">
        <f>+J35+J33</f>
        <v>63333000</v>
      </c>
      <c r="K37" s="86">
        <f t="shared" ref="K37:L37" si="28">+K35+K33</f>
        <v>0</v>
      </c>
      <c r="L37" s="86">
        <f t="shared" si="28"/>
        <v>-798000</v>
      </c>
      <c r="M37" s="86">
        <f t="shared" ref="M37:T37" si="29">+M35+M33</f>
        <v>-83835000</v>
      </c>
      <c r="N37" s="86">
        <f t="shared" ref="N37" si="30">+N35+N33</f>
        <v>50654000</v>
      </c>
      <c r="O37" s="86">
        <f t="shared" si="29"/>
        <v>2156049000</v>
      </c>
      <c r="P37" s="87"/>
      <c r="Q37" s="199">
        <f t="shared" si="29"/>
        <v>-18737000</v>
      </c>
      <c r="R37" s="199">
        <f t="shared" si="29"/>
        <v>18297000</v>
      </c>
      <c r="S37" s="199">
        <f t="shared" ref="S37" si="31">+S35+S33</f>
        <v>-440000</v>
      </c>
      <c r="T37" s="199">
        <f t="shared" si="29"/>
        <v>2155609000</v>
      </c>
      <c r="U37" s="564">
        <f>S37/O37</f>
        <v>-2.0407699453954897E-4</v>
      </c>
      <c r="V37" s="10"/>
      <c r="W37" s="10"/>
      <c r="X37" s="10"/>
      <c r="Y37" s="11"/>
      <c r="AA37" s="274"/>
    </row>
    <row r="38" spans="1:27" ht="13.5" thickTop="1"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7"/>
      <c r="Q38" s="84"/>
      <c r="R38" s="84"/>
      <c r="S38" s="84"/>
      <c r="T38" s="84"/>
      <c r="AA38" s="274"/>
    </row>
    <row r="39" spans="1:27">
      <c r="C39" s="326"/>
      <c r="D39" s="558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AA39" s="274"/>
    </row>
    <row r="40" spans="1:27">
      <c r="C40" s="326"/>
      <c r="D40" s="558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T40" s="84"/>
      <c r="AA40" s="274"/>
    </row>
    <row r="41" spans="1:27">
      <c r="D41" s="559"/>
      <c r="AA41" s="274"/>
    </row>
    <row r="42" spans="1:27">
      <c r="D42" s="474"/>
    </row>
  </sheetData>
  <mergeCells count="4">
    <mergeCell ref="A1:B1"/>
    <mergeCell ref="A2:B2"/>
    <mergeCell ref="A3:B3"/>
    <mergeCell ref="A4:B4"/>
  </mergeCells>
  <printOptions horizontalCentered="1"/>
  <pageMargins left="0.25" right="0.25" top="0.75" bottom="0.75" header="0.3" footer="0.3"/>
  <pageSetup scale="46" fitToHeight="0" orientation="landscape" r:id="rId1"/>
  <headerFooter>
    <oddFooter>&amp;L&amp;"Times New Roman,Regular"&amp;F
&amp;A&amp;R&amp;"Times New Roman,Regular"Page &amp;P of &amp;N</oddFooter>
  </headerFooter>
  <colBreaks count="1" manualBreakCount="1">
    <brk id="15" max="3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.75"/>
  <cols>
    <col min="2" max="2" width="10.28515625" bestFit="1" customWidth="1"/>
    <col min="3" max="3" width="21" bestFit="1" customWidth="1"/>
    <col min="4" max="4" width="15.140625" bestFit="1" customWidth="1"/>
    <col min="5" max="5" width="11.5703125" bestFit="1" customWidth="1"/>
    <col min="6" max="6" width="12.140625" bestFit="1" customWidth="1"/>
  </cols>
  <sheetData>
    <row r="1" spans="1:6">
      <c r="A1" s="585" t="s">
        <v>0</v>
      </c>
      <c r="B1" s="585"/>
      <c r="C1" s="585"/>
      <c r="D1" s="585"/>
      <c r="E1" s="585"/>
      <c r="F1" s="585"/>
    </row>
    <row r="2" spans="1:6">
      <c r="A2" s="586" t="s">
        <v>219</v>
      </c>
      <c r="B2" s="585"/>
      <c r="C2" s="585"/>
      <c r="D2" s="585"/>
      <c r="E2" s="585"/>
      <c r="F2" s="585"/>
    </row>
    <row r="3" spans="1:6">
      <c r="A3" s="585" t="str">
        <f>+'Rate Impacts 10-4-2018'!A3</f>
        <v>Test Year ended September 2019</v>
      </c>
      <c r="B3" s="585"/>
      <c r="C3" s="585"/>
      <c r="D3" s="585"/>
      <c r="E3" s="585"/>
      <c r="F3" s="585"/>
    </row>
    <row r="4" spans="1:6">
      <c r="A4" s="585"/>
      <c r="B4" s="585"/>
      <c r="C4" s="585"/>
      <c r="D4" s="585"/>
      <c r="E4" s="585"/>
      <c r="F4" s="585"/>
    </row>
    <row r="5" spans="1:6">
      <c r="A5" s="2"/>
      <c r="B5" s="3"/>
      <c r="C5" s="3"/>
      <c r="D5" s="3"/>
      <c r="E5" s="4"/>
      <c r="F5" s="4" t="s">
        <v>136</v>
      </c>
    </row>
    <row r="6" spans="1:6" ht="51">
      <c r="A6" s="6" t="s">
        <v>3</v>
      </c>
      <c r="B6" s="6" t="s">
        <v>4</v>
      </c>
      <c r="C6" s="6" t="s">
        <v>42</v>
      </c>
      <c r="D6" s="7" t="str">
        <f>+'Rate Impacts 10-4-2018'!C7</f>
        <v>Annual kWh Delivered Sales YE 9-2019 (F2018)</v>
      </c>
      <c r="E6" s="7" t="s">
        <v>293</v>
      </c>
      <c r="F6" s="7" t="s">
        <v>220</v>
      </c>
    </row>
    <row r="7" spans="1:6">
      <c r="A7" s="3">
        <v>1</v>
      </c>
      <c r="B7" s="3">
        <v>7</v>
      </c>
      <c r="C7" s="4"/>
      <c r="D7" s="9">
        <f>+'Rate Impacts 10-4-2018'!C9</f>
        <v>10809562000</v>
      </c>
      <c r="E7" s="193">
        <f>+'UE-171167 (Sch 132)'!G10</f>
        <v>-3.4600000000000001E-4</v>
      </c>
      <c r="F7" s="194">
        <f>ROUND(D7*E7,-3)</f>
        <v>-3740000</v>
      </c>
    </row>
    <row r="8" spans="1:6">
      <c r="A8" s="3">
        <f t="shared" ref="A8:A40" si="0">+A7+1</f>
        <v>2</v>
      </c>
      <c r="B8" s="2" t="s">
        <v>14</v>
      </c>
      <c r="C8" s="4"/>
      <c r="D8" s="9">
        <v>0</v>
      </c>
      <c r="E8" s="193">
        <f>+'UE-171167 (Sch 132)'!G12</f>
        <v>-2.4499999999999999E-4</v>
      </c>
      <c r="F8" s="194">
        <f>ROUND(D8*E8,-3)</f>
        <v>0</v>
      </c>
    </row>
    <row r="9" spans="1:6">
      <c r="A9" s="3">
        <f t="shared" si="0"/>
        <v>3</v>
      </c>
      <c r="B9" s="3"/>
      <c r="C9" s="4" t="s">
        <v>15</v>
      </c>
      <c r="D9" s="13">
        <f>SUM(D7:D8)</f>
        <v>10809562000</v>
      </c>
      <c r="E9" s="195"/>
      <c r="F9" s="196">
        <f t="shared" ref="F9" si="1">SUM(F7:F8)</f>
        <v>-3740000</v>
      </c>
    </row>
    <row r="10" spans="1:6">
      <c r="A10" s="3">
        <f t="shared" si="0"/>
        <v>4</v>
      </c>
      <c r="B10" s="3"/>
      <c r="C10" s="4"/>
      <c r="D10" s="9"/>
      <c r="E10" s="193"/>
      <c r="F10" s="194"/>
    </row>
    <row r="11" spans="1:6">
      <c r="A11" s="3">
        <f t="shared" si="0"/>
        <v>5</v>
      </c>
      <c r="B11" s="3">
        <v>8</v>
      </c>
      <c r="C11" s="4"/>
      <c r="D11" s="9">
        <v>0</v>
      </c>
      <c r="E11" s="193">
        <f>+'UE-171167 (Sch 132)'!G11</f>
        <v>-2.63E-4</v>
      </c>
      <c r="F11" s="194">
        <f t="shared" ref="F11:F17" si="2">ROUND(D11*E11,-3)</f>
        <v>0</v>
      </c>
    </row>
    <row r="12" spans="1:6">
      <c r="A12" s="3">
        <f t="shared" si="0"/>
        <v>6</v>
      </c>
      <c r="B12" s="3">
        <v>24</v>
      </c>
      <c r="C12" s="1"/>
      <c r="D12" s="9">
        <f>+'Rate Impacts 10-4-2018'!C12</f>
        <v>3049254000</v>
      </c>
      <c r="E12" s="197">
        <f>+E11</f>
        <v>-2.63E-4</v>
      </c>
      <c r="F12" s="194">
        <f t="shared" si="2"/>
        <v>-802000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93">
        <f>+E8</f>
        <v>-2.4499999999999999E-4</v>
      </c>
      <c r="F13" s="194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f>+'Rate Impacts 10-4-2018'!C13</f>
        <v>3208495000</v>
      </c>
      <c r="E14" s="197">
        <f>+E13</f>
        <v>-2.4499999999999999E-4</v>
      </c>
      <c r="F14" s="194">
        <f t="shared" si="2"/>
        <v>-786000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93">
        <f>+'UE-171167 (Sch 132)'!G13</f>
        <v>-2.02E-4</v>
      </c>
      <c r="F15" s="194">
        <f t="shared" si="2"/>
        <v>0</v>
      </c>
    </row>
    <row r="16" spans="1:6">
      <c r="A16" s="3">
        <f t="shared" si="0"/>
        <v>10</v>
      </c>
      <c r="B16" s="3" t="s">
        <v>16</v>
      </c>
      <c r="C16" s="1"/>
      <c r="D16" s="9">
        <f>+'Rate Impacts 10-4-2018'!C14</f>
        <v>1921550000</v>
      </c>
      <c r="E16" s="197">
        <f>+E15</f>
        <v>-2.02E-4</v>
      </c>
      <c r="F16" s="194">
        <f t="shared" si="2"/>
        <v>-388000</v>
      </c>
    </row>
    <row r="17" spans="1:6">
      <c r="A17" s="3">
        <f t="shared" si="0"/>
        <v>11</v>
      </c>
      <c r="B17" s="3">
        <v>29</v>
      </c>
      <c r="C17" s="4"/>
      <c r="D17" s="9">
        <f>+'Rate Impacts 10-4-2018'!C15</f>
        <v>16140000</v>
      </c>
      <c r="E17" s="193">
        <f>+E8</f>
        <v>-2.4499999999999999E-4</v>
      </c>
      <c r="F17" s="194">
        <f t="shared" si="2"/>
        <v>-4000</v>
      </c>
    </row>
    <row r="18" spans="1:6">
      <c r="A18" s="3">
        <f t="shared" si="0"/>
        <v>12</v>
      </c>
      <c r="B18" s="3"/>
      <c r="C18" s="12" t="s">
        <v>17</v>
      </c>
      <c r="D18" s="13">
        <f>SUM(D11:D17)</f>
        <v>8195439000</v>
      </c>
      <c r="E18" s="195"/>
      <c r="F18" s="196">
        <f t="shared" ref="F18" si="3">SUM(F11:F17)</f>
        <v>-1980000</v>
      </c>
    </row>
    <row r="19" spans="1:6">
      <c r="A19" s="3">
        <f t="shared" si="0"/>
        <v>13</v>
      </c>
      <c r="B19" s="3"/>
      <c r="C19" s="4"/>
      <c r="D19" s="9"/>
      <c r="E19" s="193"/>
      <c r="F19" s="194"/>
    </row>
    <row r="20" spans="1:6">
      <c r="A20" s="3">
        <f t="shared" si="0"/>
        <v>14</v>
      </c>
      <c r="B20" s="3">
        <v>10</v>
      </c>
      <c r="C20" s="1"/>
      <c r="D20" s="9">
        <v>0</v>
      </c>
      <c r="E20" s="193">
        <f>+'UE-171167 (Sch 132)'!G14</f>
        <v>-2.3800000000000001E-4</v>
      </c>
      <c r="F20" s="194">
        <f>ROUND(D20*E20,-3)</f>
        <v>0</v>
      </c>
    </row>
    <row r="21" spans="1:6">
      <c r="A21" s="3">
        <f t="shared" si="0"/>
        <v>15</v>
      </c>
      <c r="B21" s="3">
        <v>31</v>
      </c>
      <c r="C21" s="4"/>
      <c r="D21" s="9">
        <f>+'Rate Impacts 10-4-2018'!C18</f>
        <v>1409546000</v>
      </c>
      <c r="E21" s="197">
        <f>+E20</f>
        <v>-2.3800000000000001E-4</v>
      </c>
      <c r="F21" s="194">
        <f>ROUND(D21*E21,-3)</f>
        <v>-335000</v>
      </c>
    </row>
    <row r="22" spans="1:6">
      <c r="A22" s="3">
        <f t="shared" si="0"/>
        <v>16</v>
      </c>
      <c r="B22" s="3">
        <v>35</v>
      </c>
      <c r="C22" s="4"/>
      <c r="D22" s="9">
        <f>+'Rate Impacts 10-4-2018'!C19</f>
        <v>5150000</v>
      </c>
      <c r="E22" s="197">
        <f t="shared" ref="E22:E23" si="4">+E21</f>
        <v>-2.3800000000000001E-4</v>
      </c>
      <c r="F22" s="194">
        <f>ROUND(D22*E22,-3)</f>
        <v>-1000</v>
      </c>
    </row>
    <row r="23" spans="1:6">
      <c r="A23" s="3">
        <f t="shared" si="0"/>
        <v>17</v>
      </c>
      <c r="B23" s="3">
        <v>43</v>
      </c>
      <c r="C23" s="4"/>
      <c r="D23" s="9">
        <f>+'Rate Impacts 10-4-2018'!C20</f>
        <v>123766000</v>
      </c>
      <c r="E23" s="197">
        <f t="shared" si="4"/>
        <v>-2.3800000000000001E-4</v>
      </c>
      <c r="F23" s="194">
        <f>ROUND(D23*E23,-3)</f>
        <v>-29000</v>
      </c>
    </row>
    <row r="24" spans="1:6">
      <c r="A24" s="3">
        <f t="shared" si="0"/>
        <v>18</v>
      </c>
      <c r="B24" s="3"/>
      <c r="C24" s="4" t="s">
        <v>18</v>
      </c>
      <c r="D24" s="13">
        <f>SUM(D20:D23)</f>
        <v>1538462000</v>
      </c>
      <c r="E24" s="195"/>
      <c r="F24" s="196">
        <f t="shared" ref="F24" si="5">SUM(F20:F23)</f>
        <v>-365000</v>
      </c>
    </row>
    <row r="25" spans="1:6">
      <c r="A25" s="3">
        <f t="shared" si="0"/>
        <v>19</v>
      </c>
      <c r="B25" s="3"/>
      <c r="C25" s="4"/>
      <c r="D25" s="9"/>
      <c r="E25" s="193"/>
      <c r="F25" s="194"/>
    </row>
    <row r="26" spans="1:6">
      <c r="A26" s="3">
        <f t="shared" si="0"/>
        <v>20</v>
      </c>
      <c r="B26" s="3">
        <v>40</v>
      </c>
      <c r="C26" s="4"/>
      <c r="D26" s="13">
        <f>+'Rate Impacts 10-4-2018'!C23</f>
        <v>586365000</v>
      </c>
      <c r="E26" s="195">
        <f>+'UE-171167 (Sch 132)'!G15</f>
        <v>-1.3100000000000001E-4</v>
      </c>
      <c r="F26" s="196">
        <f>ROUND(D26*E26,-3)</f>
        <v>-77000</v>
      </c>
    </row>
    <row r="27" spans="1:6">
      <c r="A27" s="3">
        <f t="shared" si="0"/>
        <v>21</v>
      </c>
      <c r="B27" s="3"/>
      <c r="C27" s="4"/>
      <c r="D27" s="9"/>
      <c r="E27" s="193"/>
      <c r="F27" s="194"/>
    </row>
    <row r="28" spans="1:6">
      <c r="A28" s="3">
        <f t="shared" si="0"/>
        <v>22</v>
      </c>
      <c r="B28" s="3">
        <v>46</v>
      </c>
      <c r="C28" s="4"/>
      <c r="D28" s="9">
        <f>+'Rate Impacts 10-4-2018'!C25</f>
        <v>79268000</v>
      </c>
      <c r="E28" s="193">
        <f>+'UE-171167 (Sch 132)'!G16</f>
        <v>-1.1E-4</v>
      </c>
      <c r="F28" s="194">
        <f>ROUND(D28*E28,-3)</f>
        <v>-9000</v>
      </c>
    </row>
    <row r="29" spans="1:6">
      <c r="A29" s="3">
        <f t="shared" si="0"/>
        <v>23</v>
      </c>
      <c r="B29" s="3">
        <v>49</v>
      </c>
      <c r="C29" s="4"/>
      <c r="D29" s="9">
        <f>+'Rate Impacts 10-4-2018'!C26</f>
        <v>597895000</v>
      </c>
      <c r="E29" s="193">
        <f>+E28</f>
        <v>-1.1E-4</v>
      </c>
      <c r="F29" s="194">
        <f>ROUND(D29*E29,-3)</f>
        <v>-66000</v>
      </c>
    </row>
    <row r="30" spans="1:6">
      <c r="A30" s="3">
        <f t="shared" si="0"/>
        <v>24</v>
      </c>
      <c r="B30" s="3"/>
      <c r="C30" s="4" t="s">
        <v>19</v>
      </c>
      <c r="D30" s="13">
        <f>SUM(D28:D29)</f>
        <v>677163000</v>
      </c>
      <c r="E30" s="195"/>
      <c r="F30" s="196">
        <f t="shared" ref="F30" si="6">SUM(F28:F29)</f>
        <v>-75000</v>
      </c>
    </row>
    <row r="31" spans="1:6">
      <c r="A31" s="3">
        <f t="shared" si="0"/>
        <v>25</v>
      </c>
      <c r="B31" s="3"/>
      <c r="C31" s="4"/>
      <c r="D31" s="9"/>
      <c r="E31" s="193"/>
      <c r="F31" s="194"/>
    </row>
    <row r="32" spans="1:6">
      <c r="A32" s="3">
        <f t="shared" si="0"/>
        <v>26</v>
      </c>
      <c r="B32" s="3" t="s">
        <v>20</v>
      </c>
      <c r="C32" s="4"/>
      <c r="D32" s="13">
        <f>+'Rate Impacts 10-4-2018'!C29</f>
        <v>70960000</v>
      </c>
      <c r="E32" s="195">
        <f>+'UE-171167 (Sch 132)'!G18</f>
        <v>-1.395E-3</v>
      </c>
      <c r="F32" s="196">
        <f>ROUND(D32*E32,-3)</f>
        <v>-99000</v>
      </c>
    </row>
    <row r="33" spans="1:6">
      <c r="A33" s="3">
        <f t="shared" si="0"/>
        <v>27</v>
      </c>
      <c r="B33" s="3"/>
      <c r="C33" s="4"/>
      <c r="D33" s="9"/>
      <c r="E33" s="193"/>
      <c r="F33" s="194"/>
    </row>
    <row r="34" spans="1:6">
      <c r="A34" s="3">
        <f t="shared" si="0"/>
        <v>28</v>
      </c>
      <c r="B34" s="3" t="s">
        <v>21</v>
      </c>
      <c r="C34" s="4"/>
      <c r="D34" s="13">
        <f>+'Rate Impacts 10-4-2018'!C31</f>
        <v>2030932000</v>
      </c>
      <c r="E34" s="195">
        <f>+'UE-171167 (Sch 132)'!G17</f>
        <v>-2.8E-5</v>
      </c>
      <c r="F34" s="196">
        <f>ROUND(D34*E34,-3)</f>
        <v>-57000</v>
      </c>
    </row>
    <row r="35" spans="1:6">
      <c r="A35" s="3">
        <f t="shared" si="0"/>
        <v>29</v>
      </c>
      <c r="B35" s="3"/>
      <c r="C35" s="4"/>
      <c r="D35" s="9"/>
      <c r="E35" s="193"/>
      <c r="F35" s="194"/>
    </row>
    <row r="36" spans="1:6" ht="13.5" thickBot="1">
      <c r="A36" s="3">
        <f t="shared" si="0"/>
        <v>30</v>
      </c>
      <c r="B36" s="3"/>
      <c r="C36" s="12" t="s">
        <v>92</v>
      </c>
      <c r="D36" s="14">
        <f>SUM(D9,D18,D24,D26,D30,D32,D34)</f>
        <v>23908883000</v>
      </c>
      <c r="E36" s="198"/>
      <c r="F36" s="199">
        <f t="shared" ref="F36" si="7">SUM(F9,F18,F24,F26,F30,F32,F34)</f>
        <v>-6393000</v>
      </c>
    </row>
    <row r="37" spans="1:6" ht="13.5" thickTop="1">
      <c r="A37" s="3">
        <f t="shared" si="0"/>
        <v>31</v>
      </c>
      <c r="B37" s="3"/>
      <c r="C37" s="1"/>
      <c r="D37" s="1"/>
      <c r="E37" s="1"/>
      <c r="F37" s="194"/>
    </row>
    <row r="38" spans="1:6">
      <c r="A38" s="3">
        <f t="shared" si="0"/>
        <v>32</v>
      </c>
      <c r="B38" s="3">
        <v>5</v>
      </c>
      <c r="C38" s="1" t="s">
        <v>93</v>
      </c>
      <c r="D38" s="9">
        <f>+'Rate Impacts 10-4-2018'!C35</f>
        <v>7036000</v>
      </c>
      <c r="E38" s="195">
        <v>0</v>
      </c>
      <c r="F38" s="196">
        <f>ROUND(D38*E38,-3)</f>
        <v>0</v>
      </c>
    </row>
    <row r="39" spans="1:6">
      <c r="A39" s="3">
        <f t="shared" si="0"/>
        <v>33</v>
      </c>
      <c r="B39" s="3"/>
      <c r="C39" s="1"/>
      <c r="D39" s="1"/>
      <c r="E39" s="1"/>
      <c r="F39" s="194"/>
    </row>
    <row r="40" spans="1:6" ht="13.5" thickBot="1">
      <c r="A40" s="3">
        <f t="shared" si="0"/>
        <v>34</v>
      </c>
      <c r="B40" s="3"/>
      <c r="C40" s="12" t="s">
        <v>94</v>
      </c>
      <c r="D40" s="14">
        <f>SUM(D36,D38)</f>
        <v>23915919000</v>
      </c>
      <c r="E40" s="1"/>
      <c r="F40" s="199">
        <f t="shared" ref="F40" si="8">SUM(F36,F38)</f>
        <v>-6393000</v>
      </c>
    </row>
    <row r="41" spans="1:6" ht="13.5" thickTop="1">
      <c r="D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89" header="0.3" footer="0.3"/>
  <pageSetup scale="90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workbookViewId="0">
      <selection activeCell="E7" sqref="E7"/>
    </sheetView>
  </sheetViews>
  <sheetFormatPr defaultRowHeight="12.75"/>
  <cols>
    <col min="1" max="1" width="7.7109375" bestFit="1" customWidth="1"/>
    <col min="2" max="2" width="10.28515625" bestFit="1" customWidth="1"/>
    <col min="3" max="3" width="21" bestFit="1" customWidth="1"/>
    <col min="4" max="4" width="15.140625" bestFit="1" customWidth="1"/>
    <col min="5" max="5" width="11.5703125" bestFit="1" customWidth="1"/>
    <col min="6" max="6" width="12.140625" bestFit="1" customWidth="1"/>
  </cols>
  <sheetData>
    <row r="1" spans="1:6">
      <c r="A1" s="585" t="s">
        <v>0</v>
      </c>
      <c r="B1" s="585"/>
      <c r="C1" s="585"/>
      <c r="D1" s="585"/>
      <c r="E1" s="585"/>
      <c r="F1" s="585"/>
    </row>
    <row r="2" spans="1:6">
      <c r="A2" s="586" t="s">
        <v>243</v>
      </c>
      <c r="B2" s="585"/>
      <c r="C2" s="585"/>
      <c r="D2" s="585"/>
      <c r="E2" s="585"/>
      <c r="F2" s="585"/>
    </row>
    <row r="3" spans="1:6">
      <c r="A3" s="585" t="str">
        <f>+'Rate Impacts 10-4-2018'!A3</f>
        <v>Test Year ended September 2019</v>
      </c>
      <c r="B3" s="585"/>
      <c r="C3" s="585"/>
      <c r="D3" s="585"/>
      <c r="E3" s="585"/>
      <c r="F3" s="585"/>
    </row>
    <row r="4" spans="1:6">
      <c r="A4" s="585"/>
      <c r="B4" s="585"/>
      <c r="C4" s="585"/>
      <c r="D4" s="585"/>
      <c r="E4" s="585"/>
      <c r="F4" s="585"/>
    </row>
    <row r="5" spans="1:6">
      <c r="A5" s="2"/>
      <c r="B5" s="3"/>
      <c r="C5" s="3"/>
      <c r="D5" s="3"/>
      <c r="E5" s="4"/>
      <c r="F5" s="4" t="s">
        <v>136</v>
      </c>
    </row>
    <row r="6" spans="1:6" ht="51">
      <c r="A6" s="6" t="s">
        <v>3</v>
      </c>
      <c r="B6" s="6" t="s">
        <v>4</v>
      </c>
      <c r="C6" s="6" t="s">
        <v>42</v>
      </c>
      <c r="D6" s="7" t="str">
        <f>+'Rate Impacts 10-4-2018'!C7</f>
        <v>Annual kWh Delivered Sales YE 9-2019 (F2018)</v>
      </c>
      <c r="E6" s="290" t="s">
        <v>293</v>
      </c>
      <c r="F6" s="7" t="s">
        <v>244</v>
      </c>
    </row>
    <row r="7" spans="1:6">
      <c r="A7" s="3">
        <v>1</v>
      </c>
      <c r="B7" s="3">
        <v>7</v>
      </c>
      <c r="C7" s="4"/>
      <c r="D7" s="9">
        <f>+'Rate Impacts 10-4-2018'!C9</f>
        <v>10809562000</v>
      </c>
      <c r="E7" s="193">
        <f>+'UE-171169 (Sch 137)'!G9</f>
        <v>-3.4999999999999997E-5</v>
      </c>
      <c r="F7" s="194">
        <f>ROUND(D7*E7,-3)</f>
        <v>-378000</v>
      </c>
    </row>
    <row r="8" spans="1:6">
      <c r="A8" s="3">
        <f t="shared" ref="A8:A40" si="0">+A7+1</f>
        <v>2</v>
      </c>
      <c r="B8" s="2" t="s">
        <v>14</v>
      </c>
      <c r="C8" s="4"/>
      <c r="D8" s="9">
        <v>0</v>
      </c>
      <c r="E8" s="193">
        <f>+'UE-171169 (Sch 137)'!G12</f>
        <v>-2.9E-5</v>
      </c>
      <c r="F8" s="194">
        <f>ROUND(D8*E8,-3)</f>
        <v>0</v>
      </c>
    </row>
    <row r="9" spans="1:6">
      <c r="A9" s="3">
        <f t="shared" si="0"/>
        <v>3</v>
      </c>
      <c r="B9" s="3"/>
      <c r="C9" s="4" t="s">
        <v>15</v>
      </c>
      <c r="D9" s="13">
        <f>SUM(D7:D8)</f>
        <v>10809562000</v>
      </c>
      <c r="E9" s="195"/>
      <c r="F9" s="196">
        <f t="shared" ref="F9" si="1">SUM(F7:F8)</f>
        <v>-378000</v>
      </c>
    </row>
    <row r="10" spans="1:6">
      <c r="A10" s="3">
        <f t="shared" si="0"/>
        <v>4</v>
      </c>
      <c r="B10" s="3"/>
      <c r="C10" s="4"/>
      <c r="D10" s="9"/>
      <c r="E10" s="193"/>
      <c r="F10" s="194"/>
    </row>
    <row r="11" spans="1:6">
      <c r="A11" s="3">
        <f t="shared" si="0"/>
        <v>5</v>
      </c>
      <c r="B11" s="3">
        <v>8</v>
      </c>
      <c r="C11" s="4"/>
      <c r="D11" s="9">
        <v>0</v>
      </c>
      <c r="E11" s="193">
        <f>+'UE-171169 (Sch 137)'!G11</f>
        <v>-2.8E-5</v>
      </c>
      <c r="F11" s="194">
        <f t="shared" ref="F11:F17" si="2">ROUND(D11*E11,-3)</f>
        <v>0</v>
      </c>
    </row>
    <row r="12" spans="1:6">
      <c r="A12" s="3">
        <f t="shared" si="0"/>
        <v>6</v>
      </c>
      <c r="B12" s="3">
        <v>24</v>
      </c>
      <c r="C12" s="1"/>
      <c r="D12" s="9">
        <f>+'Rate Impacts 10-4-2018'!C12</f>
        <v>3049254000</v>
      </c>
      <c r="E12" s="197">
        <f>+E11</f>
        <v>-2.8E-5</v>
      </c>
      <c r="F12" s="194">
        <f t="shared" si="2"/>
        <v>-85000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93">
        <f>+E8</f>
        <v>-2.9E-5</v>
      </c>
      <c r="F13" s="194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f>+'Rate Impacts 10-4-2018'!C13</f>
        <v>3208495000</v>
      </c>
      <c r="E14" s="197">
        <f>+E13</f>
        <v>-2.9E-5</v>
      </c>
      <c r="F14" s="194">
        <f t="shared" si="2"/>
        <v>-93000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93">
        <f>+'UE-171169 (Sch 137)'!G13</f>
        <v>-3.0000000000000001E-5</v>
      </c>
      <c r="F15" s="194">
        <f t="shared" si="2"/>
        <v>0</v>
      </c>
    </row>
    <row r="16" spans="1:6">
      <c r="A16" s="3">
        <f t="shared" si="0"/>
        <v>10</v>
      </c>
      <c r="B16" s="3" t="s">
        <v>16</v>
      </c>
      <c r="C16" s="1"/>
      <c r="D16" s="9">
        <f>+'Rate Impacts 10-4-2018'!C14</f>
        <v>1921550000</v>
      </c>
      <c r="E16" s="197">
        <f>+E15</f>
        <v>-3.0000000000000001E-5</v>
      </c>
      <c r="F16" s="194">
        <f t="shared" si="2"/>
        <v>-58000</v>
      </c>
    </row>
    <row r="17" spans="1:6">
      <c r="A17" s="3">
        <f t="shared" si="0"/>
        <v>11</v>
      </c>
      <c r="B17" s="3">
        <v>29</v>
      </c>
      <c r="C17" s="4"/>
      <c r="D17" s="9">
        <f>+'Rate Impacts 10-4-2018'!C15</f>
        <v>16140000</v>
      </c>
      <c r="E17" s="193">
        <f>+'UE-171169 (Sch 137)'!G14</f>
        <v>-2.5999999999999998E-5</v>
      </c>
      <c r="F17" s="194">
        <f t="shared" si="2"/>
        <v>0</v>
      </c>
    </row>
    <row r="18" spans="1:6">
      <c r="A18" s="3">
        <f t="shared" si="0"/>
        <v>12</v>
      </c>
      <c r="B18" s="3"/>
      <c r="C18" s="12" t="s">
        <v>17</v>
      </c>
      <c r="D18" s="13">
        <f>SUM(D11:D17)</f>
        <v>8195439000</v>
      </c>
      <c r="E18" s="195"/>
      <c r="F18" s="196">
        <f t="shared" ref="F18" si="3">SUM(F11:F17)</f>
        <v>-236000</v>
      </c>
    </row>
    <row r="19" spans="1:6">
      <c r="A19" s="3">
        <f t="shared" si="0"/>
        <v>13</v>
      </c>
      <c r="B19" s="3"/>
      <c r="C19" s="4"/>
      <c r="D19" s="9"/>
      <c r="E19" s="193"/>
      <c r="F19" s="194"/>
    </row>
    <row r="20" spans="1:6">
      <c r="A20" s="3">
        <f t="shared" si="0"/>
        <v>14</v>
      </c>
      <c r="B20" s="3">
        <v>10</v>
      </c>
      <c r="C20" s="1"/>
      <c r="D20" s="9">
        <v>0</v>
      </c>
      <c r="E20" s="193">
        <f>+'UE-171169 (Sch 137)'!G18</f>
        <v>-2.8E-5</v>
      </c>
      <c r="F20" s="194">
        <f>ROUND(D20*E20,-3)</f>
        <v>0</v>
      </c>
    </row>
    <row r="21" spans="1:6">
      <c r="A21" s="3">
        <f t="shared" si="0"/>
        <v>15</v>
      </c>
      <c r="B21" s="3">
        <v>31</v>
      </c>
      <c r="C21" s="4"/>
      <c r="D21" s="9">
        <f>+'Rate Impacts 10-4-2018'!C18</f>
        <v>1409546000</v>
      </c>
      <c r="E21" s="197">
        <f>+E20</f>
        <v>-2.8E-5</v>
      </c>
      <c r="F21" s="194">
        <f>ROUND(D21*E21,-3)</f>
        <v>-39000</v>
      </c>
    </row>
    <row r="22" spans="1:6">
      <c r="A22" s="3">
        <f t="shared" si="0"/>
        <v>16</v>
      </c>
      <c r="B22" s="3">
        <v>35</v>
      </c>
      <c r="C22" s="4"/>
      <c r="D22" s="9">
        <f>+'Rate Impacts 10-4-2018'!C19</f>
        <v>5150000</v>
      </c>
      <c r="E22" s="197">
        <f>+'UE-171169 (Sch 137)'!G19</f>
        <v>-1.9000000000000001E-5</v>
      </c>
      <c r="F22" s="194">
        <f>ROUND(D22*E22,-3)</f>
        <v>0</v>
      </c>
    </row>
    <row r="23" spans="1:6">
      <c r="A23" s="3">
        <f t="shared" si="0"/>
        <v>17</v>
      </c>
      <c r="B23" s="3">
        <v>43</v>
      </c>
      <c r="C23" s="4"/>
      <c r="D23" s="9">
        <f>+'Rate Impacts 10-4-2018'!C20</f>
        <v>123766000</v>
      </c>
      <c r="E23" s="197">
        <f>+'UE-171169 (Sch 137)'!G20</f>
        <v>-2.5000000000000001E-5</v>
      </c>
      <c r="F23" s="194">
        <f>ROUND(D23*E23,-3)</f>
        <v>-3000</v>
      </c>
    </row>
    <row r="24" spans="1:6">
      <c r="A24" s="3">
        <f t="shared" si="0"/>
        <v>18</v>
      </c>
      <c r="B24" s="3"/>
      <c r="C24" s="4" t="s">
        <v>18</v>
      </c>
      <c r="D24" s="13">
        <f>SUM(D20:D23)</f>
        <v>1538462000</v>
      </c>
      <c r="E24" s="195"/>
      <c r="F24" s="196">
        <f t="shared" ref="F24" si="4">SUM(F20:F23)</f>
        <v>-42000</v>
      </c>
    </row>
    <row r="25" spans="1:6">
      <c r="A25" s="3">
        <f t="shared" si="0"/>
        <v>19</v>
      </c>
      <c r="B25" s="3"/>
      <c r="C25" s="4"/>
      <c r="D25" s="9"/>
      <c r="E25" s="193"/>
      <c r="F25" s="194"/>
    </row>
    <row r="26" spans="1:6">
      <c r="A26" s="3">
        <f t="shared" si="0"/>
        <v>20</v>
      </c>
      <c r="B26" s="3">
        <v>40</v>
      </c>
      <c r="C26" s="4"/>
      <c r="D26" s="13">
        <f>+'Rate Impacts 10-4-2018'!C23</f>
        <v>586365000</v>
      </c>
      <c r="E26" s="195">
        <f>+'UE-171169 (Sch 137)'!G24</f>
        <v>-3.0000000000000001E-5</v>
      </c>
      <c r="F26" s="196">
        <f>ROUND(D26*E26,-3)</f>
        <v>-18000</v>
      </c>
    </row>
    <row r="27" spans="1:6">
      <c r="A27" s="3">
        <f t="shared" si="0"/>
        <v>21</v>
      </c>
      <c r="B27" s="3"/>
      <c r="C27" s="4"/>
      <c r="D27" s="9"/>
      <c r="E27" s="193"/>
      <c r="F27" s="194"/>
    </row>
    <row r="28" spans="1:6">
      <c r="A28" s="3">
        <f t="shared" si="0"/>
        <v>22</v>
      </c>
      <c r="B28" s="3">
        <v>46</v>
      </c>
      <c r="C28" s="4"/>
      <c r="D28" s="9">
        <f>+'Rate Impacts 10-4-2018'!C25</f>
        <v>79268000</v>
      </c>
      <c r="E28" s="193">
        <f>+'UE-171169 (Sch 137)'!G26</f>
        <v>-1.4E-5</v>
      </c>
      <c r="F28" s="194">
        <f>ROUND(D28*E28,-3)</f>
        <v>-1000</v>
      </c>
    </row>
    <row r="29" spans="1:6">
      <c r="A29" s="3">
        <f t="shared" si="0"/>
        <v>23</v>
      </c>
      <c r="B29" s="3">
        <v>49</v>
      </c>
      <c r="C29" s="4"/>
      <c r="D29" s="9">
        <f>+'Rate Impacts 10-4-2018'!C26</f>
        <v>597895000</v>
      </c>
      <c r="E29" s="193">
        <f>+'UE-171169 (Sch 137)'!G27</f>
        <v>-2.8E-5</v>
      </c>
      <c r="F29" s="194">
        <f>ROUND(D29*E29,-3)</f>
        <v>-17000</v>
      </c>
    </row>
    <row r="30" spans="1:6">
      <c r="A30" s="3">
        <f t="shared" si="0"/>
        <v>24</v>
      </c>
      <c r="B30" s="3"/>
      <c r="C30" s="4" t="s">
        <v>19</v>
      </c>
      <c r="D30" s="13">
        <f>SUM(D28:D29)</f>
        <v>677163000</v>
      </c>
      <c r="E30" s="195"/>
      <c r="F30" s="196">
        <f t="shared" ref="F30" si="5">SUM(F28:F29)</f>
        <v>-18000</v>
      </c>
    </row>
    <row r="31" spans="1:6">
      <c r="A31" s="3">
        <f t="shared" si="0"/>
        <v>25</v>
      </c>
      <c r="B31" s="3"/>
      <c r="C31" s="4"/>
      <c r="D31" s="9"/>
      <c r="E31" s="193"/>
      <c r="F31" s="194"/>
    </row>
    <row r="32" spans="1:6">
      <c r="A32" s="3">
        <f t="shared" si="0"/>
        <v>26</v>
      </c>
      <c r="B32" s="3" t="s">
        <v>20</v>
      </c>
      <c r="C32" s="4"/>
      <c r="D32" s="13">
        <f>+'Rate Impacts 10-4-2018'!C29</f>
        <v>70960000</v>
      </c>
      <c r="E32" s="195">
        <f>+'UE-171169 (Sch 137)'!G31</f>
        <v>-3.4999999999999997E-5</v>
      </c>
      <c r="F32" s="196">
        <f>ROUND(D32*E32,-3)</f>
        <v>-2000</v>
      </c>
    </row>
    <row r="33" spans="1:6">
      <c r="A33" s="3">
        <f t="shared" si="0"/>
        <v>27</v>
      </c>
      <c r="B33" s="3"/>
      <c r="C33" s="4"/>
      <c r="D33" s="9"/>
      <c r="E33" s="193"/>
      <c r="F33" s="194"/>
    </row>
    <row r="34" spans="1:6">
      <c r="A34" s="3">
        <f t="shared" si="0"/>
        <v>28</v>
      </c>
      <c r="B34" s="3" t="s">
        <v>21</v>
      </c>
      <c r="C34" s="4"/>
      <c r="D34" s="13">
        <f>+'Rate Impacts 10-4-2018'!C31</f>
        <v>2030932000</v>
      </c>
      <c r="E34" s="195">
        <f>+'UE-171169 (Sch 137)'!G38</f>
        <v>0</v>
      </c>
      <c r="F34" s="196">
        <f>ROUND(D34*E34,-3)</f>
        <v>0</v>
      </c>
    </row>
    <row r="35" spans="1:6">
      <c r="A35" s="3">
        <f t="shared" si="0"/>
        <v>29</v>
      </c>
      <c r="B35" s="3"/>
      <c r="C35" s="4"/>
      <c r="D35" s="9"/>
      <c r="E35" s="193"/>
      <c r="F35" s="194"/>
    </row>
    <row r="36" spans="1:6" ht="13.5" thickBot="1">
      <c r="A36" s="3">
        <f t="shared" si="0"/>
        <v>30</v>
      </c>
      <c r="B36" s="3"/>
      <c r="C36" s="12" t="s">
        <v>92</v>
      </c>
      <c r="D36" s="14">
        <f>SUM(D9,D18,D24,D26,D30,D32,D34)</f>
        <v>23908883000</v>
      </c>
      <c r="E36" s="198"/>
      <c r="F36" s="199">
        <f t="shared" ref="F36" si="6">SUM(F9,F18,F24,F26,F30,F32,F34)</f>
        <v>-694000</v>
      </c>
    </row>
    <row r="37" spans="1:6" ht="13.5" thickTop="1">
      <c r="A37" s="3">
        <f t="shared" si="0"/>
        <v>31</v>
      </c>
      <c r="B37" s="3"/>
      <c r="C37" s="1"/>
      <c r="D37" s="1"/>
      <c r="E37" s="1"/>
      <c r="F37" s="194"/>
    </row>
    <row r="38" spans="1:6">
      <c r="A38" s="3">
        <f t="shared" si="0"/>
        <v>32</v>
      </c>
      <c r="B38" s="3">
        <v>5</v>
      </c>
      <c r="C38" s="1" t="s">
        <v>93</v>
      </c>
      <c r="D38" s="9">
        <f>+'Rate Impacts 10-4-2018'!C35</f>
        <v>7036000</v>
      </c>
      <c r="E38" s="195">
        <f>+'UE-171169 (Sch 137)'!G33</f>
        <v>-3.4E-5</v>
      </c>
      <c r="F38" s="196">
        <f>ROUND(D38*E38,-3)</f>
        <v>0</v>
      </c>
    </row>
    <row r="39" spans="1:6">
      <c r="A39" s="3">
        <f t="shared" si="0"/>
        <v>33</v>
      </c>
      <c r="B39" s="3"/>
      <c r="C39" s="1"/>
      <c r="D39" s="1"/>
      <c r="E39" s="1"/>
      <c r="F39" s="194"/>
    </row>
    <row r="40" spans="1:6" ht="13.5" thickBot="1">
      <c r="A40" s="3">
        <f t="shared" si="0"/>
        <v>34</v>
      </c>
      <c r="B40" s="3"/>
      <c r="C40" s="12" t="s">
        <v>94</v>
      </c>
      <c r="D40" s="14">
        <f>SUM(D36,D38)</f>
        <v>23915919000</v>
      </c>
      <c r="E40" s="1"/>
      <c r="F40" s="199">
        <f t="shared" ref="F40" si="7">SUM(F36,F38)</f>
        <v>-694000</v>
      </c>
    </row>
    <row r="41" spans="1:6" ht="13.5" thickTop="1">
      <c r="D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9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J41"/>
  <sheetViews>
    <sheetView workbookViewId="0">
      <selection activeCell="K4" sqref="K1:K1048576"/>
    </sheetView>
  </sheetViews>
  <sheetFormatPr defaultRowHeight="12.75"/>
  <cols>
    <col min="1" max="1" width="7.7109375" bestFit="1" customWidth="1"/>
    <col min="2" max="2" width="10.28515625" bestFit="1" customWidth="1"/>
    <col min="3" max="3" width="21" bestFit="1" customWidth="1"/>
    <col min="4" max="4" width="15.140625" bestFit="1" customWidth="1"/>
    <col min="5" max="5" width="10.85546875" bestFit="1" customWidth="1"/>
    <col min="6" max="6" width="12.42578125" bestFit="1" customWidth="1"/>
    <col min="8" max="8" width="10.85546875" bestFit="1" customWidth="1"/>
    <col min="9" max="9" width="12.42578125" bestFit="1" customWidth="1"/>
  </cols>
  <sheetData>
    <row r="1" spans="1:10">
      <c r="A1" s="585" t="s">
        <v>0</v>
      </c>
      <c r="B1" s="585"/>
      <c r="C1" s="585"/>
      <c r="D1" s="585"/>
      <c r="E1" s="585"/>
      <c r="F1" s="585"/>
    </row>
    <row r="2" spans="1:10">
      <c r="A2" s="586" t="s">
        <v>250</v>
      </c>
      <c r="B2" s="585"/>
      <c r="C2" s="585"/>
      <c r="D2" s="585"/>
      <c r="E2" s="585"/>
      <c r="F2" s="585"/>
    </row>
    <row r="3" spans="1:10">
      <c r="A3" s="585" t="str">
        <f>+'Rate Impacts 10-4-2018'!A3</f>
        <v>Test Year ended September 2019</v>
      </c>
      <c r="B3" s="585"/>
      <c r="C3" s="585"/>
      <c r="D3" s="585"/>
      <c r="E3" s="585"/>
      <c r="F3" s="585"/>
    </row>
    <row r="4" spans="1:10">
      <c r="A4" s="585"/>
      <c r="B4" s="585"/>
      <c r="C4" s="585"/>
      <c r="D4" s="585"/>
      <c r="E4" s="585"/>
      <c r="F4" s="585"/>
    </row>
    <row r="5" spans="1:10">
      <c r="A5" s="2"/>
      <c r="B5" s="3"/>
      <c r="C5" s="3"/>
      <c r="D5" s="3"/>
      <c r="E5" s="4"/>
      <c r="F5" s="4" t="s">
        <v>136</v>
      </c>
    </row>
    <row r="6" spans="1:10" ht="51">
      <c r="A6" s="6" t="s">
        <v>3</v>
      </c>
      <c r="B6" s="6" t="s">
        <v>4</v>
      </c>
      <c r="C6" s="6" t="s">
        <v>42</v>
      </c>
      <c r="D6" s="7" t="str">
        <f>+'Rate Impacts 10-4-2018'!C7</f>
        <v>Annual kWh Delivered Sales YE 9-2019 (F2018)</v>
      </c>
      <c r="E6" s="290" t="s">
        <v>307</v>
      </c>
      <c r="F6" s="7" t="s">
        <v>251</v>
      </c>
      <c r="H6" s="290" t="s">
        <v>307</v>
      </c>
      <c r="I6" s="290" t="s">
        <v>251</v>
      </c>
      <c r="J6" s="1"/>
    </row>
    <row r="7" spans="1:10">
      <c r="A7" s="3">
        <v>1</v>
      </c>
      <c r="B7" s="3">
        <v>7</v>
      </c>
      <c r="C7" s="4"/>
      <c r="D7" s="9">
        <f>+'Rate Impacts 10-4-2018'!C9</f>
        <v>10809562000</v>
      </c>
      <c r="E7" s="193">
        <f>+H7</f>
        <v>3.408E-3</v>
      </c>
      <c r="F7" s="194">
        <f>ROUND(D7*E7,-3)</f>
        <v>36839000</v>
      </c>
      <c r="H7" s="193">
        <f>+'UE-180257 (Sch 140)'!G8</f>
        <v>3.408E-3</v>
      </c>
      <c r="I7" s="314">
        <f>ROUND(D7*H7,0)</f>
        <v>36838987</v>
      </c>
      <c r="J7" s="1"/>
    </row>
    <row r="8" spans="1:10">
      <c r="A8" s="3">
        <f t="shared" ref="A8:A40" si="0">+A7+1</f>
        <v>2</v>
      </c>
      <c r="B8" s="2" t="s">
        <v>14</v>
      </c>
      <c r="C8" s="4"/>
      <c r="D8" s="9">
        <v>0</v>
      </c>
      <c r="E8" s="193">
        <f>+H8</f>
        <v>2.421E-3</v>
      </c>
      <c r="F8" s="194">
        <f>ROUND(D8*E8,-3)</f>
        <v>0</v>
      </c>
      <c r="H8" s="193">
        <f>+'UE-180257 (Sch 140)'!G13</f>
        <v>2.421E-3</v>
      </c>
      <c r="I8" s="314">
        <f>ROUND(D8*H8,0)</f>
        <v>0</v>
      </c>
      <c r="J8" s="1"/>
    </row>
    <row r="9" spans="1:10">
      <c r="A9" s="3">
        <f t="shared" si="0"/>
        <v>3</v>
      </c>
      <c r="B9" s="3"/>
      <c r="C9" s="4" t="s">
        <v>15</v>
      </c>
      <c r="D9" s="13">
        <f>SUM(D7:D8)</f>
        <v>10809562000</v>
      </c>
      <c r="E9" s="195"/>
      <c r="F9" s="196">
        <f t="shared" ref="F9" si="1">SUM(F7:F8)</f>
        <v>36839000</v>
      </c>
      <c r="H9" s="195"/>
      <c r="I9" s="315">
        <f t="shared" ref="I9" si="2">SUM(I7:I8)</f>
        <v>36838987</v>
      </c>
      <c r="J9" s="1"/>
    </row>
    <row r="10" spans="1:10">
      <c r="A10" s="3">
        <f t="shared" si="0"/>
        <v>4</v>
      </c>
      <c r="B10" s="3"/>
      <c r="C10" s="4"/>
      <c r="D10" s="9"/>
      <c r="E10" s="193"/>
      <c r="F10" s="194"/>
      <c r="H10" s="193"/>
      <c r="I10" s="314"/>
      <c r="J10" s="1"/>
    </row>
    <row r="11" spans="1:10">
      <c r="A11" s="3">
        <f t="shared" si="0"/>
        <v>5</v>
      </c>
      <c r="B11" s="3">
        <v>8</v>
      </c>
      <c r="C11" s="4"/>
      <c r="D11" s="9">
        <v>0</v>
      </c>
      <c r="E11" s="193">
        <f t="shared" ref="E11:E17" si="3">+H11</f>
        <v>2.5799999999999998E-3</v>
      </c>
      <c r="F11" s="194">
        <f t="shared" ref="F11:F17" si="4">ROUND(D11*E11,-3)</f>
        <v>0</v>
      </c>
      <c r="H11" s="193">
        <f>+'UE-180257 (Sch 140)'!G12</f>
        <v>2.5799999999999998E-3</v>
      </c>
      <c r="I11" s="314">
        <f t="shared" ref="I11:I17" si="5">ROUND(D11*H11,0)</f>
        <v>0</v>
      </c>
      <c r="J11" s="1"/>
    </row>
    <row r="12" spans="1:10">
      <c r="A12" s="3">
        <f t="shared" si="0"/>
        <v>6</v>
      </c>
      <c r="B12" s="3">
        <v>24</v>
      </c>
      <c r="C12" s="1"/>
      <c r="D12" s="9">
        <f>+'Rate Impacts 10-4-2018'!C12</f>
        <v>3049254000</v>
      </c>
      <c r="E12" s="193">
        <f t="shared" si="3"/>
        <v>2.5799999999999998E-3</v>
      </c>
      <c r="F12" s="194">
        <f t="shared" si="4"/>
        <v>7867000</v>
      </c>
      <c r="H12" s="197">
        <f>+H11</f>
        <v>2.5799999999999998E-3</v>
      </c>
      <c r="I12" s="314">
        <f t="shared" si="5"/>
        <v>7867075</v>
      </c>
      <c r="J12" s="1"/>
    </row>
    <row r="13" spans="1:10">
      <c r="A13" s="3">
        <f t="shared" si="0"/>
        <v>7</v>
      </c>
      <c r="B13" s="2">
        <v>11</v>
      </c>
      <c r="C13" s="4"/>
      <c r="D13" s="9">
        <v>0</v>
      </c>
      <c r="E13" s="193">
        <f t="shared" si="3"/>
        <v>2.421E-3</v>
      </c>
      <c r="F13" s="194">
        <f t="shared" si="4"/>
        <v>0</v>
      </c>
      <c r="H13" s="193">
        <f>+H8</f>
        <v>2.421E-3</v>
      </c>
      <c r="I13" s="314">
        <f t="shared" si="5"/>
        <v>0</v>
      </c>
      <c r="J13" s="1"/>
    </row>
    <row r="14" spans="1:10">
      <c r="A14" s="3">
        <f t="shared" si="0"/>
        <v>8</v>
      </c>
      <c r="B14" s="2">
        <v>25</v>
      </c>
      <c r="C14" s="1"/>
      <c r="D14" s="9">
        <f>+'Rate Impacts 10-4-2018'!C13</f>
        <v>3208495000</v>
      </c>
      <c r="E14" s="193">
        <f t="shared" si="3"/>
        <v>2.421E-3</v>
      </c>
      <c r="F14" s="194">
        <f t="shared" si="4"/>
        <v>7768000</v>
      </c>
      <c r="H14" s="197">
        <f>+H13</f>
        <v>2.421E-3</v>
      </c>
      <c r="I14" s="314">
        <f t="shared" si="5"/>
        <v>7767766</v>
      </c>
      <c r="J14" s="1"/>
    </row>
    <row r="15" spans="1:10">
      <c r="A15" s="3">
        <f t="shared" si="0"/>
        <v>9</v>
      </c>
      <c r="B15" s="3">
        <v>12</v>
      </c>
      <c r="C15" s="4"/>
      <c r="D15" s="9">
        <v>0</v>
      </c>
      <c r="E15" s="193">
        <f t="shared" si="3"/>
        <v>2.2239999999999998E-3</v>
      </c>
      <c r="F15" s="194">
        <f t="shared" si="4"/>
        <v>0</v>
      </c>
      <c r="H15" s="193">
        <f>+'UE-180257 (Sch 140)'!G14</f>
        <v>2.2239999999999998E-3</v>
      </c>
      <c r="I15" s="314">
        <f t="shared" si="5"/>
        <v>0</v>
      </c>
      <c r="J15" s="1"/>
    </row>
    <row r="16" spans="1:10">
      <c r="A16" s="3">
        <f t="shared" si="0"/>
        <v>10</v>
      </c>
      <c r="B16" s="3" t="s">
        <v>16</v>
      </c>
      <c r="C16" s="1"/>
      <c r="D16" s="9">
        <f>+'Rate Impacts 10-4-2018'!C14</f>
        <v>1921550000</v>
      </c>
      <c r="E16" s="193">
        <f t="shared" si="3"/>
        <v>2.2239999999999998E-3</v>
      </c>
      <c r="F16" s="194">
        <f t="shared" si="4"/>
        <v>4274000</v>
      </c>
      <c r="H16" s="197">
        <f>+H15</f>
        <v>2.2239999999999998E-3</v>
      </c>
      <c r="I16" s="314">
        <f t="shared" si="5"/>
        <v>4273527</v>
      </c>
      <c r="J16" s="1"/>
    </row>
    <row r="17" spans="1:10">
      <c r="A17" s="3">
        <f t="shared" si="0"/>
        <v>11</v>
      </c>
      <c r="B17" s="3">
        <v>29</v>
      </c>
      <c r="C17" s="4"/>
      <c r="D17" s="9">
        <f>+'Rate Impacts 10-4-2018'!C15</f>
        <v>16140000</v>
      </c>
      <c r="E17" s="193">
        <f t="shared" si="3"/>
        <v>2.421E-3</v>
      </c>
      <c r="F17" s="194">
        <f t="shared" si="4"/>
        <v>39000</v>
      </c>
      <c r="H17" s="193">
        <f>+'UE-180257 (Sch 140)'!G15</f>
        <v>2.421E-3</v>
      </c>
      <c r="I17" s="314">
        <f t="shared" si="5"/>
        <v>39075</v>
      </c>
      <c r="J17" s="1"/>
    </row>
    <row r="18" spans="1:10">
      <c r="A18" s="3">
        <f t="shared" si="0"/>
        <v>12</v>
      </c>
      <c r="B18" s="3"/>
      <c r="C18" s="12" t="s">
        <v>17</v>
      </c>
      <c r="D18" s="13">
        <f>SUM(D11:D17)</f>
        <v>8195439000</v>
      </c>
      <c r="E18" s="195"/>
      <c r="F18" s="196">
        <f t="shared" ref="F18" si="6">SUM(F11:F17)</f>
        <v>19948000</v>
      </c>
      <c r="H18" s="195"/>
      <c r="I18" s="315">
        <f t="shared" ref="I18" si="7">SUM(I11:I17)</f>
        <v>19947443</v>
      </c>
      <c r="J18" s="1"/>
    </row>
    <row r="19" spans="1:10">
      <c r="A19" s="3">
        <f t="shared" si="0"/>
        <v>13</v>
      </c>
      <c r="B19" s="3"/>
      <c r="C19" s="4"/>
      <c r="D19" s="9"/>
      <c r="E19" s="193"/>
      <c r="F19" s="194"/>
      <c r="H19" s="193"/>
      <c r="I19" s="314"/>
      <c r="J19" s="1"/>
    </row>
    <row r="20" spans="1:10">
      <c r="A20" s="3">
        <f t="shared" si="0"/>
        <v>14</v>
      </c>
      <c r="B20" s="3">
        <v>10</v>
      </c>
      <c r="C20" s="1"/>
      <c r="D20" s="9">
        <v>0</v>
      </c>
      <c r="E20" s="193">
        <f t="shared" ref="E20:E23" si="8">+H20</f>
        <v>2.2130000000000001E-3</v>
      </c>
      <c r="F20" s="194">
        <f>ROUND(D20*E20,-3)</f>
        <v>0</v>
      </c>
      <c r="H20" s="193">
        <f>+'UE-180257 (Sch 140)'!G19</f>
        <v>2.2130000000000001E-3</v>
      </c>
      <c r="I20" s="314">
        <f t="shared" ref="I20:I23" si="9">ROUND(D20*H20,0)</f>
        <v>0</v>
      </c>
      <c r="J20" s="1"/>
    </row>
    <row r="21" spans="1:10">
      <c r="A21" s="3">
        <f t="shared" si="0"/>
        <v>15</v>
      </c>
      <c r="B21" s="3">
        <v>31</v>
      </c>
      <c r="C21" s="4"/>
      <c r="D21" s="9">
        <f>+'Rate Impacts 10-4-2018'!C18</f>
        <v>1409546000</v>
      </c>
      <c r="E21" s="193">
        <f t="shared" si="8"/>
        <v>2.2130000000000001E-3</v>
      </c>
      <c r="F21" s="194">
        <f>ROUND(D21*E21,-3)</f>
        <v>3119000</v>
      </c>
      <c r="H21" s="197">
        <f>+H20</f>
        <v>2.2130000000000001E-3</v>
      </c>
      <c r="I21" s="314">
        <f t="shared" si="9"/>
        <v>3119325</v>
      </c>
      <c r="J21" s="1"/>
    </row>
    <row r="22" spans="1:10">
      <c r="A22" s="3">
        <f t="shared" si="0"/>
        <v>16</v>
      </c>
      <c r="B22" s="3">
        <v>35</v>
      </c>
      <c r="C22" s="4"/>
      <c r="D22" s="9">
        <f>+'Rate Impacts 10-4-2018'!C19</f>
        <v>5150000</v>
      </c>
      <c r="E22" s="193">
        <f t="shared" si="8"/>
        <v>2.2130000000000001E-3</v>
      </c>
      <c r="F22" s="194">
        <f>ROUND(D22*E22,-3)</f>
        <v>11000</v>
      </c>
      <c r="H22" s="197">
        <f>+'UE-180257 (Sch 140)'!G20</f>
        <v>2.2130000000000001E-3</v>
      </c>
      <c r="I22" s="314">
        <f t="shared" si="9"/>
        <v>11397</v>
      </c>
      <c r="J22" s="1"/>
    </row>
    <row r="23" spans="1:10">
      <c r="A23" s="3">
        <f t="shared" si="0"/>
        <v>17</v>
      </c>
      <c r="B23" s="3">
        <v>43</v>
      </c>
      <c r="C23" s="4"/>
      <c r="D23" s="9">
        <f>+'Rate Impacts 10-4-2018'!C20</f>
        <v>123766000</v>
      </c>
      <c r="E23" s="193">
        <f t="shared" si="8"/>
        <v>3.2399999999999998E-3</v>
      </c>
      <c r="F23" s="194">
        <f>ROUND(D23*E23,-3)</f>
        <v>401000</v>
      </c>
      <c r="H23" s="197">
        <f>+'UE-180257 (Sch 140)'!G21</f>
        <v>3.2399999999999998E-3</v>
      </c>
      <c r="I23" s="314">
        <f t="shared" si="9"/>
        <v>401002</v>
      </c>
      <c r="J23" s="1"/>
    </row>
    <row r="24" spans="1:10">
      <c r="A24" s="3">
        <f t="shared" si="0"/>
        <v>18</v>
      </c>
      <c r="B24" s="3"/>
      <c r="C24" s="4" t="s">
        <v>18</v>
      </c>
      <c r="D24" s="13">
        <f>SUM(D20:D23)</f>
        <v>1538462000</v>
      </c>
      <c r="E24" s="195"/>
      <c r="F24" s="196">
        <f t="shared" ref="F24" si="10">SUM(F20:F23)</f>
        <v>3531000</v>
      </c>
      <c r="H24" s="195"/>
      <c r="I24" s="315">
        <f t="shared" ref="I24" si="11">SUM(I20:I23)</f>
        <v>3531724</v>
      </c>
      <c r="J24" s="1"/>
    </row>
    <row r="25" spans="1:10">
      <c r="A25" s="3">
        <f t="shared" si="0"/>
        <v>19</v>
      </c>
      <c r="B25" s="3"/>
      <c r="C25" s="4"/>
      <c r="D25" s="9"/>
      <c r="E25" s="193"/>
      <c r="F25" s="194"/>
      <c r="H25" s="193"/>
      <c r="I25" s="314"/>
      <c r="J25" s="1"/>
    </row>
    <row r="26" spans="1:10">
      <c r="A26" s="3">
        <f t="shared" si="0"/>
        <v>20</v>
      </c>
      <c r="B26" s="3">
        <v>40</v>
      </c>
      <c r="C26" s="4"/>
      <c r="D26" s="13">
        <f>+'Rate Impacts 10-4-2018'!C23</f>
        <v>586365000</v>
      </c>
      <c r="E26" s="193">
        <f>+H26</f>
        <v>2.0669999999999998E-3</v>
      </c>
      <c r="F26" s="196">
        <f>ROUND(D26*E26,-3)</f>
        <v>1212000</v>
      </c>
      <c r="H26" s="195">
        <f>+'UE-180257 (Sch 140)'!G24</f>
        <v>2.0669999999999998E-3</v>
      </c>
      <c r="I26" s="315">
        <f>ROUND(D26*H26,0)</f>
        <v>1212016</v>
      </c>
      <c r="J26" s="1"/>
    </row>
    <row r="27" spans="1:10">
      <c r="A27" s="3">
        <f t="shared" si="0"/>
        <v>21</v>
      </c>
      <c r="B27" s="3"/>
      <c r="C27" s="4"/>
      <c r="D27" s="9"/>
      <c r="E27" s="193"/>
      <c r="F27" s="194"/>
      <c r="H27" s="193"/>
      <c r="I27" s="314"/>
      <c r="J27" s="1"/>
    </row>
    <row r="28" spans="1:10">
      <c r="A28" s="3">
        <f t="shared" si="0"/>
        <v>22</v>
      </c>
      <c r="B28" s="3">
        <v>46</v>
      </c>
      <c r="C28" s="4"/>
      <c r="D28" s="9">
        <f>+'Rate Impacts 10-4-2018'!C25</f>
        <v>79268000</v>
      </c>
      <c r="E28" s="193">
        <f t="shared" ref="E28:E29" si="12">+H28</f>
        <v>1.621E-3</v>
      </c>
      <c r="F28" s="194">
        <f>ROUND(D28*E28,-3)</f>
        <v>128000</v>
      </c>
      <c r="H28" s="193">
        <f>+'UE-180257 (Sch 140)'!G27</f>
        <v>1.621E-3</v>
      </c>
      <c r="I28" s="314">
        <f t="shared" ref="I28:I29" si="13">ROUND(D28*H28,0)</f>
        <v>128493</v>
      </c>
      <c r="J28" s="1"/>
    </row>
    <row r="29" spans="1:10">
      <c r="A29" s="3">
        <f t="shared" si="0"/>
        <v>23</v>
      </c>
      <c r="B29" s="3">
        <v>49</v>
      </c>
      <c r="C29" s="4"/>
      <c r="D29" s="9">
        <f>+'Rate Impacts 10-4-2018'!C26</f>
        <v>597895000</v>
      </c>
      <c r="E29" s="193">
        <f t="shared" si="12"/>
        <v>1.621E-3</v>
      </c>
      <c r="F29" s="194">
        <f>ROUND(D29*E29,-3)</f>
        <v>969000</v>
      </c>
      <c r="H29" s="193">
        <f>+'UE-180257 (Sch 140)'!G28</f>
        <v>1.621E-3</v>
      </c>
      <c r="I29" s="314">
        <f t="shared" si="13"/>
        <v>969188</v>
      </c>
      <c r="J29" s="1"/>
    </row>
    <row r="30" spans="1:10">
      <c r="A30" s="3">
        <f t="shared" si="0"/>
        <v>24</v>
      </c>
      <c r="B30" s="3"/>
      <c r="C30" s="4" t="s">
        <v>19</v>
      </c>
      <c r="D30" s="13">
        <f>SUM(D28:D29)</f>
        <v>677163000</v>
      </c>
      <c r="E30" s="195"/>
      <c r="F30" s="196">
        <f t="shared" ref="F30" si="14">SUM(F28:F29)</f>
        <v>1097000</v>
      </c>
      <c r="H30" s="195"/>
      <c r="I30" s="315">
        <f t="shared" ref="I30" si="15">SUM(I28:I29)</f>
        <v>1097681</v>
      </c>
      <c r="J30" s="1"/>
    </row>
    <row r="31" spans="1:10">
      <c r="A31" s="3">
        <f t="shared" si="0"/>
        <v>25</v>
      </c>
      <c r="B31" s="3"/>
      <c r="C31" s="4"/>
      <c r="D31" s="9"/>
      <c r="E31" s="193"/>
      <c r="F31" s="194"/>
      <c r="H31" s="193"/>
      <c r="I31" s="314"/>
      <c r="J31" s="1"/>
    </row>
    <row r="32" spans="1:10">
      <c r="A32" s="3">
        <f t="shared" si="0"/>
        <v>26</v>
      </c>
      <c r="B32" s="3" t="s">
        <v>20</v>
      </c>
      <c r="C32" s="4"/>
      <c r="D32" s="13">
        <f>+'Rate Impacts 10-4-2018'!C29</f>
        <v>70960000</v>
      </c>
      <c r="E32" s="193">
        <f>+H32</f>
        <v>9.1180000000000011E-3</v>
      </c>
      <c r="F32" s="196">
        <f>ROUND(D32*E32,-3)</f>
        <v>647000</v>
      </c>
      <c r="H32" s="195">
        <f>+'UE-180257 (Sch 140)'!G31</f>
        <v>9.1180000000000011E-3</v>
      </c>
      <c r="I32" s="315">
        <f>ROUND(D32*H32,0)</f>
        <v>647013</v>
      </c>
      <c r="J32" s="1"/>
    </row>
    <row r="33" spans="1:10">
      <c r="A33" s="3">
        <f t="shared" si="0"/>
        <v>27</v>
      </c>
      <c r="B33" s="3"/>
      <c r="C33" s="4"/>
      <c r="D33" s="9"/>
      <c r="E33" s="193"/>
      <c r="F33" s="194"/>
      <c r="H33" s="193"/>
      <c r="I33" s="314"/>
      <c r="J33" s="1"/>
    </row>
    <row r="34" spans="1:10">
      <c r="A34" s="3">
        <f t="shared" si="0"/>
        <v>28</v>
      </c>
      <c r="B34" s="3" t="s">
        <v>21</v>
      </c>
      <c r="C34" s="4"/>
      <c r="D34" s="13">
        <f>+'Rate Impacts 10-4-2018'!C31</f>
        <v>2030932000</v>
      </c>
      <c r="E34" s="193">
        <f>+H34</f>
        <v>2.9E-5</v>
      </c>
      <c r="F34" s="196">
        <f>ROUND(D34*E34,-3)</f>
        <v>59000</v>
      </c>
      <c r="H34" s="195">
        <f>+'UE-180257 (Sch 140)'!G33</f>
        <v>2.9E-5</v>
      </c>
      <c r="I34" s="315">
        <f>ROUND(D34*H34,0)</f>
        <v>58897</v>
      </c>
      <c r="J34" s="1"/>
    </row>
    <row r="35" spans="1:10">
      <c r="A35" s="3">
        <f t="shared" si="0"/>
        <v>29</v>
      </c>
      <c r="B35" s="3"/>
      <c r="C35" s="4"/>
      <c r="D35" s="9"/>
      <c r="E35" s="193"/>
      <c r="F35" s="194"/>
      <c r="H35" s="193"/>
      <c r="I35" s="314"/>
      <c r="J35" s="1"/>
    </row>
    <row r="36" spans="1:10" ht="13.5" thickBot="1">
      <c r="A36" s="3">
        <f t="shared" si="0"/>
        <v>30</v>
      </c>
      <c r="B36" s="3"/>
      <c r="C36" s="12" t="s">
        <v>92</v>
      </c>
      <c r="D36" s="14">
        <f>SUM(D9,D18,D24,D26,D30,D32,D34)</f>
        <v>23908883000</v>
      </c>
      <c r="E36" s="198"/>
      <c r="F36" s="199">
        <f t="shared" ref="F36" si="16">SUM(F9,F18,F24,F26,F30,F32,F34)</f>
        <v>63333000</v>
      </c>
      <c r="H36" s="198"/>
      <c r="I36" s="199">
        <f t="shared" ref="I36" si="17">SUM(I9,I18,I24,I26,I30,I32,I34)</f>
        <v>63333761</v>
      </c>
      <c r="J36" s="1"/>
    </row>
    <row r="37" spans="1:10" ht="13.5" thickTop="1">
      <c r="A37" s="3">
        <f t="shared" si="0"/>
        <v>31</v>
      </c>
      <c r="B37" s="3"/>
      <c r="C37" s="1"/>
      <c r="D37" s="1"/>
      <c r="E37" s="1"/>
      <c r="F37" s="194"/>
      <c r="H37" s="1"/>
      <c r="I37" s="314"/>
      <c r="J37" s="1"/>
    </row>
    <row r="38" spans="1:10">
      <c r="A38" s="3">
        <f t="shared" si="0"/>
        <v>32</v>
      </c>
      <c r="B38" s="3">
        <v>5</v>
      </c>
      <c r="C38" s="1" t="s">
        <v>93</v>
      </c>
      <c r="D38" s="9">
        <f>+'Rate Impacts 10-4-2018'!C35</f>
        <v>7036000</v>
      </c>
      <c r="E38" s="193">
        <f>+H38</f>
        <v>0</v>
      </c>
      <c r="F38" s="196">
        <f>ROUND(D38*E38,-3)</f>
        <v>0</v>
      </c>
      <c r="H38" s="195">
        <v>0</v>
      </c>
      <c r="I38" s="315">
        <f>ROUND(D38*H38,0)</f>
        <v>0</v>
      </c>
      <c r="J38" s="1"/>
    </row>
    <row r="39" spans="1:10">
      <c r="A39" s="3">
        <f t="shared" si="0"/>
        <v>33</v>
      </c>
      <c r="B39" s="3"/>
      <c r="C39" s="1"/>
      <c r="D39" s="1"/>
      <c r="E39" s="1"/>
      <c r="F39" s="194"/>
      <c r="H39" s="1"/>
      <c r="I39" s="314"/>
      <c r="J39" s="1"/>
    </row>
    <row r="40" spans="1:10" ht="13.5" thickBot="1">
      <c r="A40" s="3">
        <f t="shared" si="0"/>
        <v>34</v>
      </c>
      <c r="B40" s="3"/>
      <c r="C40" s="12" t="s">
        <v>94</v>
      </c>
      <c r="D40" s="14">
        <f>SUM(D36,D38)</f>
        <v>23915919000</v>
      </c>
      <c r="E40" s="1"/>
      <c r="F40" s="199">
        <f t="shared" ref="F40" si="18">SUM(F36,F38)</f>
        <v>63333000</v>
      </c>
      <c r="H40" s="1">
        <f>+I40/D40</f>
        <v>2.6481842909737235E-3</v>
      </c>
      <c r="I40" s="199">
        <f t="shared" ref="I40" si="19">SUM(I36,I38)</f>
        <v>63333761</v>
      </c>
      <c r="J40" s="1"/>
    </row>
    <row r="41" spans="1:10" ht="13.5" thickTop="1">
      <c r="D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87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J39"/>
  <sheetViews>
    <sheetView topLeftCell="A5" workbookViewId="0">
      <selection activeCell="C38" sqref="C38"/>
    </sheetView>
  </sheetViews>
  <sheetFormatPr defaultColWidth="8.85546875" defaultRowHeight="15"/>
  <cols>
    <col min="1" max="1" width="4.7109375" style="156" bestFit="1" customWidth="1"/>
    <col min="2" max="2" width="23.28515625" style="156" bestFit="1" customWidth="1"/>
    <col min="3" max="3" width="14.7109375" style="156" bestFit="1" customWidth="1"/>
    <col min="4" max="4" width="11.5703125" style="156" bestFit="1" customWidth="1"/>
    <col min="5" max="5" width="13.28515625" style="156" bestFit="1" customWidth="1"/>
    <col min="6" max="6" width="12.5703125" style="156" bestFit="1" customWidth="1"/>
    <col min="7" max="7" width="13.28515625" style="156" customWidth="1"/>
    <col min="8" max="9" width="17.7109375" style="156" bestFit="1" customWidth="1"/>
    <col min="10" max="10" width="13.28515625" style="156" bestFit="1" customWidth="1"/>
    <col min="11" max="16384" width="8.85546875" style="156"/>
  </cols>
  <sheetData>
    <row r="1" spans="1:3">
      <c r="A1" s="587" t="s">
        <v>254</v>
      </c>
      <c r="B1" s="587"/>
    </row>
    <row r="2" spans="1:3">
      <c r="A2" s="588" t="s">
        <v>255</v>
      </c>
      <c r="B2" s="587"/>
    </row>
    <row r="3" spans="1:3">
      <c r="A3" s="588" t="s">
        <v>256</v>
      </c>
      <c r="B3" s="587"/>
    </row>
    <row r="6" spans="1:3" ht="39">
      <c r="A6" s="259" t="s">
        <v>257</v>
      </c>
      <c r="B6" s="260" t="s">
        <v>42</v>
      </c>
      <c r="C6" s="259" t="s">
        <v>258</v>
      </c>
    </row>
    <row r="7" spans="1:3">
      <c r="A7" s="261">
        <v>1</v>
      </c>
      <c r="B7" s="262">
        <v>7</v>
      </c>
      <c r="C7" s="263">
        <v>0</v>
      </c>
    </row>
    <row r="8" spans="1:3">
      <c r="A8" s="261">
        <v>2</v>
      </c>
      <c r="B8" s="262" t="s">
        <v>252</v>
      </c>
      <c r="C8" s="263">
        <v>0</v>
      </c>
    </row>
    <row r="9" spans="1:3">
      <c r="A9" s="261">
        <v>3</v>
      </c>
      <c r="B9" s="262" t="s">
        <v>174</v>
      </c>
      <c r="C9" s="263">
        <f t="shared" ref="C9" si="0">SUM(C7:C8)</f>
        <v>0</v>
      </c>
    </row>
    <row r="10" spans="1:3">
      <c r="A10" s="261">
        <v>4</v>
      </c>
      <c r="B10" s="262"/>
      <c r="C10" s="263"/>
    </row>
    <row r="11" spans="1:3">
      <c r="A11" s="261">
        <v>5</v>
      </c>
      <c r="B11" s="262" t="s">
        <v>155</v>
      </c>
      <c r="C11" s="263">
        <v>0</v>
      </c>
    </row>
    <row r="12" spans="1:3">
      <c r="A12" s="261">
        <v>6</v>
      </c>
      <c r="B12" s="262" t="s">
        <v>259</v>
      </c>
      <c r="C12" s="263">
        <v>0</v>
      </c>
    </row>
    <row r="13" spans="1:3">
      <c r="A13" s="261">
        <v>7</v>
      </c>
      <c r="B13" s="262" t="s">
        <v>249</v>
      </c>
      <c r="C13" s="263">
        <v>0</v>
      </c>
    </row>
    <row r="14" spans="1:3">
      <c r="A14" s="261">
        <v>8</v>
      </c>
      <c r="B14" s="262" t="s">
        <v>260</v>
      </c>
      <c r="C14" s="263">
        <v>0</v>
      </c>
    </row>
    <row r="15" spans="1:3">
      <c r="A15" s="261">
        <v>9</v>
      </c>
      <c r="B15" s="262">
        <v>29</v>
      </c>
      <c r="C15" s="263">
        <v>0</v>
      </c>
    </row>
    <row r="16" spans="1:3">
      <c r="A16" s="261">
        <v>10</v>
      </c>
      <c r="B16" s="262" t="s">
        <v>17</v>
      </c>
      <c r="C16" s="263">
        <f t="shared" ref="C16" si="1">SUM(C11:C15)</f>
        <v>0</v>
      </c>
    </row>
    <row r="17" spans="1:10">
      <c r="A17" s="261">
        <v>11</v>
      </c>
      <c r="B17" s="262"/>
      <c r="C17" s="263"/>
    </row>
    <row r="18" spans="1:10">
      <c r="A18" s="261">
        <v>12</v>
      </c>
      <c r="B18" s="262" t="s">
        <v>158</v>
      </c>
      <c r="C18" s="263">
        <v>0</v>
      </c>
    </row>
    <row r="19" spans="1:10">
      <c r="A19" s="261">
        <v>13</v>
      </c>
      <c r="B19" s="262">
        <v>35</v>
      </c>
      <c r="C19" s="263">
        <v>0</v>
      </c>
    </row>
    <row r="20" spans="1:10">
      <c r="A20" s="261">
        <v>14</v>
      </c>
      <c r="B20" s="262">
        <v>43</v>
      </c>
      <c r="C20" s="263">
        <v>0</v>
      </c>
    </row>
    <row r="21" spans="1:10">
      <c r="A21" s="261">
        <v>15</v>
      </c>
      <c r="B21" s="262" t="s">
        <v>18</v>
      </c>
      <c r="C21" s="263">
        <f t="shared" ref="C21" si="2">SUM(C18:C20)</f>
        <v>0</v>
      </c>
    </row>
    <row r="22" spans="1:10">
      <c r="A22" s="261">
        <v>16</v>
      </c>
      <c r="B22" s="262"/>
      <c r="C22" s="263"/>
      <c r="D22" s="264"/>
      <c r="F22" s="264"/>
      <c r="G22" s="264"/>
      <c r="I22" s="264"/>
      <c r="J22" s="264"/>
    </row>
    <row r="23" spans="1:10">
      <c r="A23" s="261">
        <v>17</v>
      </c>
      <c r="B23" s="262">
        <v>40</v>
      </c>
      <c r="C23" s="263">
        <v>0</v>
      </c>
      <c r="D23" s="264"/>
      <c r="F23" s="264"/>
      <c r="G23" s="264"/>
      <c r="I23" s="264"/>
      <c r="J23" s="264"/>
    </row>
    <row r="24" spans="1:10">
      <c r="A24" s="261">
        <v>18</v>
      </c>
      <c r="B24" s="262"/>
      <c r="C24" s="263"/>
      <c r="D24" s="264"/>
      <c r="F24" s="264"/>
      <c r="G24" s="264"/>
    </row>
    <row r="25" spans="1:10">
      <c r="A25" s="261">
        <v>19</v>
      </c>
      <c r="B25" s="262">
        <v>46</v>
      </c>
      <c r="C25" s="263">
        <v>0</v>
      </c>
    </row>
    <row r="26" spans="1:10">
      <c r="A26" s="261">
        <v>20</v>
      </c>
      <c r="B26" s="262">
        <v>49</v>
      </c>
      <c r="C26" s="263">
        <v>0</v>
      </c>
    </row>
    <row r="27" spans="1:10">
      <c r="A27" s="261">
        <v>21</v>
      </c>
      <c r="B27" s="262" t="s">
        <v>19</v>
      </c>
      <c r="C27" s="263">
        <f t="shared" ref="C27" si="3">SUM(C25:C26)</f>
        <v>0</v>
      </c>
    </row>
    <row r="28" spans="1:10">
      <c r="A28" s="261">
        <v>22</v>
      </c>
      <c r="B28" s="262"/>
      <c r="C28" s="263"/>
    </row>
    <row r="29" spans="1:10">
      <c r="A29" s="261">
        <v>23</v>
      </c>
      <c r="B29" s="262" t="s">
        <v>20</v>
      </c>
      <c r="C29" s="263">
        <v>0</v>
      </c>
    </row>
    <row r="30" spans="1:10">
      <c r="A30" s="261">
        <v>24</v>
      </c>
      <c r="B30" s="262"/>
      <c r="C30" s="263"/>
    </row>
    <row r="31" spans="1:10">
      <c r="A31" s="261">
        <v>25</v>
      </c>
      <c r="B31" s="262" t="s">
        <v>135</v>
      </c>
      <c r="C31" s="263">
        <v>0</v>
      </c>
    </row>
    <row r="32" spans="1:10">
      <c r="A32" s="261">
        <v>26</v>
      </c>
      <c r="B32" s="262"/>
      <c r="C32" s="263"/>
    </row>
    <row r="33" spans="1:3">
      <c r="A33" s="261">
        <v>27</v>
      </c>
      <c r="B33" s="262" t="s">
        <v>261</v>
      </c>
      <c r="C33" s="263">
        <f t="shared" ref="C33" si="4">SUM(C9,C16,C21,C23,C27,C29,C31)</f>
        <v>0</v>
      </c>
    </row>
    <row r="34" spans="1:3">
      <c r="A34" s="261">
        <v>28</v>
      </c>
      <c r="B34" s="262"/>
      <c r="C34" s="263"/>
    </row>
    <row r="35" spans="1:3">
      <c r="A35" s="261">
        <v>29</v>
      </c>
      <c r="B35" s="262" t="s">
        <v>211</v>
      </c>
      <c r="C35" s="263">
        <v>0</v>
      </c>
    </row>
    <row r="36" spans="1:3">
      <c r="A36" s="261">
        <v>30</v>
      </c>
      <c r="B36" s="262"/>
      <c r="C36" s="263"/>
    </row>
    <row r="37" spans="1:3">
      <c r="A37" s="261">
        <v>31</v>
      </c>
      <c r="B37" s="262" t="s">
        <v>262</v>
      </c>
      <c r="C37" s="263">
        <f t="shared" ref="C37" si="5">SUM(C33,C35)</f>
        <v>0</v>
      </c>
    </row>
    <row r="38" spans="1:3">
      <c r="C38" s="263"/>
    </row>
    <row r="39" spans="1:3">
      <c r="C39" s="265"/>
    </row>
  </sheetData>
  <mergeCells count="3">
    <mergeCell ref="A1:B1"/>
    <mergeCell ref="A2:B2"/>
    <mergeCell ref="A3:B3"/>
  </mergeCells>
  <printOptions horizontalCentered="1"/>
  <pageMargins left="0.7" right="0.7" top="0.75" bottom="0.88" header="0.3" footer="0.3"/>
  <pageSetup scale="96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I46"/>
  <sheetViews>
    <sheetView topLeftCell="A5" workbookViewId="0">
      <selection activeCell="D6" sqref="D6"/>
    </sheetView>
  </sheetViews>
  <sheetFormatPr defaultColWidth="8.85546875" defaultRowHeight="12.75"/>
  <cols>
    <col min="1" max="2" width="8.85546875" style="1"/>
    <col min="3" max="3" width="21" style="1" bestFit="1" customWidth="1"/>
    <col min="4" max="4" width="15.140625" style="1" bestFit="1" customWidth="1"/>
    <col min="5" max="5" width="10.42578125" style="1" bestFit="1" customWidth="1"/>
    <col min="6" max="6" width="8.85546875" style="1"/>
    <col min="7" max="7" width="12.28515625" style="1" customWidth="1"/>
    <col min="8" max="8" width="11.5703125" style="1" bestFit="1" customWidth="1"/>
    <col min="9" max="9" width="13.28515625" style="1" bestFit="1" customWidth="1"/>
    <col min="10" max="16384" width="8.85546875" style="1"/>
  </cols>
  <sheetData>
    <row r="1" spans="1:9">
      <c r="A1" s="585" t="s">
        <v>0</v>
      </c>
      <c r="B1" s="585"/>
      <c r="C1" s="585"/>
      <c r="D1" s="585"/>
      <c r="E1" s="585"/>
    </row>
    <row r="2" spans="1:9">
      <c r="A2" s="586" t="s">
        <v>263</v>
      </c>
      <c r="B2" s="585"/>
      <c r="C2" s="585"/>
      <c r="D2" s="585"/>
      <c r="E2" s="585"/>
    </row>
    <row r="3" spans="1:9">
      <c r="A3" s="585" t="str">
        <f>+'Rate Impacts 10-4-2018'!A3</f>
        <v>Test Year ended September 2019</v>
      </c>
      <c r="B3" s="585"/>
      <c r="C3" s="585"/>
      <c r="D3" s="585"/>
      <c r="E3" s="585"/>
    </row>
    <row r="4" spans="1:9">
      <c r="A4" s="585"/>
      <c r="B4" s="585"/>
      <c r="C4" s="585"/>
      <c r="D4" s="585"/>
      <c r="E4" s="585"/>
    </row>
    <row r="5" spans="1:9">
      <c r="A5" s="313"/>
      <c r="B5" s="312"/>
      <c r="C5" s="312"/>
      <c r="D5" s="312"/>
      <c r="E5" s="312"/>
    </row>
    <row r="6" spans="1:9" ht="51">
      <c r="A6" s="6" t="s">
        <v>3</v>
      </c>
      <c r="B6" s="6" t="s">
        <v>4</v>
      </c>
      <c r="C6" s="6" t="s">
        <v>42</v>
      </c>
      <c r="D6" s="7" t="str">
        <f>+'Rate Impacts 10-4-2018'!C7</f>
        <v>Annual kWh Delivered Sales YE 9-2019 (F2018)</v>
      </c>
      <c r="E6" s="290" t="s">
        <v>418</v>
      </c>
      <c r="G6" s="290" t="s">
        <v>311</v>
      </c>
      <c r="H6" s="290" t="s">
        <v>310</v>
      </c>
      <c r="I6" s="290" t="s">
        <v>309</v>
      </c>
    </row>
    <row r="7" spans="1:9">
      <c r="A7" s="312">
        <v>1</v>
      </c>
      <c r="B7" s="312">
        <v>7</v>
      </c>
      <c r="C7" s="4"/>
      <c r="D7" s="9">
        <f>+'Rate Impacts 10-4-2018'!C9</f>
        <v>10809562000</v>
      </c>
      <c r="E7" s="9"/>
      <c r="G7" s="193">
        <f>+'UE-180289 (Sch 142)'!I9</f>
        <v>-1.1280000000000001E-3</v>
      </c>
      <c r="H7" s="193"/>
      <c r="I7" s="314">
        <f t="shared" ref="I7:I8" si="0">ROUND(D7*G7+H7*E7,-3)</f>
        <v>-12193000</v>
      </c>
    </row>
    <row r="8" spans="1:9">
      <c r="A8" s="312">
        <f t="shared" ref="A8:A40" si="1">+A7+1</f>
        <v>2</v>
      </c>
      <c r="B8" s="313" t="s">
        <v>14</v>
      </c>
      <c r="C8" s="4"/>
      <c r="D8" s="9">
        <v>0</v>
      </c>
      <c r="E8" s="9"/>
      <c r="G8" s="193">
        <f>+'UE-180289 (Sch 142)'!I10</f>
        <v>1.524E-3</v>
      </c>
      <c r="H8" s="193"/>
      <c r="I8" s="314">
        <f t="shared" si="0"/>
        <v>0</v>
      </c>
    </row>
    <row r="9" spans="1:9">
      <c r="A9" s="312">
        <f t="shared" si="1"/>
        <v>3</v>
      </c>
      <c r="B9" s="312"/>
      <c r="C9" s="4" t="s">
        <v>15</v>
      </c>
      <c r="D9" s="13">
        <f>SUM(D7:D8)</f>
        <v>10809562000</v>
      </c>
      <c r="E9" s="9"/>
      <c r="G9" s="326"/>
      <c r="H9" s="326"/>
      <c r="I9" s="315">
        <f t="shared" ref="I9" si="2">SUM(I7:I8)</f>
        <v>-12193000</v>
      </c>
    </row>
    <row r="10" spans="1:9">
      <c r="A10" s="312">
        <f t="shared" si="1"/>
        <v>4</v>
      </c>
      <c r="B10" s="312"/>
      <c r="C10" s="4"/>
      <c r="D10" s="9"/>
      <c r="E10" s="9"/>
      <c r="G10" s="193"/>
      <c r="H10" s="193"/>
      <c r="I10" s="314"/>
    </row>
    <row r="11" spans="1:9">
      <c r="A11" s="312">
        <f t="shared" si="1"/>
        <v>5</v>
      </c>
      <c r="B11" s="312">
        <v>8</v>
      </c>
      <c r="C11" s="4"/>
      <c r="D11" s="9">
        <v>0</v>
      </c>
      <c r="E11" s="9"/>
      <c r="G11" s="193">
        <f>+'UE-180289 (Sch 142)'!I13</f>
        <v>1.369E-3</v>
      </c>
      <c r="H11" s="193"/>
      <c r="I11" s="314">
        <f t="shared" ref="I11:I17" si="3">ROUND(D11*G11+H11*E11,-3)</f>
        <v>0</v>
      </c>
    </row>
    <row r="12" spans="1:9">
      <c r="A12" s="312">
        <f t="shared" si="1"/>
        <v>6</v>
      </c>
      <c r="B12" s="312">
        <v>24</v>
      </c>
      <c r="D12" s="9">
        <f>+'Rate Impacts 10-4-2018'!C12</f>
        <v>3049254000</v>
      </c>
      <c r="E12" s="9"/>
      <c r="G12" s="193">
        <f>+'UE-180289 (Sch 142)'!I14</f>
        <v>1.369E-3</v>
      </c>
      <c r="H12" s="193"/>
      <c r="I12" s="314">
        <f t="shared" si="3"/>
        <v>4174000</v>
      </c>
    </row>
    <row r="13" spans="1:9">
      <c r="A13" s="312">
        <f t="shared" si="1"/>
        <v>7</v>
      </c>
      <c r="B13" s="313">
        <v>11</v>
      </c>
      <c r="C13" s="4"/>
      <c r="D13" s="9">
        <v>0</v>
      </c>
      <c r="E13" s="9"/>
      <c r="G13" s="193">
        <f>+'UE-180289 (Sch 142)'!I15</f>
        <v>1.524E-3</v>
      </c>
      <c r="H13" s="193"/>
      <c r="I13" s="314">
        <f t="shared" si="3"/>
        <v>0</v>
      </c>
    </row>
    <row r="14" spans="1:9">
      <c r="A14" s="312">
        <f t="shared" si="1"/>
        <v>8</v>
      </c>
      <c r="B14" s="313">
        <v>25</v>
      </c>
      <c r="D14" s="9">
        <f>+'Rate Impacts 10-4-2018'!C13</f>
        <v>3208495000</v>
      </c>
      <c r="E14" s="9"/>
      <c r="G14" s="193">
        <f>+'UE-180289 (Sch 142)'!I16</f>
        <v>1.524E-3</v>
      </c>
      <c r="H14" s="193"/>
      <c r="I14" s="314">
        <f t="shared" si="3"/>
        <v>4890000</v>
      </c>
    </row>
    <row r="15" spans="1:9">
      <c r="A15" s="312">
        <f t="shared" si="1"/>
        <v>9</v>
      </c>
      <c r="B15" s="312">
        <v>12</v>
      </c>
      <c r="C15" s="4"/>
      <c r="D15" s="326">
        <v>0</v>
      </c>
      <c r="E15" s="9"/>
      <c r="G15" s="193">
        <f>+'UE-180289 (Sch 142)'!I17</f>
        <v>3.0400000000000002E-4</v>
      </c>
      <c r="H15" s="193"/>
      <c r="I15" s="314">
        <f t="shared" si="3"/>
        <v>0</v>
      </c>
    </row>
    <row r="16" spans="1:9">
      <c r="A16" s="312">
        <f t="shared" si="1"/>
        <v>10</v>
      </c>
      <c r="B16" s="312" t="s">
        <v>16</v>
      </c>
      <c r="D16" s="326">
        <f>+'Rate Impacts 10-4-2018'!C14</f>
        <v>1921550000</v>
      </c>
      <c r="E16" s="9">
        <f>+'F2018 Demand'!AF33</f>
        <v>4440622.5942413658</v>
      </c>
      <c r="G16" s="193">
        <f>+'UE-180289 (Sch 142)'!I18</f>
        <v>3.0400000000000002E-4</v>
      </c>
      <c r="H16" s="193">
        <f>+'UE-180289 (Sch 142)'!I20</f>
        <v>-0.09</v>
      </c>
      <c r="I16" s="314">
        <f t="shared" si="3"/>
        <v>184000</v>
      </c>
    </row>
    <row r="17" spans="1:9">
      <c r="A17" s="312">
        <f t="shared" si="1"/>
        <v>11</v>
      </c>
      <c r="B17" s="312">
        <v>29</v>
      </c>
      <c r="C17" s="4"/>
      <c r="D17" s="9">
        <f>+'Rate Impacts 10-4-2018'!C15</f>
        <v>16140000</v>
      </c>
      <c r="E17" s="9"/>
      <c r="G17" s="193">
        <f>+'UE-180289 (Sch 142)'!I21</f>
        <v>1.524E-3</v>
      </c>
      <c r="H17" s="193"/>
      <c r="I17" s="314">
        <f t="shared" si="3"/>
        <v>25000</v>
      </c>
    </row>
    <row r="18" spans="1:9">
      <c r="A18" s="312">
        <f t="shared" si="1"/>
        <v>12</v>
      </c>
      <c r="B18" s="312"/>
      <c r="C18" s="12" t="s">
        <v>17</v>
      </c>
      <c r="D18" s="13">
        <f>SUM(D11:D17)</f>
        <v>8195439000</v>
      </c>
      <c r="E18" s="13">
        <f>SUM(E11:E17)</f>
        <v>4440622.5942413658</v>
      </c>
      <c r="G18" s="326"/>
      <c r="H18" s="326"/>
      <c r="I18" s="315">
        <f t="shared" ref="I18" si="4">SUM(I11:I17)</f>
        <v>9273000</v>
      </c>
    </row>
    <row r="19" spans="1:9">
      <c r="A19" s="312">
        <f t="shared" si="1"/>
        <v>13</v>
      </c>
      <c r="B19" s="312"/>
      <c r="C19" s="4"/>
      <c r="D19" s="9"/>
      <c r="E19" s="9"/>
      <c r="G19" s="193"/>
      <c r="H19" s="193"/>
      <c r="I19" s="314"/>
    </row>
    <row r="20" spans="1:9">
      <c r="A20" s="312">
        <f t="shared" si="1"/>
        <v>14</v>
      </c>
      <c r="B20" s="312">
        <v>10</v>
      </c>
      <c r="D20" s="326"/>
      <c r="E20" s="9"/>
      <c r="G20" s="193"/>
      <c r="H20" s="193"/>
      <c r="I20" s="314">
        <f t="shared" ref="I20" si="5">ROUND(D20*G20+H20*E20,-3)</f>
        <v>0</v>
      </c>
    </row>
    <row r="21" spans="1:9">
      <c r="A21" s="312">
        <f t="shared" si="1"/>
        <v>15</v>
      </c>
      <c r="B21" s="312">
        <v>31</v>
      </c>
      <c r="C21" s="4"/>
      <c r="D21" s="326">
        <f>+'Rate Impacts 10-4-2018'!C18</f>
        <v>1409546000</v>
      </c>
      <c r="E21" s="9">
        <f>+'F2018 Demand'!AH33</f>
        <v>3383131.6140931649</v>
      </c>
      <c r="G21" s="193">
        <f>+'UE-180289 (Sch 142)'!I25</f>
        <v>1.5300000000000001E-4</v>
      </c>
      <c r="H21" s="193">
        <f>+'UE-180289 (Sch 142)'!I26</f>
        <v>-0.11</v>
      </c>
      <c r="I21" s="314">
        <f>ROUND(D21*G21+H21*E21,-3)</f>
        <v>-156000</v>
      </c>
    </row>
    <row r="22" spans="1:9">
      <c r="A22" s="312">
        <f t="shared" si="1"/>
        <v>16</v>
      </c>
      <c r="B22" s="312">
        <v>35</v>
      </c>
      <c r="C22" s="4"/>
      <c r="D22" s="9">
        <f>+'Rate Impacts 10-4-2018'!C19</f>
        <v>5150000</v>
      </c>
      <c r="E22" s="9"/>
      <c r="G22" s="193">
        <f>+'UE-180289 (Sch 142)'!I28</f>
        <v>1.524E-3</v>
      </c>
      <c r="H22" s="193"/>
      <c r="I22" s="314">
        <f t="shared" ref="I22:I23" si="6">ROUND(D22*G22+H22*E22,-3)</f>
        <v>8000</v>
      </c>
    </row>
    <row r="23" spans="1:9">
      <c r="A23" s="312">
        <f t="shared" si="1"/>
        <v>17</v>
      </c>
      <c r="B23" s="312">
        <v>43</v>
      </c>
      <c r="C23" s="4"/>
      <c r="D23" s="9">
        <f>+'Rate Impacts 10-4-2018'!C20</f>
        <v>123766000</v>
      </c>
      <c r="E23" s="9"/>
      <c r="G23" s="193">
        <f>+'UE-180289 (Sch 142)'!I29</f>
        <v>1.524E-3</v>
      </c>
      <c r="H23" s="193"/>
      <c r="I23" s="314">
        <f t="shared" si="6"/>
        <v>189000</v>
      </c>
    </row>
    <row r="24" spans="1:9">
      <c r="A24" s="312">
        <f t="shared" si="1"/>
        <v>18</v>
      </c>
      <c r="B24" s="312"/>
      <c r="C24" s="4" t="s">
        <v>18</v>
      </c>
      <c r="D24" s="13">
        <f>SUM(D20:D23)</f>
        <v>1538462000</v>
      </c>
      <c r="E24" s="13">
        <f>SUM(E20:E23)</f>
        <v>3383131.6140931649</v>
      </c>
      <c r="G24" s="326"/>
      <c r="H24" s="326"/>
      <c r="I24" s="315">
        <f t="shared" ref="I24" si="7">SUM(I20:I23)</f>
        <v>41000</v>
      </c>
    </row>
    <row r="25" spans="1:9">
      <c r="A25" s="312">
        <f t="shared" si="1"/>
        <v>19</v>
      </c>
      <c r="B25" s="312"/>
      <c r="C25" s="4"/>
      <c r="D25" s="9"/>
      <c r="E25" s="9"/>
      <c r="G25" s="193"/>
      <c r="H25" s="193"/>
      <c r="I25" s="314"/>
    </row>
    <row r="26" spans="1:9">
      <c r="A26" s="312">
        <f t="shared" si="1"/>
        <v>20</v>
      </c>
      <c r="B26" s="312">
        <v>40</v>
      </c>
      <c r="C26" s="4"/>
      <c r="D26" s="13">
        <f>+'Rate Impacts 10-4-2018'!C23</f>
        <v>586365000</v>
      </c>
      <c r="E26" s="9"/>
      <c r="G26" s="193">
        <f>+'UE-180289 (Sch 142)'!I32</f>
        <v>1.9119999999999999E-3</v>
      </c>
      <c r="H26" s="193"/>
      <c r="I26" s="314">
        <f>ROUND(D26*G26+H26*E26,-3)</f>
        <v>1121000</v>
      </c>
    </row>
    <row r="27" spans="1:9">
      <c r="A27" s="312">
        <f t="shared" si="1"/>
        <v>21</v>
      </c>
      <c r="B27" s="312"/>
      <c r="C27" s="4"/>
      <c r="D27" s="9"/>
      <c r="E27" s="9"/>
      <c r="G27" s="193"/>
      <c r="H27" s="193"/>
      <c r="I27" s="314"/>
    </row>
    <row r="28" spans="1:9">
      <c r="A28" s="312">
        <f t="shared" si="1"/>
        <v>22</v>
      </c>
      <c r="B28" s="312">
        <v>46</v>
      </c>
      <c r="C28" s="4"/>
      <c r="D28" s="9">
        <f>+'Rate Impacts 10-4-2018'!C25</f>
        <v>79268000</v>
      </c>
      <c r="E28" s="9"/>
      <c r="G28" s="193">
        <f>+'UE-180289 (Sch 142)'!I34</f>
        <v>1.418E-3</v>
      </c>
      <c r="H28" s="193"/>
      <c r="I28" s="314">
        <f t="shared" ref="I28:I29" si="8">ROUND(D28*G28+H28*E28,-3)</f>
        <v>112000</v>
      </c>
    </row>
    <row r="29" spans="1:9">
      <c r="A29" s="312">
        <f t="shared" si="1"/>
        <v>23</v>
      </c>
      <c r="B29" s="312">
        <v>49</v>
      </c>
      <c r="C29" s="4"/>
      <c r="D29" s="9">
        <f>+'Rate Impacts 10-4-2018'!C26</f>
        <v>597895000</v>
      </c>
      <c r="E29" s="9"/>
      <c r="G29" s="193">
        <f>+'UE-180289 (Sch 142)'!I35</f>
        <v>1.418E-3</v>
      </c>
      <c r="H29" s="193"/>
      <c r="I29" s="314">
        <f t="shared" si="8"/>
        <v>848000</v>
      </c>
    </row>
    <row r="30" spans="1:9">
      <c r="A30" s="312">
        <f t="shared" si="1"/>
        <v>24</v>
      </c>
      <c r="B30" s="312"/>
      <c r="C30" s="4" t="s">
        <v>19</v>
      </c>
      <c r="D30" s="13">
        <f>SUM(D28:D29)</f>
        <v>677163000</v>
      </c>
      <c r="E30" s="9"/>
      <c r="G30" s="326"/>
      <c r="H30" s="326"/>
      <c r="I30" s="315">
        <f t="shared" ref="I30" si="9">SUM(I28:I29)</f>
        <v>960000</v>
      </c>
    </row>
    <row r="31" spans="1:9">
      <c r="A31" s="312">
        <f t="shared" si="1"/>
        <v>25</v>
      </c>
      <c r="B31" s="312"/>
      <c r="C31" s="4"/>
      <c r="D31" s="9"/>
      <c r="E31" s="9"/>
      <c r="G31" s="193"/>
      <c r="H31" s="193"/>
      <c r="I31" s="314"/>
    </row>
    <row r="32" spans="1:9">
      <c r="A32" s="312">
        <f t="shared" si="1"/>
        <v>26</v>
      </c>
      <c r="B32" s="312" t="s">
        <v>20</v>
      </c>
      <c r="C32" s="4"/>
      <c r="D32" s="13">
        <f>+'Rate Impacts 10-4-2018'!C29</f>
        <v>70960000</v>
      </c>
      <c r="E32" s="9"/>
      <c r="G32" s="326"/>
      <c r="H32" s="326"/>
      <c r="I32" s="314">
        <f>ROUND(D32*G32+H32*E32,-3)</f>
        <v>0</v>
      </c>
    </row>
    <row r="33" spans="1:9">
      <c r="A33" s="312">
        <f t="shared" si="1"/>
        <v>27</v>
      </c>
      <c r="B33" s="312"/>
      <c r="C33" s="4"/>
      <c r="D33" s="9"/>
      <c r="E33" s="9"/>
      <c r="G33" s="326"/>
      <c r="H33" s="326"/>
      <c r="I33" s="314"/>
    </row>
    <row r="34" spans="1:9">
      <c r="A34" s="312">
        <f t="shared" si="1"/>
        <v>28</v>
      </c>
      <c r="B34" s="312" t="s">
        <v>21</v>
      </c>
      <c r="C34" s="4"/>
      <c r="D34" s="13">
        <f>+'Rate Impacts 10-4-2018'!C31</f>
        <v>2030932000</v>
      </c>
      <c r="E34" s="9"/>
      <c r="G34" s="326"/>
      <c r="H34" s="326"/>
      <c r="I34" s="314">
        <f>ROUND(D34*G34+H34*E34,-3)</f>
        <v>0</v>
      </c>
    </row>
    <row r="35" spans="1:9">
      <c r="A35" s="312">
        <f t="shared" si="1"/>
        <v>29</v>
      </c>
      <c r="B35" s="312"/>
      <c r="C35" s="4"/>
      <c r="D35" s="9"/>
      <c r="E35" s="9"/>
      <c r="G35" s="326"/>
      <c r="H35" s="326"/>
      <c r="I35" s="314"/>
    </row>
    <row r="36" spans="1:9" ht="13.5" thickBot="1">
      <c r="A36" s="312">
        <f t="shared" si="1"/>
        <v>30</v>
      </c>
      <c r="B36" s="312"/>
      <c r="C36" s="12" t="s">
        <v>92</v>
      </c>
      <c r="D36" s="14">
        <f>SUM(D9,D18,D24,D26,D30,D32,D34)</f>
        <v>23908883000</v>
      </c>
      <c r="E36" s="14">
        <f>SUM(E9,E18,E24,E26,E30,E32,E34)</f>
        <v>7823754.2083345307</v>
      </c>
      <c r="G36" s="326"/>
      <c r="H36" s="326"/>
      <c r="I36" s="199">
        <f t="shared" ref="I36" si="10">SUM(I9,I18,I24,I26,I30,I32,I34)</f>
        <v>-798000</v>
      </c>
    </row>
    <row r="37" spans="1:9" ht="13.5" thickTop="1">
      <c r="A37" s="312">
        <f t="shared" si="1"/>
        <v>31</v>
      </c>
      <c r="B37" s="312"/>
      <c r="E37" s="9"/>
      <c r="G37" s="326"/>
      <c r="H37" s="326"/>
      <c r="I37" s="314"/>
    </row>
    <row r="38" spans="1:9">
      <c r="A38" s="312">
        <f t="shared" si="1"/>
        <v>32</v>
      </c>
      <c r="B38" s="312">
        <v>5</v>
      </c>
      <c r="C38" s="1" t="s">
        <v>93</v>
      </c>
      <c r="D38" s="9">
        <f>+'Rate Impacts 10-4-2018'!C35</f>
        <v>7036000</v>
      </c>
      <c r="E38" s="9"/>
      <c r="G38" s="326"/>
      <c r="H38" s="326"/>
      <c r="I38" s="314">
        <f>ROUND(D38*G38+H38*E38/1000,-3)</f>
        <v>0</v>
      </c>
    </row>
    <row r="39" spans="1:9">
      <c r="A39" s="312">
        <f t="shared" si="1"/>
        <v>33</v>
      </c>
      <c r="B39" s="312"/>
      <c r="E39" s="9"/>
      <c r="I39" s="314"/>
    </row>
    <row r="40" spans="1:9" ht="13.5" thickBot="1">
      <c r="A40" s="312">
        <f t="shared" si="1"/>
        <v>34</v>
      </c>
      <c r="B40" s="312"/>
      <c r="C40" s="12" t="s">
        <v>94</v>
      </c>
      <c r="D40" s="14">
        <f>SUM(D36,D38)</f>
        <v>23915919000</v>
      </c>
      <c r="E40" s="9"/>
      <c r="I40" s="199">
        <f t="shared" ref="I40" si="11">SUM(I36,I38)</f>
        <v>-798000</v>
      </c>
    </row>
    <row r="41" spans="1:9" ht="13.5" thickTop="1">
      <c r="E41" s="9"/>
    </row>
    <row r="42" spans="1:9">
      <c r="C42" s="1" t="s">
        <v>305</v>
      </c>
      <c r="E42" s="9"/>
    </row>
    <row r="43" spans="1:9">
      <c r="C43" s="328" t="s">
        <v>306</v>
      </c>
      <c r="E43" s="9"/>
    </row>
    <row r="44" spans="1:9">
      <c r="E44" s="9"/>
    </row>
    <row r="45" spans="1:9">
      <c r="E45" s="9"/>
    </row>
    <row r="46" spans="1:9">
      <c r="E46" s="9"/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1" header="0.3" footer="0.3"/>
  <pageSetup scale="88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3"/>
  <sheetViews>
    <sheetView topLeftCell="A22" workbookViewId="0">
      <selection activeCell="D42" sqref="D42"/>
    </sheetView>
  </sheetViews>
  <sheetFormatPr defaultRowHeight="12.75"/>
  <cols>
    <col min="1" max="1" width="7.7109375" bestFit="1" customWidth="1"/>
    <col min="2" max="2" width="10.28515625" bestFit="1" customWidth="1"/>
    <col min="3" max="3" width="21" bestFit="1" customWidth="1"/>
    <col min="4" max="4" width="15.140625" bestFit="1" customWidth="1"/>
    <col min="5" max="5" width="11.5703125" bestFit="1" customWidth="1"/>
    <col min="6" max="6" width="13.28515625" bestFit="1" customWidth="1"/>
  </cols>
  <sheetData>
    <row r="1" spans="1:6">
      <c r="A1" s="585" t="s">
        <v>0</v>
      </c>
      <c r="B1" s="585"/>
      <c r="C1" s="585"/>
      <c r="D1" s="585"/>
      <c r="E1" s="585"/>
      <c r="F1" s="585"/>
    </row>
    <row r="2" spans="1:6">
      <c r="A2" s="586" t="s">
        <v>273</v>
      </c>
      <c r="B2" s="585"/>
      <c r="C2" s="585"/>
      <c r="D2" s="585"/>
      <c r="E2" s="585"/>
      <c r="F2" s="585"/>
    </row>
    <row r="3" spans="1:6">
      <c r="A3" s="585" t="s">
        <v>87</v>
      </c>
      <c r="B3" s="585"/>
      <c r="C3" s="585"/>
      <c r="D3" s="585"/>
      <c r="E3" s="585"/>
      <c r="F3" s="585"/>
    </row>
    <row r="4" spans="1:6">
      <c r="A4" s="585"/>
      <c r="B4" s="585"/>
      <c r="C4" s="585"/>
      <c r="D4" s="585"/>
      <c r="E4" s="585"/>
      <c r="F4" s="585"/>
    </row>
    <row r="5" spans="1:6">
      <c r="A5" s="2"/>
      <c r="B5" s="3"/>
      <c r="C5" s="3"/>
      <c r="D5" s="3"/>
      <c r="E5" s="4"/>
      <c r="F5" s="4" t="s">
        <v>136</v>
      </c>
    </row>
    <row r="6" spans="1:6" ht="51">
      <c r="A6" s="6" t="s">
        <v>3</v>
      </c>
      <c r="B6" s="6" t="s">
        <v>4</v>
      </c>
      <c r="C6" s="6" t="s">
        <v>42</v>
      </c>
      <c r="D6" s="7" t="str">
        <f>+'Rate Impacts 10-4-2018'!C7</f>
        <v>Annual kWh Delivered Sales YE 9-2019 (F2018)</v>
      </c>
      <c r="E6" s="7" t="s">
        <v>292</v>
      </c>
      <c r="F6" s="7" t="s">
        <v>274</v>
      </c>
    </row>
    <row r="7" spans="1:6">
      <c r="A7" s="3">
        <v>1</v>
      </c>
      <c r="B7" s="3">
        <v>7</v>
      </c>
      <c r="C7" s="4"/>
      <c r="D7" s="326">
        <f>ROUND(+'F2018 Sch Level Delivered Load'!AG33,-3)</f>
        <v>10809564000</v>
      </c>
      <c r="E7" s="193">
        <f>-'UE-170946 (Sch 194)'!D18</f>
        <v>-7.4058380000000005E-3</v>
      </c>
      <c r="F7" s="194">
        <f>ROUND(D7*E7,-3)</f>
        <v>-80054000</v>
      </c>
    </row>
    <row r="8" spans="1:6">
      <c r="A8" s="3">
        <f t="shared" ref="A8:A40" si="0">+A7+1</f>
        <v>2</v>
      </c>
      <c r="B8" s="2" t="s">
        <v>14</v>
      </c>
      <c r="C8" s="4"/>
      <c r="D8" s="9">
        <v>0</v>
      </c>
      <c r="E8" s="193"/>
      <c r="F8" s="314">
        <f>ROUND(D8*E8,-3)</f>
        <v>0</v>
      </c>
    </row>
    <row r="9" spans="1:6">
      <c r="A9" s="3">
        <f t="shared" si="0"/>
        <v>3</v>
      </c>
      <c r="B9" s="3"/>
      <c r="C9" s="4" t="s">
        <v>15</v>
      </c>
      <c r="D9" s="13">
        <f>SUM(D7:D8)</f>
        <v>10809564000</v>
      </c>
      <c r="E9" s="195"/>
      <c r="F9" s="196">
        <f t="shared" ref="F9" si="1">SUM(F7:F8)</f>
        <v>-80054000</v>
      </c>
    </row>
    <row r="10" spans="1:6">
      <c r="A10" s="3">
        <f t="shared" si="0"/>
        <v>4</v>
      </c>
      <c r="B10" s="3"/>
      <c r="C10" s="4"/>
      <c r="D10" s="9"/>
      <c r="E10" s="193"/>
      <c r="F10" s="194"/>
    </row>
    <row r="11" spans="1:6">
      <c r="A11" s="3">
        <f t="shared" si="0"/>
        <v>5</v>
      </c>
      <c r="B11" s="3">
        <v>8</v>
      </c>
      <c r="C11" s="4"/>
      <c r="D11" s="9">
        <v>0</v>
      </c>
      <c r="E11" s="193">
        <f>+$E$7</f>
        <v>-7.4058380000000005E-3</v>
      </c>
      <c r="F11" s="314">
        <f t="shared" ref="F11:F17" si="2">ROUND(D11*E11,-3)</f>
        <v>0</v>
      </c>
    </row>
    <row r="12" spans="1:6">
      <c r="A12" s="3">
        <f t="shared" si="0"/>
        <v>6</v>
      </c>
      <c r="B12" s="3">
        <v>24</v>
      </c>
      <c r="C12" s="1"/>
      <c r="D12" s="9">
        <f>ROUND(+'F2018 Sch Level Delivered Load'!AI33,-3)</f>
        <v>271663000</v>
      </c>
      <c r="E12" s="193">
        <f t="shared" ref="E12:E17" si="3">+$E$7</f>
        <v>-7.4058380000000005E-3</v>
      </c>
      <c r="F12" s="314">
        <f t="shared" si="2"/>
        <v>-2012000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93">
        <f t="shared" si="3"/>
        <v>-7.4058380000000005E-3</v>
      </c>
      <c r="F13" s="314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f>ROUND(SUM('F2018 Sch Level Delivered Load'!$AK$33,'F2018 Sch Level Delivered Load'!AH33),-3)</f>
        <v>160388000</v>
      </c>
      <c r="E14" s="193">
        <f t="shared" si="3"/>
        <v>-7.4058380000000005E-3</v>
      </c>
      <c r="F14" s="314">
        <f t="shared" si="2"/>
        <v>-1188000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93">
        <f t="shared" si="3"/>
        <v>-7.4058380000000005E-3</v>
      </c>
      <c r="F15" s="314">
        <f t="shared" si="2"/>
        <v>0</v>
      </c>
    </row>
    <row r="16" spans="1:6">
      <c r="A16" s="3">
        <f t="shared" si="0"/>
        <v>10</v>
      </c>
      <c r="B16" s="3" t="s">
        <v>16</v>
      </c>
      <c r="C16" s="1"/>
      <c r="D16" s="326">
        <f>ROUND('F2018 Sch Level Delivered Load'!$AL$33,-3)</f>
        <v>19501000</v>
      </c>
      <c r="E16" s="193">
        <f t="shared" si="3"/>
        <v>-7.4058380000000005E-3</v>
      </c>
      <c r="F16" s="314">
        <f t="shared" si="2"/>
        <v>-144000</v>
      </c>
    </row>
    <row r="17" spans="1:6">
      <c r="A17" s="3">
        <f t="shared" si="0"/>
        <v>11</v>
      </c>
      <c r="B17" s="3">
        <v>29</v>
      </c>
      <c r="C17" s="4"/>
      <c r="D17" s="326">
        <f>ROUND('F2018 Sch Level Delivered Load'!$AS$33,-3)</f>
        <v>16139000</v>
      </c>
      <c r="E17" s="193">
        <f t="shared" si="3"/>
        <v>-7.4058380000000005E-3</v>
      </c>
      <c r="F17" s="314">
        <f t="shared" si="2"/>
        <v>-120000</v>
      </c>
    </row>
    <row r="18" spans="1:6">
      <c r="A18" s="3">
        <f t="shared" si="0"/>
        <v>12</v>
      </c>
      <c r="B18" s="3"/>
      <c r="C18" s="12" t="s">
        <v>17</v>
      </c>
      <c r="D18" s="13">
        <f>SUM(D11:D17)</f>
        <v>467691000</v>
      </c>
      <c r="E18" s="195"/>
      <c r="F18" s="196">
        <f t="shared" ref="F18" si="4">SUM(F11:F17)</f>
        <v>-3464000</v>
      </c>
    </row>
    <row r="19" spans="1:6">
      <c r="A19" s="3">
        <f t="shared" si="0"/>
        <v>13</v>
      </c>
      <c r="B19" s="3"/>
      <c r="C19" s="4"/>
      <c r="D19" s="9"/>
      <c r="E19" s="193"/>
      <c r="F19" s="194"/>
    </row>
    <row r="20" spans="1:6">
      <c r="A20" s="3">
        <f t="shared" si="0"/>
        <v>14</v>
      </c>
      <c r="B20" s="3">
        <v>10</v>
      </c>
      <c r="C20" s="1"/>
      <c r="D20" s="9">
        <v>0</v>
      </c>
      <c r="E20" s="193">
        <f t="shared" ref="E20:E22" si="5">+$E$7</f>
        <v>-7.4058380000000005E-3</v>
      </c>
      <c r="F20" s="314">
        <f t="shared" ref="F20:F23" si="6">ROUND(D20*E20,-3)</f>
        <v>0</v>
      </c>
    </row>
    <row r="21" spans="1:6">
      <c r="A21" s="3">
        <f t="shared" si="0"/>
        <v>15</v>
      </c>
      <c r="B21" s="3">
        <v>31</v>
      </c>
      <c r="C21" s="4"/>
      <c r="D21" s="326">
        <f>ROUND('F2018 Sch Level Delivered Load'!$AJ$33,-3)</f>
        <v>35665000</v>
      </c>
      <c r="E21" s="193">
        <f t="shared" si="5"/>
        <v>-7.4058380000000005E-3</v>
      </c>
      <c r="F21" s="314">
        <f t="shared" si="6"/>
        <v>-264000</v>
      </c>
    </row>
    <row r="22" spans="1:6">
      <c r="A22" s="3">
        <f t="shared" si="0"/>
        <v>16</v>
      </c>
      <c r="B22" s="3">
        <v>35</v>
      </c>
      <c r="C22" s="4"/>
      <c r="D22" s="326">
        <f>ROUND('F2018 Sch Level Delivered Load'!$AV$33,-3)</f>
        <v>5153000</v>
      </c>
      <c r="E22" s="193">
        <f t="shared" si="5"/>
        <v>-7.4058380000000005E-3</v>
      </c>
      <c r="F22" s="314">
        <f t="shared" si="6"/>
        <v>-38000</v>
      </c>
    </row>
    <row r="23" spans="1:6">
      <c r="A23" s="3">
        <f t="shared" si="0"/>
        <v>17</v>
      </c>
      <c r="B23" s="3">
        <v>43</v>
      </c>
      <c r="C23" s="4"/>
      <c r="D23" s="9">
        <v>0</v>
      </c>
      <c r="E23" s="193"/>
      <c r="F23" s="314">
        <f t="shared" si="6"/>
        <v>0</v>
      </c>
    </row>
    <row r="24" spans="1:6">
      <c r="A24" s="3">
        <f t="shared" si="0"/>
        <v>18</v>
      </c>
      <c r="B24" s="3"/>
      <c r="C24" s="4" t="s">
        <v>18</v>
      </c>
      <c r="D24" s="13">
        <f>SUM(D20:D23)</f>
        <v>40818000</v>
      </c>
      <c r="E24" s="195"/>
      <c r="F24" s="196">
        <f t="shared" ref="F24" si="7">SUM(F20:F23)</f>
        <v>-302000</v>
      </c>
    </row>
    <row r="25" spans="1:6">
      <c r="A25" s="3">
        <f t="shared" si="0"/>
        <v>19</v>
      </c>
      <c r="B25" s="3"/>
      <c r="C25" s="4"/>
      <c r="D25" s="9"/>
      <c r="E25" s="193"/>
      <c r="F25" s="194"/>
    </row>
    <row r="26" spans="1:6">
      <c r="A26" s="3">
        <f t="shared" si="0"/>
        <v>20</v>
      </c>
      <c r="B26" s="3">
        <v>40</v>
      </c>
      <c r="C26" s="4"/>
      <c r="D26" s="13">
        <v>0</v>
      </c>
      <c r="E26" s="195"/>
      <c r="F26" s="314">
        <f>ROUND(D26*E26,-3)</f>
        <v>0</v>
      </c>
    </row>
    <row r="27" spans="1:6">
      <c r="A27" s="3">
        <f t="shared" si="0"/>
        <v>21</v>
      </c>
      <c r="B27" s="3"/>
      <c r="C27" s="4"/>
      <c r="D27" s="9"/>
      <c r="E27" s="193"/>
      <c r="F27" s="194"/>
    </row>
    <row r="28" spans="1:6">
      <c r="A28" s="3">
        <f t="shared" si="0"/>
        <v>22</v>
      </c>
      <c r="B28" s="3">
        <v>46</v>
      </c>
      <c r="C28" s="4"/>
      <c r="D28" s="9">
        <v>0</v>
      </c>
      <c r="E28" s="193"/>
      <c r="F28" s="314">
        <f t="shared" ref="F28:F29" si="8">ROUND(D28*E28,-3)</f>
        <v>0</v>
      </c>
    </row>
    <row r="29" spans="1:6">
      <c r="A29" s="3">
        <f t="shared" si="0"/>
        <v>23</v>
      </c>
      <c r="B29" s="3">
        <v>49</v>
      </c>
      <c r="C29" s="4"/>
      <c r="D29" s="9">
        <v>0</v>
      </c>
      <c r="E29" s="193"/>
      <c r="F29" s="314">
        <f t="shared" si="8"/>
        <v>0</v>
      </c>
    </row>
    <row r="30" spans="1:6">
      <c r="A30" s="3">
        <f t="shared" si="0"/>
        <v>24</v>
      </c>
      <c r="B30" s="3"/>
      <c r="C30" s="4" t="s">
        <v>19</v>
      </c>
      <c r="D30" s="13">
        <f>SUM(D28:D29)</f>
        <v>0</v>
      </c>
      <c r="E30" s="195"/>
      <c r="F30" s="196">
        <f t="shared" ref="F30" si="9">SUM(F28:F29)</f>
        <v>0</v>
      </c>
    </row>
    <row r="31" spans="1:6">
      <c r="A31" s="3">
        <f t="shared" si="0"/>
        <v>25</v>
      </c>
      <c r="B31" s="3"/>
      <c r="C31" s="4"/>
      <c r="D31" s="9"/>
      <c r="E31" s="193"/>
      <c r="F31" s="194"/>
    </row>
    <row r="32" spans="1:6">
      <c r="A32" s="3">
        <f t="shared" si="0"/>
        <v>26</v>
      </c>
      <c r="B32" s="3" t="s">
        <v>20</v>
      </c>
      <c r="C32" s="4"/>
      <c r="D32" s="13">
        <f>ROUND(SUM('F2018 Sch Level Delivered Load'!BL33,'F2018 Sch Level Delivered Load'!BO33),-3)</f>
        <v>1980000</v>
      </c>
      <c r="E32" s="195">
        <f>+E7</f>
        <v>-7.4058380000000005E-3</v>
      </c>
      <c r="F32" s="314">
        <f>ROUND(D32*E32,-3)</f>
        <v>-15000</v>
      </c>
    </row>
    <row r="33" spans="1:6">
      <c r="A33" s="3">
        <f t="shared" si="0"/>
        <v>27</v>
      </c>
      <c r="B33" s="3"/>
      <c r="C33" s="4"/>
      <c r="D33" s="9"/>
      <c r="E33" s="193"/>
      <c r="F33" s="194"/>
    </row>
    <row r="34" spans="1:6">
      <c r="A34" s="3">
        <f t="shared" si="0"/>
        <v>28</v>
      </c>
      <c r="B34" s="3" t="s">
        <v>21</v>
      </c>
      <c r="C34" s="4"/>
      <c r="D34" s="13">
        <v>0</v>
      </c>
      <c r="E34" s="195">
        <v>0</v>
      </c>
      <c r="F34" s="314">
        <f>ROUND(D34*E34,-3)</f>
        <v>0</v>
      </c>
    </row>
    <row r="35" spans="1:6">
      <c r="A35" s="3">
        <f t="shared" si="0"/>
        <v>29</v>
      </c>
      <c r="B35" s="3"/>
      <c r="C35" s="4"/>
      <c r="D35" s="9"/>
      <c r="E35" s="193"/>
      <c r="F35" s="194"/>
    </row>
    <row r="36" spans="1:6" ht="13.5" thickBot="1">
      <c r="A36" s="3">
        <f t="shared" si="0"/>
        <v>30</v>
      </c>
      <c r="B36" s="3"/>
      <c r="C36" s="12" t="s">
        <v>92</v>
      </c>
      <c r="D36" s="14">
        <f>SUM(D9,D18,D24,D26,D30,D32,D34)</f>
        <v>11320053000</v>
      </c>
      <c r="E36" s="198"/>
      <c r="F36" s="199">
        <f t="shared" ref="F36" si="10">SUM(F9,F18,F24,F26,F30,F32,F34)</f>
        <v>-83835000</v>
      </c>
    </row>
    <row r="37" spans="1:6" ht="13.5" thickTop="1">
      <c r="A37" s="3">
        <f t="shared" si="0"/>
        <v>31</v>
      </c>
      <c r="B37" s="3"/>
      <c r="C37" s="1"/>
      <c r="D37" s="1"/>
      <c r="E37" s="1"/>
      <c r="F37" s="194"/>
    </row>
    <row r="38" spans="1:6">
      <c r="A38" s="3">
        <f t="shared" si="0"/>
        <v>32</v>
      </c>
      <c r="B38" s="3">
        <v>5</v>
      </c>
      <c r="C38" s="1" t="s">
        <v>93</v>
      </c>
      <c r="D38" s="9">
        <v>0</v>
      </c>
      <c r="E38" s="195">
        <v>0</v>
      </c>
      <c r="F38" s="314">
        <f>ROUND(D38*E38,-3)</f>
        <v>0</v>
      </c>
    </row>
    <row r="39" spans="1:6">
      <c r="A39" s="3">
        <f t="shared" si="0"/>
        <v>33</v>
      </c>
      <c r="B39" s="3"/>
      <c r="C39" s="1"/>
      <c r="D39" s="1"/>
      <c r="E39" s="1"/>
      <c r="F39" s="194"/>
    </row>
    <row r="40" spans="1:6" ht="13.5" thickBot="1">
      <c r="A40" s="3">
        <f t="shared" si="0"/>
        <v>34</v>
      </c>
      <c r="B40" s="3"/>
      <c r="C40" s="12" t="s">
        <v>94</v>
      </c>
      <c r="D40" s="14">
        <f>SUM(D36,D38)</f>
        <v>11320053000</v>
      </c>
      <c r="E40" s="1"/>
      <c r="F40" s="199">
        <f t="shared" ref="F40" si="11">SUM(F36,F38)</f>
        <v>-83835000</v>
      </c>
    </row>
    <row r="41" spans="1:6" ht="13.5" thickTop="1">
      <c r="D41" s="1"/>
    </row>
    <row r="42" spans="1:6">
      <c r="D42" s="272"/>
    </row>
    <row r="43" spans="1:6">
      <c r="D43" s="272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1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"/>
  <sheetViews>
    <sheetView workbookViewId="0"/>
  </sheetViews>
  <sheetFormatPr defaultColWidth="8.85546875" defaultRowHeight="12.75"/>
  <cols>
    <col min="1" max="16384" width="8.85546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40"/>
  <sheetViews>
    <sheetView zoomScale="80" zoomScaleNormal="80" workbookViewId="0">
      <pane xSplit="3" ySplit="7" topLeftCell="D8" activePane="bottomRight" state="frozen"/>
      <selection pane="topRight"/>
      <selection pane="bottomLeft"/>
      <selection pane="bottomRight" activeCell="F9" sqref="F9"/>
    </sheetView>
  </sheetViews>
  <sheetFormatPr defaultColWidth="8.85546875" defaultRowHeight="12.75"/>
  <cols>
    <col min="1" max="1" width="7.7109375" style="1" bestFit="1" customWidth="1"/>
    <col min="2" max="2" width="22.5703125" style="1" customWidth="1"/>
    <col min="3" max="3" width="11.5703125" style="1" bestFit="1" customWidth="1"/>
    <col min="4" max="5" width="16.5703125" style="1" bestFit="1" customWidth="1"/>
    <col min="6" max="6" width="12.28515625" style="1" bestFit="1" customWidth="1"/>
    <col min="7" max="7" width="10.85546875" style="1" bestFit="1" customWidth="1"/>
    <col min="8" max="8" width="14.42578125" style="1" bestFit="1" customWidth="1"/>
    <col min="9" max="10" width="18.5703125" style="1" bestFit="1" customWidth="1"/>
    <col min="11" max="11" width="14" style="1" bestFit="1" customWidth="1"/>
    <col min="12" max="12" width="10" style="1" bestFit="1" customWidth="1"/>
    <col min="13" max="16384" width="8.85546875" style="1"/>
  </cols>
  <sheetData>
    <row r="1" spans="1:12">
      <c r="A1" s="320" t="s">
        <v>421</v>
      </c>
      <c r="B1" s="523"/>
      <c r="C1" s="200"/>
      <c r="D1" s="201"/>
      <c r="E1" s="201"/>
      <c r="F1" s="200"/>
      <c r="G1" s="200"/>
      <c r="H1" s="200"/>
      <c r="I1" s="201"/>
      <c r="J1" s="201"/>
      <c r="K1" s="200"/>
      <c r="L1" s="202"/>
    </row>
    <row r="2" spans="1:12">
      <c r="A2" s="321" t="s">
        <v>139</v>
      </c>
      <c r="B2" s="524"/>
      <c r="C2" s="203"/>
      <c r="D2" s="204"/>
      <c r="E2" s="204"/>
      <c r="F2" s="203"/>
      <c r="G2" s="203"/>
      <c r="H2" s="203"/>
      <c r="I2" s="204"/>
      <c r="J2" s="204"/>
      <c r="K2" s="203"/>
      <c r="L2" s="205"/>
    </row>
    <row r="3" spans="1:12">
      <c r="A3" s="321" t="s">
        <v>140</v>
      </c>
      <c r="B3" s="524"/>
      <c r="C3" s="203"/>
      <c r="D3" s="204"/>
      <c r="E3" s="204"/>
      <c r="F3" s="203"/>
      <c r="G3" s="203"/>
      <c r="H3" s="203"/>
      <c r="I3" s="204"/>
      <c r="J3" s="204"/>
      <c r="K3" s="203"/>
      <c r="L3" s="205"/>
    </row>
    <row r="4" spans="1:12">
      <c r="A4" s="321" t="s">
        <v>422</v>
      </c>
      <c r="B4" s="524"/>
      <c r="C4" s="203"/>
      <c r="D4" s="204"/>
      <c r="E4" s="204"/>
      <c r="F4" s="203"/>
      <c r="G4" s="203"/>
      <c r="H4" s="203"/>
      <c r="I4" s="204"/>
      <c r="J4" s="204"/>
      <c r="K4" s="203"/>
      <c r="L4" s="205"/>
    </row>
    <row r="5" spans="1:12">
      <c r="A5" s="321"/>
      <c r="B5" s="524"/>
      <c r="C5" s="203"/>
      <c r="D5" s="204"/>
      <c r="E5" s="204"/>
      <c r="F5" s="203"/>
      <c r="G5" s="203"/>
      <c r="H5" s="203"/>
      <c r="I5" s="204"/>
      <c r="J5" s="204"/>
      <c r="K5" s="203"/>
      <c r="L5" s="205"/>
    </row>
    <row r="6" spans="1:12" ht="77.25" thickBot="1">
      <c r="A6" s="525" t="s">
        <v>3</v>
      </c>
      <c r="B6" s="526" t="s">
        <v>141</v>
      </c>
      <c r="C6" s="526" t="s">
        <v>142</v>
      </c>
      <c r="D6" s="527" t="s">
        <v>423</v>
      </c>
      <c r="E6" s="527" t="s">
        <v>424</v>
      </c>
      <c r="F6" s="528" t="s">
        <v>425</v>
      </c>
      <c r="G6" s="528" t="s">
        <v>426</v>
      </c>
      <c r="H6" s="528" t="s">
        <v>143</v>
      </c>
      <c r="I6" s="527" t="s">
        <v>427</v>
      </c>
      <c r="J6" s="527" t="s">
        <v>428</v>
      </c>
      <c r="K6" s="528" t="s">
        <v>144</v>
      </c>
      <c r="L6" s="529" t="s">
        <v>145</v>
      </c>
    </row>
    <row r="7" spans="1:12" ht="26.25" thickBot="1">
      <c r="A7" s="525"/>
      <c r="B7" s="526"/>
      <c r="C7" s="526"/>
      <c r="D7" s="530" t="s">
        <v>146</v>
      </c>
      <c r="E7" s="530" t="s">
        <v>147</v>
      </c>
      <c r="F7" s="526" t="s">
        <v>148</v>
      </c>
      <c r="G7" s="526" t="s">
        <v>149</v>
      </c>
      <c r="H7" s="528" t="s">
        <v>150</v>
      </c>
      <c r="I7" s="527" t="s">
        <v>151</v>
      </c>
      <c r="J7" s="527" t="s">
        <v>152</v>
      </c>
      <c r="K7" s="528" t="s">
        <v>153</v>
      </c>
      <c r="L7" s="529" t="s">
        <v>154</v>
      </c>
    </row>
    <row r="8" spans="1:12">
      <c r="A8" s="531"/>
      <c r="B8" s="532"/>
      <c r="C8" s="533"/>
      <c r="D8" s="534"/>
      <c r="E8" s="534"/>
      <c r="F8" s="532"/>
      <c r="G8" s="532"/>
      <c r="H8" s="532"/>
      <c r="I8" s="534"/>
      <c r="J8" s="534"/>
      <c r="K8" s="532"/>
      <c r="L8" s="535"/>
    </row>
    <row r="9" spans="1:12">
      <c r="A9" s="531">
        <v>1</v>
      </c>
      <c r="B9" s="536" t="s">
        <v>15</v>
      </c>
      <c r="C9" s="533">
        <v>7</v>
      </c>
      <c r="D9" s="537">
        <v>10809562000</v>
      </c>
      <c r="E9" s="538">
        <v>1095893000</v>
      </c>
      <c r="F9" s="539">
        <v>9.3700000000000001E-4</v>
      </c>
      <c r="G9" s="539">
        <v>8.9499999999999996E-4</v>
      </c>
      <c r="H9" s="539">
        <v>-4.2000000000000045E-5</v>
      </c>
      <c r="I9" s="540">
        <v>1106021559.5940001</v>
      </c>
      <c r="J9" s="540">
        <v>1105567557.99</v>
      </c>
      <c r="K9" s="540">
        <v>-454001.60400009155</v>
      </c>
      <c r="L9" s="541">
        <v>-4.1048169455823908E-4</v>
      </c>
    </row>
    <row r="10" spans="1:12">
      <c r="A10" s="531">
        <v>2</v>
      </c>
      <c r="B10" s="536"/>
      <c r="C10" s="533"/>
      <c r="D10" s="537"/>
      <c r="E10" s="538"/>
      <c r="F10" s="542"/>
      <c r="G10" s="542"/>
      <c r="H10" s="539" t="s">
        <v>24</v>
      </c>
      <c r="I10" s="540"/>
      <c r="J10" s="540"/>
      <c r="K10" s="540"/>
      <c r="L10" s="541"/>
    </row>
    <row r="11" spans="1:12">
      <c r="A11" s="531">
        <v>3</v>
      </c>
      <c r="B11" s="543" t="s">
        <v>115</v>
      </c>
      <c r="C11" s="544" t="s">
        <v>155</v>
      </c>
      <c r="D11" s="537">
        <v>3049254000</v>
      </c>
      <c r="E11" s="538">
        <v>313091000</v>
      </c>
      <c r="F11" s="539">
        <v>8.5499999999999997E-4</v>
      </c>
      <c r="G11" s="539">
        <v>8.5700000000000001E-4</v>
      </c>
      <c r="H11" s="539">
        <v>2.0000000000000486E-6</v>
      </c>
      <c r="I11" s="540">
        <v>315698112.17000002</v>
      </c>
      <c r="J11" s="540">
        <v>315704210.67799997</v>
      </c>
      <c r="K11" s="540">
        <v>6098.5079999566078</v>
      </c>
      <c r="L11" s="541">
        <v>1.931753078292919E-5</v>
      </c>
    </row>
    <row r="12" spans="1:12">
      <c r="A12" s="531">
        <v>4</v>
      </c>
      <c r="B12" s="545" t="s">
        <v>117</v>
      </c>
      <c r="C12" s="546" t="s">
        <v>156</v>
      </c>
      <c r="D12" s="537">
        <v>3208495000</v>
      </c>
      <c r="E12" s="538">
        <v>307686000</v>
      </c>
      <c r="F12" s="539">
        <v>7.94E-4</v>
      </c>
      <c r="G12" s="539">
        <v>7.9600000000000005E-4</v>
      </c>
      <c r="H12" s="539">
        <v>2.0000000000000486E-6</v>
      </c>
      <c r="I12" s="540">
        <v>310233545.02999997</v>
      </c>
      <c r="J12" s="540">
        <v>310239962.01999998</v>
      </c>
      <c r="K12" s="540">
        <v>6416.9900000095367</v>
      </c>
      <c r="L12" s="541">
        <v>2.0684384725027095E-5</v>
      </c>
    </row>
    <row r="13" spans="1:12">
      <c r="A13" s="531">
        <v>5</v>
      </c>
      <c r="B13" s="545" t="s">
        <v>119</v>
      </c>
      <c r="C13" s="546" t="s">
        <v>157</v>
      </c>
      <c r="D13" s="537">
        <v>1921550000</v>
      </c>
      <c r="E13" s="538">
        <v>166978000</v>
      </c>
      <c r="F13" s="539">
        <v>7.0699999999999995E-4</v>
      </c>
      <c r="G13" s="539">
        <v>7.1699999999999997E-4</v>
      </c>
      <c r="H13" s="539">
        <v>1.0000000000000026E-5</v>
      </c>
      <c r="I13" s="540">
        <v>168336535.84999999</v>
      </c>
      <c r="J13" s="540">
        <v>168355751.34999999</v>
      </c>
      <c r="K13" s="540">
        <v>19215.5</v>
      </c>
      <c r="L13" s="541">
        <v>1.1414931347477887E-4</v>
      </c>
    </row>
    <row r="14" spans="1:12">
      <c r="A14" s="531">
        <v>6</v>
      </c>
      <c r="B14" s="545" t="s">
        <v>121</v>
      </c>
      <c r="C14" s="533">
        <v>29</v>
      </c>
      <c r="D14" s="537">
        <v>16140000</v>
      </c>
      <c r="E14" s="538">
        <v>1264000</v>
      </c>
      <c r="F14" s="539">
        <v>7.1199999999999996E-4</v>
      </c>
      <c r="G14" s="539">
        <v>7.1199999999999996E-4</v>
      </c>
      <c r="H14" s="539">
        <v>0</v>
      </c>
      <c r="I14" s="540">
        <v>1275491.68</v>
      </c>
      <c r="J14" s="540">
        <v>1275491.68</v>
      </c>
      <c r="K14" s="540">
        <v>0</v>
      </c>
      <c r="L14" s="541">
        <v>0</v>
      </c>
    </row>
    <row r="15" spans="1:12">
      <c r="A15" s="531">
        <v>7</v>
      </c>
      <c r="B15" s="536"/>
      <c r="C15" s="533"/>
      <c r="D15" s="537"/>
      <c r="E15" s="538"/>
      <c r="F15" s="542"/>
      <c r="G15" s="542"/>
      <c r="H15" s="539" t="s">
        <v>24</v>
      </c>
      <c r="I15" s="540"/>
      <c r="J15" s="540"/>
      <c r="K15" s="540"/>
      <c r="L15" s="541"/>
    </row>
    <row r="16" spans="1:12">
      <c r="A16" s="531">
        <v>8</v>
      </c>
      <c r="B16" s="536" t="s">
        <v>122</v>
      </c>
      <c r="C16" s="533"/>
      <c r="D16" s="537">
        <v>8195439000</v>
      </c>
      <c r="E16" s="538">
        <v>789019000</v>
      </c>
      <c r="F16" s="539">
        <v>7.9613608618159671E-4</v>
      </c>
      <c r="G16" s="539">
        <v>8.0000787364776008E-4</v>
      </c>
      <c r="H16" s="539">
        <v>3.8717874661633664E-6</v>
      </c>
      <c r="I16" s="540">
        <v>795543684.73000002</v>
      </c>
      <c r="J16" s="540">
        <v>795575415.72799993</v>
      </c>
      <c r="K16" s="540">
        <v>31730.997999966145</v>
      </c>
      <c r="L16" s="541">
        <v>3.9885927836552864E-5</v>
      </c>
    </row>
    <row r="17" spans="1:12">
      <c r="A17" s="531">
        <v>9</v>
      </c>
      <c r="B17" s="536"/>
      <c r="C17" s="533"/>
      <c r="D17" s="537"/>
      <c r="E17" s="538"/>
      <c r="F17" s="542"/>
      <c r="G17" s="542"/>
      <c r="H17" s="539" t="s">
        <v>24</v>
      </c>
      <c r="I17" s="540"/>
      <c r="J17" s="540"/>
      <c r="K17" s="540"/>
      <c r="L17" s="541"/>
    </row>
    <row r="18" spans="1:12">
      <c r="A18" s="531">
        <v>10</v>
      </c>
      <c r="B18" s="545" t="s">
        <v>123</v>
      </c>
      <c r="C18" s="544" t="s">
        <v>158</v>
      </c>
      <c r="D18" s="537">
        <v>1409546000</v>
      </c>
      <c r="E18" s="538">
        <v>120161000</v>
      </c>
      <c r="F18" s="539">
        <v>6.96E-4</v>
      </c>
      <c r="G18" s="539">
        <v>7.0399999999999998E-4</v>
      </c>
      <c r="H18" s="539">
        <v>7.9999999999999776E-6</v>
      </c>
      <c r="I18" s="540">
        <v>121142044.016</v>
      </c>
      <c r="J18" s="540">
        <v>121153320.384</v>
      </c>
      <c r="K18" s="540">
        <v>11276.368000000715</v>
      </c>
      <c r="L18" s="541">
        <v>9.3083851206203629E-5</v>
      </c>
    </row>
    <row r="19" spans="1:12">
      <c r="A19" s="531">
        <v>11</v>
      </c>
      <c r="B19" s="545" t="s">
        <v>125</v>
      </c>
      <c r="C19" s="533">
        <v>35</v>
      </c>
      <c r="D19" s="537">
        <v>5150000</v>
      </c>
      <c r="E19" s="538">
        <v>284000</v>
      </c>
      <c r="F19" s="539">
        <v>4.64E-4</v>
      </c>
      <c r="G19" s="539">
        <v>5.1199999999999998E-4</v>
      </c>
      <c r="H19" s="539">
        <v>4.7999999999999974E-5</v>
      </c>
      <c r="I19" s="540">
        <v>286389.59999999998</v>
      </c>
      <c r="J19" s="540">
        <v>286636.79999999999</v>
      </c>
      <c r="K19" s="540">
        <v>247.20000000001164</v>
      </c>
      <c r="L19" s="541">
        <v>8.6315983541305856E-4</v>
      </c>
    </row>
    <row r="20" spans="1:12">
      <c r="A20" s="531">
        <v>12</v>
      </c>
      <c r="B20" s="545" t="s">
        <v>126</v>
      </c>
      <c r="C20" s="533">
        <v>43</v>
      </c>
      <c r="D20" s="537">
        <v>123766000</v>
      </c>
      <c r="E20" s="538">
        <v>11676000</v>
      </c>
      <c r="F20" s="539">
        <v>7.6999999999999996E-4</v>
      </c>
      <c r="G20" s="539">
        <v>7.7899999999999996E-4</v>
      </c>
      <c r="H20" s="539">
        <v>9.0000000000000019E-6</v>
      </c>
      <c r="I20" s="540">
        <v>11771299.82</v>
      </c>
      <c r="J20" s="540">
        <v>11772413.714</v>
      </c>
      <c r="K20" s="540">
        <v>1113.8939999993891</v>
      </c>
      <c r="L20" s="541">
        <v>9.4627952480390485E-5</v>
      </c>
    </row>
    <row r="21" spans="1:12">
      <c r="A21" s="531">
        <v>13</v>
      </c>
      <c r="B21" s="547"/>
      <c r="C21" s="533"/>
      <c r="D21" s="537"/>
      <c r="E21" s="538"/>
      <c r="F21" s="542"/>
      <c r="G21" s="542"/>
      <c r="H21" s="539" t="s">
        <v>24</v>
      </c>
      <c r="I21" s="540"/>
      <c r="J21" s="540"/>
      <c r="K21" s="540"/>
      <c r="L21" s="541"/>
    </row>
    <row r="22" spans="1:12">
      <c r="A22" s="531">
        <v>14</v>
      </c>
      <c r="B22" s="547" t="s">
        <v>127</v>
      </c>
      <c r="C22" s="533"/>
      <c r="D22" s="537">
        <v>1538462000</v>
      </c>
      <c r="E22" s="538">
        <v>132121000</v>
      </c>
      <c r="F22" s="539">
        <v>7.0117652304703632E-4</v>
      </c>
      <c r="G22" s="539">
        <v>7.0939087088274001E-4</v>
      </c>
      <c r="H22" s="539">
        <v>8.2143478357036941E-6</v>
      </c>
      <c r="I22" s="540">
        <v>133199733.43599999</v>
      </c>
      <c r="J22" s="540">
        <v>133212370.898</v>
      </c>
      <c r="K22" s="540">
        <v>12637.462000000116</v>
      </c>
      <c r="L22" s="541">
        <v>9.4876030709717475E-5</v>
      </c>
    </row>
    <row r="23" spans="1:12">
      <c r="A23" s="531">
        <v>15</v>
      </c>
      <c r="B23" s="547"/>
      <c r="C23" s="533"/>
      <c r="D23" s="537"/>
      <c r="E23" s="538"/>
      <c r="F23" s="542"/>
      <c r="G23" s="542"/>
      <c r="H23" s="539" t="s">
        <v>24</v>
      </c>
      <c r="I23" s="540"/>
      <c r="J23" s="540"/>
      <c r="K23" s="540"/>
      <c r="L23" s="541"/>
    </row>
    <row r="24" spans="1:12">
      <c r="A24" s="531">
        <v>16</v>
      </c>
      <c r="B24" s="536" t="s">
        <v>159</v>
      </c>
      <c r="C24" s="533">
        <v>40</v>
      </c>
      <c r="D24" s="537">
        <v>586365000</v>
      </c>
      <c r="E24" s="538">
        <v>45990000</v>
      </c>
      <c r="F24" s="539">
        <v>6.7000000000000002E-4</v>
      </c>
      <c r="G24" s="539">
        <v>6.4800000000000003E-4</v>
      </c>
      <c r="H24" s="539">
        <v>-2.1999999999999993E-5</v>
      </c>
      <c r="I24" s="540">
        <v>46382864.549999997</v>
      </c>
      <c r="J24" s="540">
        <v>46369964.520000003</v>
      </c>
      <c r="K24" s="540">
        <v>-12900.029999993742</v>
      </c>
      <c r="L24" s="541">
        <v>-2.7812059744795865E-4</v>
      </c>
    </row>
    <row r="25" spans="1:12">
      <c r="A25" s="531">
        <v>17</v>
      </c>
      <c r="B25" s="547"/>
      <c r="C25" s="533"/>
      <c r="D25" s="537"/>
      <c r="E25" s="538"/>
      <c r="F25" s="542"/>
      <c r="G25" s="542"/>
      <c r="H25" s="539" t="s">
        <v>24</v>
      </c>
      <c r="I25" s="540"/>
      <c r="J25" s="540"/>
      <c r="K25" s="540"/>
      <c r="L25" s="541"/>
    </row>
    <row r="26" spans="1:12">
      <c r="A26" s="531">
        <v>18</v>
      </c>
      <c r="B26" s="545" t="s">
        <v>129</v>
      </c>
      <c r="C26" s="533">
        <v>46</v>
      </c>
      <c r="D26" s="537">
        <v>79268000</v>
      </c>
      <c r="E26" s="538">
        <v>5619000</v>
      </c>
      <c r="F26" s="539">
        <v>5.9800000000000001E-4</v>
      </c>
      <c r="G26" s="539">
        <v>5.8799999999999998E-4</v>
      </c>
      <c r="H26" s="539">
        <v>-1.0000000000000026E-5</v>
      </c>
      <c r="I26" s="540">
        <v>5666402.2640000004</v>
      </c>
      <c r="J26" s="540">
        <v>5665609.5839999998</v>
      </c>
      <c r="K26" s="540">
        <v>-792.6800000006333</v>
      </c>
      <c r="L26" s="541">
        <v>-1.3989123310865478E-4</v>
      </c>
    </row>
    <row r="27" spans="1:12">
      <c r="A27" s="531">
        <v>19</v>
      </c>
      <c r="B27" s="543" t="s">
        <v>130</v>
      </c>
      <c r="C27" s="533">
        <v>49</v>
      </c>
      <c r="D27" s="537">
        <v>597895000</v>
      </c>
      <c r="E27" s="538">
        <v>41597000</v>
      </c>
      <c r="F27" s="539">
        <v>5.7600000000000001E-4</v>
      </c>
      <c r="G27" s="539">
        <v>5.7300000000000005E-4</v>
      </c>
      <c r="H27" s="539">
        <v>-2.9999999999999645E-6</v>
      </c>
      <c r="I27" s="540">
        <v>41941387.520000003</v>
      </c>
      <c r="J27" s="540">
        <v>41939593.835000001</v>
      </c>
      <c r="K27" s="540">
        <v>-1793.6850000023842</v>
      </c>
      <c r="L27" s="541">
        <v>-4.2766467827204205E-5</v>
      </c>
    </row>
    <row r="28" spans="1:12">
      <c r="A28" s="531">
        <v>20</v>
      </c>
      <c r="B28" s="536"/>
      <c r="C28" s="533"/>
      <c r="D28" s="537"/>
      <c r="E28" s="538"/>
      <c r="F28" s="542"/>
      <c r="G28" s="542"/>
      <c r="H28" s="539" t="s">
        <v>24</v>
      </c>
      <c r="I28" s="540"/>
      <c r="J28" s="540"/>
      <c r="K28" s="540"/>
      <c r="L28" s="541"/>
    </row>
    <row r="29" spans="1:12">
      <c r="A29" s="531">
        <v>21</v>
      </c>
      <c r="B29" s="536" t="s">
        <v>131</v>
      </c>
      <c r="C29" s="533"/>
      <c r="D29" s="537">
        <v>677163000</v>
      </c>
      <c r="E29" s="538">
        <v>47216000</v>
      </c>
      <c r="F29" s="539">
        <v>5.7857529723272217E-4</v>
      </c>
      <c r="G29" s="539">
        <v>5.7475588447685377E-4</v>
      </c>
      <c r="H29" s="539">
        <v>-3.819412755868396E-6</v>
      </c>
      <c r="I29" s="534">
        <v>47607789.784000002</v>
      </c>
      <c r="J29" s="534">
        <v>47605203.419</v>
      </c>
      <c r="K29" s="540">
        <v>-2586.3650000030175</v>
      </c>
      <c r="L29" s="541">
        <v>-5.4326508576380948E-5</v>
      </c>
    </row>
    <row r="30" spans="1:12">
      <c r="A30" s="531">
        <v>22</v>
      </c>
      <c r="B30" s="536"/>
      <c r="C30" s="533"/>
      <c r="D30" s="537"/>
      <c r="E30" s="538"/>
      <c r="F30" s="542"/>
      <c r="G30" s="542"/>
      <c r="H30" s="539"/>
      <c r="I30" s="534"/>
      <c r="J30" s="534"/>
      <c r="K30" s="540"/>
      <c r="L30" s="541"/>
    </row>
    <row r="31" spans="1:12">
      <c r="A31" s="531">
        <v>23</v>
      </c>
      <c r="B31" s="536" t="s">
        <v>132</v>
      </c>
      <c r="C31" s="546" t="s">
        <v>160</v>
      </c>
      <c r="D31" s="537">
        <v>70960000</v>
      </c>
      <c r="E31" s="538">
        <v>16623000</v>
      </c>
      <c r="F31" s="539">
        <v>2.1689999999999999E-3</v>
      </c>
      <c r="G31" s="539">
        <v>1.951E-3</v>
      </c>
      <c r="H31" s="539">
        <v>-2.1799999999999988E-4</v>
      </c>
      <c r="I31" s="540">
        <v>16776912.24</v>
      </c>
      <c r="J31" s="540">
        <v>16761442.960000001</v>
      </c>
      <c r="K31" s="540">
        <v>-15469.279999999329</v>
      </c>
      <c r="L31" s="541">
        <v>-9.2205763365186015E-4</v>
      </c>
    </row>
    <row r="32" spans="1:12">
      <c r="A32" s="531">
        <v>24</v>
      </c>
      <c r="B32" s="536"/>
      <c r="C32" s="533"/>
      <c r="D32" s="537"/>
      <c r="E32" s="538"/>
      <c r="F32" s="532"/>
      <c r="G32" s="532"/>
      <c r="H32" s="539" t="s">
        <v>24</v>
      </c>
      <c r="I32" s="540"/>
      <c r="J32" s="540"/>
      <c r="K32" s="540"/>
      <c r="L32" s="541"/>
    </row>
    <row r="33" spans="1:12">
      <c r="A33" s="531">
        <v>25</v>
      </c>
      <c r="B33" s="536" t="s">
        <v>161</v>
      </c>
      <c r="C33" s="546" t="s">
        <v>135</v>
      </c>
      <c r="D33" s="537">
        <v>2030932000</v>
      </c>
      <c r="E33" s="538">
        <v>9848000</v>
      </c>
      <c r="F33" s="539">
        <v>3.3000000000000003E-5</v>
      </c>
      <c r="G33" s="539">
        <v>3.3000000000000003E-5</v>
      </c>
      <c r="H33" s="539">
        <v>0</v>
      </c>
      <c r="I33" s="540">
        <v>9915020.7559999991</v>
      </c>
      <c r="J33" s="540">
        <v>9915020.7559999991</v>
      </c>
      <c r="K33" s="540">
        <v>0</v>
      </c>
      <c r="L33" s="541">
        <v>0</v>
      </c>
    </row>
    <row r="34" spans="1:12">
      <c r="A34" s="531">
        <v>26</v>
      </c>
      <c r="B34" s="536"/>
      <c r="C34" s="533"/>
      <c r="D34" s="537"/>
      <c r="E34" s="538"/>
      <c r="F34" s="542"/>
      <c r="G34" s="542"/>
      <c r="H34" s="539" t="s">
        <v>24</v>
      </c>
      <c r="I34" s="540"/>
      <c r="J34" s="540"/>
      <c r="K34" s="540"/>
      <c r="L34" s="541"/>
    </row>
    <row r="35" spans="1:12">
      <c r="A35" s="531">
        <v>27</v>
      </c>
      <c r="B35" s="536" t="s">
        <v>22</v>
      </c>
      <c r="C35" s="533"/>
      <c r="D35" s="534">
        <v>23908883000</v>
      </c>
      <c r="E35" s="540">
        <v>2136710000</v>
      </c>
      <c r="F35" s="539">
        <v>7.8370725600188649E-4</v>
      </c>
      <c r="G35" s="539">
        <v>7.6527942652109297E-4</v>
      </c>
      <c r="H35" s="539">
        <v>-1.8427829480793518E-5</v>
      </c>
      <c r="I35" s="540">
        <v>2155447565.0900002</v>
      </c>
      <c r="J35" s="540">
        <v>2155006976.2709999</v>
      </c>
      <c r="K35" s="540">
        <v>-440588.81900012138</v>
      </c>
      <c r="L35" s="541">
        <v>-2.0440711531840243E-4</v>
      </c>
    </row>
    <row r="36" spans="1:12" ht="13.5" thickBot="1">
      <c r="A36" s="548">
        <v>28</v>
      </c>
      <c r="B36" s="549"/>
      <c r="C36" s="550"/>
      <c r="D36" s="551"/>
      <c r="E36" s="551"/>
      <c r="F36" s="420"/>
      <c r="G36" s="420"/>
      <c r="H36" s="420"/>
      <c r="I36" s="551"/>
      <c r="J36" s="551"/>
      <c r="K36" s="552"/>
      <c r="L36" s="553"/>
    </row>
    <row r="37" spans="1:12">
      <c r="A37" s="533">
        <v>29</v>
      </c>
      <c r="B37" s="536"/>
      <c r="C37" s="533"/>
      <c r="D37" s="534"/>
      <c r="E37" s="534"/>
      <c r="F37" s="532"/>
      <c r="G37" s="532"/>
      <c r="H37" s="532"/>
      <c r="I37" s="534"/>
      <c r="J37" s="534"/>
      <c r="K37" s="532"/>
      <c r="L37" s="532"/>
    </row>
    <row r="38" spans="1:12">
      <c r="A38" s="533">
        <v>30</v>
      </c>
      <c r="B38" s="536" t="s">
        <v>93</v>
      </c>
      <c r="C38" s="533"/>
      <c r="D38" s="537">
        <v>7036000</v>
      </c>
      <c r="E38" s="538">
        <v>602000</v>
      </c>
      <c r="F38" s="532"/>
      <c r="G38" s="532"/>
      <c r="H38" s="532"/>
      <c r="I38" s="534"/>
      <c r="J38" s="534"/>
      <c r="K38" s="532"/>
      <c r="L38" s="532"/>
    </row>
    <row r="39" spans="1:12">
      <c r="A39" s="533">
        <v>31</v>
      </c>
      <c r="B39" s="536"/>
      <c r="C39" s="533"/>
      <c r="D39" s="534"/>
      <c r="E39" s="540"/>
      <c r="F39" s="532"/>
      <c r="G39" s="532"/>
      <c r="H39" s="532"/>
      <c r="I39" s="534"/>
      <c r="J39" s="534"/>
      <c r="K39" s="532"/>
      <c r="L39" s="532"/>
    </row>
    <row r="40" spans="1:12">
      <c r="A40" s="533">
        <v>32</v>
      </c>
      <c r="B40" s="536" t="s">
        <v>94</v>
      </c>
      <c r="C40" s="533"/>
      <c r="D40" s="534">
        <v>23915919000</v>
      </c>
      <c r="E40" s="540">
        <v>2137312000</v>
      </c>
      <c r="F40" s="532"/>
      <c r="G40" s="532"/>
      <c r="H40" s="532"/>
      <c r="I40" s="534"/>
      <c r="J40" s="534"/>
      <c r="K40" s="532"/>
      <c r="L40" s="532"/>
    </row>
  </sheetData>
  <printOptions horizontalCentered="1"/>
  <pageMargins left="0.7" right="0.7" top="0.75" bottom="0.71" header="0.3" footer="0.3"/>
  <pageSetup scale="71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"/>
  <sheetViews>
    <sheetView workbookViewId="0"/>
  </sheetViews>
  <sheetFormatPr defaultColWidth="8.85546875" defaultRowHeight="12.75"/>
  <cols>
    <col min="1" max="16384" width="8.85546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2"/>
  <sheetViews>
    <sheetView zoomScale="80" zoomScaleNormal="80" workbookViewId="0">
      <selection sqref="A1:K1"/>
    </sheetView>
  </sheetViews>
  <sheetFormatPr defaultColWidth="8.85546875" defaultRowHeight="12.75"/>
  <cols>
    <col min="1" max="1" width="8.28515625" style="1" bestFit="1" customWidth="1"/>
    <col min="2" max="2" width="22.5703125" style="1" bestFit="1" customWidth="1"/>
    <col min="3" max="3" width="11.7109375" style="1" bestFit="1" customWidth="1"/>
    <col min="4" max="5" width="15.140625" style="1" bestFit="1" customWidth="1"/>
    <col min="6" max="7" width="11.5703125" style="1" bestFit="1" customWidth="1"/>
    <col min="8" max="9" width="15.140625" style="1" bestFit="1" customWidth="1"/>
    <col min="10" max="10" width="13.28515625" style="1" bestFit="1" customWidth="1"/>
    <col min="11" max="11" width="13.140625" style="1" customWidth="1"/>
    <col min="12" max="16384" width="8.85546875" style="1"/>
  </cols>
  <sheetData>
    <row r="1" spans="1:11">
      <c r="A1" s="589" t="s">
        <v>0</v>
      </c>
      <c r="B1" s="590"/>
      <c r="C1" s="590"/>
      <c r="D1" s="590"/>
      <c r="E1" s="590"/>
      <c r="F1" s="590"/>
      <c r="G1" s="590"/>
      <c r="H1" s="590"/>
      <c r="I1" s="590"/>
      <c r="J1" s="590"/>
      <c r="K1" s="591"/>
    </row>
    <row r="2" spans="1:11">
      <c r="A2" s="592" t="s">
        <v>96</v>
      </c>
      <c r="B2" s="593"/>
      <c r="C2" s="593"/>
      <c r="D2" s="593"/>
      <c r="E2" s="593"/>
      <c r="F2" s="593"/>
      <c r="G2" s="593"/>
      <c r="H2" s="593"/>
      <c r="I2" s="593"/>
      <c r="J2" s="593"/>
      <c r="K2" s="594"/>
    </row>
    <row r="3" spans="1:11">
      <c r="A3" s="206"/>
      <c r="B3" s="207"/>
      <c r="C3" s="208"/>
      <c r="D3" s="209"/>
      <c r="E3" s="209"/>
      <c r="F3" s="207"/>
      <c r="G3" s="207"/>
      <c r="H3" s="209"/>
      <c r="I3" s="209"/>
      <c r="J3" s="207"/>
      <c r="K3" s="210"/>
    </row>
    <row r="4" spans="1:11" ht="102.75" thickBot="1">
      <c r="A4" s="211" t="s">
        <v>3</v>
      </c>
      <c r="B4" s="212" t="s">
        <v>97</v>
      </c>
      <c r="C4" s="89" t="s">
        <v>98</v>
      </c>
      <c r="D4" s="88" t="s">
        <v>99</v>
      </c>
      <c r="E4" s="88" t="s">
        <v>100</v>
      </c>
      <c r="F4" s="89" t="s">
        <v>101</v>
      </c>
      <c r="G4" s="89" t="s">
        <v>102</v>
      </c>
      <c r="H4" s="88" t="s">
        <v>103</v>
      </c>
      <c r="I4" s="88" t="s">
        <v>104</v>
      </c>
      <c r="J4" s="89" t="s">
        <v>105</v>
      </c>
      <c r="K4" s="213" t="s">
        <v>106</v>
      </c>
    </row>
    <row r="5" spans="1:11" ht="13.5" thickBot="1">
      <c r="A5" s="214"/>
      <c r="B5" s="92"/>
      <c r="C5" s="92"/>
      <c r="D5" s="90" t="s">
        <v>107</v>
      </c>
      <c r="E5" s="90" t="s">
        <v>108</v>
      </c>
      <c r="F5" s="91" t="s">
        <v>109</v>
      </c>
      <c r="G5" s="92" t="s">
        <v>110</v>
      </c>
      <c r="H5" s="215" t="s">
        <v>111</v>
      </c>
      <c r="I5" s="215" t="s">
        <v>112</v>
      </c>
      <c r="J5" s="91" t="s">
        <v>113</v>
      </c>
      <c r="K5" s="216" t="s">
        <v>114</v>
      </c>
    </row>
    <row r="6" spans="1:11">
      <c r="A6" s="217"/>
      <c r="B6" s="218"/>
      <c r="C6" s="219"/>
      <c r="D6" s="220"/>
      <c r="E6" s="220"/>
      <c r="F6" s="218"/>
      <c r="G6" s="218"/>
      <c r="H6" s="220"/>
      <c r="I6" s="220"/>
      <c r="J6" s="218"/>
      <c r="K6" s="221"/>
    </row>
    <row r="7" spans="1:11">
      <c r="A7" s="217">
        <v>1</v>
      </c>
      <c r="B7" s="207" t="s">
        <v>15</v>
      </c>
      <c r="C7" s="208">
        <v>7</v>
      </c>
      <c r="D7" s="209">
        <v>10218946000</v>
      </c>
      <c r="E7" s="93">
        <v>1152284000</v>
      </c>
      <c r="F7" s="222">
        <v>-1.4910177688613813E-3</v>
      </c>
      <c r="G7" s="222">
        <v>-3.3327342336791918E-3</v>
      </c>
      <c r="H7" s="93">
        <v>1137047369.9349651</v>
      </c>
      <c r="I7" s="93">
        <v>1118226968.8336809</v>
      </c>
      <c r="J7" s="93">
        <v>-18820401.101284266</v>
      </c>
      <c r="K7" s="223">
        <v>-1.6551993873712336E-2</v>
      </c>
    </row>
    <row r="8" spans="1:11">
      <c r="A8" s="217">
        <v>2</v>
      </c>
      <c r="B8" s="207"/>
      <c r="C8" s="208"/>
      <c r="D8" s="209"/>
      <c r="E8" s="93"/>
      <c r="F8" s="224"/>
      <c r="G8" s="224"/>
      <c r="H8" s="93"/>
      <c r="I8" s="93"/>
      <c r="J8" s="93"/>
      <c r="K8" s="223"/>
    </row>
    <row r="9" spans="1:11">
      <c r="A9" s="217">
        <v>3</v>
      </c>
      <c r="B9" s="225" t="s">
        <v>115</v>
      </c>
      <c r="C9" s="208" t="s">
        <v>116</v>
      </c>
      <c r="D9" s="209">
        <v>3004126000</v>
      </c>
      <c r="E9" s="93">
        <v>310502000</v>
      </c>
      <c r="F9" s="222">
        <v>-1.3751978320194281E-3</v>
      </c>
      <c r="G9" s="222">
        <v>-3.0738526317848651E-3</v>
      </c>
      <c r="H9" s="93">
        <v>306370732.4376868</v>
      </c>
      <c r="I9" s="93">
        <v>301267759.38868666</v>
      </c>
      <c r="J9" s="93">
        <v>-5102973.049000144</v>
      </c>
      <c r="K9" s="223">
        <v>-1.6656202791949279E-2</v>
      </c>
    </row>
    <row r="10" spans="1:11">
      <c r="A10" s="217">
        <v>4</v>
      </c>
      <c r="B10" s="226" t="s">
        <v>117</v>
      </c>
      <c r="C10" s="208" t="s">
        <v>118</v>
      </c>
      <c r="D10" s="209">
        <v>3156638000</v>
      </c>
      <c r="E10" s="93">
        <v>302625000</v>
      </c>
      <c r="F10" s="222">
        <v>-1.3701785329560988E-3</v>
      </c>
      <c r="G10" s="222">
        <v>-3.0626334564223842E-3</v>
      </c>
      <c r="H10" s="93">
        <v>298299842.37608653</v>
      </c>
      <c r="I10" s="93">
        <v>292957374.85138577</v>
      </c>
      <c r="J10" s="93">
        <v>-5342467.5247007608</v>
      </c>
      <c r="K10" s="223">
        <v>-1.7909722922230562E-2</v>
      </c>
    </row>
    <row r="11" spans="1:11">
      <c r="A11" s="217">
        <v>5</v>
      </c>
      <c r="B11" s="226" t="s">
        <v>119</v>
      </c>
      <c r="C11" s="208" t="s">
        <v>120</v>
      </c>
      <c r="D11" s="209">
        <v>1995632000</v>
      </c>
      <c r="E11" s="93">
        <v>174852000</v>
      </c>
      <c r="F11" s="222">
        <v>-1.4132684466317855E-3</v>
      </c>
      <c r="G11" s="222">
        <v>-3.1589483585196991E-3</v>
      </c>
      <c r="H11" s="93">
        <v>172031636.26331133</v>
      </c>
      <c r="I11" s="93">
        <v>168547901.56939062</v>
      </c>
      <c r="J11" s="93">
        <v>-3483734.6939207017</v>
      </c>
      <c r="K11" s="223">
        <v>-2.0250546757507457E-2</v>
      </c>
    </row>
    <row r="12" spans="1:11">
      <c r="A12" s="217">
        <v>6</v>
      </c>
      <c r="B12" s="226" t="s">
        <v>121</v>
      </c>
      <c r="C12" s="208">
        <v>29</v>
      </c>
      <c r="D12" s="209">
        <v>15510000</v>
      </c>
      <c r="E12" s="93">
        <v>1356000</v>
      </c>
      <c r="F12" s="222">
        <v>-1.2896623643887039E-3</v>
      </c>
      <c r="G12" s="222">
        <v>-2.8826631053284735E-3</v>
      </c>
      <c r="H12" s="93">
        <v>1335997.3367283312</v>
      </c>
      <c r="I12" s="93">
        <v>1311289.8952363555</v>
      </c>
      <c r="J12" s="93">
        <v>-24707.441491975682</v>
      </c>
      <c r="K12" s="223">
        <v>-1.849363079755886E-2</v>
      </c>
    </row>
    <row r="13" spans="1:11">
      <c r="A13" s="217">
        <v>7</v>
      </c>
      <c r="B13" s="207"/>
      <c r="C13" s="208"/>
      <c r="D13" s="209"/>
      <c r="E13" s="93"/>
      <c r="F13" s="224"/>
      <c r="G13" s="224"/>
      <c r="H13" s="93"/>
      <c r="I13" s="93"/>
      <c r="J13" s="93"/>
      <c r="K13" s="223"/>
    </row>
    <row r="14" spans="1:11">
      <c r="A14" s="217">
        <v>8</v>
      </c>
      <c r="B14" s="207" t="s">
        <v>122</v>
      </c>
      <c r="C14" s="208"/>
      <c r="D14" s="209">
        <v>8171906000</v>
      </c>
      <c r="E14" s="93">
        <v>789335000</v>
      </c>
      <c r="F14" s="222">
        <v>-1.382E-3</v>
      </c>
      <c r="G14" s="222">
        <v>-3.0899999999999999E-3</v>
      </c>
      <c r="H14" s="93">
        <v>778038208.41381311</v>
      </c>
      <c r="I14" s="93">
        <v>764084325.70469952</v>
      </c>
      <c r="J14" s="93">
        <v>-13953882.709113583</v>
      </c>
      <c r="K14" s="223">
        <v>-1.7934701095928658E-2</v>
      </c>
    </row>
    <row r="15" spans="1:11">
      <c r="A15" s="217">
        <v>9</v>
      </c>
      <c r="B15" s="207"/>
      <c r="C15" s="208"/>
      <c r="D15" s="209"/>
      <c r="E15" s="93"/>
      <c r="F15" s="224"/>
      <c r="G15" s="224"/>
      <c r="H15" s="93"/>
      <c r="I15" s="93"/>
      <c r="J15" s="93"/>
      <c r="K15" s="223"/>
    </row>
    <row r="16" spans="1:11">
      <c r="A16" s="217">
        <v>10</v>
      </c>
      <c r="B16" s="226" t="s">
        <v>123</v>
      </c>
      <c r="C16" s="208" t="s">
        <v>124</v>
      </c>
      <c r="D16" s="209">
        <v>1355303000</v>
      </c>
      <c r="E16" s="93">
        <v>117873000</v>
      </c>
      <c r="F16" s="222">
        <v>-1.2799276416233694E-3</v>
      </c>
      <c r="G16" s="222">
        <v>-2.8609039791175355E-3</v>
      </c>
      <c r="H16" s="93">
        <v>116138310.22752492</v>
      </c>
      <c r="I16" s="93">
        <v>113995608.25439006</v>
      </c>
      <c r="J16" s="93">
        <v>-2142701.9731348604</v>
      </c>
      <c r="K16" s="223">
        <v>-1.8449570765556374E-2</v>
      </c>
    </row>
    <row r="17" spans="1:11">
      <c r="A17" s="217">
        <v>11</v>
      </c>
      <c r="B17" s="226" t="s">
        <v>125</v>
      </c>
      <c r="C17" s="208">
        <v>35</v>
      </c>
      <c r="D17" s="209">
        <v>5236000</v>
      </c>
      <c r="E17" s="93">
        <v>313000</v>
      </c>
      <c r="F17" s="222">
        <v>-1.1131483796666273E-3</v>
      </c>
      <c r="G17" s="222">
        <v>-2.4881177069489314E-3</v>
      </c>
      <c r="H17" s="93">
        <v>307171.55508406553</v>
      </c>
      <c r="I17" s="93">
        <v>299972.21568641538</v>
      </c>
      <c r="J17" s="93">
        <v>-7199.3393976501538</v>
      </c>
      <c r="K17" s="223">
        <v>-2.3437519778417848E-2</v>
      </c>
    </row>
    <row r="18" spans="1:11">
      <c r="A18" s="217">
        <v>12</v>
      </c>
      <c r="B18" s="226" t="s">
        <v>126</v>
      </c>
      <c r="C18" s="208">
        <v>43</v>
      </c>
      <c r="D18" s="209">
        <v>120601000</v>
      </c>
      <c r="E18" s="93">
        <v>11454000</v>
      </c>
      <c r="F18" s="222">
        <v>-1.2555713092783738E-3</v>
      </c>
      <c r="G18" s="222">
        <v>-2.806462520197148E-3</v>
      </c>
      <c r="H18" s="93">
        <v>11302576.844529718</v>
      </c>
      <c r="I18" s="93">
        <v>11115537.813601704</v>
      </c>
      <c r="J18" s="93">
        <v>-187039.03092801385</v>
      </c>
      <c r="K18" s="223">
        <v>-1.6548352955329651E-2</v>
      </c>
    </row>
    <row r="19" spans="1:11">
      <c r="A19" s="217">
        <v>13</v>
      </c>
      <c r="B19" s="227"/>
      <c r="C19" s="208"/>
      <c r="D19" s="209"/>
      <c r="E19" s="93"/>
      <c r="F19" s="224"/>
      <c r="G19" s="224"/>
      <c r="H19" s="93"/>
      <c r="I19" s="93"/>
      <c r="J19" s="93"/>
      <c r="K19" s="223"/>
    </row>
    <row r="20" spans="1:11">
      <c r="A20" s="217">
        <v>14</v>
      </c>
      <c r="B20" s="227" t="s">
        <v>127</v>
      </c>
      <c r="C20" s="208"/>
      <c r="D20" s="209">
        <v>1481140000</v>
      </c>
      <c r="E20" s="93">
        <v>129640000</v>
      </c>
      <c r="F20" s="222">
        <v>-1.2769999999999999E-3</v>
      </c>
      <c r="G20" s="222">
        <v>-2.8549999999999999E-3</v>
      </c>
      <c r="H20" s="93">
        <v>127748058.6271387</v>
      </c>
      <c r="I20" s="93">
        <v>125411118.28367817</v>
      </c>
      <c r="J20" s="93">
        <v>-2336940.3434605245</v>
      </c>
      <c r="K20" s="223">
        <v>-1.8293353093383657E-2</v>
      </c>
    </row>
    <row r="21" spans="1:11">
      <c r="A21" s="217">
        <v>15</v>
      </c>
      <c r="B21" s="227"/>
      <c r="C21" s="208"/>
      <c r="D21" s="209"/>
      <c r="E21" s="93"/>
      <c r="F21" s="224"/>
      <c r="G21" s="224"/>
      <c r="H21" s="93"/>
      <c r="I21" s="93"/>
      <c r="J21" s="93"/>
      <c r="K21" s="223"/>
    </row>
    <row r="22" spans="1:11">
      <c r="A22" s="217">
        <v>16</v>
      </c>
      <c r="B22" s="227" t="s">
        <v>128</v>
      </c>
      <c r="C22" s="208">
        <v>40</v>
      </c>
      <c r="D22" s="209">
        <v>664520000</v>
      </c>
      <c r="E22" s="93">
        <v>50329000</v>
      </c>
      <c r="F22" s="222">
        <v>-1.4171811278215797E-3</v>
      </c>
      <c r="G22" s="222">
        <v>-3.1676940132121037E-3</v>
      </c>
      <c r="H22" s="93">
        <v>49387254.796940006</v>
      </c>
      <c r="I22" s="93">
        <v>48224003.97434029</v>
      </c>
      <c r="J22" s="93">
        <v>-1163250.8225997165</v>
      </c>
      <c r="K22" s="223">
        <v>-2.3553664348879552E-2</v>
      </c>
    </row>
    <row r="23" spans="1:11">
      <c r="A23" s="217">
        <v>17</v>
      </c>
      <c r="B23" s="227"/>
      <c r="C23" s="208"/>
      <c r="D23" s="209"/>
      <c r="E23" s="93"/>
      <c r="F23" s="224"/>
      <c r="G23" s="224"/>
      <c r="H23" s="93"/>
      <c r="I23" s="93"/>
      <c r="J23" s="93"/>
      <c r="K23" s="223"/>
    </row>
    <row r="24" spans="1:11">
      <c r="A24" s="217">
        <v>18</v>
      </c>
      <c r="B24" s="226" t="s">
        <v>129</v>
      </c>
      <c r="C24" s="208">
        <v>46</v>
      </c>
      <c r="D24" s="209">
        <v>69924000</v>
      </c>
      <c r="E24" s="93">
        <v>4438000</v>
      </c>
      <c r="F24" s="222">
        <v>-1.197599589820005E-3</v>
      </c>
      <c r="G24" s="222">
        <v>-2.6768836928625197E-3</v>
      </c>
      <c r="H24" s="93">
        <v>4354259.0462814262</v>
      </c>
      <c r="I24" s="93">
        <v>4250821.5846602814</v>
      </c>
      <c r="J24" s="93">
        <v>-103437.46162114479</v>
      </c>
      <c r="K24" s="223">
        <v>-2.3755468042141691E-2</v>
      </c>
    </row>
    <row r="25" spans="1:11">
      <c r="A25" s="217">
        <v>19</v>
      </c>
      <c r="B25" s="225" t="s">
        <v>130</v>
      </c>
      <c r="C25" s="208">
        <v>49</v>
      </c>
      <c r="D25" s="209">
        <v>625180000</v>
      </c>
      <c r="E25" s="93">
        <v>42974000</v>
      </c>
      <c r="F25" s="222">
        <v>-1.0434688233878085E-3</v>
      </c>
      <c r="G25" s="222">
        <v>-2.3323694338915728E-3</v>
      </c>
      <c r="H25" s="93">
        <v>42321644.160994411</v>
      </c>
      <c r="I25" s="93">
        <v>41515849.27731967</v>
      </c>
      <c r="J25" s="93">
        <v>-805794.88367474079</v>
      </c>
      <c r="K25" s="223">
        <v>-1.9039782117382827E-2</v>
      </c>
    </row>
    <row r="26" spans="1:11">
      <c r="A26" s="217">
        <v>20</v>
      </c>
      <c r="B26" s="207"/>
      <c r="C26" s="208"/>
      <c r="D26" s="209"/>
      <c r="E26" s="93"/>
      <c r="F26" s="224"/>
      <c r="G26" s="224"/>
      <c r="H26" s="93"/>
      <c r="I26" s="93"/>
      <c r="J26" s="93"/>
      <c r="K26" s="223"/>
    </row>
    <row r="27" spans="1:11">
      <c r="A27" s="217">
        <v>21</v>
      </c>
      <c r="B27" s="228" t="s">
        <v>131</v>
      </c>
      <c r="C27" s="208"/>
      <c r="D27" s="209">
        <v>695104000</v>
      </c>
      <c r="E27" s="93">
        <v>47412000</v>
      </c>
      <c r="F27" s="222">
        <v>-1.059E-3</v>
      </c>
      <c r="G27" s="222">
        <v>-2.3670000000000002E-3</v>
      </c>
      <c r="H27" s="209">
        <v>46675903.207275838</v>
      </c>
      <c r="I27" s="209">
        <v>45766670.861979954</v>
      </c>
      <c r="J27" s="93">
        <v>-909232.34529588558</v>
      </c>
      <c r="K27" s="223">
        <v>-1.9479694720811624E-2</v>
      </c>
    </row>
    <row r="28" spans="1:11">
      <c r="A28" s="217">
        <v>22</v>
      </c>
      <c r="B28" s="207"/>
      <c r="C28" s="208"/>
      <c r="D28" s="209"/>
      <c r="E28" s="93"/>
      <c r="F28" s="224"/>
      <c r="G28" s="224"/>
      <c r="H28" s="93"/>
      <c r="I28" s="93"/>
      <c r="J28" s="93"/>
      <c r="K28" s="223"/>
    </row>
    <row r="29" spans="1:11">
      <c r="A29" s="217">
        <v>23</v>
      </c>
      <c r="B29" s="207" t="s">
        <v>132</v>
      </c>
      <c r="C29" s="208" t="s">
        <v>20</v>
      </c>
      <c r="D29" s="209">
        <v>73625000</v>
      </c>
      <c r="E29" s="93">
        <v>18095000</v>
      </c>
      <c r="F29" s="222">
        <v>-1.3825767114784805E-3</v>
      </c>
      <c r="G29" s="222">
        <v>-3.0903459591569162E-3</v>
      </c>
      <c r="H29" s="93">
        <v>17993207.789617397</v>
      </c>
      <c r="I29" s="93">
        <v>17867473.278757073</v>
      </c>
      <c r="J29" s="93">
        <v>-125734.51086032391</v>
      </c>
      <c r="K29" s="223">
        <v>-6.9878874478888848E-3</v>
      </c>
    </row>
    <row r="30" spans="1:11">
      <c r="A30" s="217">
        <v>24</v>
      </c>
      <c r="B30" s="207"/>
      <c r="C30" s="208"/>
      <c r="D30" s="209"/>
      <c r="E30" s="93"/>
      <c r="F30" s="224"/>
      <c r="G30" s="224"/>
      <c r="H30" s="93"/>
      <c r="I30" s="93"/>
      <c r="J30" s="93"/>
      <c r="K30" s="229"/>
    </row>
    <row r="31" spans="1:11">
      <c r="A31" s="217">
        <v>25</v>
      </c>
      <c r="B31" s="207" t="s">
        <v>93</v>
      </c>
      <c r="C31" s="208">
        <v>5</v>
      </c>
      <c r="D31" s="209">
        <v>6995000</v>
      </c>
      <c r="E31" s="93">
        <v>322000</v>
      </c>
      <c r="F31" s="222">
        <v>-1.4059446330178271E-3</v>
      </c>
      <c r="G31" s="222">
        <v>-3.1425781147425484E-3</v>
      </c>
      <c r="H31" s="93">
        <v>312165.41729204031</v>
      </c>
      <c r="I31" s="93">
        <v>300017.6660873759</v>
      </c>
      <c r="J31" s="93">
        <v>-12147.751204664411</v>
      </c>
      <c r="K31" s="223">
        <v>-3.8914468201004526E-2</v>
      </c>
    </row>
    <row r="32" spans="1:11">
      <c r="A32" s="217">
        <v>26</v>
      </c>
      <c r="B32" s="207"/>
      <c r="C32" s="208"/>
      <c r="D32" s="209"/>
      <c r="E32" s="93"/>
      <c r="F32" s="222"/>
      <c r="G32" s="222"/>
      <c r="H32" s="93"/>
      <c r="I32" s="93"/>
      <c r="J32" s="93"/>
      <c r="K32" s="223"/>
    </row>
    <row r="33" spans="1:11">
      <c r="A33" s="217">
        <v>27</v>
      </c>
      <c r="B33" s="228" t="s">
        <v>133</v>
      </c>
      <c r="C33" s="208"/>
      <c r="D33" s="209">
        <v>21312236000</v>
      </c>
      <c r="E33" s="93">
        <v>2187417000</v>
      </c>
      <c r="F33" s="222">
        <v>-1.418E-3</v>
      </c>
      <c r="G33" s="222">
        <v>-3.1689999999999999E-3</v>
      </c>
      <c r="H33" s="93">
        <v>2157202168.1870422</v>
      </c>
      <c r="I33" s="93">
        <v>2119880578.6032233</v>
      </c>
      <c r="J33" s="93">
        <v>-37321589.583818965</v>
      </c>
      <c r="K33" s="223">
        <v>-1.7300970922339582E-2</v>
      </c>
    </row>
    <row r="34" spans="1:11">
      <c r="A34" s="217">
        <v>28</v>
      </c>
      <c r="B34" s="228"/>
      <c r="C34" s="208"/>
      <c r="D34" s="209"/>
      <c r="E34" s="93"/>
      <c r="F34" s="224"/>
      <c r="G34" s="224"/>
      <c r="H34" s="93"/>
      <c r="I34" s="93"/>
      <c r="J34" s="93"/>
      <c r="K34" s="223"/>
    </row>
    <row r="35" spans="1:11">
      <c r="A35" s="217">
        <v>29</v>
      </c>
      <c r="B35" s="228" t="s">
        <v>134</v>
      </c>
      <c r="C35" s="208" t="s">
        <v>135</v>
      </c>
      <c r="D35" s="209">
        <v>2020962000</v>
      </c>
      <c r="E35" s="93">
        <v>7882000</v>
      </c>
      <c r="F35" s="222">
        <v>0</v>
      </c>
      <c r="G35" s="222">
        <v>0</v>
      </c>
      <c r="H35" s="93">
        <v>7882000</v>
      </c>
      <c r="I35" s="93">
        <v>7882000</v>
      </c>
      <c r="J35" s="93">
        <v>0</v>
      </c>
      <c r="K35" s="223">
        <v>0</v>
      </c>
    </row>
    <row r="36" spans="1:11">
      <c r="A36" s="217">
        <v>30</v>
      </c>
      <c r="B36" s="207"/>
      <c r="C36" s="208"/>
      <c r="D36" s="209"/>
      <c r="E36" s="93"/>
      <c r="F36" s="224"/>
      <c r="G36" s="224"/>
      <c r="H36" s="93"/>
      <c r="I36" s="93"/>
      <c r="J36" s="93"/>
      <c r="K36" s="229"/>
    </row>
    <row r="37" spans="1:11">
      <c r="A37" s="217">
        <v>31</v>
      </c>
      <c r="B37" s="228" t="s">
        <v>22</v>
      </c>
      <c r="C37" s="208"/>
      <c r="D37" s="209">
        <v>23333198000</v>
      </c>
      <c r="E37" s="93">
        <v>2195299000</v>
      </c>
      <c r="F37" s="222"/>
      <c r="G37" s="222"/>
      <c r="H37" s="93">
        <v>2165084168.1870422</v>
      </c>
      <c r="I37" s="93">
        <v>2127762578.6032233</v>
      </c>
      <c r="J37" s="93">
        <v>-37321589.583818965</v>
      </c>
      <c r="K37" s="223">
        <v>-1.7237939352293459E-2</v>
      </c>
    </row>
    <row r="38" spans="1:11" ht="13.5" thickBot="1">
      <c r="A38" s="230"/>
      <c r="B38" s="231"/>
      <c r="C38" s="232"/>
      <c r="D38" s="233"/>
      <c r="E38" s="233"/>
      <c r="F38" s="231"/>
      <c r="G38" s="231"/>
      <c r="H38" s="233"/>
      <c r="I38" s="233"/>
      <c r="J38" s="231"/>
      <c r="K38" s="234"/>
    </row>
    <row r="41" spans="1:11">
      <c r="A41" s="207"/>
      <c r="B41" s="207"/>
      <c r="C41" s="208"/>
      <c r="D41" s="209"/>
      <c r="E41" s="209"/>
      <c r="F41" s="207"/>
      <c r="G41" s="207"/>
      <c r="H41" s="209"/>
      <c r="I41" s="209"/>
      <c r="J41" s="207"/>
      <c r="K41" s="207"/>
    </row>
    <row r="42" spans="1:11">
      <c r="A42" s="595"/>
      <c r="B42" s="595"/>
      <c r="C42" s="595"/>
      <c r="D42" s="595"/>
      <c r="E42" s="595"/>
      <c r="F42" s="595"/>
      <c r="G42" s="595"/>
      <c r="H42" s="595"/>
      <c r="I42" s="595"/>
      <c r="J42" s="595"/>
      <c r="K42" s="595"/>
    </row>
  </sheetData>
  <mergeCells count="3">
    <mergeCell ref="A1:K1"/>
    <mergeCell ref="A2:K2"/>
    <mergeCell ref="A42:K42"/>
  </mergeCells>
  <printOptions horizontalCentered="1"/>
  <pageMargins left="0.7" right="0.7" top="0.75" bottom="0.71" header="0.3" footer="0.3"/>
  <pageSetup scale="81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33"/>
  <sheetViews>
    <sheetView topLeftCell="AC1" workbookViewId="0">
      <pane xSplit="2" ySplit="7" topLeftCell="AE8" activePane="bottomRight" state="frozen"/>
      <selection activeCell="AC1" sqref="AC1"/>
      <selection pane="topRight" activeCell="AE1" sqref="AE1"/>
      <selection pane="bottomLeft" activeCell="AC8" sqref="AC8"/>
      <selection pane="bottomRight" activeCell="AD9" sqref="AD9"/>
    </sheetView>
  </sheetViews>
  <sheetFormatPr defaultRowHeight="12.75"/>
  <cols>
    <col min="1" max="1" width="45.5703125" bestFit="1" customWidth="1"/>
    <col min="2" max="2" width="6.42578125" bestFit="1" customWidth="1"/>
    <col min="3" max="3" width="9.85546875" bestFit="1" customWidth="1"/>
    <col min="4" max="4" width="10.7109375" bestFit="1" customWidth="1"/>
    <col min="5" max="5" width="8.5703125" bestFit="1" customWidth="1"/>
    <col min="6" max="6" width="7.28515625" bestFit="1" customWidth="1"/>
    <col min="7" max="7" width="6.28515625" bestFit="1" customWidth="1"/>
    <col min="8" max="8" width="9.7109375" bestFit="1" customWidth="1"/>
    <col min="10" max="10" width="14.140625" bestFit="1" customWidth="1"/>
    <col min="12" max="12" width="51" bestFit="1" customWidth="1"/>
    <col min="13" max="13" width="6.42578125" bestFit="1" customWidth="1"/>
    <col min="14" max="14" width="12.7109375" bestFit="1" customWidth="1"/>
    <col min="15" max="16" width="11.140625" bestFit="1" customWidth="1"/>
    <col min="17" max="18" width="9.140625" bestFit="1" customWidth="1"/>
    <col min="19" max="19" width="12.7109375" bestFit="1" customWidth="1"/>
    <col min="20" max="20" width="11.140625" bestFit="1" customWidth="1"/>
    <col min="21" max="21" width="14.140625" bestFit="1" customWidth="1"/>
    <col min="23" max="23" width="40.42578125" bestFit="1" customWidth="1"/>
    <col min="24" max="24" width="6.42578125" bestFit="1" customWidth="1"/>
    <col min="25" max="26" width="10.7109375" bestFit="1" customWidth="1"/>
    <col min="27" max="27" width="10.140625" bestFit="1" customWidth="1"/>
    <col min="28" max="28" width="8.28515625" bestFit="1" customWidth="1"/>
    <col min="29" max="29" width="9.28515625" customWidth="1"/>
    <col min="30" max="30" width="6.42578125" bestFit="1" customWidth="1"/>
    <col min="31" max="31" width="5.7109375" bestFit="1" customWidth="1"/>
    <col min="32" max="32" width="9.140625" bestFit="1" customWidth="1"/>
    <col min="33" max="33" width="13.7109375" bestFit="1" customWidth="1"/>
    <col min="34" max="34" width="9.140625" bestFit="1" customWidth="1"/>
    <col min="35" max="35" width="11.140625" bestFit="1" customWidth="1"/>
    <col min="36" max="36" width="10.140625" bestFit="1" customWidth="1"/>
    <col min="37" max="37" width="11.140625" bestFit="1" customWidth="1"/>
    <col min="38" max="38" width="10.140625" bestFit="1" customWidth="1"/>
    <col min="39" max="39" width="12.7109375" bestFit="1" customWidth="1"/>
    <col min="40" max="40" width="10.140625" bestFit="1" customWidth="1"/>
    <col min="41" max="41" width="12.7109375" bestFit="1" customWidth="1"/>
    <col min="42" max="42" width="11.140625" bestFit="1" customWidth="1"/>
    <col min="43" max="43" width="12.7109375" bestFit="1" customWidth="1"/>
    <col min="44" max="44" width="11.140625" bestFit="1" customWidth="1"/>
    <col min="45" max="45" width="10.140625" bestFit="1" customWidth="1"/>
    <col min="46" max="47" width="11.140625" bestFit="1" customWidth="1"/>
    <col min="48" max="48" width="9.140625" bestFit="1" customWidth="1"/>
    <col min="49" max="49" width="12.28515625" customWidth="1"/>
    <col min="50" max="50" width="10.140625" bestFit="1" customWidth="1"/>
    <col min="51" max="51" width="11.140625" bestFit="1" customWidth="1"/>
    <col min="52" max="53" width="10.140625" bestFit="1" customWidth="1"/>
    <col min="54" max="55" width="11.140625" bestFit="1" customWidth="1"/>
    <col min="56" max="56" width="10.140625" bestFit="1" customWidth="1"/>
    <col min="57" max="57" width="9.140625" bestFit="1" customWidth="1"/>
    <col min="58" max="58" width="6.5703125" bestFit="1" customWidth="1"/>
    <col min="59" max="59" width="9.140625" bestFit="1" customWidth="1"/>
    <col min="60" max="61" width="10.140625" bestFit="1" customWidth="1"/>
    <col min="62" max="66" width="9.140625" bestFit="1" customWidth="1"/>
    <col min="67" max="67" width="6.5703125" bestFit="1" customWidth="1"/>
    <col min="68" max="68" width="13.7109375" bestFit="1" customWidth="1"/>
    <col min="69" max="69" width="10.140625" bestFit="1" customWidth="1"/>
    <col min="70" max="70" width="12.7109375" bestFit="1" customWidth="1"/>
    <col min="71" max="71" width="11.140625" bestFit="1" customWidth="1"/>
    <col min="72" max="72" width="14.140625" bestFit="1" customWidth="1"/>
    <col min="73" max="73" width="14.28515625" bestFit="1" customWidth="1"/>
    <col min="77" max="77" width="16" customWidth="1"/>
    <col min="78" max="78" width="9.140625" bestFit="1" customWidth="1"/>
    <col min="79" max="81" width="12.7109375" bestFit="1" customWidth="1"/>
    <col min="82" max="82" width="10.140625" bestFit="1" customWidth="1"/>
    <col min="83" max="83" width="12.7109375" bestFit="1" customWidth="1"/>
    <col min="84" max="84" width="10" bestFit="1" customWidth="1"/>
    <col min="85" max="85" width="11.140625" bestFit="1" customWidth="1"/>
    <col min="86" max="86" width="13.28515625" bestFit="1" customWidth="1"/>
    <col min="87" max="87" width="10.140625" bestFit="1" customWidth="1"/>
    <col min="88" max="88" width="11.140625" bestFit="1" customWidth="1"/>
    <col min="89" max="89" width="10.140625" bestFit="1" customWidth="1"/>
    <col min="90" max="90" width="10.28515625" bestFit="1" customWidth="1"/>
    <col min="91" max="91" width="13.28515625" bestFit="1" customWidth="1"/>
    <col min="92" max="93" width="13.7109375" bestFit="1" customWidth="1"/>
    <col min="94" max="94" width="5.5703125" bestFit="1" customWidth="1"/>
  </cols>
  <sheetData>
    <row r="1" spans="1:94" ht="21">
      <c r="A1" s="363" t="s">
        <v>343</v>
      </c>
      <c r="L1" s="363" t="s">
        <v>344</v>
      </c>
      <c r="W1" s="363" t="s">
        <v>345</v>
      </c>
      <c r="AC1" s="364" t="s">
        <v>346</v>
      </c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6"/>
      <c r="AX1" s="365"/>
      <c r="AY1" s="365"/>
      <c r="AZ1" s="365"/>
      <c r="BA1" s="365"/>
      <c r="BB1" s="365"/>
      <c r="BC1" s="365"/>
      <c r="BD1" s="365"/>
      <c r="BE1" s="365"/>
      <c r="BF1" s="365"/>
      <c r="BG1" s="365"/>
      <c r="BH1" s="365"/>
      <c r="BI1" s="365"/>
      <c r="BJ1" s="365"/>
      <c r="BK1" s="365"/>
      <c r="BL1" s="365"/>
      <c r="BM1" s="365"/>
      <c r="BN1" s="365"/>
      <c r="BO1" s="365"/>
      <c r="BP1" s="365"/>
      <c r="BQ1" s="365"/>
      <c r="BR1" s="365"/>
      <c r="BS1" s="365"/>
      <c r="BT1" s="365"/>
      <c r="BU1" s="365"/>
      <c r="BY1" s="364" t="str">
        <f>+AC1</f>
        <v>As-Delivered Monthly Sales &amp; Transportation by Rate Schedule</v>
      </c>
    </row>
    <row r="2" spans="1:94" ht="18.75">
      <c r="A2" s="561" t="s">
        <v>438</v>
      </c>
      <c r="L2" s="367"/>
      <c r="AC2" s="560" t="s">
        <v>437</v>
      </c>
      <c r="AD2" s="365"/>
      <c r="AE2" s="365"/>
      <c r="AF2" s="365"/>
      <c r="AG2" s="365"/>
      <c r="AH2" s="365"/>
      <c r="AI2" s="365"/>
      <c r="AJ2" s="365"/>
      <c r="AK2" s="365"/>
      <c r="AL2" s="365"/>
      <c r="AM2" s="365"/>
      <c r="AN2" s="365"/>
      <c r="AO2" s="365"/>
      <c r="AP2" s="365"/>
      <c r="AQ2" s="365"/>
      <c r="AR2" s="365"/>
      <c r="AS2" s="365"/>
      <c r="AT2" s="365"/>
      <c r="AU2" s="365"/>
      <c r="AV2" s="365"/>
      <c r="AW2" s="369"/>
      <c r="AX2" s="365"/>
      <c r="AY2" s="365"/>
      <c r="AZ2" s="365"/>
      <c r="BA2" s="365"/>
      <c r="BB2" s="365"/>
      <c r="BC2" s="365"/>
      <c r="BD2" s="365"/>
      <c r="BE2" s="365"/>
      <c r="BF2" s="365"/>
      <c r="BG2" s="365"/>
      <c r="BH2" s="365"/>
      <c r="BI2" s="365"/>
      <c r="BJ2" s="365"/>
      <c r="BK2" s="365"/>
      <c r="BL2" s="365"/>
      <c r="BM2" s="365"/>
      <c r="BN2" s="365"/>
      <c r="BO2" s="365"/>
      <c r="BP2" s="365"/>
      <c r="BQ2" s="365"/>
      <c r="BR2" s="365"/>
      <c r="BS2" s="365"/>
      <c r="BT2" s="365"/>
      <c r="BU2" s="365"/>
      <c r="BY2" s="368" t="str">
        <f t="shared" ref="BY2" si="0">+AC2</f>
        <v>Reconciled to LFG's F2018</v>
      </c>
    </row>
    <row r="3" spans="1:94" ht="18.75">
      <c r="A3" s="367"/>
      <c r="L3" s="367"/>
      <c r="W3" s="367"/>
      <c r="AC3" s="370"/>
      <c r="AD3" s="365"/>
      <c r="AE3" s="365"/>
      <c r="AF3" s="365"/>
      <c r="AG3" s="365"/>
      <c r="AH3" s="365"/>
      <c r="AI3" s="365"/>
      <c r="AJ3" s="365"/>
      <c r="AK3" s="365"/>
      <c r="AL3" s="365"/>
      <c r="AM3" s="365"/>
      <c r="AN3" s="365"/>
      <c r="AO3" s="365"/>
      <c r="AP3" s="365"/>
      <c r="AQ3" s="365"/>
      <c r="AR3" s="365"/>
      <c r="AS3" s="365"/>
      <c r="AT3" s="365"/>
      <c r="AU3" s="365"/>
      <c r="AV3" s="365"/>
      <c r="AW3" s="371"/>
      <c r="AX3" s="365"/>
      <c r="AY3" s="365"/>
      <c r="AZ3" s="365"/>
      <c r="BA3" s="365"/>
      <c r="BB3" s="365"/>
      <c r="BC3" s="365"/>
      <c r="BD3" s="365"/>
      <c r="BE3" s="365"/>
      <c r="BF3" s="365"/>
      <c r="BG3" s="365"/>
      <c r="BH3" s="365"/>
      <c r="BI3" s="365"/>
      <c r="BJ3" s="365"/>
      <c r="BK3" s="365"/>
      <c r="BL3" s="365"/>
      <c r="BM3" s="365"/>
      <c r="BN3" s="365"/>
      <c r="BO3" s="365"/>
      <c r="BP3" s="365"/>
      <c r="BQ3" s="365"/>
      <c r="BR3" s="365"/>
      <c r="BS3" s="365"/>
      <c r="BT3" s="365"/>
      <c r="BU3" s="365"/>
      <c r="BY3" s="370"/>
    </row>
    <row r="4" spans="1:94" ht="15">
      <c r="A4" s="372"/>
      <c r="L4" s="372"/>
      <c r="W4" s="372"/>
      <c r="AC4" s="373"/>
      <c r="AD4" s="365"/>
      <c r="AE4" s="365"/>
      <c r="AF4" s="365"/>
      <c r="AG4" s="365"/>
      <c r="AH4" s="365"/>
      <c r="AI4" s="365"/>
      <c r="AJ4" s="365"/>
      <c r="AK4" s="365"/>
      <c r="AL4" s="365"/>
      <c r="AM4" s="365"/>
      <c r="AN4" s="365"/>
      <c r="AO4" s="365"/>
      <c r="AP4" s="365"/>
      <c r="AQ4" s="365"/>
      <c r="AR4" s="365"/>
      <c r="AS4" s="365"/>
      <c r="AT4" s="365"/>
      <c r="AU4" s="365"/>
      <c r="AV4" s="365"/>
      <c r="AW4" s="374"/>
      <c r="AX4" s="365"/>
      <c r="AY4" s="365"/>
      <c r="AZ4" s="365"/>
      <c r="BA4" s="365"/>
      <c r="BB4" s="365"/>
      <c r="BC4" s="365"/>
      <c r="BD4" s="365"/>
      <c r="BE4" s="365"/>
      <c r="BF4" s="365"/>
      <c r="BG4" s="365"/>
      <c r="BH4" s="365"/>
      <c r="BI4" s="365"/>
      <c r="BJ4" s="365"/>
      <c r="BK4" s="365"/>
      <c r="BL4" s="365"/>
      <c r="BM4" s="365"/>
      <c r="BN4" s="365"/>
      <c r="BO4" s="365"/>
      <c r="BP4" s="365"/>
      <c r="BQ4" s="365"/>
      <c r="BR4" s="365"/>
      <c r="BS4" s="365"/>
      <c r="BT4" s="365"/>
      <c r="BU4" s="365"/>
      <c r="BY4" s="373"/>
    </row>
    <row r="5" spans="1:94" ht="15.75">
      <c r="A5" s="375"/>
      <c r="L5" s="375"/>
      <c r="W5" s="375"/>
      <c r="AC5" s="376"/>
      <c r="AD5" s="373"/>
      <c r="AE5" s="373"/>
      <c r="AF5" s="365"/>
      <c r="AG5" s="365"/>
      <c r="AH5" s="365"/>
      <c r="AI5" s="365"/>
      <c r="AJ5" s="365"/>
      <c r="AK5" s="365"/>
      <c r="AL5" s="365"/>
      <c r="AM5" s="365"/>
      <c r="AN5" s="365"/>
      <c r="AO5" s="365"/>
      <c r="AP5" s="365"/>
      <c r="AQ5" s="365"/>
      <c r="AR5" s="365"/>
      <c r="AS5" s="365"/>
      <c r="AT5" s="365"/>
      <c r="AU5" s="365"/>
      <c r="AV5" s="365"/>
      <c r="AW5" s="377"/>
      <c r="AX5" s="365"/>
      <c r="AY5" s="365"/>
      <c r="AZ5" s="365"/>
      <c r="BA5" s="365"/>
      <c r="BB5" s="365"/>
      <c r="BC5" s="365"/>
      <c r="BD5" s="365"/>
      <c r="BE5" s="365"/>
      <c r="BF5" s="365"/>
      <c r="BG5" s="365"/>
      <c r="BH5" s="365"/>
      <c r="BI5" s="365"/>
      <c r="BJ5" s="365"/>
      <c r="BK5" s="365"/>
      <c r="BL5" s="365"/>
      <c r="BM5" s="365"/>
      <c r="BN5" s="365"/>
      <c r="BO5" s="365"/>
      <c r="BP5" s="365"/>
      <c r="BQ5" s="365"/>
      <c r="BR5" s="365"/>
      <c r="BS5" s="365"/>
      <c r="BT5" s="365"/>
      <c r="BU5" s="365"/>
      <c r="BY5" s="376"/>
    </row>
    <row r="6" spans="1:94">
      <c r="AC6" s="365"/>
      <c r="AD6" s="365"/>
      <c r="AE6" s="365"/>
      <c r="AF6" s="365"/>
      <c r="AG6" s="365"/>
      <c r="AH6" s="365"/>
      <c r="AI6" s="365"/>
      <c r="AJ6" s="365"/>
      <c r="AK6" s="365"/>
      <c r="AL6" s="365"/>
      <c r="AM6" s="365"/>
      <c r="AN6" s="365"/>
      <c r="AO6" s="365"/>
      <c r="AP6" s="365"/>
      <c r="AQ6" s="365"/>
      <c r="AR6" s="365"/>
      <c r="AS6" s="365"/>
      <c r="AT6" s="365"/>
      <c r="AU6" s="365"/>
      <c r="AV6" s="365"/>
      <c r="AW6" s="365"/>
      <c r="AX6" s="365"/>
      <c r="AY6" s="365"/>
      <c r="AZ6" s="365"/>
      <c r="BA6" s="365"/>
      <c r="BB6" s="365"/>
      <c r="BC6" s="365"/>
      <c r="BD6" s="365"/>
      <c r="BE6" s="365"/>
      <c r="BF6" s="365"/>
      <c r="BG6" s="365"/>
      <c r="BH6" s="365"/>
      <c r="BI6" s="365"/>
      <c r="BJ6" s="365"/>
      <c r="BK6" s="365"/>
      <c r="BL6" s="365"/>
      <c r="BM6" s="365"/>
      <c r="BN6" s="365"/>
      <c r="BO6" s="365"/>
      <c r="BP6" s="365"/>
      <c r="BQ6" s="365"/>
      <c r="BR6" s="365"/>
      <c r="BS6" s="365"/>
      <c r="BT6" s="365"/>
      <c r="BU6" s="365"/>
    </row>
    <row r="7" spans="1:94" ht="15">
      <c r="A7" s="378" t="s">
        <v>348</v>
      </c>
      <c r="B7" s="379" t="s">
        <v>349</v>
      </c>
      <c r="C7" s="378" t="s">
        <v>15</v>
      </c>
      <c r="D7" s="380" t="s">
        <v>350</v>
      </c>
      <c r="E7" s="380" t="s">
        <v>351</v>
      </c>
      <c r="F7" s="380" t="s">
        <v>186</v>
      </c>
      <c r="G7" s="379" t="s">
        <v>352</v>
      </c>
      <c r="H7" s="381" t="s">
        <v>353</v>
      </c>
      <c r="I7" s="381" t="s">
        <v>354</v>
      </c>
      <c r="J7" s="381" t="s">
        <v>355</v>
      </c>
      <c r="L7" s="378" t="s">
        <v>348</v>
      </c>
      <c r="M7" s="379" t="s">
        <v>349</v>
      </c>
      <c r="N7" s="378" t="s">
        <v>15</v>
      </c>
      <c r="O7" s="380" t="s">
        <v>350</v>
      </c>
      <c r="P7" s="380" t="s">
        <v>351</v>
      </c>
      <c r="Q7" s="380" t="s">
        <v>186</v>
      </c>
      <c r="R7" s="379" t="s">
        <v>352</v>
      </c>
      <c r="S7" s="381" t="s">
        <v>353</v>
      </c>
      <c r="T7" s="381" t="s">
        <v>354</v>
      </c>
      <c r="U7" s="381" t="s">
        <v>355</v>
      </c>
      <c r="W7" s="378" t="s">
        <v>348</v>
      </c>
      <c r="X7" s="379" t="s">
        <v>349</v>
      </c>
      <c r="Y7" s="378" t="s">
        <v>15</v>
      </c>
      <c r="Z7" s="380" t="s">
        <v>350</v>
      </c>
      <c r="AA7" s="380" t="s">
        <v>351</v>
      </c>
      <c r="AB7" s="380" t="s">
        <v>186</v>
      </c>
      <c r="AC7" s="382" t="s">
        <v>348</v>
      </c>
      <c r="AD7" s="382" t="s">
        <v>349</v>
      </c>
      <c r="AE7" s="382" t="s">
        <v>356</v>
      </c>
      <c r="AF7" s="383" t="s">
        <v>357</v>
      </c>
      <c r="AG7" s="383" t="s">
        <v>358</v>
      </c>
      <c r="AH7" s="383" t="s">
        <v>359</v>
      </c>
      <c r="AI7" s="383" t="s">
        <v>360</v>
      </c>
      <c r="AJ7" s="383" t="s">
        <v>361</v>
      </c>
      <c r="AK7" s="383" t="s">
        <v>362</v>
      </c>
      <c r="AL7" s="383" t="s">
        <v>363</v>
      </c>
      <c r="AM7" s="383" t="s">
        <v>364</v>
      </c>
      <c r="AN7" s="383" t="s">
        <v>365</v>
      </c>
      <c r="AO7" s="383" t="s">
        <v>366</v>
      </c>
      <c r="AP7" s="383" t="s">
        <v>367</v>
      </c>
      <c r="AQ7" s="383" t="s">
        <v>368</v>
      </c>
      <c r="AR7" s="383" t="s">
        <v>369</v>
      </c>
      <c r="AS7" s="383" t="s">
        <v>370</v>
      </c>
      <c r="AT7" s="383" t="s">
        <v>371</v>
      </c>
      <c r="AU7" s="383" t="s">
        <v>372</v>
      </c>
      <c r="AV7" s="383" t="s">
        <v>373</v>
      </c>
      <c r="AW7" s="383" t="s">
        <v>374</v>
      </c>
      <c r="AX7" s="383" t="s">
        <v>375</v>
      </c>
      <c r="AY7" s="383" t="s">
        <v>376</v>
      </c>
      <c r="AZ7" s="383" t="s">
        <v>377</v>
      </c>
      <c r="BA7" s="383" t="s">
        <v>378</v>
      </c>
      <c r="BB7" s="383" t="s">
        <v>379</v>
      </c>
      <c r="BC7" s="383" t="s">
        <v>380</v>
      </c>
      <c r="BD7" s="383" t="s">
        <v>381</v>
      </c>
      <c r="BE7" s="383" t="s">
        <v>382</v>
      </c>
      <c r="BF7" s="383" t="s">
        <v>383</v>
      </c>
      <c r="BG7" s="383" t="s">
        <v>384</v>
      </c>
      <c r="BH7" s="383" t="s">
        <v>385</v>
      </c>
      <c r="BI7" s="383" t="s">
        <v>386</v>
      </c>
      <c r="BJ7" s="383" t="s">
        <v>387</v>
      </c>
      <c r="BK7" s="383" t="s">
        <v>388</v>
      </c>
      <c r="BL7" s="383" t="s">
        <v>389</v>
      </c>
      <c r="BM7" s="383" t="s">
        <v>390</v>
      </c>
      <c r="BN7" s="383" t="s">
        <v>391</v>
      </c>
      <c r="BO7" s="384" t="s">
        <v>392</v>
      </c>
      <c r="BP7" s="385" t="s">
        <v>353</v>
      </c>
      <c r="BQ7" s="382" t="s">
        <v>393</v>
      </c>
      <c r="BR7" s="383" t="s">
        <v>394</v>
      </c>
      <c r="BS7" s="384" t="s">
        <v>395</v>
      </c>
      <c r="BT7" s="385" t="s">
        <v>355</v>
      </c>
      <c r="BU7" s="385" t="s">
        <v>439</v>
      </c>
      <c r="BW7" s="483" t="s">
        <v>348</v>
      </c>
      <c r="BX7" s="483" t="s">
        <v>349</v>
      </c>
      <c r="BY7" s="386" t="s">
        <v>396</v>
      </c>
      <c r="BZ7" s="387" t="s">
        <v>397</v>
      </c>
      <c r="CA7" s="387" t="s">
        <v>398</v>
      </c>
      <c r="CB7" s="387" t="s">
        <v>399</v>
      </c>
      <c r="CC7" s="387" t="s">
        <v>400</v>
      </c>
      <c r="CD7" s="387" t="s">
        <v>401</v>
      </c>
      <c r="CE7" s="387" t="s">
        <v>402</v>
      </c>
      <c r="CF7" s="387" t="s">
        <v>403</v>
      </c>
      <c r="CG7" s="387" t="s">
        <v>404</v>
      </c>
      <c r="CH7" s="387" t="s">
        <v>405</v>
      </c>
      <c r="CI7" s="387" t="s">
        <v>406</v>
      </c>
      <c r="CJ7" s="387" t="s">
        <v>407</v>
      </c>
      <c r="CK7" s="387" t="s">
        <v>132</v>
      </c>
      <c r="CL7" s="387" t="s">
        <v>93</v>
      </c>
      <c r="CM7" s="387" t="s">
        <v>134</v>
      </c>
      <c r="CN7" s="386" t="s">
        <v>408</v>
      </c>
      <c r="CO7" s="386" t="s">
        <v>86</v>
      </c>
    </row>
    <row r="8" spans="1:94" ht="15">
      <c r="A8" s="388">
        <v>2018</v>
      </c>
      <c r="B8" s="389">
        <v>1</v>
      </c>
      <c r="C8" s="390">
        <v>1230542</v>
      </c>
      <c r="D8" s="390">
        <v>823998</v>
      </c>
      <c r="E8" s="390">
        <v>105594</v>
      </c>
      <c r="F8" s="390">
        <v>6749</v>
      </c>
      <c r="G8" s="391">
        <v>883</v>
      </c>
      <c r="H8" s="392">
        <f>SUM(C8:G8)</f>
        <v>2167766</v>
      </c>
      <c r="I8" s="393">
        <v>170193</v>
      </c>
      <c r="J8" s="394">
        <f>H8+I8</f>
        <v>2337959</v>
      </c>
      <c r="L8" s="388">
        <f>$A8</f>
        <v>2018</v>
      </c>
      <c r="M8" s="389">
        <f>$B8</f>
        <v>1</v>
      </c>
      <c r="N8" s="395">
        <v>1158038177.5969999</v>
      </c>
      <c r="O8" s="395">
        <v>805322203.60499978</v>
      </c>
      <c r="P8" s="395">
        <v>100281988.89899997</v>
      </c>
      <c r="Q8" s="395">
        <v>7082723.1979999999</v>
      </c>
      <c r="R8" s="396">
        <v>948926.96100000001</v>
      </c>
      <c r="S8" s="392">
        <f>SUM(N8:R8)</f>
        <v>2071674020.2599995</v>
      </c>
      <c r="T8" s="394">
        <v>177463395.02600002</v>
      </c>
      <c r="U8" s="394">
        <f>S8+T8</f>
        <v>2249137415.2859993</v>
      </c>
      <c r="W8" s="388">
        <f>$A8</f>
        <v>2018</v>
      </c>
      <c r="X8" s="389">
        <f>$B8</f>
        <v>1</v>
      </c>
      <c r="Y8" s="395">
        <f>C8*1000-N8</f>
        <v>72503822.403000116</v>
      </c>
      <c r="Z8" s="395">
        <f t="shared" ref="Z8:AB23" si="1">D8*1000-O8</f>
        <v>18675796.395000219</v>
      </c>
      <c r="AA8" s="395">
        <f t="shared" si="1"/>
        <v>5312011.1010000259</v>
      </c>
      <c r="AB8" s="395">
        <f t="shared" si="1"/>
        <v>-333723.19799999986</v>
      </c>
      <c r="AC8" s="397">
        <f>$A8</f>
        <v>2018</v>
      </c>
      <c r="AD8" s="397">
        <f>$B8</f>
        <v>1</v>
      </c>
      <c r="AE8" s="398">
        <v>570.33299999999997</v>
      </c>
      <c r="AF8" s="399">
        <v>948926.96100000001</v>
      </c>
      <c r="AG8" s="399">
        <v>1157795337.5969999</v>
      </c>
      <c r="AH8" s="399">
        <v>242840</v>
      </c>
      <c r="AI8" s="399">
        <v>26364621.697999999</v>
      </c>
      <c r="AJ8" s="399">
        <v>2811987.014</v>
      </c>
      <c r="AK8" s="399">
        <v>14067716.933</v>
      </c>
      <c r="AL8" s="399">
        <v>1516806.6610000001</v>
      </c>
      <c r="AM8" s="399">
        <v>224336622.71000001</v>
      </c>
      <c r="AN8" s="399">
        <v>8396458.7750000004</v>
      </c>
      <c r="AO8" s="399">
        <v>233438047.40000001</v>
      </c>
      <c r="AP8" s="399">
        <v>15724749.4</v>
      </c>
      <c r="AQ8" s="399">
        <v>137461977.85100001</v>
      </c>
      <c r="AR8" s="399">
        <v>18182114.342999998</v>
      </c>
      <c r="AS8" s="399">
        <v>279752.00599999999</v>
      </c>
      <c r="AT8" s="399">
        <v>70268526.156000003</v>
      </c>
      <c r="AU8" s="399">
        <v>39963292.262999997</v>
      </c>
      <c r="AV8" s="399">
        <v>13938.75</v>
      </c>
      <c r="AW8" s="399">
        <v>41540313.487000003</v>
      </c>
      <c r="AX8" s="399">
        <v>4756716.9450000003</v>
      </c>
      <c r="AY8" s="399">
        <v>13880017.316</v>
      </c>
      <c r="AZ8" s="399">
        <v>1729778.787</v>
      </c>
      <c r="BA8" s="399">
        <v>3391037.102</v>
      </c>
      <c r="BB8" s="399">
        <v>37098993.409999996</v>
      </c>
      <c r="BC8" s="399">
        <v>9867620.0710000005</v>
      </c>
      <c r="BD8" s="399">
        <v>1345833.2819999999</v>
      </c>
      <c r="BE8" s="399">
        <v>121692.549</v>
      </c>
      <c r="BF8" s="399">
        <v>4781.2489999999998</v>
      </c>
      <c r="BG8" s="399">
        <v>112107.79300000001</v>
      </c>
      <c r="BH8" s="399">
        <v>1184481.7960000001</v>
      </c>
      <c r="BI8" s="399">
        <v>3399187.3969999999</v>
      </c>
      <c r="BJ8" s="399">
        <v>631618.46699999995</v>
      </c>
      <c r="BK8" s="399">
        <v>162794.65700000001</v>
      </c>
      <c r="BL8" s="399">
        <v>154961.92499999999</v>
      </c>
      <c r="BM8" s="399">
        <v>282450.33199999999</v>
      </c>
      <c r="BN8" s="399">
        <v>188334.54800000001</v>
      </c>
      <c r="BO8" s="399">
        <v>7012.2960000000003</v>
      </c>
      <c r="BP8" s="400">
        <f>SUM(AE8:BO8)</f>
        <v>2071674020.2600005</v>
      </c>
      <c r="BQ8" s="399">
        <v>6759403.6380000003</v>
      </c>
      <c r="BR8" s="399">
        <v>144056702.02900001</v>
      </c>
      <c r="BS8" s="399">
        <v>26647289.359000001</v>
      </c>
      <c r="BT8" s="400">
        <f>BP8+SUM(BQ8:BS8)</f>
        <v>2249137415.2860003</v>
      </c>
      <c r="BU8" s="400">
        <v>41321713.615640506</v>
      </c>
      <c r="BW8" s="397">
        <f>$A8</f>
        <v>2018</v>
      </c>
      <c r="BX8" s="397">
        <f>$B8</f>
        <v>1</v>
      </c>
      <c r="BY8" s="401">
        <f t="shared" ref="BY8:BY31" si="2">ROUND(AG8,-3)</f>
        <v>1157795000</v>
      </c>
      <c r="BZ8" s="401">
        <f t="shared" ref="BZ8:BZ31" si="3">ROUND(AH8,-3)</f>
        <v>243000</v>
      </c>
      <c r="CA8" s="401">
        <f>ROUND(SUM(AI8,AM8:AN8,BD8),-3)</f>
        <v>260444000</v>
      </c>
      <c r="CB8" s="401">
        <f>ROUND(SUM(AK8,AO8:AP8,BE8),-3)-1000</f>
        <v>263351000</v>
      </c>
      <c r="CC8" s="401">
        <f>ROUND(SUM(AL8,AQ8:AR8),-3)</f>
        <v>157161000</v>
      </c>
      <c r="CD8" s="401">
        <f>ROUND(SUM(AS8),-3)</f>
        <v>280000</v>
      </c>
      <c r="CE8" s="401">
        <f>ROUND(SUM(AJ8,AT8:AU8),-3)</f>
        <v>113044000</v>
      </c>
      <c r="CF8" s="401">
        <f>ROUND(SUM(AV8),-3)</f>
        <v>14000</v>
      </c>
      <c r="CG8" s="401">
        <f>ROUND(SUM(AY8),-3)</f>
        <v>13880000</v>
      </c>
      <c r="CH8" s="401">
        <f t="shared" ref="CH8:CH18" si="4">ROUND(SUM(AW8:AX8),-3)</f>
        <v>46297000</v>
      </c>
      <c r="CI8" s="401">
        <f t="shared" ref="CI8:CI31" si="5">ROUND(SUM(AZ8:BA8),-3)</f>
        <v>5121000</v>
      </c>
      <c r="CJ8" s="401">
        <f t="shared" ref="CJ8:CJ31" si="6">ROUND(SUM(BB8:BC8),-3)</f>
        <v>46967000</v>
      </c>
      <c r="CK8" s="401">
        <f t="shared" ref="CK8:CK31" si="7">ROUND(SUM(AE8,BF8:BO8),-3)</f>
        <v>6128000</v>
      </c>
      <c r="CL8" s="401">
        <f t="shared" ref="CL8:CL31" si="8">ROUND(SUM(AF8),-3)</f>
        <v>949000</v>
      </c>
      <c r="CM8" s="401">
        <f t="shared" ref="CM8:CM31" si="9">ROUND(SUM(BQ8:BS8),-3)</f>
        <v>177463000</v>
      </c>
      <c r="CN8" s="401">
        <f t="shared" ref="CN8:CN31" si="10">SUM(BY8:CM8)</f>
        <v>2249137000</v>
      </c>
      <c r="CO8" s="402">
        <f t="shared" ref="CO8:CO13" si="11">ROUND(SUM(BT8),-3)</f>
        <v>2249137000</v>
      </c>
      <c r="CP8" s="402">
        <f t="shared" ref="CP8:CP31" si="12">+CO8-CN8</f>
        <v>0</v>
      </c>
    </row>
    <row r="9" spans="1:94" ht="15">
      <c r="A9" s="403"/>
      <c r="B9" s="404">
        <v>2</v>
      </c>
      <c r="C9" s="405">
        <v>1028940</v>
      </c>
      <c r="D9" s="405">
        <v>735827</v>
      </c>
      <c r="E9" s="405">
        <v>90879</v>
      </c>
      <c r="F9" s="405">
        <v>6216</v>
      </c>
      <c r="G9" s="406">
        <v>817</v>
      </c>
      <c r="H9" s="394">
        <f t="shared" ref="H9:H31" si="13">SUM(C9:G9)</f>
        <v>1862679</v>
      </c>
      <c r="I9" s="393">
        <v>170086</v>
      </c>
      <c r="J9" s="394">
        <f t="shared" ref="J9:J31" si="14">H9+I9</f>
        <v>2032765</v>
      </c>
      <c r="L9" s="403"/>
      <c r="M9" s="404">
        <f t="shared" ref="M9:M31" si="15">$B9</f>
        <v>2</v>
      </c>
      <c r="N9" s="407">
        <v>1049964397.711</v>
      </c>
      <c r="O9" s="407">
        <v>733918320.75900006</v>
      </c>
      <c r="P9" s="407">
        <v>94376478.719999984</v>
      </c>
      <c r="Q9" s="407">
        <v>6154348.4289999995</v>
      </c>
      <c r="R9" s="408">
        <v>862119.03200000001</v>
      </c>
      <c r="S9" s="394">
        <f t="shared" ref="S9:S31" si="16">SUM(N9:R9)</f>
        <v>1885275664.651</v>
      </c>
      <c r="T9" s="394">
        <v>159944766.20200002</v>
      </c>
      <c r="U9" s="394">
        <f t="shared" ref="U9:U31" si="17">S9+T9</f>
        <v>2045220430.8530002</v>
      </c>
      <c r="W9" s="403"/>
      <c r="X9" s="404">
        <f t="shared" ref="X9:X31" si="18">$B9</f>
        <v>2</v>
      </c>
      <c r="Y9" s="407">
        <f t="shared" ref="Y9:AB31" si="19">C9*1000-N9</f>
        <v>-21024397.710999966</v>
      </c>
      <c r="Z9" s="407">
        <f t="shared" si="1"/>
        <v>1908679.2409999371</v>
      </c>
      <c r="AA9" s="407">
        <f t="shared" si="1"/>
        <v>-3497478.7199999839</v>
      </c>
      <c r="AB9" s="407">
        <f t="shared" si="1"/>
        <v>61651.571000000462</v>
      </c>
      <c r="AC9" s="409"/>
      <c r="AD9" s="410">
        <f t="shared" ref="AD9:AD31" si="20">$B9</f>
        <v>2</v>
      </c>
      <c r="AE9" s="411">
        <v>555.41399999999999</v>
      </c>
      <c r="AF9" s="412">
        <v>862119.03200000001</v>
      </c>
      <c r="AG9" s="412">
        <v>1049756323.918</v>
      </c>
      <c r="AH9" s="412">
        <v>208073.79300000001</v>
      </c>
      <c r="AI9" s="412">
        <v>23733964.315000001</v>
      </c>
      <c r="AJ9" s="412">
        <v>2573574.2459999998</v>
      </c>
      <c r="AK9" s="412">
        <v>12666545.169</v>
      </c>
      <c r="AL9" s="412">
        <v>1398661.8049999999</v>
      </c>
      <c r="AM9" s="412">
        <v>200844317.877</v>
      </c>
      <c r="AN9" s="412">
        <v>7703852.9139999999</v>
      </c>
      <c r="AO9" s="412">
        <v>217367912.53999999</v>
      </c>
      <c r="AP9" s="412">
        <v>14546840.439999999</v>
      </c>
      <c r="AQ9" s="412">
        <v>124121555.906</v>
      </c>
      <c r="AR9" s="412">
        <v>16870368.295000002</v>
      </c>
      <c r="AS9" s="412">
        <v>256268.68700000001</v>
      </c>
      <c r="AT9" s="412">
        <v>64242691.82</v>
      </c>
      <c r="AU9" s="412">
        <v>36909518.700999998</v>
      </c>
      <c r="AV9" s="412">
        <v>12208</v>
      </c>
      <c r="AW9" s="412">
        <v>38437924.453000002</v>
      </c>
      <c r="AX9" s="412">
        <v>4380076.2850000001</v>
      </c>
      <c r="AY9" s="412">
        <v>13457506.797</v>
      </c>
      <c r="AZ9" s="412">
        <v>1591113.6810000001</v>
      </c>
      <c r="BA9" s="412">
        <v>5084687.1519999998</v>
      </c>
      <c r="BB9" s="412">
        <v>32750781.688000001</v>
      </c>
      <c r="BC9" s="412">
        <v>8881134.9330000002</v>
      </c>
      <c r="BD9" s="412">
        <v>1110586.3629999999</v>
      </c>
      <c r="BE9" s="412">
        <v>103913.213</v>
      </c>
      <c r="BF9" s="412">
        <v>4200</v>
      </c>
      <c r="BG9" s="412">
        <v>103984.06600000001</v>
      </c>
      <c r="BH9" s="412">
        <v>1037446.2830000001</v>
      </c>
      <c r="BI9" s="412">
        <v>2997758.3139999998</v>
      </c>
      <c r="BJ9" s="412">
        <v>554881.30700000003</v>
      </c>
      <c r="BK9" s="412">
        <v>146719.217</v>
      </c>
      <c r="BL9" s="412">
        <v>140726.073</v>
      </c>
      <c r="BM9" s="412">
        <v>241023.46900000001</v>
      </c>
      <c r="BN9" s="412">
        <v>169447.58</v>
      </c>
      <c r="BO9" s="412">
        <v>6400.9049999999997</v>
      </c>
      <c r="BP9" s="413">
        <f>SUM(AE9:BO9)</f>
        <v>1885275664.6509998</v>
      </c>
      <c r="BQ9" s="412">
        <v>6277773.1809999999</v>
      </c>
      <c r="BR9" s="412">
        <v>129245945.55700001</v>
      </c>
      <c r="BS9" s="412">
        <v>24421047.464000002</v>
      </c>
      <c r="BT9" s="413">
        <f>BP9+SUM(BQ9:BS9)</f>
        <v>2045220430.8529997</v>
      </c>
      <c r="BU9" s="413">
        <v>39231729.984894224</v>
      </c>
      <c r="BW9" s="409"/>
      <c r="BX9" s="410">
        <f t="shared" ref="BX9:BX31" si="21">$B9</f>
        <v>2</v>
      </c>
      <c r="BY9" s="401">
        <f t="shared" si="2"/>
        <v>1049756000</v>
      </c>
      <c r="BZ9" s="401">
        <f t="shared" si="3"/>
        <v>208000</v>
      </c>
      <c r="CA9" s="401">
        <f t="shared" ref="CA9:CA31" si="22">ROUND(SUM(AI9,AM9:AN9,BD9),-3)</f>
        <v>233393000</v>
      </c>
      <c r="CB9" s="401">
        <f>ROUND(SUM(AK9,AO9:AP9,BE9),-3)-1000</f>
        <v>244684000</v>
      </c>
      <c r="CC9" s="401">
        <f t="shared" ref="CC9:CC31" si="23">ROUND(SUM(AL9,AQ9:AR9),-3)</f>
        <v>142391000</v>
      </c>
      <c r="CD9" s="401">
        <f t="shared" ref="CD9:CD31" si="24">ROUND(SUM(AS9),-3)</f>
        <v>256000</v>
      </c>
      <c r="CE9" s="401">
        <f t="shared" ref="CE9:CE31" si="25">ROUND(SUM(AJ9,AT9:AU9),-3)</f>
        <v>103726000</v>
      </c>
      <c r="CF9" s="401">
        <f t="shared" ref="CF9:CF31" si="26">ROUND(SUM(AV9),-3)</f>
        <v>12000</v>
      </c>
      <c r="CG9" s="401">
        <f t="shared" ref="CG9:CG31" si="27">ROUND(SUM(AY9),-3)</f>
        <v>13458000</v>
      </c>
      <c r="CH9" s="401">
        <f t="shared" si="4"/>
        <v>42818000</v>
      </c>
      <c r="CI9" s="401">
        <f t="shared" si="5"/>
        <v>6676000</v>
      </c>
      <c r="CJ9" s="401">
        <f t="shared" si="6"/>
        <v>41632000</v>
      </c>
      <c r="CK9" s="401">
        <f t="shared" si="7"/>
        <v>5403000</v>
      </c>
      <c r="CL9" s="401">
        <f t="shared" si="8"/>
        <v>862000</v>
      </c>
      <c r="CM9" s="401">
        <f t="shared" si="9"/>
        <v>159945000</v>
      </c>
      <c r="CN9" s="401">
        <f t="shared" si="10"/>
        <v>2045220000</v>
      </c>
      <c r="CO9" s="402">
        <f t="shared" si="11"/>
        <v>2045220000</v>
      </c>
      <c r="CP9" s="402">
        <f t="shared" si="12"/>
        <v>0</v>
      </c>
    </row>
    <row r="10" spans="1:94" ht="15.75" thickBot="1">
      <c r="A10" s="414"/>
      <c r="B10" s="415">
        <v>3</v>
      </c>
      <c r="C10" s="416">
        <v>1043446</v>
      </c>
      <c r="D10" s="416">
        <v>798237</v>
      </c>
      <c r="E10" s="416">
        <v>105281</v>
      </c>
      <c r="F10" s="416">
        <v>6900</v>
      </c>
      <c r="G10" s="417">
        <v>814</v>
      </c>
      <c r="H10" s="418">
        <f t="shared" si="13"/>
        <v>1954678</v>
      </c>
      <c r="I10" s="419">
        <v>170312</v>
      </c>
      <c r="J10" s="418">
        <f t="shared" si="14"/>
        <v>2124990</v>
      </c>
      <c r="K10" s="420"/>
      <c r="L10" s="414"/>
      <c r="M10" s="415">
        <f t="shared" si="15"/>
        <v>3</v>
      </c>
      <c r="N10" s="421">
        <v>1042921009.786</v>
      </c>
      <c r="O10" s="421">
        <v>777645956.824</v>
      </c>
      <c r="P10" s="421">
        <v>103999548.96600001</v>
      </c>
      <c r="Q10" s="421">
        <v>6515929.1859999988</v>
      </c>
      <c r="R10" s="422">
        <v>848856.29</v>
      </c>
      <c r="S10" s="418">
        <f t="shared" si="16"/>
        <v>1931931301.0520003</v>
      </c>
      <c r="T10" s="418">
        <v>175604529.55900005</v>
      </c>
      <c r="U10" s="418">
        <f t="shared" si="17"/>
        <v>2107535830.6110003</v>
      </c>
      <c r="V10" s="420"/>
      <c r="W10" s="414"/>
      <c r="X10" s="415">
        <f t="shared" si="18"/>
        <v>3</v>
      </c>
      <c r="Y10" s="421">
        <f t="shared" si="19"/>
        <v>524990.21399998665</v>
      </c>
      <c r="Z10" s="421">
        <f t="shared" si="1"/>
        <v>20591043.175999999</v>
      </c>
      <c r="AA10" s="421">
        <f t="shared" si="1"/>
        <v>1281451.0339999944</v>
      </c>
      <c r="AB10" s="421">
        <f t="shared" si="1"/>
        <v>384070.81400000118</v>
      </c>
      <c r="AC10" s="423"/>
      <c r="AD10" s="424">
        <f t="shared" si="20"/>
        <v>3</v>
      </c>
      <c r="AE10" s="425">
        <v>667.86393402649242</v>
      </c>
      <c r="AF10" s="426">
        <v>814000</v>
      </c>
      <c r="AG10" s="426">
        <v>1043234859.2855238</v>
      </c>
      <c r="AH10" s="426">
        <v>211140.71447616356</v>
      </c>
      <c r="AI10" s="426">
        <v>24598525.34013899</v>
      </c>
      <c r="AJ10" s="426">
        <v>2709596.7874487736</v>
      </c>
      <c r="AK10" s="426">
        <v>13366537.715815933</v>
      </c>
      <c r="AL10" s="426">
        <v>1508238.5135250604</v>
      </c>
      <c r="AM10" s="426">
        <v>214135884.48799202</v>
      </c>
      <c r="AN10" s="426">
        <v>8259307.5207103491</v>
      </c>
      <c r="AO10" s="426">
        <v>238957794.68394059</v>
      </c>
      <c r="AP10" s="426">
        <v>16072288.926150976</v>
      </c>
      <c r="AQ10" s="426">
        <v>137841189.47386551</v>
      </c>
      <c r="AR10" s="426">
        <v>19409391.829022955</v>
      </c>
      <c r="AS10" s="426">
        <v>279040.32589984144</v>
      </c>
      <c r="AT10" s="426">
        <v>70714422.3358735</v>
      </c>
      <c r="AU10" s="426">
        <v>40801246.866532147</v>
      </c>
      <c r="AV10" s="426">
        <v>4022.0278266770142</v>
      </c>
      <c r="AW10" s="426">
        <v>42185716.493599162</v>
      </c>
      <c r="AX10" s="426">
        <v>4777363.3947782535</v>
      </c>
      <c r="AY10" s="426">
        <v>13597350.323316861</v>
      </c>
      <c r="AZ10" s="426">
        <v>1804293.8260848692</v>
      </c>
      <c r="BA10" s="426">
        <v>5940888.8670362523</v>
      </c>
      <c r="BB10" s="426">
        <v>36002616.183048107</v>
      </c>
      <c r="BC10" s="426">
        <v>10020512.595769068</v>
      </c>
      <c r="BD10" s="426">
        <v>1150935.4804550514</v>
      </c>
      <c r="BE10" s="426">
        <v>102682.80621243696</v>
      </c>
      <c r="BF10" s="426">
        <v>4775.4936113880603</v>
      </c>
      <c r="BG10" s="426">
        <v>129113.9363220207</v>
      </c>
      <c r="BH10" s="426">
        <v>1173250.4881614596</v>
      </c>
      <c r="BI10" s="426">
        <v>3420778.5795295178</v>
      </c>
      <c r="BJ10" s="426">
        <v>629342.67699084245</v>
      </c>
      <c r="BK10" s="426">
        <v>169017.53845795934</v>
      </c>
      <c r="BL10" s="426">
        <v>161633.34436316817</v>
      </c>
      <c r="BM10" s="426">
        <v>288452.67478325852</v>
      </c>
      <c r="BN10" s="426">
        <v>193777.35094302153</v>
      </c>
      <c r="BO10" s="426">
        <v>7343.2478600032273</v>
      </c>
      <c r="BP10" s="427">
        <f t="shared" ref="BP10:BP31" si="28">SUM(AE10:BO10)</f>
        <v>1954678000.0000002</v>
      </c>
      <c r="BQ10" s="426">
        <v>6426953.1519497251</v>
      </c>
      <c r="BR10" s="426">
        <v>138165787.37717777</v>
      </c>
      <c r="BS10" s="426">
        <v>25719259.470872469</v>
      </c>
      <c r="BT10" s="427">
        <f t="shared" ref="BT10:BT11" si="29">BP10+SUM(BQ10:BS10)</f>
        <v>2124990000.0000002</v>
      </c>
      <c r="BU10" s="427">
        <v>36762665.061184295</v>
      </c>
      <c r="BW10" s="423"/>
      <c r="BX10" s="424">
        <f t="shared" si="21"/>
        <v>3</v>
      </c>
      <c r="BY10" s="401">
        <f t="shared" si="2"/>
        <v>1043235000</v>
      </c>
      <c r="BZ10" s="401">
        <f t="shared" si="3"/>
        <v>211000</v>
      </c>
      <c r="CA10" s="401">
        <f t="shared" si="22"/>
        <v>248145000</v>
      </c>
      <c r="CB10" s="401">
        <f>ROUND(SUM(AK10,AO10:AP10,BE10),-3)+1000</f>
        <v>268500000</v>
      </c>
      <c r="CC10" s="401">
        <f t="shared" si="23"/>
        <v>158759000</v>
      </c>
      <c r="CD10" s="401">
        <f t="shared" si="24"/>
        <v>279000</v>
      </c>
      <c r="CE10" s="401">
        <f t="shared" si="25"/>
        <v>114225000</v>
      </c>
      <c r="CF10" s="401">
        <f t="shared" si="26"/>
        <v>4000</v>
      </c>
      <c r="CG10" s="401">
        <f t="shared" si="27"/>
        <v>13597000</v>
      </c>
      <c r="CH10" s="401">
        <f t="shared" si="4"/>
        <v>46963000</v>
      </c>
      <c r="CI10" s="401">
        <f t="shared" si="5"/>
        <v>7745000</v>
      </c>
      <c r="CJ10" s="401">
        <f t="shared" si="6"/>
        <v>46023000</v>
      </c>
      <c r="CK10" s="401">
        <f t="shared" si="7"/>
        <v>6178000</v>
      </c>
      <c r="CL10" s="401">
        <f t="shared" si="8"/>
        <v>814000</v>
      </c>
      <c r="CM10" s="401">
        <f t="shared" si="9"/>
        <v>170312000</v>
      </c>
      <c r="CN10" s="401">
        <f t="shared" si="10"/>
        <v>2124990000</v>
      </c>
      <c r="CO10" s="402">
        <f t="shared" si="11"/>
        <v>2124990000</v>
      </c>
      <c r="CP10" s="402">
        <f t="shared" si="12"/>
        <v>0</v>
      </c>
    </row>
    <row r="11" spans="1:94" ht="15">
      <c r="A11" s="428"/>
      <c r="B11" s="429">
        <v>4</v>
      </c>
      <c r="C11" s="430">
        <v>862615</v>
      </c>
      <c r="D11" s="430">
        <v>737689</v>
      </c>
      <c r="E11" s="430">
        <v>97809</v>
      </c>
      <c r="F11" s="430">
        <v>6157</v>
      </c>
      <c r="G11" s="431">
        <v>591</v>
      </c>
      <c r="H11" s="432">
        <f t="shared" si="13"/>
        <v>1704861</v>
      </c>
      <c r="I11" s="433">
        <v>169644</v>
      </c>
      <c r="J11" s="432">
        <f t="shared" si="14"/>
        <v>1874505</v>
      </c>
      <c r="K11" s="434"/>
      <c r="L11" s="428"/>
      <c r="M11" s="429">
        <f t="shared" si="15"/>
        <v>4</v>
      </c>
      <c r="N11" s="435">
        <v>846870265.47223794</v>
      </c>
      <c r="O11" s="435">
        <v>738406097.84357595</v>
      </c>
      <c r="P11" s="435">
        <v>98584882.689807639</v>
      </c>
      <c r="Q11" s="435">
        <v>6426913.1006472744</v>
      </c>
      <c r="R11" s="436">
        <v>602585.90041367337</v>
      </c>
      <c r="S11" s="432">
        <f t="shared" si="16"/>
        <v>1690890745.0066826</v>
      </c>
      <c r="T11" s="432">
        <v>156223973.08454442</v>
      </c>
      <c r="U11" s="432">
        <f t="shared" si="17"/>
        <v>1847114718.0912271</v>
      </c>
      <c r="V11" s="434"/>
      <c r="W11" s="428"/>
      <c r="X11" s="429">
        <f t="shared" si="18"/>
        <v>4</v>
      </c>
      <c r="Y11" s="435">
        <f t="shared" si="19"/>
        <v>15744734.527762055</v>
      </c>
      <c r="Z11" s="435">
        <f t="shared" si="1"/>
        <v>-717097.84357595444</v>
      </c>
      <c r="AA11" s="435">
        <f t="shared" si="1"/>
        <v>-775882.68980763853</v>
      </c>
      <c r="AB11" s="435">
        <f t="shared" si="1"/>
        <v>-269913.1006472744</v>
      </c>
      <c r="AC11" s="437"/>
      <c r="AD11" s="438">
        <f t="shared" si="20"/>
        <v>4</v>
      </c>
      <c r="AE11" s="439">
        <v>579.53361637867999</v>
      </c>
      <c r="AF11" s="440">
        <v>591000</v>
      </c>
      <c r="AG11" s="440">
        <v>862446901.36074638</v>
      </c>
      <c r="AH11" s="440">
        <v>168098.6392536042</v>
      </c>
      <c r="AI11" s="440">
        <v>20314480.350858007</v>
      </c>
      <c r="AJ11" s="440">
        <v>2743122.1927501266</v>
      </c>
      <c r="AK11" s="440">
        <v>11642100.642885538</v>
      </c>
      <c r="AL11" s="440">
        <v>1376845.3826094074</v>
      </c>
      <c r="AM11" s="440">
        <v>203249958.99144855</v>
      </c>
      <c r="AN11" s="440">
        <v>7635999.2714214372</v>
      </c>
      <c r="AO11" s="440">
        <v>217971790.8902593</v>
      </c>
      <c r="AP11" s="440">
        <v>14774668.269428035</v>
      </c>
      <c r="AQ11" s="440">
        <v>127394675.23880063</v>
      </c>
      <c r="AR11" s="440">
        <v>18329413.260539494</v>
      </c>
      <c r="AS11" s="440">
        <v>571930.54682678869</v>
      </c>
      <c r="AT11" s="440">
        <v>64042222.425262503</v>
      </c>
      <c r="AU11" s="440">
        <v>39083034.998678789</v>
      </c>
      <c r="AV11" s="440">
        <v>409286.94248400262</v>
      </c>
      <c r="AW11" s="440">
        <v>41664222.285870582</v>
      </c>
      <c r="AX11" s="440">
        <v>4487537.4439067123</v>
      </c>
      <c r="AY11" s="440">
        <v>9356115.5726861358</v>
      </c>
      <c r="AZ11" s="440">
        <v>1716087.2779671075</v>
      </c>
      <c r="BA11" s="440">
        <v>3710178.3860597946</v>
      </c>
      <c r="BB11" s="440">
        <v>34724006.358256958</v>
      </c>
      <c r="BC11" s="440">
        <v>9788168.3699657172</v>
      </c>
      <c r="BD11" s="440">
        <v>917275.74963654054</v>
      </c>
      <c r="BE11" s="440">
        <v>68249.182449579748</v>
      </c>
      <c r="BF11" s="440">
        <v>4647.5402403071939</v>
      </c>
      <c r="BG11" s="440">
        <v>156590.26501459649</v>
      </c>
      <c r="BH11" s="440">
        <v>1105851.1148421431</v>
      </c>
      <c r="BI11" s="440">
        <v>2942452.3359533125</v>
      </c>
      <c r="BJ11" s="440">
        <v>561428.24204194522</v>
      </c>
      <c r="BK11" s="440">
        <v>162232.81799790321</v>
      </c>
      <c r="BL11" s="440">
        <v>153211.44174191976</v>
      </c>
      <c r="BM11" s="440">
        <v>399926.03620519635</v>
      </c>
      <c r="BN11" s="440">
        <v>189207.23755835046</v>
      </c>
      <c r="BO11" s="440">
        <v>7503.4037361380497</v>
      </c>
      <c r="BP11" s="441">
        <f t="shared" si="28"/>
        <v>1704861000</v>
      </c>
      <c r="BQ11" s="440">
        <v>7121276.983144003</v>
      </c>
      <c r="BR11" s="440">
        <v>139738620.1504648</v>
      </c>
      <c r="BS11" s="440">
        <v>22784102.866391201</v>
      </c>
      <c r="BT11" s="441">
        <f t="shared" si="29"/>
        <v>1874505000</v>
      </c>
      <c r="BU11" s="441">
        <v>36798948.247195102</v>
      </c>
      <c r="BW11" s="437"/>
      <c r="BX11" s="438">
        <f t="shared" si="21"/>
        <v>4</v>
      </c>
      <c r="BY11" s="401">
        <f t="shared" si="2"/>
        <v>862447000</v>
      </c>
      <c r="BZ11" s="401">
        <f t="shared" si="3"/>
        <v>168000</v>
      </c>
      <c r="CA11" s="401">
        <f t="shared" si="22"/>
        <v>232118000</v>
      </c>
      <c r="CB11" s="401">
        <f t="shared" ref="CB11:CB27" si="30">ROUND(SUM(AK11,AO11:AP11,BE11),-3)</f>
        <v>244457000</v>
      </c>
      <c r="CC11" s="401">
        <f t="shared" si="23"/>
        <v>147101000</v>
      </c>
      <c r="CD11" s="401">
        <f t="shared" si="24"/>
        <v>572000</v>
      </c>
      <c r="CE11" s="401">
        <f t="shared" si="25"/>
        <v>105868000</v>
      </c>
      <c r="CF11" s="401">
        <f t="shared" si="26"/>
        <v>409000</v>
      </c>
      <c r="CG11" s="401">
        <f t="shared" si="27"/>
        <v>9356000</v>
      </c>
      <c r="CH11" s="401">
        <f t="shared" si="4"/>
        <v>46152000</v>
      </c>
      <c r="CI11" s="401">
        <f t="shared" si="5"/>
        <v>5426000</v>
      </c>
      <c r="CJ11" s="401">
        <f t="shared" si="6"/>
        <v>44512000</v>
      </c>
      <c r="CK11" s="401">
        <f t="shared" si="7"/>
        <v>5684000</v>
      </c>
      <c r="CL11" s="401">
        <f t="shared" si="8"/>
        <v>591000</v>
      </c>
      <c r="CM11" s="401">
        <f t="shared" si="9"/>
        <v>169644000</v>
      </c>
      <c r="CN11" s="401">
        <f t="shared" si="10"/>
        <v>1874505000</v>
      </c>
      <c r="CO11" s="402">
        <f t="shared" si="11"/>
        <v>1874505000</v>
      </c>
      <c r="CP11" s="402">
        <f t="shared" si="12"/>
        <v>0</v>
      </c>
    </row>
    <row r="12" spans="1:94" ht="15">
      <c r="A12" s="403"/>
      <c r="B12" s="404">
        <v>5</v>
      </c>
      <c r="C12" s="405">
        <v>738331</v>
      </c>
      <c r="D12" s="405">
        <v>727288</v>
      </c>
      <c r="E12" s="405">
        <v>103671</v>
      </c>
      <c r="F12" s="405">
        <v>6517</v>
      </c>
      <c r="G12" s="406">
        <v>457</v>
      </c>
      <c r="H12" s="394">
        <f t="shared" si="13"/>
        <v>1576264</v>
      </c>
      <c r="I12" s="393">
        <v>169585</v>
      </c>
      <c r="J12" s="394">
        <f t="shared" si="14"/>
        <v>1745849</v>
      </c>
      <c r="L12" s="403"/>
      <c r="M12" s="404">
        <f t="shared" si="15"/>
        <v>5</v>
      </c>
      <c r="N12" s="407">
        <v>738428700.73898602</v>
      </c>
      <c r="O12" s="407">
        <v>751681747.78109145</v>
      </c>
      <c r="P12" s="407">
        <v>101717684.5244341</v>
      </c>
      <c r="Q12" s="407">
        <v>6269519.4884160962</v>
      </c>
      <c r="R12" s="408">
        <v>442532.05235925998</v>
      </c>
      <c r="S12" s="394">
        <f t="shared" si="16"/>
        <v>1598540184.5852871</v>
      </c>
      <c r="T12" s="394">
        <v>173535230.46044484</v>
      </c>
      <c r="U12" s="394">
        <f t="shared" si="17"/>
        <v>1772075415.045732</v>
      </c>
      <c r="W12" s="403"/>
      <c r="X12" s="404">
        <f t="shared" si="18"/>
        <v>5</v>
      </c>
      <c r="Y12" s="407">
        <f t="shared" si="19"/>
        <v>-97700.73898601532</v>
      </c>
      <c r="Z12" s="407">
        <f t="shared" si="1"/>
        <v>-24393747.781091452</v>
      </c>
      <c r="AA12" s="407">
        <f t="shared" si="1"/>
        <v>1953315.4755658954</v>
      </c>
      <c r="AB12" s="407">
        <f t="shared" si="1"/>
        <v>247480.5115839038</v>
      </c>
      <c r="AC12" s="409"/>
      <c r="AD12" s="410">
        <f t="shared" si="20"/>
        <v>5</v>
      </c>
      <c r="AE12" s="411">
        <v>622.048349868267</v>
      </c>
      <c r="AF12" s="412">
        <v>456999.99999999994</v>
      </c>
      <c r="AG12" s="412">
        <v>738164864.71140289</v>
      </c>
      <c r="AH12" s="412">
        <v>166135.28859708586</v>
      </c>
      <c r="AI12" s="412">
        <v>18399236.868517138</v>
      </c>
      <c r="AJ12" s="412">
        <v>2505059.0742500802</v>
      </c>
      <c r="AK12" s="412">
        <v>10695362.70537024</v>
      </c>
      <c r="AL12" s="412">
        <v>1271808.7860583689</v>
      </c>
      <c r="AM12" s="412">
        <v>193461032.84421244</v>
      </c>
      <c r="AN12" s="412">
        <v>7561143.5491122194</v>
      </c>
      <c r="AO12" s="412">
        <v>214415249.23805377</v>
      </c>
      <c r="AP12" s="412">
        <v>15144474.36184378</v>
      </c>
      <c r="AQ12" s="412">
        <v>129192313.45373181</v>
      </c>
      <c r="AR12" s="412">
        <v>20239614.409964357</v>
      </c>
      <c r="AS12" s="412">
        <v>1438673.2049265574</v>
      </c>
      <c r="AT12" s="412">
        <v>67421826.624067321</v>
      </c>
      <c r="AU12" s="412">
        <v>41572654.89836061</v>
      </c>
      <c r="AV12" s="412">
        <v>710369.75253376621</v>
      </c>
      <c r="AW12" s="412">
        <v>42730200.857101865</v>
      </c>
      <c r="AX12" s="412">
        <v>5298117.1780417142</v>
      </c>
      <c r="AY12" s="412">
        <v>8000308.3726007082</v>
      </c>
      <c r="AZ12" s="412">
        <v>1505292.6282822043</v>
      </c>
      <c r="BA12" s="412">
        <v>3893937.0844963058</v>
      </c>
      <c r="BB12" s="412">
        <v>35042983.791532561</v>
      </c>
      <c r="BC12" s="412">
        <v>9961058.5181810148</v>
      </c>
      <c r="BD12" s="412">
        <v>886874.60653163132</v>
      </c>
      <c r="BE12" s="412">
        <v>65401.263368548251</v>
      </c>
      <c r="BF12" s="412">
        <v>5019.1897819815595</v>
      </c>
      <c r="BG12" s="412">
        <v>191479.95182874985</v>
      </c>
      <c r="BH12" s="412">
        <v>1189163.5081149014</v>
      </c>
      <c r="BI12" s="412">
        <v>3157568.7908353503</v>
      </c>
      <c r="BJ12" s="412">
        <v>601854.7437275307</v>
      </c>
      <c r="BK12" s="412">
        <v>156824.90595247448</v>
      </c>
      <c r="BL12" s="412">
        <v>148883.10405838417</v>
      </c>
      <c r="BM12" s="412">
        <v>419015.89746143809</v>
      </c>
      <c r="BN12" s="412">
        <v>185464.94211594944</v>
      </c>
      <c r="BO12" s="412">
        <v>7108.8466342174752</v>
      </c>
      <c r="BP12" s="413">
        <f t="shared" si="28"/>
        <v>1576263999.9999993</v>
      </c>
      <c r="BQ12" s="412">
        <v>6766554.9098388739</v>
      </c>
      <c r="BR12" s="412">
        <v>139965081.48113033</v>
      </c>
      <c r="BS12" s="412">
        <v>22853363.609030794</v>
      </c>
      <c r="BT12" s="413">
        <f t="shared" ref="BT12:BT31" si="31">BP12+SUM(BQ12:BS12)</f>
        <v>1745848999.9999993</v>
      </c>
      <c r="BU12" s="413">
        <v>36285179.889925227</v>
      </c>
      <c r="BW12" s="409"/>
      <c r="BX12" s="410">
        <f t="shared" si="21"/>
        <v>5</v>
      </c>
      <c r="BY12" s="401">
        <f t="shared" si="2"/>
        <v>738165000</v>
      </c>
      <c r="BZ12" s="401">
        <f t="shared" si="3"/>
        <v>166000</v>
      </c>
      <c r="CA12" s="401">
        <f t="shared" si="22"/>
        <v>220308000</v>
      </c>
      <c r="CB12" s="401">
        <f>ROUND(SUM(AK12,AO12:AP12,BE12),-3)+1000</f>
        <v>240321000</v>
      </c>
      <c r="CC12" s="401">
        <f t="shared" si="23"/>
        <v>150704000</v>
      </c>
      <c r="CD12" s="401">
        <f t="shared" si="24"/>
        <v>1439000</v>
      </c>
      <c r="CE12" s="401">
        <f t="shared" si="25"/>
        <v>111500000</v>
      </c>
      <c r="CF12" s="401">
        <f t="shared" si="26"/>
        <v>710000</v>
      </c>
      <c r="CG12" s="401">
        <f t="shared" si="27"/>
        <v>8000000</v>
      </c>
      <c r="CH12" s="401">
        <f t="shared" si="4"/>
        <v>48028000</v>
      </c>
      <c r="CI12" s="401">
        <f t="shared" si="5"/>
        <v>5399000</v>
      </c>
      <c r="CJ12" s="401">
        <f t="shared" si="6"/>
        <v>45004000</v>
      </c>
      <c r="CK12" s="401">
        <f t="shared" si="7"/>
        <v>6063000</v>
      </c>
      <c r="CL12" s="401">
        <f t="shared" si="8"/>
        <v>457000</v>
      </c>
      <c r="CM12" s="401">
        <f t="shared" si="9"/>
        <v>169585000</v>
      </c>
      <c r="CN12" s="401">
        <f t="shared" si="10"/>
        <v>1745849000</v>
      </c>
      <c r="CO12" s="402">
        <f t="shared" si="11"/>
        <v>1745849000</v>
      </c>
      <c r="CP12" s="402">
        <f t="shared" si="12"/>
        <v>0</v>
      </c>
    </row>
    <row r="13" spans="1:94" ht="15">
      <c r="A13" s="403"/>
      <c r="B13" s="404">
        <v>6</v>
      </c>
      <c r="C13" s="405">
        <v>682241</v>
      </c>
      <c r="D13" s="405">
        <v>731934</v>
      </c>
      <c r="E13" s="405">
        <v>105811</v>
      </c>
      <c r="F13" s="405">
        <v>6523</v>
      </c>
      <c r="G13" s="406">
        <v>356</v>
      </c>
      <c r="H13" s="394">
        <f t="shared" si="13"/>
        <v>1526865</v>
      </c>
      <c r="I13" s="393">
        <v>169575</v>
      </c>
      <c r="J13" s="394">
        <f t="shared" si="14"/>
        <v>1696440</v>
      </c>
      <c r="L13" s="403"/>
      <c r="M13" s="404">
        <f t="shared" si="15"/>
        <v>6</v>
      </c>
      <c r="N13" s="407">
        <v>673593370.3428241</v>
      </c>
      <c r="O13" s="407">
        <v>723345027.39942467</v>
      </c>
      <c r="P13" s="407">
        <v>98720088.534471124</v>
      </c>
      <c r="Q13" s="407">
        <v>6216522.903278078</v>
      </c>
      <c r="R13" s="408">
        <v>338551.81323937851</v>
      </c>
      <c r="S13" s="394">
        <f t="shared" si="16"/>
        <v>1502213560.9932373</v>
      </c>
      <c r="T13" s="394">
        <v>169704914.35981143</v>
      </c>
      <c r="U13" s="394">
        <f t="shared" si="17"/>
        <v>1671918475.3530488</v>
      </c>
      <c r="W13" s="403"/>
      <c r="X13" s="404">
        <f t="shared" si="18"/>
        <v>6</v>
      </c>
      <c r="Y13" s="407">
        <f t="shared" si="19"/>
        <v>8647629.6571758986</v>
      </c>
      <c r="Z13" s="407">
        <f t="shared" si="1"/>
        <v>8588972.6005753279</v>
      </c>
      <c r="AA13" s="407">
        <f t="shared" si="1"/>
        <v>7090911.4655288756</v>
      </c>
      <c r="AB13" s="407">
        <f t="shared" si="1"/>
        <v>306477.09672192205</v>
      </c>
      <c r="AC13" s="409"/>
      <c r="AD13" s="410">
        <f t="shared" si="20"/>
        <v>6</v>
      </c>
      <c r="AE13" s="411">
        <v>624.6351814996865</v>
      </c>
      <c r="AF13" s="412">
        <v>356000</v>
      </c>
      <c r="AG13" s="412">
        <v>682053315.02451575</v>
      </c>
      <c r="AH13" s="412">
        <v>187684.97548416149</v>
      </c>
      <c r="AI13" s="412">
        <v>18543581.324536499</v>
      </c>
      <c r="AJ13" s="412">
        <v>2506790.2549956501</v>
      </c>
      <c r="AK13" s="412">
        <v>10796024.988003563</v>
      </c>
      <c r="AL13" s="412">
        <v>1402660.0682080328</v>
      </c>
      <c r="AM13" s="412">
        <v>192852832.15509906</v>
      </c>
      <c r="AN13" s="412">
        <v>7599048.3276770301</v>
      </c>
      <c r="AO13" s="412">
        <v>216204111.8447462</v>
      </c>
      <c r="AP13" s="412">
        <v>15454877.128990842</v>
      </c>
      <c r="AQ13" s="412">
        <v>130350785.10896197</v>
      </c>
      <c r="AR13" s="412">
        <v>20212727.804405347</v>
      </c>
      <c r="AS13" s="412">
        <v>2111153.9848913671</v>
      </c>
      <c r="AT13" s="412">
        <v>67687732.584529936</v>
      </c>
      <c r="AU13" s="412">
        <v>42167170.613296427</v>
      </c>
      <c r="AV13" s="412">
        <v>746233.37184777588</v>
      </c>
      <c r="AW13" s="412">
        <v>43431098.548557542</v>
      </c>
      <c r="AX13" s="412">
        <v>5245264.9058290273</v>
      </c>
      <c r="AY13" s="412">
        <v>6606046.7732571773</v>
      </c>
      <c r="AZ13" s="412">
        <v>1718795.5600731056</v>
      </c>
      <c r="BA13" s="412">
        <v>4740847.0527691552</v>
      </c>
      <c r="BB13" s="412">
        <v>36463703.89444185</v>
      </c>
      <c r="BC13" s="412">
        <v>10391064.167032197</v>
      </c>
      <c r="BD13" s="412">
        <v>810603.18940733327</v>
      </c>
      <c r="BE13" s="412">
        <v>67476.19831920079</v>
      </c>
      <c r="BF13" s="412">
        <v>5283.0782325113823</v>
      </c>
      <c r="BG13" s="412">
        <v>187498.4999987898</v>
      </c>
      <c r="BH13" s="412">
        <v>1249472.316824198</v>
      </c>
      <c r="BI13" s="412">
        <v>3284792.2748702895</v>
      </c>
      <c r="BJ13" s="412">
        <v>631958.98758853949</v>
      </c>
      <c r="BK13" s="412">
        <v>162036.50156943538</v>
      </c>
      <c r="BL13" s="412">
        <v>152339.86662318691</v>
      </c>
      <c r="BM13" s="412">
        <v>285290.81957763783</v>
      </c>
      <c r="BN13" s="412">
        <v>190552.48621197074</v>
      </c>
      <c r="BO13" s="412">
        <v>7520.6834455599146</v>
      </c>
      <c r="BP13" s="413">
        <f t="shared" si="28"/>
        <v>1526865000.0000005</v>
      </c>
      <c r="BQ13" s="412">
        <v>6551137.8890099153</v>
      </c>
      <c r="BR13" s="412">
        <v>137534275.74024972</v>
      </c>
      <c r="BS13" s="412">
        <v>25489586.370740354</v>
      </c>
      <c r="BT13" s="413">
        <f t="shared" si="31"/>
        <v>1696440000.0000005</v>
      </c>
      <c r="BU13" s="413">
        <v>39291074.79616566</v>
      </c>
      <c r="BW13" s="409"/>
      <c r="BX13" s="410">
        <f t="shared" si="21"/>
        <v>6</v>
      </c>
      <c r="BY13" s="401">
        <f t="shared" si="2"/>
        <v>682053000</v>
      </c>
      <c r="BZ13" s="401">
        <f t="shared" si="3"/>
        <v>188000</v>
      </c>
      <c r="CA13" s="401">
        <f t="shared" si="22"/>
        <v>219806000</v>
      </c>
      <c r="CB13" s="401">
        <f>ROUND(SUM(AK13,AO13:AP13,BE13),-3)+1000</f>
        <v>242523000</v>
      </c>
      <c r="CC13" s="401">
        <f t="shared" si="23"/>
        <v>151966000</v>
      </c>
      <c r="CD13" s="401">
        <f t="shared" si="24"/>
        <v>2111000</v>
      </c>
      <c r="CE13" s="401">
        <f t="shared" si="25"/>
        <v>112362000</v>
      </c>
      <c r="CF13" s="401">
        <f t="shared" si="26"/>
        <v>746000</v>
      </c>
      <c r="CG13" s="401">
        <f t="shared" si="27"/>
        <v>6606000</v>
      </c>
      <c r="CH13" s="401">
        <f t="shared" si="4"/>
        <v>48676000</v>
      </c>
      <c r="CI13" s="401">
        <f t="shared" si="5"/>
        <v>6460000</v>
      </c>
      <c r="CJ13" s="401">
        <f t="shared" si="6"/>
        <v>46855000</v>
      </c>
      <c r="CK13" s="401">
        <f t="shared" si="7"/>
        <v>6157000</v>
      </c>
      <c r="CL13" s="401">
        <f t="shared" si="8"/>
        <v>356000</v>
      </c>
      <c r="CM13" s="401">
        <f t="shared" si="9"/>
        <v>169575000</v>
      </c>
      <c r="CN13" s="401">
        <f t="shared" si="10"/>
        <v>1696440000</v>
      </c>
      <c r="CO13" s="402">
        <f t="shared" si="11"/>
        <v>1696440000</v>
      </c>
      <c r="CP13" s="402">
        <f t="shared" si="12"/>
        <v>0</v>
      </c>
    </row>
    <row r="14" spans="1:94" ht="15">
      <c r="A14" s="403"/>
      <c r="B14" s="404">
        <v>7</v>
      </c>
      <c r="C14" s="405">
        <v>693377</v>
      </c>
      <c r="D14" s="405">
        <v>777656</v>
      </c>
      <c r="E14" s="405">
        <v>108466</v>
      </c>
      <c r="F14" s="405">
        <v>6279</v>
      </c>
      <c r="G14" s="406">
        <v>314</v>
      </c>
      <c r="H14" s="394">
        <f t="shared" si="13"/>
        <v>1586092</v>
      </c>
      <c r="I14" s="393">
        <v>169506</v>
      </c>
      <c r="J14" s="394">
        <f t="shared" si="14"/>
        <v>1755598</v>
      </c>
      <c r="L14" s="403"/>
      <c r="M14" s="404">
        <f t="shared" si="15"/>
        <v>7</v>
      </c>
      <c r="N14" s="407">
        <v>692340740.30667436</v>
      </c>
      <c r="O14" s="407">
        <v>772207045.28175843</v>
      </c>
      <c r="P14" s="407">
        <v>105797392.11829181</v>
      </c>
      <c r="Q14" s="407">
        <v>6123483.0104151974</v>
      </c>
      <c r="R14" s="408">
        <v>299791.51923975837</v>
      </c>
      <c r="S14" s="394">
        <f t="shared" si="16"/>
        <v>1576768452.2363796</v>
      </c>
      <c r="T14" s="394">
        <v>177571647.7896069</v>
      </c>
      <c r="U14" s="394">
        <f t="shared" si="17"/>
        <v>1754340100.0259864</v>
      </c>
      <c r="W14" s="403"/>
      <c r="X14" s="404">
        <f t="shared" si="18"/>
        <v>7</v>
      </c>
      <c r="Y14" s="407">
        <f t="shared" si="19"/>
        <v>1036259.6933256388</v>
      </c>
      <c r="Z14" s="407">
        <f t="shared" si="1"/>
        <v>5448954.7182415724</v>
      </c>
      <c r="AA14" s="407">
        <f t="shared" si="1"/>
        <v>2668607.8817081898</v>
      </c>
      <c r="AB14" s="407">
        <f t="shared" si="1"/>
        <v>155516.98958480265</v>
      </c>
      <c r="AC14" s="409"/>
      <c r="AD14" s="410">
        <f t="shared" si="20"/>
        <v>7</v>
      </c>
      <c r="AE14" s="411">
        <v>614.9513062629627</v>
      </c>
      <c r="AF14" s="412">
        <v>314000</v>
      </c>
      <c r="AG14" s="412">
        <v>693167536.73996711</v>
      </c>
      <c r="AH14" s="412">
        <v>209463.26003292241</v>
      </c>
      <c r="AI14" s="412">
        <v>19314857.799371909</v>
      </c>
      <c r="AJ14" s="412">
        <v>2671863.9728550506</v>
      </c>
      <c r="AK14" s="412">
        <v>11700902.685097033</v>
      </c>
      <c r="AL14" s="412">
        <v>1840905.4433153821</v>
      </c>
      <c r="AM14" s="412">
        <v>207271420.36391383</v>
      </c>
      <c r="AN14" s="412">
        <v>7681322.9471984385</v>
      </c>
      <c r="AO14" s="412">
        <v>228167782.10346791</v>
      </c>
      <c r="AP14" s="412">
        <v>15671383.228830688</v>
      </c>
      <c r="AQ14" s="412">
        <v>140407845.24972036</v>
      </c>
      <c r="AR14" s="412">
        <v>20157409.949558623</v>
      </c>
      <c r="AS14" s="412">
        <v>3488708.4431873248</v>
      </c>
      <c r="AT14" s="412">
        <v>69486569.701694041</v>
      </c>
      <c r="AU14" s="412">
        <v>42061229.748599783</v>
      </c>
      <c r="AV14" s="412">
        <v>1011847.9820665488</v>
      </c>
      <c r="AW14" s="412">
        <v>46418903.315445773</v>
      </c>
      <c r="AX14" s="412">
        <v>5789273.2375453925</v>
      </c>
      <c r="AY14" s="412">
        <v>5071929.3549880516</v>
      </c>
      <c r="AZ14" s="412">
        <v>1589276.6834411356</v>
      </c>
      <c r="BA14" s="412">
        <v>5142594.1859352477</v>
      </c>
      <c r="BB14" s="412">
        <v>38699536.229578309</v>
      </c>
      <c r="BC14" s="412">
        <v>11962786.702331837</v>
      </c>
      <c r="BD14" s="412">
        <v>831658.19596404803</v>
      </c>
      <c r="BE14" s="412">
        <v>75416.624353191743</v>
      </c>
      <c r="BF14" s="412">
        <v>4555.3366829535707</v>
      </c>
      <c r="BG14" s="412">
        <v>193359.41515771381</v>
      </c>
      <c r="BH14" s="412">
        <v>1180573.7851588228</v>
      </c>
      <c r="BI14" s="412">
        <v>3110330.9420226021</v>
      </c>
      <c r="BJ14" s="412">
        <v>596830.88875739533</v>
      </c>
      <c r="BK14" s="412">
        <v>162923.63364144485</v>
      </c>
      <c r="BL14" s="412">
        <v>154206.70827092708</v>
      </c>
      <c r="BM14" s="412">
        <v>285659.8605970089</v>
      </c>
      <c r="BN14" s="412">
        <v>189046.98645892023</v>
      </c>
      <c r="BO14" s="412">
        <v>7473.3434862144386</v>
      </c>
      <c r="BP14" s="413">
        <f t="shared" si="28"/>
        <v>1586092000.0000005</v>
      </c>
      <c r="BQ14" s="412">
        <v>6214616.4894412272</v>
      </c>
      <c r="BR14" s="412">
        <v>137833293.68104956</v>
      </c>
      <c r="BS14" s="412">
        <v>25458089.82950921</v>
      </c>
      <c r="BT14" s="413">
        <f t="shared" si="31"/>
        <v>1755598000.0000005</v>
      </c>
      <c r="BU14" s="413">
        <v>39147104.918130159</v>
      </c>
      <c r="BW14" s="409"/>
      <c r="BX14" s="410">
        <f t="shared" si="21"/>
        <v>7</v>
      </c>
      <c r="BY14" s="401">
        <f t="shared" si="2"/>
        <v>693168000</v>
      </c>
      <c r="BZ14" s="401">
        <f t="shared" si="3"/>
        <v>209000</v>
      </c>
      <c r="CA14" s="401">
        <f t="shared" si="22"/>
        <v>235099000</v>
      </c>
      <c r="CB14" s="401">
        <f t="shared" si="30"/>
        <v>255615000</v>
      </c>
      <c r="CC14" s="401">
        <f t="shared" si="23"/>
        <v>162406000</v>
      </c>
      <c r="CD14" s="401">
        <f t="shared" si="24"/>
        <v>3489000</v>
      </c>
      <c r="CE14" s="401">
        <f t="shared" si="25"/>
        <v>114220000</v>
      </c>
      <c r="CF14" s="401">
        <f t="shared" si="26"/>
        <v>1012000</v>
      </c>
      <c r="CG14" s="401">
        <f t="shared" si="27"/>
        <v>5072000</v>
      </c>
      <c r="CH14" s="401">
        <f t="shared" si="4"/>
        <v>52208000</v>
      </c>
      <c r="CI14" s="401">
        <f t="shared" si="5"/>
        <v>6732000</v>
      </c>
      <c r="CJ14" s="401">
        <f t="shared" si="6"/>
        <v>50662000</v>
      </c>
      <c r="CK14" s="401">
        <f t="shared" si="7"/>
        <v>5886000</v>
      </c>
      <c r="CL14" s="401">
        <f t="shared" si="8"/>
        <v>314000</v>
      </c>
      <c r="CM14" s="401">
        <f t="shared" si="9"/>
        <v>169506000</v>
      </c>
      <c r="CN14" s="401">
        <f t="shared" si="10"/>
        <v>1755598000</v>
      </c>
      <c r="CO14" s="402">
        <f>ROUND(SUM(BT14),-3)</f>
        <v>1755598000</v>
      </c>
      <c r="CP14" s="402">
        <f t="shared" si="12"/>
        <v>0</v>
      </c>
    </row>
    <row r="15" spans="1:94" ht="15">
      <c r="A15" s="403"/>
      <c r="B15" s="404">
        <v>8</v>
      </c>
      <c r="C15" s="405">
        <v>683648</v>
      </c>
      <c r="D15" s="405">
        <v>795828</v>
      </c>
      <c r="E15" s="405">
        <v>111577</v>
      </c>
      <c r="F15" s="405">
        <v>6474</v>
      </c>
      <c r="G15" s="406">
        <v>284</v>
      </c>
      <c r="H15" s="394">
        <f t="shared" si="13"/>
        <v>1597811</v>
      </c>
      <c r="I15" s="393">
        <v>169474</v>
      </c>
      <c r="J15" s="394">
        <f t="shared" si="14"/>
        <v>1767285</v>
      </c>
      <c r="L15" s="403"/>
      <c r="M15" s="404">
        <f t="shared" si="15"/>
        <v>8</v>
      </c>
      <c r="N15" s="407">
        <v>685077495.21712124</v>
      </c>
      <c r="O15" s="407">
        <v>774265487.25925815</v>
      </c>
      <c r="P15" s="407">
        <v>103279661.60910369</v>
      </c>
      <c r="Q15" s="407">
        <v>6233329.1894343793</v>
      </c>
      <c r="R15" s="408">
        <v>287429.02691753581</v>
      </c>
      <c r="S15" s="394">
        <f t="shared" si="16"/>
        <v>1569143402.3018348</v>
      </c>
      <c r="T15" s="394">
        <v>177768694.12029099</v>
      </c>
      <c r="U15" s="394">
        <f t="shared" si="17"/>
        <v>1746912096.4221258</v>
      </c>
      <c r="W15" s="403"/>
      <c r="X15" s="404">
        <f t="shared" si="18"/>
        <v>8</v>
      </c>
      <c r="Y15" s="407">
        <f t="shared" si="19"/>
        <v>-1429495.2171212435</v>
      </c>
      <c r="Z15" s="407">
        <f t="shared" si="1"/>
        <v>21562512.740741849</v>
      </c>
      <c r="AA15" s="407">
        <f t="shared" si="1"/>
        <v>8297338.3908963054</v>
      </c>
      <c r="AB15" s="407">
        <f t="shared" si="1"/>
        <v>240670.81056562066</v>
      </c>
      <c r="AC15" s="409"/>
      <c r="AD15" s="410">
        <f t="shared" si="20"/>
        <v>8</v>
      </c>
      <c r="AE15" s="411">
        <v>576.51262536999468</v>
      </c>
      <c r="AF15" s="412">
        <v>284000</v>
      </c>
      <c r="AG15" s="412">
        <v>683447919.84570718</v>
      </c>
      <c r="AH15" s="412">
        <v>200080.15429279712</v>
      </c>
      <c r="AI15" s="412">
        <v>19664753.815310564</v>
      </c>
      <c r="AJ15" s="412">
        <v>2667350.042423076</v>
      </c>
      <c r="AK15" s="412">
        <v>11962648.192050843</v>
      </c>
      <c r="AL15" s="412">
        <v>1720792.1241402242</v>
      </c>
      <c r="AM15" s="412">
        <v>210949735.83958277</v>
      </c>
      <c r="AN15" s="412">
        <v>7965304.0606506625</v>
      </c>
      <c r="AO15" s="412">
        <v>235167836.67188409</v>
      </c>
      <c r="AP15" s="412">
        <v>16423627.094527159</v>
      </c>
      <c r="AQ15" s="412">
        <v>143473501.7461842</v>
      </c>
      <c r="AR15" s="412">
        <v>21456246.386439338</v>
      </c>
      <c r="AS15" s="412">
        <v>3658365.5382314399</v>
      </c>
      <c r="AT15" s="412">
        <v>70188070.433679059</v>
      </c>
      <c r="AU15" s="412">
        <v>44103656.873253852</v>
      </c>
      <c r="AV15" s="412">
        <v>943769.67287879332</v>
      </c>
      <c r="AW15" s="412">
        <v>47980944.071278594</v>
      </c>
      <c r="AX15" s="412">
        <v>5499848.5932698948</v>
      </c>
      <c r="AY15" s="412">
        <v>5901701.6839531707</v>
      </c>
      <c r="AZ15" s="412">
        <v>1766136.5767234033</v>
      </c>
      <c r="BA15" s="412">
        <v>4772431.3405152457</v>
      </c>
      <c r="BB15" s="412">
        <v>39253955.147174172</v>
      </c>
      <c r="BC15" s="412">
        <v>11355885.651343856</v>
      </c>
      <c r="BD15" s="412">
        <v>919165.12966157193</v>
      </c>
      <c r="BE15" s="412">
        <v>79693.993394553749</v>
      </c>
      <c r="BF15" s="412">
        <v>5012.1620092947378</v>
      </c>
      <c r="BG15" s="412">
        <v>211539.47536051166</v>
      </c>
      <c r="BH15" s="412">
        <v>1206090.6144533036</v>
      </c>
      <c r="BI15" s="412">
        <v>3165980.5666992567</v>
      </c>
      <c r="BJ15" s="412">
        <v>598209.92134142225</v>
      </c>
      <c r="BK15" s="412">
        <v>167096.23420928774</v>
      </c>
      <c r="BL15" s="412">
        <v>157574.85764416208</v>
      </c>
      <c r="BM15" s="412">
        <v>287731.62445471575</v>
      </c>
      <c r="BN15" s="412">
        <v>195952.37423405709</v>
      </c>
      <c r="BO15" s="412">
        <v>7814.9784178279979</v>
      </c>
      <c r="BP15" s="413">
        <f t="shared" si="28"/>
        <v>1597810999.9999993</v>
      </c>
      <c r="BQ15" s="412">
        <v>6218942.9009554144</v>
      </c>
      <c r="BR15" s="412">
        <v>137773520.76838163</v>
      </c>
      <c r="BS15" s="412">
        <v>25481536.330662962</v>
      </c>
      <c r="BT15" s="413">
        <f t="shared" si="31"/>
        <v>1767284999.9999993</v>
      </c>
      <c r="BU15" s="413">
        <v>40590327.921282709</v>
      </c>
      <c r="BW15" s="409"/>
      <c r="BX15" s="410">
        <f t="shared" si="21"/>
        <v>8</v>
      </c>
      <c r="BY15" s="401">
        <f t="shared" si="2"/>
        <v>683448000</v>
      </c>
      <c r="BZ15" s="401">
        <f t="shared" si="3"/>
        <v>200000</v>
      </c>
      <c r="CA15" s="401">
        <f t="shared" si="22"/>
        <v>239499000</v>
      </c>
      <c r="CB15" s="401">
        <f>ROUND(SUM(AK15,AO15:AP15,BE15),-3)-2000</f>
        <v>263632000</v>
      </c>
      <c r="CC15" s="401">
        <f t="shared" si="23"/>
        <v>166651000</v>
      </c>
      <c r="CD15" s="401">
        <f t="shared" si="24"/>
        <v>3658000</v>
      </c>
      <c r="CE15" s="401">
        <f t="shared" si="25"/>
        <v>116959000</v>
      </c>
      <c r="CF15" s="401">
        <f t="shared" si="26"/>
        <v>944000</v>
      </c>
      <c r="CG15" s="401">
        <f t="shared" si="27"/>
        <v>5902000</v>
      </c>
      <c r="CH15" s="401">
        <f t="shared" si="4"/>
        <v>53481000</v>
      </c>
      <c r="CI15" s="401">
        <f t="shared" si="5"/>
        <v>6539000</v>
      </c>
      <c r="CJ15" s="401">
        <f t="shared" si="6"/>
        <v>50610000</v>
      </c>
      <c r="CK15" s="401">
        <f t="shared" si="7"/>
        <v>6004000</v>
      </c>
      <c r="CL15" s="401">
        <f t="shared" si="8"/>
        <v>284000</v>
      </c>
      <c r="CM15" s="401">
        <f t="shared" si="9"/>
        <v>169474000</v>
      </c>
      <c r="CN15" s="401">
        <f t="shared" si="10"/>
        <v>1767285000</v>
      </c>
      <c r="CO15" s="402">
        <f t="shared" ref="CO15:CO19" si="32">ROUND(SUM(BT15),-3)</f>
        <v>1767285000</v>
      </c>
      <c r="CP15" s="402">
        <f t="shared" si="12"/>
        <v>0</v>
      </c>
    </row>
    <row r="16" spans="1:94" ht="15">
      <c r="A16" s="403"/>
      <c r="B16" s="404">
        <v>9</v>
      </c>
      <c r="C16" s="405">
        <v>680182</v>
      </c>
      <c r="D16" s="405">
        <v>750455</v>
      </c>
      <c r="E16" s="405">
        <v>104591</v>
      </c>
      <c r="F16" s="405">
        <v>6316</v>
      </c>
      <c r="G16" s="406">
        <v>324</v>
      </c>
      <c r="H16" s="394">
        <f t="shared" si="13"/>
        <v>1541868</v>
      </c>
      <c r="I16" s="393">
        <v>169481</v>
      </c>
      <c r="J16" s="394">
        <f t="shared" si="14"/>
        <v>1711349</v>
      </c>
      <c r="L16" s="403"/>
      <c r="M16" s="404">
        <f t="shared" si="15"/>
        <v>9</v>
      </c>
      <c r="N16" s="407">
        <v>659463357.70542383</v>
      </c>
      <c r="O16" s="407">
        <v>719841599.35783303</v>
      </c>
      <c r="P16" s="407">
        <v>97733843.053104833</v>
      </c>
      <c r="Q16" s="407">
        <v>6333206.6576577695</v>
      </c>
      <c r="R16" s="408">
        <v>332424.8568659884</v>
      </c>
      <c r="S16" s="394">
        <f t="shared" si="16"/>
        <v>1483704431.6308854</v>
      </c>
      <c r="T16" s="394">
        <v>167108895.44486132</v>
      </c>
      <c r="U16" s="394">
        <f t="shared" si="17"/>
        <v>1650813327.0757468</v>
      </c>
      <c r="W16" s="403"/>
      <c r="X16" s="404">
        <f t="shared" si="18"/>
        <v>9</v>
      </c>
      <c r="Y16" s="407">
        <f t="shared" si="19"/>
        <v>20718642.294576168</v>
      </c>
      <c r="Z16" s="407">
        <f t="shared" si="1"/>
        <v>30613400.642166972</v>
      </c>
      <c r="AA16" s="407">
        <f t="shared" si="1"/>
        <v>6857156.9468951672</v>
      </c>
      <c r="AB16" s="407">
        <f t="shared" si="1"/>
        <v>-17206.657657769509</v>
      </c>
      <c r="AC16" s="409"/>
      <c r="AD16" s="410">
        <f t="shared" si="20"/>
        <v>9</v>
      </c>
      <c r="AE16" s="411">
        <v>585.99033455169513</v>
      </c>
      <c r="AF16" s="412">
        <v>324000</v>
      </c>
      <c r="AG16" s="412">
        <v>680007293.28925467</v>
      </c>
      <c r="AH16" s="412">
        <v>174706.71074525616</v>
      </c>
      <c r="AI16" s="412">
        <v>18977087.813821685</v>
      </c>
      <c r="AJ16" s="412">
        <v>2613412.5578822154</v>
      </c>
      <c r="AK16" s="412">
        <v>11517034.953571472</v>
      </c>
      <c r="AL16" s="412">
        <v>1449737.3940887488</v>
      </c>
      <c r="AM16" s="412">
        <v>196128901.48566014</v>
      </c>
      <c r="AN16" s="412">
        <v>7280108.3168658139</v>
      </c>
      <c r="AO16" s="412">
        <v>221072172.67813388</v>
      </c>
      <c r="AP16" s="412">
        <v>15318259.116812129</v>
      </c>
      <c r="AQ16" s="412">
        <v>133606947.50672905</v>
      </c>
      <c r="AR16" s="412">
        <v>20366744.544994734</v>
      </c>
      <c r="AS16" s="412">
        <v>1733959.0724106503</v>
      </c>
      <c r="AT16" s="412">
        <v>68819133.397793099</v>
      </c>
      <c r="AU16" s="412">
        <v>40980224.397396058</v>
      </c>
      <c r="AV16" s="412">
        <v>743170.61465786863</v>
      </c>
      <c r="AW16" s="412">
        <v>43707277.10322009</v>
      </c>
      <c r="AX16" s="412">
        <v>5836022.0524613466</v>
      </c>
      <c r="AY16" s="412">
        <v>7739072.3465195419</v>
      </c>
      <c r="AZ16" s="412">
        <v>1933480.5974432116</v>
      </c>
      <c r="BA16" s="412">
        <v>4316418.7169818208</v>
      </c>
      <c r="BB16" s="412">
        <v>39890991.188788734</v>
      </c>
      <c r="BC16" s="412">
        <v>10493222.854488103</v>
      </c>
      <c r="BD16" s="412">
        <v>970542.69406215497</v>
      </c>
      <c r="BE16" s="412">
        <v>74866.79983208784</v>
      </c>
      <c r="BF16" s="412">
        <v>4617.8732259497574</v>
      </c>
      <c r="BG16" s="412">
        <v>186955.04188815752</v>
      </c>
      <c r="BH16" s="412">
        <v>1149708.9340117704</v>
      </c>
      <c r="BI16" s="412">
        <v>2975678.2656839183</v>
      </c>
      <c r="BJ16" s="412">
        <v>570700.51454981416</v>
      </c>
      <c r="BK16" s="412">
        <v>165357.46212527007</v>
      </c>
      <c r="BL16" s="412">
        <v>155381.69884559288</v>
      </c>
      <c r="BM16" s="412">
        <v>382343.88641159597</v>
      </c>
      <c r="BN16" s="412">
        <v>194335.82340300392</v>
      </c>
      <c r="BO16" s="412">
        <v>7546.3049057878961</v>
      </c>
      <c r="BP16" s="413">
        <f t="shared" si="28"/>
        <v>1541868000</v>
      </c>
      <c r="BQ16" s="412">
        <v>5931666.2211994957</v>
      </c>
      <c r="BR16" s="412">
        <v>136166743.46544814</v>
      </c>
      <c r="BS16" s="412">
        <v>27382590.313352384</v>
      </c>
      <c r="BT16" s="413">
        <f t="shared" si="31"/>
        <v>1711349000</v>
      </c>
      <c r="BU16" s="413">
        <v>39297393.04371243</v>
      </c>
      <c r="BW16" s="409"/>
      <c r="BX16" s="410">
        <f t="shared" si="21"/>
        <v>9</v>
      </c>
      <c r="BY16" s="401">
        <f t="shared" si="2"/>
        <v>680007000</v>
      </c>
      <c r="BZ16" s="401">
        <f t="shared" si="3"/>
        <v>175000</v>
      </c>
      <c r="CA16" s="401">
        <f t="shared" si="22"/>
        <v>223357000</v>
      </c>
      <c r="CB16" s="401">
        <f t="shared" si="30"/>
        <v>247982000</v>
      </c>
      <c r="CC16" s="401">
        <f t="shared" si="23"/>
        <v>155423000</v>
      </c>
      <c r="CD16" s="401">
        <f t="shared" si="24"/>
        <v>1734000</v>
      </c>
      <c r="CE16" s="401">
        <f t="shared" si="25"/>
        <v>112413000</v>
      </c>
      <c r="CF16" s="401">
        <f t="shared" si="26"/>
        <v>743000</v>
      </c>
      <c r="CG16" s="401">
        <f t="shared" si="27"/>
        <v>7739000</v>
      </c>
      <c r="CH16" s="401">
        <f t="shared" si="4"/>
        <v>49543000</v>
      </c>
      <c r="CI16" s="401">
        <f t="shared" si="5"/>
        <v>6250000</v>
      </c>
      <c r="CJ16" s="401">
        <f t="shared" si="6"/>
        <v>50384000</v>
      </c>
      <c r="CK16" s="401">
        <f t="shared" si="7"/>
        <v>5793000</v>
      </c>
      <c r="CL16" s="401">
        <f t="shared" si="8"/>
        <v>324000</v>
      </c>
      <c r="CM16" s="401">
        <f t="shared" si="9"/>
        <v>169481000</v>
      </c>
      <c r="CN16" s="401">
        <f t="shared" si="10"/>
        <v>1711348000</v>
      </c>
      <c r="CO16" s="402">
        <f t="shared" si="32"/>
        <v>1711349000</v>
      </c>
      <c r="CP16" s="402">
        <f t="shared" si="12"/>
        <v>1000</v>
      </c>
    </row>
    <row r="17" spans="1:94" ht="15">
      <c r="A17" s="403"/>
      <c r="B17" s="404">
        <v>10</v>
      </c>
      <c r="C17" s="405">
        <v>833727</v>
      </c>
      <c r="D17" s="405">
        <v>772382</v>
      </c>
      <c r="E17" s="405">
        <v>108713</v>
      </c>
      <c r="F17" s="405">
        <v>6574</v>
      </c>
      <c r="G17" s="406">
        <v>483</v>
      </c>
      <c r="H17" s="394">
        <f t="shared" si="13"/>
        <v>1721879</v>
      </c>
      <c r="I17" s="393">
        <v>169401</v>
      </c>
      <c r="J17" s="394">
        <f t="shared" si="14"/>
        <v>1891280</v>
      </c>
      <c r="L17" s="403"/>
      <c r="M17" s="404">
        <f t="shared" si="15"/>
        <v>10</v>
      </c>
      <c r="N17" s="407">
        <v>820005892.59583318</v>
      </c>
      <c r="O17" s="407">
        <v>754440855.7653774</v>
      </c>
      <c r="P17" s="407">
        <v>103319555.10833582</v>
      </c>
      <c r="Q17" s="407">
        <v>6635257.2444896791</v>
      </c>
      <c r="R17" s="408">
        <v>494576.83721415204</v>
      </c>
      <c r="S17" s="394">
        <f t="shared" si="16"/>
        <v>1684896137.5512502</v>
      </c>
      <c r="T17" s="394">
        <v>169624440.67703879</v>
      </c>
      <c r="U17" s="394">
        <f t="shared" si="17"/>
        <v>1854520578.2282891</v>
      </c>
      <c r="W17" s="403"/>
      <c r="X17" s="404">
        <f t="shared" si="18"/>
        <v>10</v>
      </c>
      <c r="Y17" s="407">
        <f t="shared" si="19"/>
        <v>13721107.404166818</v>
      </c>
      <c r="Z17" s="407">
        <f t="shared" si="1"/>
        <v>17941144.234622598</v>
      </c>
      <c r="AA17" s="407">
        <f t="shared" si="1"/>
        <v>5393444.8916641772</v>
      </c>
      <c r="AB17" s="407">
        <f t="shared" si="1"/>
        <v>-61257.244489679113</v>
      </c>
      <c r="AC17" s="442"/>
      <c r="AD17" s="443">
        <f t="shared" si="20"/>
        <v>10</v>
      </c>
      <c r="AE17" s="444">
        <v>611.09663573188129</v>
      </c>
      <c r="AF17" s="445">
        <v>483000</v>
      </c>
      <c r="AG17" s="445">
        <v>833549011.40555596</v>
      </c>
      <c r="AH17" s="445">
        <v>177988.59444400904</v>
      </c>
      <c r="AI17" s="445">
        <v>20740557.535579998</v>
      </c>
      <c r="AJ17" s="445">
        <v>2780005.3493241728</v>
      </c>
      <c r="AK17" s="445">
        <v>12810767.436272651</v>
      </c>
      <c r="AL17" s="445">
        <v>1446951.9793610014</v>
      </c>
      <c r="AM17" s="445">
        <v>207251646.0337466</v>
      </c>
      <c r="AN17" s="445">
        <v>7809886.1109238081</v>
      </c>
      <c r="AO17" s="445">
        <v>225288302.45485517</v>
      </c>
      <c r="AP17" s="445">
        <v>15927808.955146482</v>
      </c>
      <c r="AQ17" s="445">
        <v>135653686.01449648</v>
      </c>
      <c r="AR17" s="445">
        <v>20744076.736629337</v>
      </c>
      <c r="AS17" s="445">
        <v>589888.61380378413</v>
      </c>
      <c r="AT17" s="445">
        <v>69957635.654310897</v>
      </c>
      <c r="AU17" s="445">
        <v>43082816.609723352</v>
      </c>
      <c r="AV17" s="445">
        <v>253303.33534863798</v>
      </c>
      <c r="AW17" s="445">
        <v>44155721.83846347</v>
      </c>
      <c r="AX17" s="445">
        <v>5643325.0040898621</v>
      </c>
      <c r="AY17" s="445">
        <v>9439098.9961065333</v>
      </c>
      <c r="AZ17" s="445">
        <v>2295880.5815393217</v>
      </c>
      <c r="BA17" s="445">
        <v>4958055.6192219555</v>
      </c>
      <c r="BB17" s="445">
        <v>39186673.457970791</v>
      </c>
      <c r="BC17" s="445">
        <v>10547030.964265209</v>
      </c>
      <c r="BD17" s="445">
        <v>1143096.5165066167</v>
      </c>
      <c r="BE17" s="445">
        <v>83451.781914531632</v>
      </c>
      <c r="BF17" s="445">
        <v>4337.3570909812524</v>
      </c>
      <c r="BG17" s="445">
        <v>238589.48164585038</v>
      </c>
      <c r="BH17" s="445">
        <v>1148928.5531117676</v>
      </c>
      <c r="BI17" s="445">
        <v>2993736.7353645158</v>
      </c>
      <c r="BJ17" s="445">
        <v>563769.01914560713</v>
      </c>
      <c r="BK17" s="445">
        <v>167321.50619693784</v>
      </c>
      <c r="BL17" s="445">
        <v>156912.412506122</v>
      </c>
      <c r="BM17" s="445">
        <v>397479.45858439821</v>
      </c>
      <c r="BN17" s="445">
        <v>199861.36417746468</v>
      </c>
      <c r="BO17" s="445">
        <v>7785.4359400771291</v>
      </c>
      <c r="BP17" s="446">
        <f t="shared" si="28"/>
        <v>1721879000</v>
      </c>
      <c r="BQ17" s="445">
        <v>5512172.4172346946</v>
      </c>
      <c r="BR17" s="445">
        <v>135141311.6924153</v>
      </c>
      <c r="BS17" s="445">
        <v>28747515.890349999</v>
      </c>
      <c r="BT17" s="446">
        <f t="shared" si="31"/>
        <v>1891280000</v>
      </c>
      <c r="BU17" s="446">
        <v>37240915.379132897</v>
      </c>
      <c r="BV17" s="447"/>
      <c r="BW17" s="442"/>
      <c r="BX17" s="443">
        <f t="shared" si="21"/>
        <v>10</v>
      </c>
      <c r="BY17" s="448">
        <f t="shared" si="2"/>
        <v>833549000</v>
      </c>
      <c r="BZ17" s="448">
        <f t="shared" si="3"/>
        <v>178000</v>
      </c>
      <c r="CA17" s="448">
        <f t="shared" si="22"/>
        <v>236945000</v>
      </c>
      <c r="CB17" s="448">
        <f>ROUND(SUM(AK17,AO17:AP17,BE17),-3)+1000</f>
        <v>254111000</v>
      </c>
      <c r="CC17" s="448">
        <f t="shared" si="23"/>
        <v>157845000</v>
      </c>
      <c r="CD17" s="448">
        <f t="shared" si="24"/>
        <v>590000</v>
      </c>
      <c r="CE17" s="448">
        <f t="shared" si="25"/>
        <v>115820000</v>
      </c>
      <c r="CF17" s="448">
        <f t="shared" si="26"/>
        <v>253000</v>
      </c>
      <c r="CG17" s="448">
        <f t="shared" si="27"/>
        <v>9439000</v>
      </c>
      <c r="CH17" s="448">
        <f t="shared" si="4"/>
        <v>49799000</v>
      </c>
      <c r="CI17" s="448">
        <f t="shared" si="5"/>
        <v>7254000</v>
      </c>
      <c r="CJ17" s="448">
        <f t="shared" si="6"/>
        <v>49734000</v>
      </c>
      <c r="CK17" s="448">
        <f t="shared" si="7"/>
        <v>5879000</v>
      </c>
      <c r="CL17" s="448">
        <f t="shared" si="8"/>
        <v>483000</v>
      </c>
      <c r="CM17" s="448">
        <f>ROUND(SUM(BQ17:BS17),-3)</f>
        <v>169401000</v>
      </c>
      <c r="CN17" s="448">
        <f t="shared" si="10"/>
        <v>1891280000</v>
      </c>
      <c r="CO17" s="448">
        <f t="shared" si="32"/>
        <v>1891280000</v>
      </c>
      <c r="CP17" s="449">
        <f t="shared" si="12"/>
        <v>0</v>
      </c>
    </row>
    <row r="18" spans="1:94" ht="15">
      <c r="A18" s="403"/>
      <c r="B18" s="404">
        <v>11</v>
      </c>
      <c r="C18" s="405">
        <v>1026625</v>
      </c>
      <c r="D18" s="405">
        <v>800557</v>
      </c>
      <c r="E18" s="405">
        <v>103598</v>
      </c>
      <c r="F18" s="405">
        <v>6971</v>
      </c>
      <c r="G18" s="406">
        <v>697</v>
      </c>
      <c r="H18" s="450">
        <f t="shared" si="13"/>
        <v>1938448</v>
      </c>
      <c r="I18" s="451">
        <v>169337</v>
      </c>
      <c r="J18" s="394">
        <f t="shared" si="14"/>
        <v>2107785</v>
      </c>
      <c r="L18" s="403"/>
      <c r="M18" s="404">
        <f t="shared" si="15"/>
        <v>11</v>
      </c>
      <c r="N18" s="407">
        <v>1040505115.4268565</v>
      </c>
      <c r="O18" s="407">
        <v>769076869.85074651</v>
      </c>
      <c r="P18" s="407">
        <v>97807488.398187369</v>
      </c>
      <c r="Q18" s="407">
        <v>6217205.204313851</v>
      </c>
      <c r="R18" s="408">
        <v>733110.15827993536</v>
      </c>
      <c r="S18" s="450">
        <f t="shared" si="16"/>
        <v>1914339789.0383842</v>
      </c>
      <c r="T18" s="450">
        <v>161011224.71539438</v>
      </c>
      <c r="U18" s="394">
        <f t="shared" si="17"/>
        <v>2075351013.7537785</v>
      </c>
      <c r="W18" s="403"/>
      <c r="X18" s="404">
        <f t="shared" si="18"/>
        <v>11</v>
      </c>
      <c r="Y18" s="407">
        <f t="shared" si="19"/>
        <v>-13880115.426856518</v>
      </c>
      <c r="Z18" s="407">
        <f t="shared" si="1"/>
        <v>31480130.149253488</v>
      </c>
      <c r="AA18" s="407">
        <f t="shared" si="1"/>
        <v>5790511.6018126309</v>
      </c>
      <c r="AB18" s="407">
        <f t="shared" si="1"/>
        <v>753794.79568614904</v>
      </c>
      <c r="AC18" s="442"/>
      <c r="AD18" s="443">
        <f t="shared" si="20"/>
        <v>11</v>
      </c>
      <c r="AE18" s="444">
        <v>663.61007069809352</v>
      </c>
      <c r="AF18" s="445">
        <v>697000</v>
      </c>
      <c r="AG18" s="445">
        <v>1026428323.3520823</v>
      </c>
      <c r="AH18" s="445">
        <v>196676.64791779069</v>
      </c>
      <c r="AI18" s="445">
        <v>24278019.037358925</v>
      </c>
      <c r="AJ18" s="445">
        <v>3024771.5802035495</v>
      </c>
      <c r="AK18" s="445">
        <v>13689702.838297395</v>
      </c>
      <c r="AL18" s="445">
        <v>1595925.7411059139</v>
      </c>
      <c r="AM18" s="445">
        <v>223934761.39233571</v>
      </c>
      <c r="AN18" s="445">
        <v>8331132.0642225165</v>
      </c>
      <c r="AO18" s="445">
        <v>232014721.984786</v>
      </c>
      <c r="AP18" s="445">
        <v>15539051.133605905</v>
      </c>
      <c r="AQ18" s="445">
        <v>134240743.74911386</v>
      </c>
      <c r="AR18" s="445">
        <v>19069229.752981275</v>
      </c>
      <c r="AS18" s="445">
        <v>318216.95321685012</v>
      </c>
      <c r="AT18" s="445">
        <v>69671506.82580471</v>
      </c>
      <c r="AU18" s="445">
        <v>41064073.973359868</v>
      </c>
      <c r="AV18" s="445">
        <v>56474.590136463106</v>
      </c>
      <c r="AW18" s="445">
        <v>42846982.183897488</v>
      </c>
      <c r="AX18" s="445">
        <v>5007905.5040918151</v>
      </c>
      <c r="AY18" s="445">
        <v>11944641.518921588</v>
      </c>
      <c r="AZ18" s="445">
        <v>2332369.1445410214</v>
      </c>
      <c r="BA18" s="445">
        <v>4345852.2607564013</v>
      </c>
      <c r="BB18" s="445">
        <v>40096440.858863398</v>
      </c>
      <c r="BC18" s="445">
        <v>10240755.310982188</v>
      </c>
      <c r="BD18" s="445">
        <v>1392125.7191147197</v>
      </c>
      <c r="BE18" s="445">
        <v>113606.55625545152</v>
      </c>
      <c r="BF18" s="445">
        <v>4877.7082279170718</v>
      </c>
      <c r="BG18" s="445">
        <v>222587.08083835678</v>
      </c>
      <c r="BH18" s="445">
        <v>1215695.6392653221</v>
      </c>
      <c r="BI18" s="445">
        <v>3148308.4644733053</v>
      </c>
      <c r="BJ18" s="445">
        <v>589339.59309184039</v>
      </c>
      <c r="BK18" s="445">
        <v>160372.06060259102</v>
      </c>
      <c r="BL18" s="445">
        <v>150979.57428890877</v>
      </c>
      <c r="BM18" s="445">
        <v>283795.62866238924</v>
      </c>
      <c r="BN18" s="445">
        <v>193106.36932612036</v>
      </c>
      <c r="BO18" s="445">
        <v>7263.5971994845177</v>
      </c>
      <c r="BP18" s="446">
        <f t="shared" si="28"/>
        <v>1938447999.9999995</v>
      </c>
      <c r="BQ18" s="445">
        <v>5311361.1675871536</v>
      </c>
      <c r="BR18" s="445">
        <v>136059837.38684073</v>
      </c>
      <c r="BS18" s="445">
        <v>27965801.445572119</v>
      </c>
      <c r="BT18" s="446">
        <f t="shared" si="31"/>
        <v>2107784999.9999995</v>
      </c>
      <c r="BU18" s="446">
        <v>37703277.896349885</v>
      </c>
      <c r="BV18" s="447"/>
      <c r="BW18" s="442"/>
      <c r="BX18" s="443">
        <f t="shared" si="21"/>
        <v>11</v>
      </c>
      <c r="BY18" s="448">
        <f t="shared" si="2"/>
        <v>1026428000</v>
      </c>
      <c r="BZ18" s="448">
        <f t="shared" si="3"/>
        <v>197000</v>
      </c>
      <c r="CA18" s="448">
        <f t="shared" si="22"/>
        <v>257936000</v>
      </c>
      <c r="CB18" s="448">
        <f>ROUND(SUM(AK18,AO18:AP18,BE18),-3)+1000</f>
        <v>261358000</v>
      </c>
      <c r="CC18" s="448">
        <f t="shared" si="23"/>
        <v>154906000</v>
      </c>
      <c r="CD18" s="448">
        <f t="shared" si="24"/>
        <v>318000</v>
      </c>
      <c r="CE18" s="448">
        <f t="shared" si="25"/>
        <v>113760000</v>
      </c>
      <c r="CF18" s="448">
        <f t="shared" si="26"/>
        <v>56000</v>
      </c>
      <c r="CG18" s="448">
        <f t="shared" si="27"/>
        <v>11945000</v>
      </c>
      <c r="CH18" s="448">
        <f t="shared" si="4"/>
        <v>47855000</v>
      </c>
      <c r="CI18" s="448">
        <f t="shared" si="5"/>
        <v>6678000</v>
      </c>
      <c r="CJ18" s="448">
        <f t="shared" si="6"/>
        <v>50337000</v>
      </c>
      <c r="CK18" s="448">
        <f t="shared" si="7"/>
        <v>5977000</v>
      </c>
      <c r="CL18" s="448">
        <f t="shared" si="8"/>
        <v>697000</v>
      </c>
      <c r="CM18" s="448">
        <f t="shared" si="9"/>
        <v>169337000</v>
      </c>
      <c r="CN18" s="448">
        <f t="shared" si="10"/>
        <v>2107785000</v>
      </c>
      <c r="CO18" s="448">
        <f t="shared" si="32"/>
        <v>2107785000</v>
      </c>
      <c r="CP18" s="449">
        <f t="shared" si="12"/>
        <v>0</v>
      </c>
    </row>
    <row r="19" spans="1:94" ht="15">
      <c r="A19" s="452"/>
      <c r="B19" s="453">
        <v>12</v>
      </c>
      <c r="C19" s="454">
        <v>1300977</v>
      </c>
      <c r="D19" s="454">
        <v>866058</v>
      </c>
      <c r="E19" s="454">
        <v>102414</v>
      </c>
      <c r="F19" s="454">
        <v>6844</v>
      </c>
      <c r="G19" s="455">
        <v>1016</v>
      </c>
      <c r="H19" s="456">
        <f t="shared" si="13"/>
        <v>2277309</v>
      </c>
      <c r="I19" s="457">
        <v>169288</v>
      </c>
      <c r="J19" s="456">
        <f t="shared" si="14"/>
        <v>2446597</v>
      </c>
      <c r="L19" s="452"/>
      <c r="M19" s="453">
        <f t="shared" si="15"/>
        <v>12</v>
      </c>
      <c r="N19" s="458">
        <v>1223909330.2683959</v>
      </c>
      <c r="O19" s="458">
        <v>830647392.29635012</v>
      </c>
      <c r="P19" s="458">
        <v>98320352.078776732</v>
      </c>
      <c r="Q19" s="458">
        <v>6875212.9516642354</v>
      </c>
      <c r="R19" s="459">
        <v>975840.35406800895</v>
      </c>
      <c r="S19" s="456">
        <f t="shared" si="16"/>
        <v>2160728127.949255</v>
      </c>
      <c r="T19" s="456">
        <v>169220019.05522811</v>
      </c>
      <c r="U19" s="456">
        <f t="shared" si="17"/>
        <v>2329948147.0044832</v>
      </c>
      <c r="W19" s="452"/>
      <c r="X19" s="453">
        <f t="shared" si="18"/>
        <v>12</v>
      </c>
      <c r="Y19" s="458">
        <f t="shared" si="19"/>
        <v>77067669.731604099</v>
      </c>
      <c r="Z19" s="458">
        <f t="shared" si="1"/>
        <v>35410607.703649879</v>
      </c>
      <c r="AA19" s="458">
        <f t="shared" si="1"/>
        <v>4093647.9212232679</v>
      </c>
      <c r="AB19" s="458">
        <f t="shared" si="1"/>
        <v>-31212.951664235443</v>
      </c>
      <c r="AC19" s="460"/>
      <c r="AD19" s="461">
        <f t="shared" si="20"/>
        <v>12</v>
      </c>
      <c r="AE19" s="462">
        <v>584.48838199830789</v>
      </c>
      <c r="AF19" s="463">
        <v>1016000.0000000001</v>
      </c>
      <c r="AG19" s="463">
        <v>1300719475.3101647</v>
      </c>
      <c r="AH19" s="463">
        <v>257524.68983530992</v>
      </c>
      <c r="AI19" s="463">
        <v>29042422.307348602</v>
      </c>
      <c r="AJ19" s="463">
        <v>3414373.7772393515</v>
      </c>
      <c r="AK19" s="463">
        <v>15319471.556712458</v>
      </c>
      <c r="AL19" s="463">
        <v>1795977.2568166303</v>
      </c>
      <c r="AM19" s="463">
        <v>245989247.04999876</v>
      </c>
      <c r="AN19" s="463">
        <v>8757492.1681687441</v>
      </c>
      <c r="AO19" s="463">
        <v>249621353.70701125</v>
      </c>
      <c r="AP19" s="463">
        <v>15895169.071623182</v>
      </c>
      <c r="AQ19" s="463">
        <v>141764104.7740238</v>
      </c>
      <c r="AR19" s="463">
        <v>17882998.554837536</v>
      </c>
      <c r="AS19" s="463">
        <v>330747.61641364993</v>
      </c>
      <c r="AT19" s="463">
        <v>75264694.131166056</v>
      </c>
      <c r="AU19" s="463">
        <v>41315355.95109465</v>
      </c>
      <c r="AV19" s="463">
        <v>4496.9220502037051</v>
      </c>
      <c r="AW19" s="463">
        <v>44240448.672137745</v>
      </c>
      <c r="AX19" s="463">
        <v>4608120.3247533329</v>
      </c>
      <c r="AY19" s="463">
        <v>14884764.036484094</v>
      </c>
      <c r="AZ19" s="463">
        <v>1962371.2050354709</v>
      </c>
      <c r="BA19" s="463">
        <v>3950612.52615951</v>
      </c>
      <c r="BB19" s="463">
        <v>41888588.851019725</v>
      </c>
      <c r="BC19" s="463">
        <v>10004251.403363051</v>
      </c>
      <c r="BD19" s="463">
        <v>1344229.0327101026</v>
      </c>
      <c r="BE19" s="463">
        <v>113399.83950492917</v>
      </c>
      <c r="BF19" s="463">
        <v>4696.5121972611059</v>
      </c>
      <c r="BG19" s="463">
        <v>241291.1614845389</v>
      </c>
      <c r="BH19" s="463">
        <v>1171997.6501386699</v>
      </c>
      <c r="BI19" s="463">
        <v>2960866.8304014397</v>
      </c>
      <c r="BJ19" s="463">
        <v>562371.44431914669</v>
      </c>
      <c r="BK19" s="463">
        <v>167210.0336237702</v>
      </c>
      <c r="BL19" s="463">
        <v>157622.21525982156</v>
      </c>
      <c r="BM19" s="463">
        <v>444563.0408619137</v>
      </c>
      <c r="BN19" s="463">
        <v>202875.51277755358</v>
      </c>
      <c r="BO19" s="463">
        <v>7230.374881158612</v>
      </c>
      <c r="BP19" s="464">
        <f t="shared" si="28"/>
        <v>2277309000.0000005</v>
      </c>
      <c r="BQ19" s="463">
        <v>5199195.1691155983</v>
      </c>
      <c r="BR19" s="463">
        <v>137490076.88832647</v>
      </c>
      <c r="BS19" s="463">
        <v>26598727.942557901</v>
      </c>
      <c r="BT19" s="464">
        <f t="shared" si="31"/>
        <v>2446597000.0000005</v>
      </c>
      <c r="BU19" s="464">
        <v>39007316.103943937</v>
      </c>
      <c r="BV19" s="447"/>
      <c r="BW19" s="460"/>
      <c r="BX19" s="461">
        <f t="shared" si="21"/>
        <v>12</v>
      </c>
      <c r="BY19" s="448">
        <f t="shared" si="2"/>
        <v>1300719000</v>
      </c>
      <c r="BZ19" s="448">
        <f t="shared" si="3"/>
        <v>258000</v>
      </c>
      <c r="CA19" s="448">
        <f t="shared" si="22"/>
        <v>285133000</v>
      </c>
      <c r="CB19" s="448">
        <f>ROUND(SUM(AK19,AO19:AP19,BE19),-3)+1000</f>
        <v>280950000</v>
      </c>
      <c r="CC19" s="448">
        <f t="shared" si="23"/>
        <v>161443000</v>
      </c>
      <c r="CD19" s="448">
        <f t="shared" si="24"/>
        <v>331000</v>
      </c>
      <c r="CE19" s="448">
        <f t="shared" si="25"/>
        <v>119994000</v>
      </c>
      <c r="CF19" s="448">
        <f t="shared" si="26"/>
        <v>4000</v>
      </c>
      <c r="CG19" s="448">
        <f t="shared" si="27"/>
        <v>14885000</v>
      </c>
      <c r="CH19" s="448">
        <f>ROUND(SUM(AW19:AX19),-3)</f>
        <v>48849000</v>
      </c>
      <c r="CI19" s="448">
        <f t="shared" si="5"/>
        <v>5913000</v>
      </c>
      <c r="CJ19" s="448">
        <f t="shared" si="6"/>
        <v>51893000</v>
      </c>
      <c r="CK19" s="448">
        <f t="shared" si="7"/>
        <v>5921000</v>
      </c>
      <c r="CL19" s="448">
        <f t="shared" si="8"/>
        <v>1016000</v>
      </c>
      <c r="CM19" s="448">
        <f t="shared" si="9"/>
        <v>169288000</v>
      </c>
      <c r="CN19" s="448">
        <f t="shared" si="10"/>
        <v>2446597000</v>
      </c>
      <c r="CO19" s="448">
        <f t="shared" si="32"/>
        <v>2446597000</v>
      </c>
      <c r="CP19" s="449">
        <f t="shared" si="12"/>
        <v>0</v>
      </c>
    </row>
    <row r="20" spans="1:94" ht="15">
      <c r="A20" s="388">
        <v>2019</v>
      </c>
      <c r="B20" s="389">
        <v>1</v>
      </c>
      <c r="C20" s="390">
        <v>1259288</v>
      </c>
      <c r="D20" s="390">
        <v>840538</v>
      </c>
      <c r="E20" s="390">
        <v>115042</v>
      </c>
      <c r="F20" s="390">
        <v>6704</v>
      </c>
      <c r="G20" s="391">
        <v>883</v>
      </c>
      <c r="H20" s="392">
        <f t="shared" si="13"/>
        <v>2222455</v>
      </c>
      <c r="I20" s="393">
        <v>169276</v>
      </c>
      <c r="J20" s="394">
        <f t="shared" si="14"/>
        <v>2391731</v>
      </c>
      <c r="L20" s="388">
        <f t="shared" ref="L20" si="33">$A20</f>
        <v>2019</v>
      </c>
      <c r="M20" s="389">
        <f t="shared" si="15"/>
        <v>1</v>
      </c>
      <c r="N20" s="395">
        <v>1221192507.9196978</v>
      </c>
      <c r="O20" s="395">
        <v>800015799.98110354</v>
      </c>
      <c r="P20" s="395">
        <v>101922741.53055555</v>
      </c>
      <c r="Q20" s="395">
        <v>6774889.8944900967</v>
      </c>
      <c r="R20" s="396">
        <v>1002762.6554125422</v>
      </c>
      <c r="S20" s="392">
        <f t="shared" si="16"/>
        <v>2130908701.9812591</v>
      </c>
      <c r="T20" s="394">
        <v>179038424.45006558</v>
      </c>
      <c r="U20" s="394">
        <f t="shared" si="17"/>
        <v>2309947126.4313245</v>
      </c>
      <c r="W20" s="388">
        <f t="shared" ref="W20" si="34">$A20</f>
        <v>2019</v>
      </c>
      <c r="X20" s="389">
        <f t="shared" si="18"/>
        <v>1</v>
      </c>
      <c r="Y20" s="395">
        <f t="shared" si="19"/>
        <v>38095492.080302238</v>
      </c>
      <c r="Z20" s="395">
        <f t="shared" si="1"/>
        <v>40522200.018896461</v>
      </c>
      <c r="AA20" s="395">
        <f t="shared" si="1"/>
        <v>13119258.469444454</v>
      </c>
      <c r="AB20" s="395">
        <f t="shared" si="1"/>
        <v>-70889.894490096718</v>
      </c>
      <c r="AC20" s="465">
        <f t="shared" ref="AC20" si="35">$A20</f>
        <v>2019</v>
      </c>
      <c r="AD20" s="465">
        <f t="shared" si="20"/>
        <v>1</v>
      </c>
      <c r="AE20" s="466">
        <v>586.20925204601849</v>
      </c>
      <c r="AF20" s="467">
        <v>883000</v>
      </c>
      <c r="AG20" s="467">
        <v>1259041236.2574518</v>
      </c>
      <c r="AH20" s="467">
        <v>246763.74254819399</v>
      </c>
      <c r="AI20" s="467">
        <v>28705035.019130263</v>
      </c>
      <c r="AJ20" s="467">
        <v>3505706.2417982067</v>
      </c>
      <c r="AK20" s="467">
        <v>16323351.933456073</v>
      </c>
      <c r="AL20" s="467">
        <v>1847412.4709986101</v>
      </c>
      <c r="AM20" s="467">
        <v>255254595.06954047</v>
      </c>
      <c r="AN20" s="467">
        <v>9956276.2694686335</v>
      </c>
      <c r="AO20" s="467">
        <v>255659484.60162878</v>
      </c>
      <c r="AP20" s="467">
        <v>17852629.299122993</v>
      </c>
      <c r="AQ20" s="467">
        <v>142973965.70689952</v>
      </c>
      <c r="AR20" s="467">
        <v>19902555.220342811</v>
      </c>
      <c r="AS20" s="467">
        <v>315788.5348240076</v>
      </c>
      <c r="AT20" s="467">
        <v>76302398.733366907</v>
      </c>
      <c r="AU20" s="467">
        <v>46403958.384831436</v>
      </c>
      <c r="AV20" s="467">
        <v>4087.3146850610569</v>
      </c>
      <c r="AW20" s="467">
        <v>2719439.595675719</v>
      </c>
      <c r="AX20" s="467">
        <v>5407683.2957852241</v>
      </c>
      <c r="AY20" s="467">
        <v>16004158.587572709</v>
      </c>
      <c r="AZ20" s="467">
        <v>1804762.7837271909</v>
      </c>
      <c r="BA20" s="467">
        <v>4467143.1212358745</v>
      </c>
      <c r="BB20" s="467">
        <v>38583171.952107154</v>
      </c>
      <c r="BC20" s="467">
        <v>11051754.409213005</v>
      </c>
      <c r="BD20" s="467">
        <v>1302621.634382043</v>
      </c>
      <c r="BE20" s="467">
        <v>114674.13224155147</v>
      </c>
      <c r="BF20" s="467">
        <v>4727.0004089303447</v>
      </c>
      <c r="BG20" s="467">
        <v>234894.14798039943</v>
      </c>
      <c r="BH20" s="467">
        <v>1138013.7634041277</v>
      </c>
      <c r="BI20" s="467">
        <v>2979911.9269417701</v>
      </c>
      <c r="BJ20" s="467">
        <v>558029.52789298084</v>
      </c>
      <c r="BK20" s="467">
        <v>166937.66489330141</v>
      </c>
      <c r="BL20" s="467">
        <v>157708.29992196511</v>
      </c>
      <c r="BM20" s="467">
        <v>370541.65749614971</v>
      </c>
      <c r="BN20" s="467">
        <v>202178.2416272336</v>
      </c>
      <c r="BO20" s="467">
        <v>7817.2481467786638</v>
      </c>
      <c r="BP20" s="468">
        <f t="shared" si="28"/>
        <v>2222455000</v>
      </c>
      <c r="BQ20" s="467">
        <v>6185278.1736883279</v>
      </c>
      <c r="BR20" s="467">
        <v>136994976.98184752</v>
      </c>
      <c r="BS20" s="467">
        <v>26095744.844464149</v>
      </c>
      <c r="BT20" s="468">
        <f t="shared" si="31"/>
        <v>2391731000</v>
      </c>
      <c r="BU20" s="468">
        <v>40701887.911405884</v>
      </c>
      <c r="BV20" s="447"/>
      <c r="BW20" s="465">
        <f t="shared" ref="BW20" si="36">$A20</f>
        <v>2019</v>
      </c>
      <c r="BX20" s="465">
        <f t="shared" si="21"/>
        <v>1</v>
      </c>
      <c r="BY20" s="448">
        <f t="shared" si="2"/>
        <v>1259041000</v>
      </c>
      <c r="BZ20" s="448">
        <f t="shared" si="3"/>
        <v>247000</v>
      </c>
      <c r="CA20" s="448">
        <f t="shared" si="22"/>
        <v>295219000</v>
      </c>
      <c r="CB20" s="448">
        <f t="shared" si="30"/>
        <v>289950000</v>
      </c>
      <c r="CC20" s="448">
        <f t="shared" si="23"/>
        <v>164724000</v>
      </c>
      <c r="CD20" s="448">
        <f t="shared" si="24"/>
        <v>316000</v>
      </c>
      <c r="CE20" s="448">
        <f t="shared" si="25"/>
        <v>126212000</v>
      </c>
      <c r="CF20" s="448">
        <f t="shared" si="26"/>
        <v>4000</v>
      </c>
      <c r="CG20" s="448">
        <f t="shared" si="27"/>
        <v>16004000</v>
      </c>
      <c r="CH20" s="448">
        <f t="shared" ref="CH20:CH31" si="37">ROUND(SUM(AW20:AX20,BU20),-3)</f>
        <v>48829000</v>
      </c>
      <c r="CI20" s="448">
        <f t="shared" si="5"/>
        <v>6272000</v>
      </c>
      <c r="CJ20" s="448">
        <f t="shared" si="6"/>
        <v>49635000</v>
      </c>
      <c r="CK20" s="448">
        <f t="shared" si="7"/>
        <v>5821000</v>
      </c>
      <c r="CL20" s="448">
        <f t="shared" si="8"/>
        <v>883000</v>
      </c>
      <c r="CM20" s="448">
        <f t="shared" si="9"/>
        <v>169276000</v>
      </c>
      <c r="CN20" s="448">
        <f t="shared" si="10"/>
        <v>2432433000</v>
      </c>
      <c r="CO20" s="449">
        <f t="shared" ref="CO20:CO31" si="38">ROUND(SUM(BT20:BU20),-3)</f>
        <v>2432433000</v>
      </c>
      <c r="CP20" s="449">
        <f t="shared" si="12"/>
        <v>0</v>
      </c>
    </row>
    <row r="21" spans="1:94" ht="15">
      <c r="A21" s="403"/>
      <c r="B21" s="404">
        <v>2</v>
      </c>
      <c r="C21" s="405">
        <v>1049964</v>
      </c>
      <c r="D21" s="405">
        <v>757240</v>
      </c>
      <c r="E21" s="405">
        <v>98109</v>
      </c>
      <c r="F21" s="405">
        <v>6176</v>
      </c>
      <c r="G21" s="406">
        <v>816</v>
      </c>
      <c r="H21" s="394">
        <f t="shared" si="13"/>
        <v>1912305</v>
      </c>
      <c r="I21" s="393">
        <v>169405</v>
      </c>
      <c r="J21" s="394">
        <f t="shared" si="14"/>
        <v>2081710</v>
      </c>
      <c r="L21" s="403"/>
      <c r="M21" s="404">
        <f t="shared" si="15"/>
        <v>2</v>
      </c>
      <c r="N21" s="407">
        <v>1054290447.3191795</v>
      </c>
      <c r="O21" s="407">
        <v>714998824.89775753</v>
      </c>
      <c r="P21" s="407">
        <v>96640197.353806242</v>
      </c>
      <c r="Q21" s="407">
        <v>6061889.6631117435</v>
      </c>
      <c r="R21" s="408">
        <v>841440.31993308745</v>
      </c>
      <c r="S21" s="394">
        <f t="shared" si="16"/>
        <v>1872832799.5537882</v>
      </c>
      <c r="T21" s="394">
        <v>159637652.57380196</v>
      </c>
      <c r="U21" s="394">
        <f t="shared" si="17"/>
        <v>2032470452.1275902</v>
      </c>
      <c r="W21" s="403"/>
      <c r="X21" s="404">
        <f t="shared" si="18"/>
        <v>2</v>
      </c>
      <c r="Y21" s="407">
        <f t="shared" si="19"/>
        <v>-4326447.3191795349</v>
      </c>
      <c r="Z21" s="407">
        <f t="shared" si="1"/>
        <v>42241175.10224247</v>
      </c>
      <c r="AA21" s="407">
        <f t="shared" si="1"/>
        <v>1468802.6461937577</v>
      </c>
      <c r="AB21" s="407">
        <f t="shared" si="1"/>
        <v>114110.33688825648</v>
      </c>
      <c r="AC21" s="442"/>
      <c r="AD21" s="443">
        <f t="shared" si="20"/>
        <v>2</v>
      </c>
      <c r="AE21" s="444">
        <v>559.59805325510763</v>
      </c>
      <c r="AF21" s="445">
        <v>816000</v>
      </c>
      <c r="AG21" s="445">
        <v>1049780380.1846642</v>
      </c>
      <c r="AH21" s="445">
        <v>183619.81533566411</v>
      </c>
      <c r="AI21" s="445">
        <v>24700404.243787814</v>
      </c>
      <c r="AJ21" s="445">
        <v>3111333.8515849761</v>
      </c>
      <c r="AK21" s="445">
        <v>13736020.264433455</v>
      </c>
      <c r="AL21" s="445">
        <v>1575893.0816527314</v>
      </c>
      <c r="AM21" s="445">
        <v>221861138.30639061</v>
      </c>
      <c r="AN21" s="445">
        <v>8032246.7009127485</v>
      </c>
      <c r="AO21" s="445">
        <v>235212825.50073975</v>
      </c>
      <c r="AP21" s="445">
        <v>15016148.378482979</v>
      </c>
      <c r="AQ21" s="445">
        <v>131205991.10081756</v>
      </c>
      <c r="AR21" s="445">
        <v>17448915.283833403</v>
      </c>
      <c r="AS21" s="445">
        <v>302219.51689467079</v>
      </c>
      <c r="AT21" s="445">
        <v>70010441.626419425</v>
      </c>
      <c r="AU21" s="445">
        <v>38603849.947068594</v>
      </c>
      <c r="AV21" s="445">
        <v>3003.8684267077092</v>
      </c>
      <c r="AW21" s="445">
        <v>4370812.9341378119</v>
      </c>
      <c r="AX21" s="445">
        <v>4479351.5175016141</v>
      </c>
      <c r="AY21" s="445">
        <v>13601617.77761017</v>
      </c>
      <c r="AZ21" s="445">
        <v>1647694.6689671334</v>
      </c>
      <c r="BA21" s="445">
        <v>5129202.7701413799</v>
      </c>
      <c r="BB21" s="445">
        <v>35403362.859379128</v>
      </c>
      <c r="BC21" s="445">
        <v>9399285.4020592701</v>
      </c>
      <c r="BD21" s="445">
        <v>1129816.1654120598</v>
      </c>
      <c r="BE21" s="445">
        <v>101169.13480717082</v>
      </c>
      <c r="BF21" s="445">
        <v>4572.9206303686751</v>
      </c>
      <c r="BG21" s="445">
        <v>242286.45899091655</v>
      </c>
      <c r="BH21" s="445">
        <v>1089979.4478816763</v>
      </c>
      <c r="BI21" s="445">
        <v>2815988.9923370848</v>
      </c>
      <c r="BJ21" s="445">
        <v>534128.30276544089</v>
      </c>
      <c r="BK21" s="445">
        <v>155618.18772471035</v>
      </c>
      <c r="BL21" s="445">
        <v>146324.75159049293</v>
      </c>
      <c r="BM21" s="445">
        <v>257498.97912202825</v>
      </c>
      <c r="BN21" s="445">
        <v>187840.40458331723</v>
      </c>
      <c r="BO21" s="445">
        <v>7457.0548596157905</v>
      </c>
      <c r="BP21" s="446">
        <f t="shared" si="28"/>
        <v>1912304999.9999993</v>
      </c>
      <c r="BQ21" s="445">
        <v>6212318.7363128038</v>
      </c>
      <c r="BR21" s="445">
        <v>136686964.64823565</v>
      </c>
      <c r="BS21" s="445">
        <v>26505716.615451552</v>
      </c>
      <c r="BT21" s="446">
        <f t="shared" si="31"/>
        <v>2081709999.9999993</v>
      </c>
      <c r="BU21" s="446">
        <v>38643254.0351208</v>
      </c>
      <c r="BV21" s="447"/>
      <c r="BW21" s="442"/>
      <c r="BX21" s="443">
        <f t="shared" si="21"/>
        <v>2</v>
      </c>
      <c r="BY21" s="448">
        <f t="shared" si="2"/>
        <v>1049780000</v>
      </c>
      <c r="BZ21" s="448">
        <f t="shared" si="3"/>
        <v>184000</v>
      </c>
      <c r="CA21" s="448">
        <f t="shared" si="22"/>
        <v>255724000</v>
      </c>
      <c r="CB21" s="448">
        <f>ROUND(SUM(AK21,AO21:AP21,BE21),-3)-1000</f>
        <v>264065000</v>
      </c>
      <c r="CC21" s="448">
        <f t="shared" si="23"/>
        <v>150231000</v>
      </c>
      <c r="CD21" s="448">
        <f t="shared" si="24"/>
        <v>302000</v>
      </c>
      <c r="CE21" s="448">
        <f t="shared" si="25"/>
        <v>111726000</v>
      </c>
      <c r="CF21" s="448">
        <f t="shared" si="26"/>
        <v>3000</v>
      </c>
      <c r="CG21" s="448">
        <f t="shared" si="27"/>
        <v>13602000</v>
      </c>
      <c r="CH21" s="448">
        <f t="shared" si="37"/>
        <v>47493000</v>
      </c>
      <c r="CI21" s="448">
        <f t="shared" si="5"/>
        <v>6777000</v>
      </c>
      <c r="CJ21" s="448">
        <f t="shared" si="6"/>
        <v>44803000</v>
      </c>
      <c r="CK21" s="448">
        <f t="shared" si="7"/>
        <v>5442000</v>
      </c>
      <c r="CL21" s="448">
        <f t="shared" si="8"/>
        <v>816000</v>
      </c>
      <c r="CM21" s="448">
        <f t="shared" si="9"/>
        <v>169405000</v>
      </c>
      <c r="CN21" s="448">
        <f t="shared" si="10"/>
        <v>2120353000</v>
      </c>
      <c r="CO21" s="449">
        <f t="shared" si="38"/>
        <v>2120353000</v>
      </c>
      <c r="CP21" s="449">
        <f t="shared" si="12"/>
        <v>0</v>
      </c>
    </row>
    <row r="22" spans="1:94" ht="15">
      <c r="A22" s="403"/>
      <c r="B22" s="404">
        <v>3</v>
      </c>
      <c r="C22" s="405">
        <v>1045413</v>
      </c>
      <c r="D22" s="405">
        <v>804397</v>
      </c>
      <c r="E22" s="405">
        <v>109918</v>
      </c>
      <c r="F22" s="405">
        <v>6850</v>
      </c>
      <c r="G22" s="406">
        <v>814</v>
      </c>
      <c r="H22" s="394">
        <f t="shared" si="13"/>
        <v>1967392</v>
      </c>
      <c r="I22" s="393">
        <v>169416</v>
      </c>
      <c r="J22" s="394">
        <f t="shared" si="14"/>
        <v>2136808</v>
      </c>
      <c r="L22" s="403"/>
      <c r="M22" s="404">
        <f t="shared" si="15"/>
        <v>3</v>
      </c>
      <c r="N22" s="407">
        <v>1023440762.6996967</v>
      </c>
      <c r="O22" s="407">
        <v>750897937.35014975</v>
      </c>
      <c r="P22" s="407">
        <v>101355823.76694773</v>
      </c>
      <c r="Q22" s="407">
        <v>6665955.0943024531</v>
      </c>
      <c r="R22" s="408">
        <v>807925.28024655883</v>
      </c>
      <c r="S22" s="394">
        <f t="shared" si="16"/>
        <v>1883168404.1913431</v>
      </c>
      <c r="T22" s="394">
        <v>165763537.14973554</v>
      </c>
      <c r="U22" s="394">
        <f t="shared" si="17"/>
        <v>2048931941.3410785</v>
      </c>
      <c r="W22" s="403"/>
      <c r="X22" s="404">
        <f t="shared" si="18"/>
        <v>3</v>
      </c>
      <c r="Y22" s="407">
        <f t="shared" si="19"/>
        <v>21972237.30030334</v>
      </c>
      <c r="Z22" s="407">
        <f t="shared" si="1"/>
        <v>53499062.649850249</v>
      </c>
      <c r="AA22" s="407">
        <f t="shared" si="1"/>
        <v>8562176.2330522686</v>
      </c>
      <c r="AB22" s="407">
        <f t="shared" si="1"/>
        <v>184044.9056975469</v>
      </c>
      <c r="AC22" s="442"/>
      <c r="AD22" s="443">
        <f t="shared" si="20"/>
        <v>3</v>
      </c>
      <c r="AE22" s="444">
        <v>642.49075686488777</v>
      </c>
      <c r="AF22" s="445">
        <v>814000</v>
      </c>
      <c r="AG22" s="445">
        <v>1045223066.9354016</v>
      </c>
      <c r="AH22" s="445">
        <v>189933.06459850891</v>
      </c>
      <c r="AI22" s="445">
        <v>24947707.275992557</v>
      </c>
      <c r="AJ22" s="445">
        <v>3250078.6684244559</v>
      </c>
      <c r="AK22" s="445">
        <v>14060191.284505326</v>
      </c>
      <c r="AL22" s="445">
        <v>1676134.1539381316</v>
      </c>
      <c r="AM22" s="445">
        <v>238543083.52022535</v>
      </c>
      <c r="AN22" s="445">
        <v>9107396.0675751567</v>
      </c>
      <c r="AO22" s="445">
        <v>241862081.28314069</v>
      </c>
      <c r="AP22" s="445">
        <v>16748343.683228238</v>
      </c>
      <c r="AQ22" s="445">
        <v>141628370.81156856</v>
      </c>
      <c r="AR22" s="445">
        <v>19737726.086208843</v>
      </c>
      <c r="AS22" s="445">
        <v>334979.19091726007</v>
      </c>
      <c r="AT22" s="445">
        <v>75165680.923378497</v>
      </c>
      <c r="AU22" s="445">
        <v>42820403.024472617</v>
      </c>
      <c r="AV22" s="445">
        <v>6108.3200058093744</v>
      </c>
      <c r="AW22" s="445">
        <v>7559224.8724903474</v>
      </c>
      <c r="AX22" s="445">
        <v>5314140.310234651</v>
      </c>
      <c r="AY22" s="445">
        <v>12832102.257441688</v>
      </c>
      <c r="AZ22" s="445">
        <v>1819647.7832092459</v>
      </c>
      <c r="BA22" s="445">
        <v>5535494.5249816692</v>
      </c>
      <c r="BB22" s="445">
        <v>40146672.291920766</v>
      </c>
      <c r="BC22" s="445">
        <v>10654496.303298807</v>
      </c>
      <c r="BD22" s="445">
        <v>1112705.2620050043</v>
      </c>
      <c r="BE22" s="445">
        <v>99113.122525051265</v>
      </c>
      <c r="BF22" s="445">
        <v>5243.9827138638329</v>
      </c>
      <c r="BG22" s="445">
        <v>269738.63733971107</v>
      </c>
      <c r="BH22" s="445">
        <v>1249567.7767315523</v>
      </c>
      <c r="BI22" s="445">
        <v>3211220.8519178242</v>
      </c>
      <c r="BJ22" s="445">
        <v>609810.92352978932</v>
      </c>
      <c r="BK22" s="445">
        <v>176247.45831250603</v>
      </c>
      <c r="BL22" s="445">
        <v>165322.07793304036</v>
      </c>
      <c r="BM22" s="445">
        <v>291956.95248033752</v>
      </c>
      <c r="BN22" s="445">
        <v>215058.42129174439</v>
      </c>
      <c r="BO22" s="445">
        <v>8309.4053040168928</v>
      </c>
      <c r="BP22" s="446">
        <f t="shared" si="28"/>
        <v>1967392000</v>
      </c>
      <c r="BQ22" s="445">
        <v>6310850.6320956508</v>
      </c>
      <c r="BR22" s="445">
        <v>136038506.71547663</v>
      </c>
      <c r="BS22" s="445">
        <v>27066642.652427722</v>
      </c>
      <c r="BT22" s="446">
        <f t="shared" si="31"/>
        <v>2136808000</v>
      </c>
      <c r="BU22" s="446">
        <v>36211225.085266523</v>
      </c>
      <c r="BV22" s="447"/>
      <c r="BW22" s="442"/>
      <c r="BX22" s="443">
        <f t="shared" si="21"/>
        <v>3</v>
      </c>
      <c r="BY22" s="448">
        <f t="shared" si="2"/>
        <v>1045223000</v>
      </c>
      <c r="BZ22" s="448">
        <f t="shared" si="3"/>
        <v>190000</v>
      </c>
      <c r="CA22" s="448">
        <f t="shared" si="22"/>
        <v>273711000</v>
      </c>
      <c r="CB22" s="448">
        <f t="shared" si="30"/>
        <v>272770000</v>
      </c>
      <c r="CC22" s="448">
        <f t="shared" si="23"/>
        <v>163042000</v>
      </c>
      <c r="CD22" s="448">
        <f t="shared" si="24"/>
        <v>335000</v>
      </c>
      <c r="CE22" s="448">
        <f t="shared" si="25"/>
        <v>121236000</v>
      </c>
      <c r="CF22" s="448">
        <f t="shared" si="26"/>
        <v>6000</v>
      </c>
      <c r="CG22" s="448">
        <f t="shared" si="27"/>
        <v>12832000</v>
      </c>
      <c r="CH22" s="448">
        <f t="shared" si="37"/>
        <v>49085000</v>
      </c>
      <c r="CI22" s="448">
        <f t="shared" si="5"/>
        <v>7355000</v>
      </c>
      <c r="CJ22" s="448">
        <f t="shared" si="6"/>
        <v>50801000</v>
      </c>
      <c r="CK22" s="448">
        <f t="shared" si="7"/>
        <v>6203000</v>
      </c>
      <c r="CL22" s="448">
        <f t="shared" si="8"/>
        <v>814000</v>
      </c>
      <c r="CM22" s="448">
        <f t="shared" si="9"/>
        <v>169416000</v>
      </c>
      <c r="CN22" s="448">
        <f t="shared" si="10"/>
        <v>2173019000</v>
      </c>
      <c r="CO22" s="449">
        <f t="shared" si="38"/>
        <v>2173019000</v>
      </c>
      <c r="CP22" s="449">
        <f t="shared" si="12"/>
        <v>0</v>
      </c>
    </row>
    <row r="23" spans="1:94" ht="15">
      <c r="A23" s="403"/>
      <c r="B23" s="404">
        <v>4</v>
      </c>
      <c r="C23" s="405">
        <v>862305</v>
      </c>
      <c r="D23" s="405">
        <v>743373</v>
      </c>
      <c r="E23" s="405">
        <v>101031</v>
      </c>
      <c r="F23" s="405">
        <v>6116</v>
      </c>
      <c r="G23" s="406">
        <v>591</v>
      </c>
      <c r="H23" s="394">
        <f t="shared" si="13"/>
        <v>1713416</v>
      </c>
      <c r="I23" s="393">
        <v>169416</v>
      </c>
      <c r="J23" s="394">
        <f t="shared" si="14"/>
        <v>1882832</v>
      </c>
      <c r="L23" s="403"/>
      <c r="M23" s="404">
        <f t="shared" si="15"/>
        <v>4</v>
      </c>
      <c r="N23" s="407">
        <v>848944075.34425116</v>
      </c>
      <c r="O23" s="407">
        <v>706317460.31100571</v>
      </c>
      <c r="P23" s="407">
        <v>98480041.588331878</v>
      </c>
      <c r="Q23" s="407">
        <v>6329799.4222623371</v>
      </c>
      <c r="R23" s="408">
        <v>602585.90041367337</v>
      </c>
      <c r="S23" s="394">
        <f t="shared" si="16"/>
        <v>1660673962.5662649</v>
      </c>
      <c r="T23" s="394">
        <v>156572149.67535993</v>
      </c>
      <c r="U23" s="394">
        <f t="shared" si="17"/>
        <v>1817246112.2416248</v>
      </c>
      <c r="W23" s="403"/>
      <c r="X23" s="404">
        <f t="shared" si="18"/>
        <v>4</v>
      </c>
      <c r="Y23" s="407">
        <f t="shared" si="19"/>
        <v>13360924.655748844</v>
      </c>
      <c r="Z23" s="407">
        <f t="shared" si="1"/>
        <v>37055539.688994288</v>
      </c>
      <c r="AA23" s="407">
        <f t="shared" si="1"/>
        <v>2550958.4116681218</v>
      </c>
      <c r="AB23" s="407">
        <f t="shared" si="1"/>
        <v>-213799.42226233706</v>
      </c>
      <c r="AC23" s="442"/>
      <c r="AD23" s="443">
        <f t="shared" si="20"/>
        <v>4</v>
      </c>
      <c r="AE23" s="444">
        <v>584.50662131920512</v>
      </c>
      <c r="AF23" s="445">
        <v>591000</v>
      </c>
      <c r="AG23" s="445">
        <v>862137372.25637758</v>
      </c>
      <c r="AH23" s="445">
        <v>167627.74362241678</v>
      </c>
      <c r="AI23" s="445">
        <v>20985636.818296526</v>
      </c>
      <c r="AJ23" s="445">
        <v>2889841.0873069866</v>
      </c>
      <c r="AK23" s="445">
        <v>12264791.145393336</v>
      </c>
      <c r="AL23" s="445">
        <v>1450487.4657240659</v>
      </c>
      <c r="AM23" s="445">
        <v>214932014.70948562</v>
      </c>
      <c r="AN23" s="445">
        <v>7906744.9096906492</v>
      </c>
      <c r="AO23" s="445">
        <v>231205877.32271636</v>
      </c>
      <c r="AP23" s="445">
        <v>15328287.416198239</v>
      </c>
      <c r="AQ23" s="445">
        <v>132939566.29159528</v>
      </c>
      <c r="AR23" s="445">
        <v>18414649.121007461</v>
      </c>
      <c r="AS23" s="445">
        <v>612600.15457699529</v>
      </c>
      <c r="AT23" s="445">
        <v>69715379.64139986</v>
      </c>
      <c r="AU23" s="445">
        <v>40808804.614266887</v>
      </c>
      <c r="AV23" s="445">
        <v>431178.10282549885</v>
      </c>
      <c r="AW23" s="445">
        <v>7493588.9842789769</v>
      </c>
      <c r="AX23" s="445">
        <v>4614664.3490537321</v>
      </c>
      <c r="AY23" s="445">
        <v>9856537.6602616459</v>
      </c>
      <c r="AZ23" s="445">
        <v>1660934.8022318333</v>
      </c>
      <c r="BA23" s="445">
        <v>3836478.1109782839</v>
      </c>
      <c r="BB23" s="445">
        <v>36399731.006949775</v>
      </c>
      <c r="BC23" s="445">
        <v>10121371.478804754</v>
      </c>
      <c r="BD23" s="445">
        <v>888328.86080831522</v>
      </c>
      <c r="BE23" s="445">
        <v>68834.831861307379</v>
      </c>
      <c r="BF23" s="445">
        <v>4687.4209994610083</v>
      </c>
      <c r="BG23" s="445">
        <v>241953.37540780343</v>
      </c>
      <c r="BH23" s="445">
        <v>1118097.1061357602</v>
      </c>
      <c r="BI23" s="445">
        <v>2858146.2051827214</v>
      </c>
      <c r="BJ23" s="445">
        <v>542981.09091881465</v>
      </c>
      <c r="BK23" s="445">
        <v>167771.5275954509</v>
      </c>
      <c r="BL23" s="445">
        <v>157772.34262917057</v>
      </c>
      <c r="BM23" s="445">
        <v>392386.60206449725</v>
      </c>
      <c r="BN23" s="445">
        <v>201227.33996131469</v>
      </c>
      <c r="BO23" s="445">
        <v>8063.5967712288784</v>
      </c>
      <c r="BP23" s="446">
        <f t="shared" si="28"/>
        <v>1713415999.9999998</v>
      </c>
      <c r="BQ23" s="445">
        <v>6696984.4019434713</v>
      </c>
      <c r="BR23" s="445">
        <v>139769038.96054128</v>
      </c>
      <c r="BS23" s="445">
        <v>22949976.637515277</v>
      </c>
      <c r="BT23" s="446">
        <f t="shared" si="31"/>
        <v>1882831999.9999998</v>
      </c>
      <c r="BU23" s="446">
        <v>36246964.023487173</v>
      </c>
      <c r="BV23" s="447"/>
      <c r="BW23" s="442"/>
      <c r="BX23" s="443">
        <f t="shared" si="21"/>
        <v>4</v>
      </c>
      <c r="BY23" s="448">
        <f t="shared" si="2"/>
        <v>862137000</v>
      </c>
      <c r="BZ23" s="448">
        <f t="shared" si="3"/>
        <v>168000</v>
      </c>
      <c r="CA23" s="448">
        <f t="shared" si="22"/>
        <v>244713000</v>
      </c>
      <c r="CB23" s="448">
        <f>ROUND(SUM(AK23,AO23:AP23,BE23),-3)-1000</f>
        <v>258867000</v>
      </c>
      <c r="CC23" s="448">
        <f t="shared" si="23"/>
        <v>152805000</v>
      </c>
      <c r="CD23" s="448">
        <f t="shared" si="24"/>
        <v>613000</v>
      </c>
      <c r="CE23" s="448">
        <f t="shared" si="25"/>
        <v>113414000</v>
      </c>
      <c r="CF23" s="448">
        <f t="shared" si="26"/>
        <v>431000</v>
      </c>
      <c r="CG23" s="448">
        <f t="shared" si="27"/>
        <v>9857000</v>
      </c>
      <c r="CH23" s="448">
        <f t="shared" si="37"/>
        <v>48355000</v>
      </c>
      <c r="CI23" s="448">
        <f t="shared" si="5"/>
        <v>5497000</v>
      </c>
      <c r="CJ23" s="448">
        <f t="shared" si="6"/>
        <v>46521000</v>
      </c>
      <c r="CK23" s="448">
        <f t="shared" si="7"/>
        <v>5694000</v>
      </c>
      <c r="CL23" s="448">
        <f t="shared" si="8"/>
        <v>591000</v>
      </c>
      <c r="CM23" s="448">
        <f t="shared" si="9"/>
        <v>169416000</v>
      </c>
      <c r="CN23" s="448">
        <f t="shared" si="10"/>
        <v>1919079000</v>
      </c>
      <c r="CO23" s="449">
        <f t="shared" si="38"/>
        <v>1919079000</v>
      </c>
      <c r="CP23" s="449">
        <f t="shared" si="12"/>
        <v>0</v>
      </c>
    </row>
    <row r="24" spans="1:94" ht="15">
      <c r="A24" s="403"/>
      <c r="B24" s="404">
        <v>5</v>
      </c>
      <c r="C24" s="405">
        <v>739742</v>
      </c>
      <c r="D24" s="405">
        <v>737413</v>
      </c>
      <c r="E24" s="405">
        <v>105147</v>
      </c>
      <c r="F24" s="405">
        <v>6480</v>
      </c>
      <c r="G24" s="406">
        <v>457</v>
      </c>
      <c r="H24" s="394">
        <f t="shared" si="13"/>
        <v>1589239</v>
      </c>
      <c r="I24" s="393">
        <v>169250</v>
      </c>
      <c r="J24" s="394">
        <f t="shared" si="14"/>
        <v>1758489</v>
      </c>
      <c r="L24" s="403"/>
      <c r="M24" s="404">
        <f t="shared" si="15"/>
        <v>5</v>
      </c>
      <c r="N24" s="407">
        <v>739149459.79709852</v>
      </c>
      <c r="O24" s="407">
        <v>715539512.35899663</v>
      </c>
      <c r="P24" s="407">
        <v>101615502.62038885</v>
      </c>
      <c r="Q24" s="407">
        <v>6184072.7665686645</v>
      </c>
      <c r="R24" s="408">
        <v>442532.05235925998</v>
      </c>
      <c r="S24" s="394">
        <f t="shared" si="16"/>
        <v>1562931079.5954118</v>
      </c>
      <c r="T24" s="394">
        <v>173944180.05066621</v>
      </c>
      <c r="U24" s="394">
        <f t="shared" si="17"/>
        <v>1736875259.6460781</v>
      </c>
      <c r="W24" s="403"/>
      <c r="X24" s="404">
        <f t="shared" si="18"/>
        <v>5</v>
      </c>
      <c r="Y24" s="407">
        <f t="shared" si="19"/>
        <v>592540.20290148258</v>
      </c>
      <c r="Z24" s="407">
        <f t="shared" si="19"/>
        <v>21873487.64100337</v>
      </c>
      <c r="AA24" s="407">
        <f t="shared" si="19"/>
        <v>3531497.3796111494</v>
      </c>
      <c r="AB24" s="407">
        <f t="shared" si="19"/>
        <v>295927.23343133554</v>
      </c>
      <c r="AC24" s="442"/>
      <c r="AD24" s="443">
        <f t="shared" si="20"/>
        <v>5</v>
      </c>
      <c r="AE24" s="444">
        <v>627.06287994971376</v>
      </c>
      <c r="AF24" s="445">
        <v>456999.99999999994</v>
      </c>
      <c r="AG24" s="445">
        <v>739575709.5270946</v>
      </c>
      <c r="AH24" s="445">
        <v>166290.47290537803</v>
      </c>
      <c r="AI24" s="445">
        <v>19217292.028125755</v>
      </c>
      <c r="AJ24" s="445">
        <v>2668226.6882210234</v>
      </c>
      <c r="AK24" s="445">
        <v>11392007.679186476</v>
      </c>
      <c r="AL24" s="445">
        <v>1354648.3514728288</v>
      </c>
      <c r="AM24" s="445">
        <v>206627338.24833333</v>
      </c>
      <c r="AN24" s="445">
        <v>7688884.2862699721</v>
      </c>
      <c r="AO24" s="445">
        <v>229948357.6987887</v>
      </c>
      <c r="AP24" s="445">
        <v>15427780.870050987</v>
      </c>
      <c r="AQ24" s="445">
        <v>136324962.22105235</v>
      </c>
      <c r="AR24" s="445">
        <v>20001268.577133797</v>
      </c>
      <c r="AS24" s="445">
        <v>1558015.9822006156</v>
      </c>
      <c r="AT24" s="445">
        <v>71386666.029686689</v>
      </c>
      <c r="AU24" s="445">
        <v>42613445.781177551</v>
      </c>
      <c r="AV24" s="445">
        <v>757939.6647886571</v>
      </c>
      <c r="AW24" s="445">
        <v>8033672.2939925278</v>
      </c>
      <c r="AX24" s="445">
        <v>5349235.9219454378</v>
      </c>
      <c r="AY24" s="445">
        <v>8521410.3464452978</v>
      </c>
      <c r="AZ24" s="445">
        <v>1770810.7095038504</v>
      </c>
      <c r="BA24" s="445">
        <v>3953347.8080434673</v>
      </c>
      <c r="BB24" s="445">
        <v>37325516.810598589</v>
      </c>
      <c r="BC24" s="445">
        <v>10113036.755378779</v>
      </c>
      <c r="BD24" s="445">
        <v>858444.51088300045</v>
      </c>
      <c r="BE24" s="445">
        <v>65928.483805023425</v>
      </c>
      <c r="BF24" s="445">
        <v>5059.6510711266346</v>
      </c>
      <c r="BG24" s="445">
        <v>290024.99384648068</v>
      </c>
      <c r="BH24" s="445">
        <v>1201712.5167295237</v>
      </c>
      <c r="BI24" s="445">
        <v>3065518.7233306146</v>
      </c>
      <c r="BJ24" s="445">
        <v>581779.32833712245</v>
      </c>
      <c r="BK24" s="445">
        <v>163972.31448791592</v>
      </c>
      <c r="BL24" s="445">
        <v>155010.47020544749</v>
      </c>
      <c r="BM24" s="445">
        <v>410904.72911715793</v>
      </c>
      <c r="BN24" s="445">
        <v>199428.40402246485</v>
      </c>
      <c r="BO24" s="445">
        <v>7724.0588874341629</v>
      </c>
      <c r="BP24" s="446">
        <f t="shared" si="28"/>
        <v>1589239000</v>
      </c>
      <c r="BQ24" s="445">
        <v>6358562.3188879211</v>
      </c>
      <c r="BR24" s="445">
        <v>139889185.68958065</v>
      </c>
      <c r="BS24" s="445">
        <v>23002251.991531447</v>
      </c>
      <c r="BT24" s="446">
        <f t="shared" si="31"/>
        <v>1758489000</v>
      </c>
      <c r="BU24" s="446">
        <v>35740902.191576347</v>
      </c>
      <c r="BV24" s="447"/>
      <c r="BW24" s="442"/>
      <c r="BX24" s="443">
        <f t="shared" si="21"/>
        <v>5</v>
      </c>
      <c r="BY24" s="448">
        <f t="shared" si="2"/>
        <v>739576000</v>
      </c>
      <c r="BZ24" s="448">
        <f t="shared" si="3"/>
        <v>166000</v>
      </c>
      <c r="CA24" s="448">
        <f t="shared" si="22"/>
        <v>234392000</v>
      </c>
      <c r="CB24" s="448">
        <f t="shared" si="30"/>
        <v>256834000</v>
      </c>
      <c r="CC24" s="448">
        <f t="shared" si="23"/>
        <v>157681000</v>
      </c>
      <c r="CD24" s="448">
        <f t="shared" si="24"/>
        <v>1558000</v>
      </c>
      <c r="CE24" s="448">
        <f t="shared" si="25"/>
        <v>116668000</v>
      </c>
      <c r="CF24" s="448">
        <f t="shared" si="26"/>
        <v>758000</v>
      </c>
      <c r="CG24" s="448">
        <f t="shared" si="27"/>
        <v>8521000</v>
      </c>
      <c r="CH24" s="448">
        <f t="shared" si="37"/>
        <v>49124000</v>
      </c>
      <c r="CI24" s="448">
        <f t="shared" si="5"/>
        <v>5724000</v>
      </c>
      <c r="CJ24" s="448">
        <f t="shared" si="6"/>
        <v>47439000</v>
      </c>
      <c r="CK24" s="448">
        <f t="shared" si="7"/>
        <v>6082000</v>
      </c>
      <c r="CL24" s="448">
        <f t="shared" si="8"/>
        <v>457000</v>
      </c>
      <c r="CM24" s="448">
        <f t="shared" si="9"/>
        <v>169250000</v>
      </c>
      <c r="CN24" s="448">
        <f t="shared" si="10"/>
        <v>1794230000</v>
      </c>
      <c r="CO24" s="449">
        <f t="shared" si="38"/>
        <v>1794230000</v>
      </c>
      <c r="CP24" s="449">
        <f t="shared" si="12"/>
        <v>0</v>
      </c>
    </row>
    <row r="25" spans="1:94" ht="15">
      <c r="A25" s="403"/>
      <c r="B25" s="404">
        <v>6</v>
      </c>
      <c r="C25" s="405">
        <v>680386</v>
      </c>
      <c r="D25" s="405">
        <v>732235</v>
      </c>
      <c r="E25" s="405">
        <v>105858</v>
      </c>
      <c r="F25" s="405">
        <v>6492</v>
      </c>
      <c r="G25" s="406">
        <v>356</v>
      </c>
      <c r="H25" s="394">
        <f t="shared" si="13"/>
        <v>1525327</v>
      </c>
      <c r="I25" s="393">
        <v>169235</v>
      </c>
      <c r="J25" s="394">
        <f t="shared" si="14"/>
        <v>1694562</v>
      </c>
      <c r="L25" s="403"/>
      <c r="M25" s="404">
        <f t="shared" si="15"/>
        <v>6</v>
      </c>
      <c r="N25" s="407">
        <v>673529665.8943994</v>
      </c>
      <c r="O25" s="407">
        <v>685178840.47363722</v>
      </c>
      <c r="P25" s="407">
        <v>98634271.777065411</v>
      </c>
      <c r="Q25" s="407">
        <v>6124541.6104870671</v>
      </c>
      <c r="R25" s="408">
        <v>338551.81323937851</v>
      </c>
      <c r="S25" s="394">
        <f t="shared" si="16"/>
        <v>1463805871.5688286</v>
      </c>
      <c r="T25" s="394">
        <v>170136460.13442618</v>
      </c>
      <c r="U25" s="394">
        <f t="shared" si="17"/>
        <v>1633942331.7032547</v>
      </c>
      <c r="W25" s="403"/>
      <c r="X25" s="404">
        <f t="shared" si="18"/>
        <v>6</v>
      </c>
      <c r="Y25" s="407">
        <f t="shared" si="19"/>
        <v>6856334.1056005955</v>
      </c>
      <c r="Z25" s="407">
        <f t="shared" si="19"/>
        <v>47056159.526362777</v>
      </c>
      <c r="AA25" s="407">
        <f t="shared" si="19"/>
        <v>7223728.2229345888</v>
      </c>
      <c r="AB25" s="407">
        <f t="shared" si="19"/>
        <v>367458.38951293286</v>
      </c>
      <c r="AC25" s="442"/>
      <c r="AD25" s="443">
        <f t="shared" si="20"/>
        <v>6</v>
      </c>
      <c r="AE25" s="444">
        <v>631.00314311884699</v>
      </c>
      <c r="AF25" s="445">
        <v>356000</v>
      </c>
      <c r="AG25" s="445">
        <v>680198807.63277209</v>
      </c>
      <c r="AH25" s="445">
        <v>187192.36722788456</v>
      </c>
      <c r="AI25" s="445">
        <v>19204427.297242038</v>
      </c>
      <c r="AJ25" s="445">
        <v>2647513.0989250559</v>
      </c>
      <c r="AK25" s="445">
        <v>11402077.822466744</v>
      </c>
      <c r="AL25" s="445">
        <v>1481400.7260955796</v>
      </c>
      <c r="AM25" s="445">
        <v>204102615.32409561</v>
      </c>
      <c r="AN25" s="445">
        <v>7621108.5532127619</v>
      </c>
      <c r="AO25" s="445">
        <v>229907694.59587267</v>
      </c>
      <c r="AP25" s="445">
        <v>15527254.432718256</v>
      </c>
      <c r="AQ25" s="445">
        <v>136418546.03034401</v>
      </c>
      <c r="AR25" s="445">
        <v>19711658.49132622</v>
      </c>
      <c r="AS25" s="445">
        <v>2266966.1354704355</v>
      </c>
      <c r="AT25" s="445">
        <v>71032468.227077127</v>
      </c>
      <c r="AU25" s="445">
        <v>42623029.489698328</v>
      </c>
      <c r="AV25" s="445">
        <v>789478.32166508853</v>
      </c>
      <c r="AW25" s="445">
        <v>4975762.3774039857</v>
      </c>
      <c r="AX25" s="445">
        <v>5223145.0277523557</v>
      </c>
      <c r="AY25" s="445">
        <v>6976888.2057267791</v>
      </c>
      <c r="AZ25" s="445">
        <v>1981977.1562996339</v>
      </c>
      <c r="BA25" s="445">
        <v>4747079.4877930712</v>
      </c>
      <c r="BB25" s="445">
        <v>38510654.612396717</v>
      </c>
      <c r="BC25" s="445">
        <v>10404724.517499005</v>
      </c>
      <c r="BD25" s="445">
        <v>786278.583720322</v>
      </c>
      <c r="BE25" s="445">
        <v>68164.09719814625</v>
      </c>
      <c r="BF25" s="445">
        <v>5336.9375737910113</v>
      </c>
      <c r="BG25" s="445">
        <v>277944.54258165194</v>
      </c>
      <c r="BH25" s="445">
        <v>1265329.9279644284</v>
      </c>
      <c r="BI25" s="445">
        <v>3195782.3472499568</v>
      </c>
      <c r="BJ25" s="445">
        <v>612172.22797880718</v>
      </c>
      <c r="BK25" s="445">
        <v>167990.11095842926</v>
      </c>
      <c r="BL25" s="445">
        <v>157269.51870937305</v>
      </c>
      <c r="BM25" s="445">
        <v>280360.3325897787</v>
      </c>
      <c r="BN25" s="445">
        <v>203167.9379727779</v>
      </c>
      <c r="BO25" s="445">
        <v>8102.5012779167337</v>
      </c>
      <c r="BP25" s="446">
        <f t="shared" si="28"/>
        <v>1525327000.0000002</v>
      </c>
      <c r="BQ25" s="445">
        <v>6154807.1898984807</v>
      </c>
      <c r="BR25" s="445">
        <v>137430072.55284023</v>
      </c>
      <c r="BS25" s="445">
        <v>25650120.257261287</v>
      </c>
      <c r="BT25" s="446">
        <f t="shared" si="31"/>
        <v>1694562000.0000002</v>
      </c>
      <c r="BU25" s="446">
        <v>38701708.67422317</v>
      </c>
      <c r="BV25" s="447"/>
      <c r="BW25" s="442"/>
      <c r="BX25" s="443">
        <f t="shared" si="21"/>
        <v>6</v>
      </c>
      <c r="BY25" s="448">
        <f t="shared" si="2"/>
        <v>680199000</v>
      </c>
      <c r="BZ25" s="448">
        <f t="shared" si="3"/>
        <v>187000</v>
      </c>
      <c r="CA25" s="448">
        <f t="shared" si="22"/>
        <v>231714000</v>
      </c>
      <c r="CB25" s="448">
        <f>ROUND(SUM(AK25,AO25:AP25,BE25),-3)+1000</f>
        <v>256906000</v>
      </c>
      <c r="CC25" s="448">
        <f t="shared" si="23"/>
        <v>157612000</v>
      </c>
      <c r="CD25" s="448">
        <f t="shared" si="24"/>
        <v>2267000</v>
      </c>
      <c r="CE25" s="448">
        <f t="shared" si="25"/>
        <v>116303000</v>
      </c>
      <c r="CF25" s="448">
        <f t="shared" si="26"/>
        <v>789000</v>
      </c>
      <c r="CG25" s="448">
        <f t="shared" si="27"/>
        <v>6977000</v>
      </c>
      <c r="CH25" s="448">
        <f t="shared" si="37"/>
        <v>48901000</v>
      </c>
      <c r="CI25" s="448">
        <f t="shared" si="5"/>
        <v>6729000</v>
      </c>
      <c r="CJ25" s="448">
        <f t="shared" si="6"/>
        <v>48915000</v>
      </c>
      <c r="CK25" s="448">
        <f t="shared" si="7"/>
        <v>6174000</v>
      </c>
      <c r="CL25" s="448">
        <f t="shared" si="8"/>
        <v>356000</v>
      </c>
      <c r="CM25" s="448">
        <f t="shared" si="9"/>
        <v>169235000</v>
      </c>
      <c r="CN25" s="448">
        <f t="shared" si="10"/>
        <v>1733264000</v>
      </c>
      <c r="CO25" s="449">
        <f t="shared" si="38"/>
        <v>1733264000</v>
      </c>
      <c r="CP25" s="449">
        <f t="shared" si="12"/>
        <v>0</v>
      </c>
    </row>
    <row r="26" spans="1:94" ht="15">
      <c r="A26" s="403"/>
      <c r="B26" s="404">
        <v>7</v>
      </c>
      <c r="C26" s="405">
        <v>681210</v>
      </c>
      <c r="D26" s="405">
        <v>774319</v>
      </c>
      <c r="E26" s="405">
        <v>108488</v>
      </c>
      <c r="F26" s="405">
        <v>6254</v>
      </c>
      <c r="G26" s="406">
        <v>314</v>
      </c>
      <c r="H26" s="394">
        <f t="shared" si="13"/>
        <v>1570585</v>
      </c>
      <c r="I26" s="393">
        <v>169061</v>
      </c>
      <c r="J26" s="394">
        <f t="shared" si="14"/>
        <v>1739646</v>
      </c>
      <c r="L26" s="403"/>
      <c r="M26" s="404">
        <f t="shared" si="15"/>
        <v>7</v>
      </c>
      <c r="N26" s="407">
        <v>691908620.69436502</v>
      </c>
      <c r="O26" s="407">
        <v>731757897.57561255</v>
      </c>
      <c r="P26" s="407">
        <v>105697447.94611534</v>
      </c>
      <c r="Q26" s="407">
        <v>6034627.7315690666</v>
      </c>
      <c r="R26" s="408">
        <v>299791.51923975837</v>
      </c>
      <c r="S26" s="394">
        <f t="shared" si="16"/>
        <v>1535698385.4669015</v>
      </c>
      <c r="T26" s="394">
        <v>178044030.07460824</v>
      </c>
      <c r="U26" s="394">
        <f t="shared" si="17"/>
        <v>1713742415.5415099</v>
      </c>
      <c r="W26" s="403"/>
      <c r="X26" s="404">
        <f t="shared" si="18"/>
        <v>7</v>
      </c>
      <c r="Y26" s="407">
        <f t="shared" si="19"/>
        <v>-10698620.694365025</v>
      </c>
      <c r="Z26" s="407">
        <f t="shared" si="19"/>
        <v>42561102.424387455</v>
      </c>
      <c r="AA26" s="407">
        <f t="shared" si="19"/>
        <v>2790552.0538846552</v>
      </c>
      <c r="AB26" s="407">
        <f t="shared" si="19"/>
        <v>219372.26843093336</v>
      </c>
      <c r="AC26" s="442"/>
      <c r="AD26" s="443">
        <f t="shared" si="20"/>
        <v>7</v>
      </c>
      <c r="AE26" s="444">
        <v>621.52149809761636</v>
      </c>
      <c r="AF26" s="445">
        <v>314000</v>
      </c>
      <c r="AG26" s="445">
        <v>681004083.76540935</v>
      </c>
      <c r="AH26" s="445">
        <v>205916.23459070179</v>
      </c>
      <c r="AI26" s="445">
        <v>19901136.231980272</v>
      </c>
      <c r="AJ26" s="445">
        <v>2807456.7478636038</v>
      </c>
      <c r="AK26" s="445">
        <v>12294704.570708001</v>
      </c>
      <c r="AL26" s="445">
        <v>1934328.4169859905</v>
      </c>
      <c r="AM26" s="445">
        <v>218276546.40386418</v>
      </c>
      <c r="AN26" s="445">
        <v>7701788.9161161417</v>
      </c>
      <c r="AO26" s="445">
        <v>241391853.65736449</v>
      </c>
      <c r="AP26" s="445">
        <v>15741870.019706873</v>
      </c>
      <c r="AQ26" s="445">
        <v>146233730.48146573</v>
      </c>
      <c r="AR26" s="445">
        <v>19644994.932520237</v>
      </c>
      <c r="AS26" s="445">
        <v>3727077.366322591</v>
      </c>
      <c r="AT26" s="445">
        <v>72517103.925287157</v>
      </c>
      <c r="AU26" s="445">
        <v>42510414.897899367</v>
      </c>
      <c r="AV26" s="445">
        <v>1065024.068491457</v>
      </c>
      <c r="AW26" s="445">
        <v>5269279.7729100529</v>
      </c>
      <c r="AX26" s="445">
        <v>5763903.2969954852</v>
      </c>
      <c r="AY26" s="445">
        <v>5329321.5661474038</v>
      </c>
      <c r="AZ26" s="445">
        <v>2372984.20409647</v>
      </c>
      <c r="BA26" s="445">
        <v>5148500.9118959364</v>
      </c>
      <c r="BB26" s="445">
        <v>40663475.098556519</v>
      </c>
      <c r="BC26" s="445">
        <v>11976527.024865957</v>
      </c>
      <c r="BD26" s="445">
        <v>807092.58288285998</v>
      </c>
      <c r="BE26" s="445">
        <v>76222.381954608398</v>
      </c>
      <c r="BF26" s="445">
        <v>4604.006285853221</v>
      </c>
      <c r="BG26" s="445">
        <v>282525.77815417474</v>
      </c>
      <c r="BH26" s="445">
        <v>1196136.1695839725</v>
      </c>
      <c r="BI26" s="445">
        <v>3027514.4834414735</v>
      </c>
      <c r="BJ26" s="445">
        <v>578424.08240143175</v>
      </c>
      <c r="BK26" s="445">
        <v>168048.08072795221</v>
      </c>
      <c r="BL26" s="445">
        <v>158384.56778605096</v>
      </c>
      <c r="BM26" s="445">
        <v>280858.9937975285</v>
      </c>
      <c r="BN26" s="445">
        <v>200534.41823313301</v>
      </c>
      <c r="BO26" s="445">
        <v>8010.4212089826251</v>
      </c>
      <c r="BP26" s="446">
        <f t="shared" si="28"/>
        <v>1570585000.0000007</v>
      </c>
      <c r="BQ26" s="445">
        <v>5834333.1610558378</v>
      </c>
      <c r="BR26" s="445">
        <v>137627159.20278874</v>
      </c>
      <c r="BS26" s="445">
        <v>25599507.636155397</v>
      </c>
      <c r="BT26" s="446">
        <f t="shared" si="31"/>
        <v>1739646000.0000007</v>
      </c>
      <c r="BU26" s="446">
        <v>38559898.344358198</v>
      </c>
      <c r="BV26" s="447"/>
      <c r="BW26" s="442"/>
      <c r="BX26" s="443">
        <f t="shared" si="21"/>
        <v>7</v>
      </c>
      <c r="BY26" s="448">
        <f t="shared" si="2"/>
        <v>681004000</v>
      </c>
      <c r="BZ26" s="448">
        <f t="shared" si="3"/>
        <v>206000</v>
      </c>
      <c r="CA26" s="448">
        <f t="shared" si="22"/>
        <v>246687000</v>
      </c>
      <c r="CB26" s="448">
        <f t="shared" si="30"/>
        <v>269505000</v>
      </c>
      <c r="CC26" s="448">
        <f t="shared" si="23"/>
        <v>167813000</v>
      </c>
      <c r="CD26" s="448">
        <f t="shared" si="24"/>
        <v>3727000</v>
      </c>
      <c r="CE26" s="448">
        <f t="shared" si="25"/>
        <v>117835000</v>
      </c>
      <c r="CF26" s="448">
        <f t="shared" si="26"/>
        <v>1065000</v>
      </c>
      <c r="CG26" s="448">
        <f t="shared" si="27"/>
        <v>5329000</v>
      </c>
      <c r="CH26" s="448">
        <f t="shared" si="37"/>
        <v>49593000</v>
      </c>
      <c r="CI26" s="448">
        <f t="shared" si="5"/>
        <v>7521000</v>
      </c>
      <c r="CJ26" s="448">
        <f t="shared" si="6"/>
        <v>52640000</v>
      </c>
      <c r="CK26" s="448">
        <f t="shared" si="7"/>
        <v>5906000</v>
      </c>
      <c r="CL26" s="448">
        <f t="shared" si="8"/>
        <v>314000</v>
      </c>
      <c r="CM26" s="448">
        <f t="shared" si="9"/>
        <v>169061000</v>
      </c>
      <c r="CN26" s="448">
        <f t="shared" si="10"/>
        <v>1778206000</v>
      </c>
      <c r="CO26" s="449">
        <f t="shared" si="38"/>
        <v>1778206000</v>
      </c>
      <c r="CP26" s="449">
        <f t="shared" si="12"/>
        <v>0</v>
      </c>
    </row>
    <row r="27" spans="1:94" ht="15">
      <c r="A27" s="403"/>
      <c r="B27" s="404">
        <v>8</v>
      </c>
      <c r="C27" s="405">
        <v>664685</v>
      </c>
      <c r="D27" s="405">
        <v>793984</v>
      </c>
      <c r="E27" s="405">
        <v>111717</v>
      </c>
      <c r="F27" s="405">
        <v>6455</v>
      </c>
      <c r="G27" s="406">
        <v>285</v>
      </c>
      <c r="H27" s="394">
        <f t="shared" si="13"/>
        <v>1577126</v>
      </c>
      <c r="I27" s="393">
        <v>168941</v>
      </c>
      <c r="J27" s="394">
        <f t="shared" si="14"/>
        <v>1746067</v>
      </c>
      <c r="L27" s="403"/>
      <c r="M27" s="404">
        <f t="shared" si="15"/>
        <v>8</v>
      </c>
      <c r="N27" s="407">
        <v>684656724.10883772</v>
      </c>
      <c r="O27" s="407">
        <v>731572185.54159248</v>
      </c>
      <c r="P27" s="407">
        <v>103185505.61712833</v>
      </c>
      <c r="Q27" s="407">
        <v>6146469.2295059357</v>
      </c>
      <c r="R27" s="408">
        <v>287429.02691753581</v>
      </c>
      <c r="S27" s="394">
        <f t="shared" si="16"/>
        <v>1525848313.523982</v>
      </c>
      <c r="T27" s="394">
        <v>178241464.44427234</v>
      </c>
      <c r="U27" s="394">
        <f t="shared" si="17"/>
        <v>1704089777.9682543</v>
      </c>
      <c r="W27" s="403"/>
      <c r="X27" s="404">
        <f t="shared" si="18"/>
        <v>8</v>
      </c>
      <c r="Y27" s="407">
        <f t="shared" si="19"/>
        <v>-19971724.108837724</v>
      </c>
      <c r="Z27" s="407">
        <f t="shared" si="19"/>
        <v>62411814.458407521</v>
      </c>
      <c r="AA27" s="407">
        <f t="shared" si="19"/>
        <v>8531494.3828716725</v>
      </c>
      <c r="AB27" s="407">
        <f t="shared" si="19"/>
        <v>308530.77049406432</v>
      </c>
      <c r="AC27" s="442"/>
      <c r="AD27" s="443">
        <f t="shared" si="20"/>
        <v>8</v>
      </c>
      <c r="AE27" s="444">
        <v>582.94385071645661</v>
      </c>
      <c r="AF27" s="445">
        <v>285000</v>
      </c>
      <c r="AG27" s="445">
        <v>664490350.1077944</v>
      </c>
      <c r="AH27" s="445">
        <v>194649.89220560328</v>
      </c>
      <c r="AI27" s="445">
        <v>20361107.312169656</v>
      </c>
      <c r="AJ27" s="445">
        <v>2816470.8747260785</v>
      </c>
      <c r="AK27" s="445">
        <v>12631431.826210128</v>
      </c>
      <c r="AL27" s="445">
        <v>1816994.7033634356</v>
      </c>
      <c r="AM27" s="445">
        <v>223291226.87816128</v>
      </c>
      <c r="AN27" s="445">
        <v>7993460.9261956597</v>
      </c>
      <c r="AO27" s="445">
        <v>250018885.64868569</v>
      </c>
      <c r="AP27" s="445">
        <v>16512448.069989914</v>
      </c>
      <c r="AQ27" s="445">
        <v>150194871.27149588</v>
      </c>
      <c r="AR27" s="445">
        <v>20956483.383548144</v>
      </c>
      <c r="AS27" s="445">
        <v>3927510.4606946642</v>
      </c>
      <c r="AT27" s="445">
        <v>73593535.56955114</v>
      </c>
      <c r="AU27" s="445">
        <v>44609993.698592983</v>
      </c>
      <c r="AV27" s="445">
        <v>998243.96133083617</v>
      </c>
      <c r="AW27" s="445">
        <v>3668651.1252929531</v>
      </c>
      <c r="AX27" s="445">
        <v>5481324.670425918</v>
      </c>
      <c r="AY27" s="445">
        <v>6231642.1316327183</v>
      </c>
      <c r="AZ27" s="445">
        <v>2431808.3411613242</v>
      </c>
      <c r="BA27" s="445">
        <v>4782779.7672504969</v>
      </c>
      <c r="BB27" s="445">
        <v>41448486.187207386</v>
      </c>
      <c r="BC27" s="445">
        <v>11380509.483996864</v>
      </c>
      <c r="BD27" s="445">
        <v>892430.69733251608</v>
      </c>
      <c r="BE27" s="445">
        <v>80583.011271570562</v>
      </c>
      <c r="BF27" s="445">
        <v>5068.0746501220956</v>
      </c>
      <c r="BG27" s="445">
        <v>307597.82191765343</v>
      </c>
      <c r="BH27" s="445">
        <v>1222559.2094286198</v>
      </c>
      <c r="BI27" s="445">
        <v>3083119.4382170294</v>
      </c>
      <c r="BJ27" s="445">
        <v>580030.94226841186</v>
      </c>
      <c r="BK27" s="445">
        <v>173197.91248008242</v>
      </c>
      <c r="BL27" s="445">
        <v>162638.38084734385</v>
      </c>
      <c r="BM27" s="445">
        <v>283027.86106335942</v>
      </c>
      <c r="BN27" s="445">
        <v>208879.6903699949</v>
      </c>
      <c r="BO27" s="445">
        <v>8417.7246192827224</v>
      </c>
      <c r="BP27" s="446">
        <f t="shared" si="28"/>
        <v>1577126000.0000002</v>
      </c>
      <c r="BQ27" s="445">
        <v>5835356.7996385805</v>
      </c>
      <c r="BR27" s="445">
        <v>137495891.89430264</v>
      </c>
      <c r="BS27" s="445">
        <v>25609751.306058802</v>
      </c>
      <c r="BT27" s="446">
        <f t="shared" si="31"/>
        <v>1746067000.0000002</v>
      </c>
      <c r="BU27" s="446">
        <v>39981473.00246346</v>
      </c>
      <c r="BV27" s="447"/>
      <c r="BW27" s="442"/>
      <c r="BX27" s="443">
        <f t="shared" si="21"/>
        <v>8</v>
      </c>
      <c r="BY27" s="448">
        <f t="shared" si="2"/>
        <v>664490000</v>
      </c>
      <c r="BZ27" s="448">
        <f t="shared" si="3"/>
        <v>195000</v>
      </c>
      <c r="CA27" s="448">
        <f t="shared" si="22"/>
        <v>252538000</v>
      </c>
      <c r="CB27" s="448">
        <f t="shared" si="30"/>
        <v>279243000</v>
      </c>
      <c r="CC27" s="448">
        <f t="shared" si="23"/>
        <v>172968000</v>
      </c>
      <c r="CD27" s="448">
        <f t="shared" si="24"/>
        <v>3928000</v>
      </c>
      <c r="CE27" s="448">
        <f t="shared" si="25"/>
        <v>121020000</v>
      </c>
      <c r="CF27" s="448">
        <f t="shared" si="26"/>
        <v>998000</v>
      </c>
      <c r="CG27" s="448">
        <f t="shared" si="27"/>
        <v>6232000</v>
      </c>
      <c r="CH27" s="448">
        <f t="shared" si="37"/>
        <v>49131000</v>
      </c>
      <c r="CI27" s="448">
        <f t="shared" si="5"/>
        <v>7215000</v>
      </c>
      <c r="CJ27" s="448">
        <f t="shared" si="6"/>
        <v>52829000</v>
      </c>
      <c r="CK27" s="448">
        <f t="shared" si="7"/>
        <v>6035000</v>
      </c>
      <c r="CL27" s="448">
        <f t="shared" si="8"/>
        <v>285000</v>
      </c>
      <c r="CM27" s="448">
        <f t="shared" si="9"/>
        <v>168941000</v>
      </c>
      <c r="CN27" s="448">
        <f t="shared" si="10"/>
        <v>1786048000</v>
      </c>
      <c r="CO27" s="449">
        <f t="shared" si="38"/>
        <v>1786048000</v>
      </c>
      <c r="CP27" s="449">
        <f t="shared" si="12"/>
        <v>0</v>
      </c>
    </row>
    <row r="28" spans="1:94" ht="15">
      <c r="A28" s="403"/>
      <c r="B28" s="404">
        <v>9</v>
      </c>
      <c r="C28" s="405">
        <v>667588</v>
      </c>
      <c r="D28" s="405">
        <v>748461</v>
      </c>
      <c r="E28" s="405">
        <v>103337</v>
      </c>
      <c r="F28" s="405">
        <v>6301</v>
      </c>
      <c r="G28" s="406">
        <v>324</v>
      </c>
      <c r="H28" s="394">
        <f t="shared" si="13"/>
        <v>1526011</v>
      </c>
      <c r="I28" s="393">
        <v>168906</v>
      </c>
      <c r="J28" s="394">
        <f t="shared" si="14"/>
        <v>1694917</v>
      </c>
      <c r="L28" s="403"/>
      <c r="M28" s="404">
        <f t="shared" si="15"/>
        <v>9</v>
      </c>
      <c r="N28" s="407">
        <v>659029327.56690764</v>
      </c>
      <c r="O28" s="407">
        <v>682352881.18969882</v>
      </c>
      <c r="P28" s="407">
        <v>97640249.212337464</v>
      </c>
      <c r="Q28" s="407">
        <v>6232627.9736877466</v>
      </c>
      <c r="R28" s="408">
        <v>332424.8568659884</v>
      </c>
      <c r="S28" s="394">
        <f t="shared" si="16"/>
        <v>1445587510.7994976</v>
      </c>
      <c r="T28" s="394">
        <v>167583608.87129518</v>
      </c>
      <c r="U28" s="394">
        <f t="shared" si="17"/>
        <v>1613171119.6707928</v>
      </c>
      <c r="W28" s="403"/>
      <c r="X28" s="404">
        <f t="shared" si="18"/>
        <v>9</v>
      </c>
      <c r="Y28" s="407">
        <f t="shared" si="19"/>
        <v>8558672.4330923557</v>
      </c>
      <c r="Z28" s="407">
        <f t="shared" si="19"/>
        <v>66108118.810301185</v>
      </c>
      <c r="AA28" s="407">
        <f t="shared" si="19"/>
        <v>5696750.7876625359</v>
      </c>
      <c r="AB28" s="407">
        <f t="shared" si="19"/>
        <v>68372.026312253438</v>
      </c>
      <c r="AC28" s="442"/>
      <c r="AD28" s="443">
        <f t="shared" si="20"/>
        <v>9</v>
      </c>
      <c r="AE28" s="444">
        <v>594.03258184915842</v>
      </c>
      <c r="AF28" s="445">
        <v>324000</v>
      </c>
      <c r="AG28" s="445">
        <v>667416415.16483438</v>
      </c>
      <c r="AH28" s="445">
        <v>171584.83516550349</v>
      </c>
      <c r="AI28" s="445">
        <v>19578960.297939353</v>
      </c>
      <c r="AJ28" s="445">
        <v>2749668.9196697739</v>
      </c>
      <c r="AK28" s="445">
        <v>12117502.444485135</v>
      </c>
      <c r="AL28" s="445">
        <v>1525322.835916572</v>
      </c>
      <c r="AM28" s="445">
        <v>206807964.47579294</v>
      </c>
      <c r="AN28" s="445">
        <v>7210841.7171372902</v>
      </c>
      <c r="AO28" s="445">
        <v>234194453.73187718</v>
      </c>
      <c r="AP28" s="445">
        <v>15199423.736295778</v>
      </c>
      <c r="AQ28" s="445">
        <v>139331999.47313884</v>
      </c>
      <c r="AR28" s="445">
        <v>19622932.036404129</v>
      </c>
      <c r="AS28" s="445">
        <v>1854881.9492820329</v>
      </c>
      <c r="AT28" s="445">
        <v>71890670.180968791</v>
      </c>
      <c r="AU28" s="445">
        <v>40918003.445478633</v>
      </c>
      <c r="AV28" s="445">
        <v>783260.7833912879</v>
      </c>
      <c r="AW28" s="445">
        <v>4903362.4624616876</v>
      </c>
      <c r="AX28" s="445">
        <v>5739692.8718779208</v>
      </c>
      <c r="AY28" s="445">
        <v>8142566.9414953804</v>
      </c>
      <c r="AZ28" s="445">
        <v>2064481.6960083887</v>
      </c>
      <c r="BA28" s="445">
        <v>4268754.689061488</v>
      </c>
      <c r="BB28" s="445">
        <v>41970801.095223293</v>
      </c>
      <c r="BC28" s="445">
        <v>10377351.503744747</v>
      </c>
      <c r="BD28" s="445">
        <v>944707.83130095224</v>
      </c>
      <c r="BE28" s="445">
        <v>75894.286606387555</v>
      </c>
      <c r="BF28" s="445">
        <v>4681.249831811072</v>
      </c>
      <c r="BG28" s="445">
        <v>269782.53293330153</v>
      </c>
      <c r="BH28" s="445">
        <v>1168368.3403688883</v>
      </c>
      <c r="BI28" s="445">
        <v>2905159.5458595259</v>
      </c>
      <c r="BJ28" s="445">
        <v>554763.3027924503</v>
      </c>
      <c r="BK28" s="445">
        <v>170783.91636761272</v>
      </c>
      <c r="BL28" s="445">
        <v>159802.35068130051</v>
      </c>
      <c r="BM28" s="445">
        <v>377048.87772483332</v>
      </c>
      <c r="BN28" s="445">
        <v>206417.12714470428</v>
      </c>
      <c r="BO28" s="445">
        <v>8099.3181557593698</v>
      </c>
      <c r="BP28" s="446">
        <f t="shared" si="28"/>
        <v>1526010999.9999998</v>
      </c>
      <c r="BQ28" s="445">
        <v>5563410.6800744403</v>
      </c>
      <c r="BR28" s="445">
        <v>135834029.79640701</v>
      </c>
      <c r="BS28" s="445">
        <v>27508559.523518525</v>
      </c>
      <c r="BT28" s="446">
        <f t="shared" si="31"/>
        <v>1694916999.9999998</v>
      </c>
      <c r="BU28" s="446">
        <v>38707932.148056731</v>
      </c>
      <c r="BV28" s="447"/>
      <c r="BW28" s="442"/>
      <c r="BX28" s="443">
        <f t="shared" si="21"/>
        <v>9</v>
      </c>
      <c r="BY28" s="448">
        <f t="shared" si="2"/>
        <v>667416000</v>
      </c>
      <c r="BZ28" s="448">
        <f t="shared" si="3"/>
        <v>172000</v>
      </c>
      <c r="CA28" s="448">
        <f t="shared" si="22"/>
        <v>234542000</v>
      </c>
      <c r="CB28" s="448">
        <f>ROUND(SUM(AK28,AO28:AP28,BE28),-3)+1000</f>
        <v>261588000</v>
      </c>
      <c r="CC28" s="448">
        <f t="shared" si="23"/>
        <v>160480000</v>
      </c>
      <c r="CD28" s="448">
        <f t="shared" si="24"/>
        <v>1855000</v>
      </c>
      <c r="CE28" s="448">
        <f t="shared" si="25"/>
        <v>115558000</v>
      </c>
      <c r="CF28" s="448">
        <f t="shared" si="26"/>
        <v>783000</v>
      </c>
      <c r="CG28" s="448">
        <f t="shared" si="27"/>
        <v>8143000</v>
      </c>
      <c r="CH28" s="448">
        <f t="shared" si="37"/>
        <v>49351000</v>
      </c>
      <c r="CI28" s="448">
        <f t="shared" si="5"/>
        <v>6333000</v>
      </c>
      <c r="CJ28" s="448">
        <f t="shared" si="6"/>
        <v>52348000</v>
      </c>
      <c r="CK28" s="448">
        <f t="shared" si="7"/>
        <v>5826000</v>
      </c>
      <c r="CL28" s="448">
        <f t="shared" si="8"/>
        <v>324000</v>
      </c>
      <c r="CM28" s="448">
        <f t="shared" si="9"/>
        <v>168906000</v>
      </c>
      <c r="CN28" s="448">
        <f t="shared" si="10"/>
        <v>1733625000</v>
      </c>
      <c r="CO28" s="449">
        <f t="shared" si="38"/>
        <v>1733625000</v>
      </c>
      <c r="CP28" s="449">
        <f t="shared" si="12"/>
        <v>0</v>
      </c>
    </row>
    <row r="29" spans="1:94" ht="15">
      <c r="A29" s="403"/>
      <c r="B29" s="404">
        <v>10</v>
      </c>
      <c r="C29" s="405">
        <v>832842</v>
      </c>
      <c r="D29" s="405">
        <v>769816</v>
      </c>
      <c r="E29" s="405">
        <v>106890</v>
      </c>
      <c r="F29" s="405">
        <v>6570</v>
      </c>
      <c r="G29" s="406">
        <v>483</v>
      </c>
      <c r="H29" s="394">
        <f t="shared" si="13"/>
        <v>1716601</v>
      </c>
      <c r="I29" s="393">
        <v>168691</v>
      </c>
      <c r="J29" s="394">
        <f t="shared" si="14"/>
        <v>1885292</v>
      </c>
      <c r="L29" s="403"/>
      <c r="M29" s="404">
        <f t="shared" si="15"/>
        <v>10</v>
      </c>
      <c r="N29" s="407">
        <v>819876360.70532405</v>
      </c>
      <c r="O29" s="407">
        <v>716858729.05337799</v>
      </c>
      <c r="P29" s="407">
        <v>103246451.8338102</v>
      </c>
      <c r="Q29" s="407">
        <v>6545602.5549526764</v>
      </c>
      <c r="R29" s="408">
        <v>494576.83721415204</v>
      </c>
      <c r="S29" s="394">
        <f t="shared" si="16"/>
        <v>1647021720.984679</v>
      </c>
      <c r="T29" s="394">
        <v>170141118.82777619</v>
      </c>
      <c r="U29" s="394">
        <f t="shared" si="17"/>
        <v>1817162839.8124552</v>
      </c>
      <c r="W29" s="403"/>
      <c r="X29" s="404">
        <f t="shared" si="18"/>
        <v>10</v>
      </c>
      <c r="Y29" s="407">
        <f t="shared" si="19"/>
        <v>12965639.294675946</v>
      </c>
      <c r="Z29" s="407">
        <f t="shared" si="19"/>
        <v>52957270.946622014</v>
      </c>
      <c r="AA29" s="407">
        <f t="shared" si="19"/>
        <v>3643548.1661898047</v>
      </c>
      <c r="AB29" s="407">
        <f t="shared" si="19"/>
        <v>24397.445047323592</v>
      </c>
      <c r="AC29" s="409"/>
      <c r="AD29" s="410">
        <f t="shared" si="20"/>
        <v>10</v>
      </c>
      <c r="AE29" s="411">
        <v>619.08986708266116</v>
      </c>
      <c r="AF29" s="412">
        <v>483000</v>
      </c>
      <c r="AG29" s="412">
        <v>832664172.24970365</v>
      </c>
      <c r="AH29" s="412">
        <v>177827.75029620522</v>
      </c>
      <c r="AI29" s="412">
        <v>21333124.320301138</v>
      </c>
      <c r="AJ29" s="412">
        <v>2916030.3634150201</v>
      </c>
      <c r="AK29" s="412">
        <v>13437595.302433839</v>
      </c>
      <c r="AL29" s="412">
        <v>1517751.0026179918</v>
      </c>
      <c r="AM29" s="412">
        <v>217869661.07874247</v>
      </c>
      <c r="AN29" s="412">
        <v>7698838.1666116389</v>
      </c>
      <c r="AO29" s="412">
        <v>237933243.33706909</v>
      </c>
      <c r="AP29" s="412">
        <v>15724620.928660696</v>
      </c>
      <c r="AQ29" s="412">
        <v>140987331.52806023</v>
      </c>
      <c r="AR29" s="412">
        <v>19889972.207320355</v>
      </c>
      <c r="AS29" s="412">
        <v>629102.52025467355</v>
      </c>
      <c r="AT29" s="412">
        <v>72860152.706518561</v>
      </c>
      <c r="AU29" s="412">
        <v>42798745.574283056</v>
      </c>
      <c r="AV29" s="412">
        <v>266153.84280213708</v>
      </c>
      <c r="AW29" s="412">
        <v>7500209.0967064975</v>
      </c>
      <c r="AX29" s="412">
        <v>5521945.9276812328</v>
      </c>
      <c r="AY29" s="412">
        <v>9900951.9109803941</v>
      </c>
      <c r="AZ29" s="412">
        <v>1007485.0227355945</v>
      </c>
      <c r="BA29" s="412">
        <v>4878366.0283188587</v>
      </c>
      <c r="BB29" s="412">
        <v>41104068.261038251</v>
      </c>
      <c r="BC29" s="412">
        <v>10377511.167124148</v>
      </c>
      <c r="BD29" s="412">
        <v>1111961.5281919804</v>
      </c>
      <c r="BE29" s="412">
        <v>84543.343151288849</v>
      </c>
      <c r="BF29" s="412">
        <v>4394.0903417503987</v>
      </c>
      <c r="BG29" s="412">
        <v>341312.35013153893</v>
      </c>
      <c r="BH29" s="412">
        <v>1166833.4921681222</v>
      </c>
      <c r="BI29" s="412">
        <v>2920933.1071482119</v>
      </c>
      <c r="BJ29" s="412">
        <v>547677.19430899154</v>
      </c>
      <c r="BK29" s="412">
        <v>172285.57421809147</v>
      </c>
      <c r="BL29" s="412">
        <v>160884.63768002976</v>
      </c>
      <c r="BM29" s="412">
        <v>391725.80469103315</v>
      </c>
      <c r="BN29" s="412">
        <v>211638.99526208491</v>
      </c>
      <c r="BO29" s="412">
        <v>8330.4991639154614</v>
      </c>
      <c r="BP29" s="413">
        <f t="shared" si="28"/>
        <v>1716601000</v>
      </c>
      <c r="BQ29" s="412">
        <v>5164760.7278750157</v>
      </c>
      <c r="BR29" s="412">
        <v>134675520.24743596</v>
      </c>
      <c r="BS29" s="412">
        <v>28850719.02468903</v>
      </c>
      <c r="BT29" s="413">
        <f t="shared" si="31"/>
        <v>1885292000</v>
      </c>
      <c r="BU29" s="413">
        <v>36682301.648445889</v>
      </c>
      <c r="BW29" s="409"/>
      <c r="BX29" s="410">
        <f t="shared" si="21"/>
        <v>10</v>
      </c>
      <c r="BY29" s="401">
        <f t="shared" si="2"/>
        <v>832664000</v>
      </c>
      <c r="BZ29" s="401">
        <f t="shared" si="3"/>
        <v>178000</v>
      </c>
      <c r="CA29" s="401">
        <f t="shared" si="22"/>
        <v>248014000</v>
      </c>
      <c r="CB29" s="401">
        <f>ROUND(SUM(AK29,AO29:AP29,BE29),-3)-1000</f>
        <v>267179000</v>
      </c>
      <c r="CC29" s="401">
        <f t="shared" si="23"/>
        <v>162395000</v>
      </c>
      <c r="CD29" s="401">
        <f t="shared" si="24"/>
        <v>629000</v>
      </c>
      <c r="CE29" s="401">
        <f t="shared" si="25"/>
        <v>118575000</v>
      </c>
      <c r="CF29" s="401">
        <f t="shared" si="26"/>
        <v>266000</v>
      </c>
      <c r="CG29" s="401">
        <f t="shared" si="27"/>
        <v>9901000</v>
      </c>
      <c r="CH29" s="401">
        <f t="shared" si="37"/>
        <v>49704000</v>
      </c>
      <c r="CI29" s="401">
        <f t="shared" si="5"/>
        <v>5886000</v>
      </c>
      <c r="CJ29" s="401">
        <f t="shared" si="6"/>
        <v>51482000</v>
      </c>
      <c r="CK29" s="401">
        <f t="shared" si="7"/>
        <v>5927000</v>
      </c>
      <c r="CL29" s="401">
        <f t="shared" si="8"/>
        <v>483000</v>
      </c>
      <c r="CM29" s="401">
        <f t="shared" si="9"/>
        <v>168691000</v>
      </c>
      <c r="CN29" s="401">
        <f t="shared" si="10"/>
        <v>1921974000</v>
      </c>
      <c r="CO29" s="402">
        <f t="shared" si="38"/>
        <v>1921974000</v>
      </c>
      <c r="CP29" s="402">
        <f t="shared" si="12"/>
        <v>0</v>
      </c>
    </row>
    <row r="30" spans="1:94" ht="15">
      <c r="A30" s="403"/>
      <c r="B30" s="404">
        <v>11</v>
      </c>
      <c r="C30" s="405">
        <v>1028038</v>
      </c>
      <c r="D30" s="405">
        <v>800225</v>
      </c>
      <c r="E30" s="405">
        <v>99195</v>
      </c>
      <c r="F30" s="405">
        <v>6978</v>
      </c>
      <c r="G30" s="406">
        <v>697</v>
      </c>
      <c r="H30" s="394">
        <f t="shared" si="13"/>
        <v>1935133</v>
      </c>
      <c r="I30" s="451">
        <v>168560</v>
      </c>
      <c r="J30" s="394">
        <f t="shared" si="14"/>
        <v>2103693</v>
      </c>
      <c r="L30" s="403"/>
      <c r="M30" s="404">
        <f t="shared" si="15"/>
        <v>11</v>
      </c>
      <c r="N30" s="407">
        <v>1042710597.8589735</v>
      </c>
      <c r="O30" s="407">
        <v>733088116.45352173</v>
      </c>
      <c r="P30" s="407">
        <v>97753679.551509276</v>
      </c>
      <c r="Q30" s="407">
        <v>6119267.8808885086</v>
      </c>
      <c r="R30" s="408">
        <v>733110.15827993536</v>
      </c>
      <c r="S30" s="394">
        <f t="shared" si="16"/>
        <v>1880404771.903173</v>
      </c>
      <c r="T30" s="450">
        <v>161507811.71012649</v>
      </c>
      <c r="U30" s="394">
        <f t="shared" si="17"/>
        <v>2041912583.6132994</v>
      </c>
      <c r="W30" s="403"/>
      <c r="X30" s="404">
        <f t="shared" si="18"/>
        <v>11</v>
      </c>
      <c r="Y30" s="407">
        <f t="shared" si="19"/>
        <v>-14672597.858973503</v>
      </c>
      <c r="Z30" s="407">
        <f t="shared" si="19"/>
        <v>67136883.546478271</v>
      </c>
      <c r="AA30" s="407">
        <f t="shared" si="19"/>
        <v>1441320.448490724</v>
      </c>
      <c r="AB30" s="407">
        <f t="shared" si="19"/>
        <v>858732.11911149137</v>
      </c>
      <c r="AC30" s="409"/>
      <c r="AD30" s="410">
        <f t="shared" si="20"/>
        <v>11</v>
      </c>
      <c r="AE30" s="411">
        <v>674.90801665501056</v>
      </c>
      <c r="AF30" s="412">
        <v>697000</v>
      </c>
      <c r="AG30" s="412">
        <v>1027841469.227156</v>
      </c>
      <c r="AH30" s="412">
        <v>196530.77284396978</v>
      </c>
      <c r="AI30" s="412">
        <v>24965156.987875853</v>
      </c>
      <c r="AJ30" s="412">
        <v>3171947.6437446158</v>
      </c>
      <c r="AK30" s="412">
        <v>14355801.590340018</v>
      </c>
      <c r="AL30" s="412">
        <v>1673578.569444119</v>
      </c>
      <c r="AM30" s="412">
        <v>235615360.16347685</v>
      </c>
      <c r="AN30" s="412">
        <v>7993354.2288164124</v>
      </c>
      <c r="AO30" s="412">
        <v>244973178.50728169</v>
      </c>
      <c r="AP30" s="412">
        <v>14935993.12659316</v>
      </c>
      <c r="AQ30" s="412">
        <v>139479667.90589425</v>
      </c>
      <c r="AR30" s="412">
        <v>17804889.287617445</v>
      </c>
      <c r="AS30" s="412">
        <v>339282.71990059427</v>
      </c>
      <c r="AT30" s="412">
        <v>72561853.571821511</v>
      </c>
      <c r="AU30" s="412">
        <v>39715210.509718567</v>
      </c>
      <c r="AV30" s="412">
        <v>59324.206303521481</v>
      </c>
      <c r="AW30" s="412">
        <v>6770002.6331748925</v>
      </c>
      <c r="AX30" s="412">
        <v>4771200.067005408</v>
      </c>
      <c r="AY30" s="412">
        <v>12525830.964984078</v>
      </c>
      <c r="AZ30" s="412">
        <v>1154553.2399871629</v>
      </c>
      <c r="BA30" s="412">
        <v>4163440.4932040074</v>
      </c>
      <c r="BB30" s="412">
        <v>42047410.104355179</v>
      </c>
      <c r="BC30" s="412">
        <v>9810912.2870449927</v>
      </c>
      <c r="BD30" s="412">
        <v>1359480.9714204406</v>
      </c>
      <c r="BE30" s="412">
        <v>115540.70522274391</v>
      </c>
      <c r="BF30" s="412">
        <v>4960.7510965924139</v>
      </c>
      <c r="BG30" s="412">
        <v>318663.18913590285</v>
      </c>
      <c r="BH30" s="412">
        <v>1239448.6487430667</v>
      </c>
      <c r="BI30" s="412">
        <v>3083706.9349009404</v>
      </c>
      <c r="BJ30" s="412">
        <v>574747.22782259621</v>
      </c>
      <c r="BK30" s="412">
        <v>165086.99978343921</v>
      </c>
      <c r="BL30" s="412">
        <v>154761.34297199163</v>
      </c>
      <c r="BM30" s="412">
        <v>280776.66364106257</v>
      </c>
      <c r="BN30" s="412">
        <v>204432.74418626743</v>
      </c>
      <c r="BO30" s="412">
        <v>7770.1044737203711</v>
      </c>
      <c r="BP30" s="413">
        <f t="shared" si="28"/>
        <v>1935133000.0000002</v>
      </c>
      <c r="BQ30" s="412">
        <v>4974431.3448230922</v>
      </c>
      <c r="BR30" s="412">
        <v>135531633.88870126</v>
      </c>
      <c r="BS30" s="412">
        <v>28053934.766475663</v>
      </c>
      <c r="BT30" s="413">
        <f t="shared" si="31"/>
        <v>2103693000.0000002</v>
      </c>
      <c r="BU30" s="413">
        <v>37137728.727904625</v>
      </c>
      <c r="BW30" s="409"/>
      <c r="BX30" s="410">
        <f t="shared" si="21"/>
        <v>11</v>
      </c>
      <c r="BY30" s="401">
        <f t="shared" si="2"/>
        <v>1027841000</v>
      </c>
      <c r="BZ30" s="401">
        <f t="shared" si="3"/>
        <v>197000</v>
      </c>
      <c r="CA30" s="401">
        <f t="shared" si="22"/>
        <v>269933000</v>
      </c>
      <c r="CB30" s="401">
        <f>ROUND(SUM(AK30,AO30:AP30,BE30),-3)+1000</f>
        <v>274382000</v>
      </c>
      <c r="CC30" s="401">
        <f t="shared" si="23"/>
        <v>158958000</v>
      </c>
      <c r="CD30" s="401">
        <f t="shared" si="24"/>
        <v>339000</v>
      </c>
      <c r="CE30" s="401">
        <f t="shared" si="25"/>
        <v>115449000</v>
      </c>
      <c r="CF30" s="401">
        <f t="shared" si="26"/>
        <v>59000</v>
      </c>
      <c r="CG30" s="401">
        <f t="shared" si="27"/>
        <v>12526000</v>
      </c>
      <c r="CH30" s="401">
        <f t="shared" si="37"/>
        <v>48679000</v>
      </c>
      <c r="CI30" s="401">
        <f t="shared" si="5"/>
        <v>5318000</v>
      </c>
      <c r="CJ30" s="401">
        <f t="shared" si="6"/>
        <v>51858000</v>
      </c>
      <c r="CK30" s="401">
        <f t="shared" si="7"/>
        <v>6035000</v>
      </c>
      <c r="CL30" s="401">
        <f t="shared" si="8"/>
        <v>697000</v>
      </c>
      <c r="CM30" s="401">
        <f t="shared" si="9"/>
        <v>168560000</v>
      </c>
      <c r="CN30" s="401">
        <f t="shared" si="10"/>
        <v>2140831000</v>
      </c>
      <c r="CO30" s="402">
        <f t="shared" si="38"/>
        <v>2140831000</v>
      </c>
      <c r="CP30" s="402">
        <f t="shared" si="12"/>
        <v>0</v>
      </c>
    </row>
    <row r="31" spans="1:94" ht="15">
      <c r="A31" s="452"/>
      <c r="B31" s="453">
        <v>12</v>
      </c>
      <c r="C31" s="454">
        <v>1299084</v>
      </c>
      <c r="D31" s="454">
        <v>876079</v>
      </c>
      <c r="E31" s="454">
        <v>98796</v>
      </c>
      <c r="F31" s="454">
        <v>6853</v>
      </c>
      <c r="G31" s="455">
        <v>1016</v>
      </c>
      <c r="H31" s="456">
        <f t="shared" si="13"/>
        <v>2281828</v>
      </c>
      <c r="I31" s="457">
        <v>168442</v>
      </c>
      <c r="J31" s="456">
        <f t="shared" si="14"/>
        <v>2450270</v>
      </c>
      <c r="L31" s="452"/>
      <c r="M31" s="453">
        <f t="shared" si="15"/>
        <v>12</v>
      </c>
      <c r="N31" s="458">
        <v>1228531836.3532619</v>
      </c>
      <c r="O31" s="458">
        <v>793590343.05297375</v>
      </c>
      <c r="P31" s="458">
        <v>98290251.431234911</v>
      </c>
      <c r="Q31" s="458">
        <v>6770461.9027727582</v>
      </c>
      <c r="R31" s="459">
        <v>975840.35406800895</v>
      </c>
      <c r="S31" s="456">
        <f t="shared" si="16"/>
        <v>2128158733.0943112</v>
      </c>
      <c r="T31" s="456">
        <v>169738931.53743532</v>
      </c>
      <c r="U31" s="456">
        <f t="shared" si="17"/>
        <v>2297897664.6317468</v>
      </c>
      <c r="W31" s="452"/>
      <c r="X31" s="453">
        <f t="shared" si="18"/>
        <v>12</v>
      </c>
      <c r="Y31" s="458">
        <f t="shared" si="19"/>
        <v>70552163.646738052</v>
      </c>
      <c r="Z31" s="458">
        <f t="shared" si="19"/>
        <v>82488656.947026253</v>
      </c>
      <c r="AA31" s="458">
        <f t="shared" si="19"/>
        <v>505748.56876508892</v>
      </c>
      <c r="AB31" s="458">
        <f t="shared" si="19"/>
        <v>82538.097227241844</v>
      </c>
      <c r="AC31" s="469"/>
      <c r="AD31" s="470">
        <f t="shared" si="20"/>
        <v>12</v>
      </c>
      <c r="AE31" s="471">
        <v>594.31195950151414</v>
      </c>
      <c r="AF31" s="472">
        <v>1016000.0000000001</v>
      </c>
      <c r="AG31" s="472">
        <v>1298827817.583359</v>
      </c>
      <c r="AH31" s="472">
        <v>256182.4166410364</v>
      </c>
      <c r="AI31" s="472">
        <v>30153455.463824779</v>
      </c>
      <c r="AJ31" s="472">
        <v>3615161.3596631857</v>
      </c>
      <c r="AK31" s="472">
        <v>16220357.007036531</v>
      </c>
      <c r="AL31" s="472">
        <v>1901592.5043001575</v>
      </c>
      <c r="AM31" s="472">
        <v>261681932.40170115</v>
      </c>
      <c r="AN31" s="472">
        <v>8461506.0706360266</v>
      </c>
      <c r="AO31" s="472">
        <v>266114012.1366148</v>
      </c>
      <c r="AP31" s="472">
        <v>15387426.311266264</v>
      </c>
      <c r="AQ31" s="472">
        <v>148787788.97811931</v>
      </c>
      <c r="AR31" s="472">
        <v>16808534.438622076</v>
      </c>
      <c r="AS31" s="472">
        <v>356056.03280467819</v>
      </c>
      <c r="AT31" s="472">
        <v>79198961.069766939</v>
      </c>
      <c r="AU31" s="472">
        <v>40250408.89059709</v>
      </c>
      <c r="AV31" s="472">
        <v>4761.370574506419</v>
      </c>
      <c r="AW31" s="472">
        <v>5467891.2985649435</v>
      </c>
      <c r="AX31" s="472">
        <v>4422124.0489256391</v>
      </c>
      <c r="AY31" s="472">
        <v>15760085.832169663</v>
      </c>
      <c r="AZ31" s="472">
        <v>1903442.6252223542</v>
      </c>
      <c r="BA31" s="472">
        <v>3812215.546772805</v>
      </c>
      <c r="BB31" s="472">
        <v>44351912.738582663</v>
      </c>
      <c r="BC31" s="472">
        <v>9653784.6931801084</v>
      </c>
      <c r="BD31" s="472">
        <v>1312426.2715197268</v>
      </c>
      <c r="BE31" s="472">
        <v>115305.76637454322</v>
      </c>
      <c r="BF31" s="472">
        <v>4775.4471307610866</v>
      </c>
      <c r="BG31" s="472">
        <v>337697.95107432676</v>
      </c>
      <c r="BH31" s="472">
        <v>1194640.9252480441</v>
      </c>
      <c r="BI31" s="472">
        <v>2899490.3205525707</v>
      </c>
      <c r="BJ31" s="472">
        <v>548329.35253673582</v>
      </c>
      <c r="BK31" s="472">
        <v>173791.96652102313</v>
      </c>
      <c r="BL31" s="472">
        <v>163134.16257775307</v>
      </c>
      <c r="BM31" s="472">
        <v>439739.65360378893</v>
      </c>
      <c r="BN31" s="472">
        <v>216853.62587224023</v>
      </c>
      <c r="BO31" s="472">
        <v>7809.4260834487613</v>
      </c>
      <c r="BP31" s="473">
        <f t="shared" si="28"/>
        <v>2281827999.9999986</v>
      </c>
      <c r="BQ31" s="472">
        <v>4867466.1134560816</v>
      </c>
      <c r="BR31" s="472">
        <v>136902472.04778129</v>
      </c>
      <c r="BS31" s="472">
        <v>26672061.838762648</v>
      </c>
      <c r="BT31" s="473">
        <f t="shared" si="31"/>
        <v>2450269999.9999986</v>
      </c>
      <c r="BU31" s="473">
        <v>38422206.362384774</v>
      </c>
      <c r="BW31" s="469"/>
      <c r="BX31" s="470">
        <f t="shared" si="21"/>
        <v>12</v>
      </c>
      <c r="BY31" s="401">
        <f t="shared" si="2"/>
        <v>1298828000</v>
      </c>
      <c r="BZ31" s="401">
        <f t="shared" si="3"/>
        <v>256000</v>
      </c>
      <c r="CA31" s="401">
        <f t="shared" si="22"/>
        <v>301609000</v>
      </c>
      <c r="CB31" s="401">
        <f>ROUND(SUM(AK31,AO31:AP31,BE31),-3)-1000</f>
        <v>297836000</v>
      </c>
      <c r="CC31" s="401">
        <f t="shared" si="23"/>
        <v>167498000</v>
      </c>
      <c r="CD31" s="401">
        <f t="shared" si="24"/>
        <v>356000</v>
      </c>
      <c r="CE31" s="401">
        <f t="shared" si="25"/>
        <v>123065000</v>
      </c>
      <c r="CF31" s="401">
        <f t="shared" si="26"/>
        <v>5000</v>
      </c>
      <c r="CG31" s="401">
        <f t="shared" si="27"/>
        <v>15760000</v>
      </c>
      <c r="CH31" s="401">
        <f t="shared" si="37"/>
        <v>48312000</v>
      </c>
      <c r="CI31" s="401">
        <f t="shared" si="5"/>
        <v>5716000</v>
      </c>
      <c r="CJ31" s="401">
        <f t="shared" si="6"/>
        <v>54006000</v>
      </c>
      <c r="CK31" s="401">
        <f t="shared" si="7"/>
        <v>5987000</v>
      </c>
      <c r="CL31" s="401">
        <f t="shared" si="8"/>
        <v>1016000</v>
      </c>
      <c r="CM31" s="401">
        <f t="shared" si="9"/>
        <v>168442000</v>
      </c>
      <c r="CN31" s="401">
        <f t="shared" si="10"/>
        <v>2488692000</v>
      </c>
      <c r="CO31" s="402">
        <f t="shared" si="38"/>
        <v>2488692000</v>
      </c>
      <c r="CP31" s="402">
        <f t="shared" si="12"/>
        <v>0</v>
      </c>
    </row>
    <row r="33" spans="29:94">
      <c r="AC33" s="447" t="s">
        <v>409</v>
      </c>
      <c r="AD33" s="447"/>
      <c r="AE33" s="449">
        <f>SUM(AE17:AE28)</f>
        <v>7288.5637256452937</v>
      </c>
      <c r="AF33" s="449">
        <f t="shared" ref="AF33:CP33" si="39">SUM(AF17:AF28)</f>
        <v>7036000</v>
      </c>
      <c r="AG33" s="449">
        <f t="shared" si="39"/>
        <v>10809564231.899603</v>
      </c>
      <c r="AH33" s="449">
        <f t="shared" si="39"/>
        <v>2345768.1003969647</v>
      </c>
      <c r="AI33" s="449">
        <f t="shared" si="39"/>
        <v>271662705.40495175</v>
      </c>
      <c r="AJ33" s="449">
        <f t="shared" si="39"/>
        <v>35665446.88528724</v>
      </c>
      <c r="AK33" s="449">
        <f t="shared" si="39"/>
        <v>158042020.80212718</v>
      </c>
      <c r="AL33" s="449">
        <f t="shared" si="39"/>
        <v>19501477.183431491</v>
      </c>
      <c r="AM33" s="449">
        <f t="shared" si="39"/>
        <v>2666872177.4119706</v>
      </c>
      <c r="AN33" s="449">
        <f t="shared" si="39"/>
        <v>98117258.689894095</v>
      </c>
      <c r="AO33" s="449">
        <f t="shared" si="39"/>
        <v>2856325892.1874666</v>
      </c>
      <c r="AP33" s="449">
        <f t="shared" si="39"/>
        <v>190716215.06616986</v>
      </c>
      <c r="AQ33" s="449">
        <f t="shared" si="39"/>
        <v>1668910537.9260118</v>
      </c>
      <c r="AR33" s="449">
        <f t="shared" si="39"/>
        <v>233137488.17677319</v>
      </c>
      <c r="AS33" s="449">
        <f t="shared" si="39"/>
        <v>16138892.474617558</v>
      </c>
      <c r="AT33" s="449">
        <f t="shared" si="39"/>
        <v>866508181.46841717</v>
      </c>
      <c r="AU33" s="449">
        <f t="shared" si="39"/>
        <v>507374149.81766433</v>
      </c>
      <c r="AV33" s="449">
        <f t="shared" si="39"/>
        <v>5152599.2531457078</v>
      </c>
      <c r="AW33" s="449">
        <f t="shared" si="39"/>
        <v>180236947.11314273</v>
      </c>
      <c r="AX33" s="449">
        <f t="shared" si="39"/>
        <v>62632492.094507352</v>
      </c>
      <c r="AY33" s="449">
        <f t="shared" si="39"/>
        <v>123764750.02584597</v>
      </c>
      <c r="AZ33" s="449">
        <f t="shared" si="39"/>
        <v>24145723.076320887</v>
      </c>
      <c r="BA33" s="449">
        <f t="shared" si="39"/>
        <v>55123301.597519539</v>
      </c>
      <c r="BB33" s="449">
        <f t="shared" si="39"/>
        <v>471623575.08219332</v>
      </c>
      <c r="BC33" s="449">
        <f t="shared" si="39"/>
        <v>126271094.55747165</v>
      </c>
      <c r="BD33" s="449">
        <f t="shared" si="39"/>
        <v>12601877.397058513</v>
      </c>
      <c r="BE33" s="449">
        <f t="shared" si="39"/>
        <v>1061041.6599457294</v>
      </c>
      <c r="BF33" s="449">
        <f t="shared" si="39"/>
        <v>57892.821681487316</v>
      </c>
      <c r="BG33" s="449">
        <f t="shared" si="39"/>
        <v>3119216.0131208384</v>
      </c>
      <c r="BH33" s="449">
        <f t="shared" si="39"/>
        <v>14186386.100744307</v>
      </c>
      <c r="BI33" s="449">
        <f t="shared" si="39"/>
        <v>36245274.544717252</v>
      </c>
      <c r="BJ33" s="449">
        <f t="shared" si="39"/>
        <v>6867599.7854418429</v>
      </c>
      <c r="BK33" s="449">
        <f t="shared" si="39"/>
        <v>2005470.7739712605</v>
      </c>
      <c r="BL33" s="449">
        <f t="shared" si="39"/>
        <v>1885746.962359037</v>
      </c>
      <c r="BM33" s="449">
        <f t="shared" si="39"/>
        <v>4070423.1135643716</v>
      </c>
      <c r="BN33" s="449">
        <f t="shared" si="39"/>
        <v>2420575.2314878232</v>
      </c>
      <c r="BO33" s="449">
        <f t="shared" si="39"/>
        <v>94280.737251736107</v>
      </c>
      <c r="BP33" s="449">
        <f t="shared" si="39"/>
        <v>21541492000</v>
      </c>
      <c r="BQ33" s="449">
        <f t="shared" si="39"/>
        <v>71174630.847532973</v>
      </c>
      <c r="BR33" s="449">
        <f t="shared" si="39"/>
        <v>1646457052.4096029</v>
      </c>
      <c r="BS33" s="449">
        <f t="shared" si="39"/>
        <v>313300316.74286413</v>
      </c>
      <c r="BT33" s="449">
        <f t="shared" si="39"/>
        <v>23572424000</v>
      </c>
      <c r="BU33" s="449">
        <f t="shared" si="39"/>
        <v>457446754.79538506</v>
      </c>
      <c r="BV33" s="447"/>
      <c r="BW33" s="447"/>
      <c r="BX33" s="447"/>
      <c r="BY33" s="449">
        <f t="shared" si="39"/>
        <v>10809562000</v>
      </c>
      <c r="BZ33" s="449">
        <f t="shared" si="39"/>
        <v>2348000</v>
      </c>
      <c r="CA33" s="449">
        <f t="shared" si="39"/>
        <v>3049254000</v>
      </c>
      <c r="CB33" s="449">
        <f t="shared" si="39"/>
        <v>3206147000</v>
      </c>
      <c r="CC33" s="449">
        <f t="shared" si="39"/>
        <v>1921550000</v>
      </c>
      <c r="CD33" s="449">
        <f t="shared" si="39"/>
        <v>16140000</v>
      </c>
      <c r="CE33" s="449">
        <f t="shared" si="39"/>
        <v>1409546000</v>
      </c>
      <c r="CF33" s="449">
        <f t="shared" si="39"/>
        <v>5150000</v>
      </c>
      <c r="CG33" s="449">
        <f t="shared" si="39"/>
        <v>123766000</v>
      </c>
      <c r="CH33" s="449">
        <f t="shared" si="39"/>
        <v>586365000</v>
      </c>
      <c r="CI33" s="449">
        <f t="shared" si="39"/>
        <v>79268000</v>
      </c>
      <c r="CJ33" s="449">
        <f t="shared" si="39"/>
        <v>597895000</v>
      </c>
      <c r="CK33" s="449">
        <f t="shared" si="39"/>
        <v>70960000</v>
      </c>
      <c r="CL33" s="449">
        <f t="shared" si="39"/>
        <v>7036000</v>
      </c>
      <c r="CM33" s="449">
        <f t="shared" si="39"/>
        <v>2030932000</v>
      </c>
      <c r="CN33" s="449">
        <f t="shared" si="39"/>
        <v>23915919000</v>
      </c>
      <c r="CO33" s="449">
        <f t="shared" si="39"/>
        <v>23915919000</v>
      </c>
      <c r="CP33" s="449">
        <f t="shared" si="39"/>
        <v>0</v>
      </c>
    </row>
  </sheetData>
  <pageMargins left="0.7" right="0.7" top="0.75" bottom="0.75" header="0.3" footer="0.3"/>
  <pageSetup scale="60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2"/>
  <sheetViews>
    <sheetView topLeftCell="B1" workbookViewId="0">
      <selection sqref="A1:K1"/>
    </sheetView>
  </sheetViews>
  <sheetFormatPr defaultColWidth="8.85546875" defaultRowHeight="12.75"/>
  <cols>
    <col min="1" max="1" width="7.7109375" style="1" bestFit="1" customWidth="1"/>
    <col min="2" max="2" width="22.5703125" style="1" bestFit="1" customWidth="1"/>
    <col min="3" max="3" width="11.7109375" style="1" bestFit="1" customWidth="1"/>
    <col min="4" max="5" width="15.140625" style="1" bestFit="1" customWidth="1"/>
    <col min="6" max="6" width="11.5703125" style="1" bestFit="1" customWidth="1"/>
    <col min="7" max="7" width="15.7109375" style="1" bestFit="1" customWidth="1"/>
    <col min="8" max="9" width="15.140625" style="1" bestFit="1" customWidth="1"/>
    <col min="10" max="10" width="11.42578125" style="1" bestFit="1" customWidth="1"/>
    <col min="11" max="16384" width="8.85546875" style="1"/>
  </cols>
  <sheetData>
    <row r="1" spans="1:11">
      <c r="A1" s="159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1">
      <c r="A2" s="162" t="s">
        <v>205</v>
      </c>
      <c r="B2" s="163"/>
      <c r="C2" s="163"/>
      <c r="D2" s="163"/>
      <c r="E2" s="163"/>
      <c r="F2" s="163"/>
      <c r="G2" s="163"/>
      <c r="H2" s="163"/>
      <c r="I2" s="163"/>
      <c r="J2" s="163"/>
      <c r="K2" s="164"/>
    </row>
    <row r="3" spans="1:11">
      <c r="A3" s="165"/>
      <c r="B3" s="150"/>
      <c r="C3" s="166"/>
      <c r="D3" s="139"/>
      <c r="E3" s="139"/>
      <c r="F3" s="139"/>
      <c r="G3" s="150"/>
      <c r="H3" s="150"/>
      <c r="I3" s="139"/>
      <c r="J3" s="150"/>
      <c r="K3" s="167"/>
    </row>
    <row r="4" spans="1:11">
      <c r="A4" s="168"/>
      <c r="B4" s="98"/>
      <c r="C4" s="98"/>
      <c r="D4" s="169"/>
      <c r="E4" s="169"/>
      <c r="F4" s="169"/>
      <c r="G4" s="170"/>
      <c r="H4" s="169"/>
      <c r="I4" s="169"/>
      <c r="J4" s="170"/>
      <c r="K4" s="171"/>
    </row>
    <row r="5" spans="1:11" ht="64.5" thickBot="1">
      <c r="A5" s="172" t="s">
        <v>3</v>
      </c>
      <c r="B5" s="173" t="s">
        <v>97</v>
      </c>
      <c r="C5" s="173" t="s">
        <v>138</v>
      </c>
      <c r="D5" s="96" t="s">
        <v>303</v>
      </c>
      <c r="E5" s="95" t="s">
        <v>304</v>
      </c>
      <c r="F5" s="95" t="s">
        <v>337</v>
      </c>
      <c r="G5" s="95" t="s">
        <v>338</v>
      </c>
      <c r="H5" s="95" t="s">
        <v>339</v>
      </c>
      <c r="I5" s="95" t="s">
        <v>340</v>
      </c>
      <c r="J5" s="173" t="s">
        <v>206</v>
      </c>
      <c r="K5" s="174" t="s">
        <v>207</v>
      </c>
    </row>
    <row r="6" spans="1:11" ht="25.5">
      <c r="A6" s="175"/>
      <c r="B6" s="176"/>
      <c r="C6" s="176"/>
      <c r="D6" s="177" t="s">
        <v>107</v>
      </c>
      <c r="E6" s="177" t="s">
        <v>108</v>
      </c>
      <c r="F6" s="178" t="s">
        <v>109</v>
      </c>
      <c r="G6" s="176" t="s">
        <v>110</v>
      </c>
      <c r="H6" s="177" t="s">
        <v>208</v>
      </c>
      <c r="I6" s="177" t="s">
        <v>209</v>
      </c>
      <c r="J6" s="176" t="s">
        <v>113</v>
      </c>
      <c r="K6" s="179" t="s">
        <v>114</v>
      </c>
    </row>
    <row r="7" spans="1:11">
      <c r="A7" s="165"/>
      <c r="B7" s="150"/>
      <c r="C7" s="166"/>
      <c r="D7" s="139"/>
      <c r="E7" s="139"/>
      <c r="F7" s="139"/>
      <c r="G7" s="150"/>
      <c r="H7" s="150"/>
      <c r="I7" s="139"/>
      <c r="J7" s="150"/>
      <c r="K7" s="167"/>
    </row>
    <row r="8" spans="1:11">
      <c r="A8" s="165">
        <v>1</v>
      </c>
      <c r="B8" s="150" t="s">
        <v>15</v>
      </c>
      <c r="C8" s="166">
        <v>7</v>
      </c>
      <c r="D8" s="139">
        <v>10589868000</v>
      </c>
      <c r="E8" s="141">
        <v>1181762000</v>
      </c>
      <c r="F8" s="99">
        <v>-2.4910000000000002E-3</v>
      </c>
      <c r="G8" s="99">
        <v>-2.0720000000000001E-3</v>
      </c>
      <c r="H8" s="141">
        <v>1155382638.812</v>
      </c>
      <c r="I8" s="141">
        <v>1159819793.5039999</v>
      </c>
      <c r="J8" s="141">
        <v>4437154.6919999123</v>
      </c>
      <c r="K8" s="180">
        <v>3.8404200850398196E-3</v>
      </c>
    </row>
    <row r="9" spans="1:11">
      <c r="A9" s="165">
        <v>2</v>
      </c>
      <c r="B9" s="150"/>
      <c r="C9" s="166"/>
      <c r="D9" s="139"/>
      <c r="E9" s="141"/>
      <c r="F9" s="141"/>
      <c r="G9" s="141"/>
      <c r="H9" s="181"/>
      <c r="I9" s="141"/>
      <c r="J9" s="141"/>
      <c r="K9" s="180"/>
    </row>
    <row r="10" spans="1:11">
      <c r="A10" s="165">
        <v>3</v>
      </c>
      <c r="B10" s="182" t="s">
        <v>115</v>
      </c>
      <c r="C10" s="166" t="s">
        <v>116</v>
      </c>
      <c r="D10" s="139">
        <v>2956760000</v>
      </c>
      <c r="E10" s="141">
        <v>314521000</v>
      </c>
      <c r="F10" s="99">
        <v>-2.0119999999999999E-3</v>
      </c>
      <c r="G10" s="99">
        <v>-1.6739999999999999E-3</v>
      </c>
      <c r="H10" s="141">
        <v>308571998.88</v>
      </c>
      <c r="I10" s="141">
        <v>309571383.75999999</v>
      </c>
      <c r="J10" s="141">
        <v>999384.87999999523</v>
      </c>
      <c r="K10" s="180">
        <v>3.2387413103826192E-3</v>
      </c>
    </row>
    <row r="11" spans="1:11">
      <c r="A11" s="165">
        <v>4</v>
      </c>
      <c r="B11" s="183" t="s">
        <v>117</v>
      </c>
      <c r="C11" s="130" t="s">
        <v>118</v>
      </c>
      <c r="D11" s="139">
        <v>2946226000</v>
      </c>
      <c r="E11" s="141">
        <v>292581000</v>
      </c>
      <c r="F11" s="99">
        <v>-2.0590000000000001E-3</v>
      </c>
      <c r="G11" s="99">
        <v>-1.7129999999999999E-3</v>
      </c>
      <c r="H11" s="141">
        <v>286514720.66600001</v>
      </c>
      <c r="I11" s="141">
        <v>287534114.86199999</v>
      </c>
      <c r="J11" s="141">
        <v>1019394.19599998</v>
      </c>
      <c r="K11" s="180">
        <v>3.5579121157559043E-3</v>
      </c>
    </row>
    <row r="12" spans="1:11">
      <c r="A12" s="165">
        <v>5</v>
      </c>
      <c r="B12" s="183" t="s">
        <v>119</v>
      </c>
      <c r="C12" s="166" t="s">
        <v>120</v>
      </c>
      <c r="D12" s="139">
        <v>1891461000</v>
      </c>
      <c r="E12" s="141">
        <v>169366000</v>
      </c>
      <c r="F12" s="99">
        <v>-2.147E-3</v>
      </c>
      <c r="G12" s="99">
        <v>-1.786E-3</v>
      </c>
      <c r="H12" s="141">
        <v>165305033.23300001</v>
      </c>
      <c r="I12" s="141">
        <v>165987850.65400001</v>
      </c>
      <c r="J12" s="141">
        <v>682817.42100000381</v>
      </c>
      <c r="K12" s="180">
        <v>4.1306511220233809E-3</v>
      </c>
    </row>
    <row r="13" spans="1:11">
      <c r="A13" s="165">
        <v>6</v>
      </c>
      <c r="B13" s="183" t="s">
        <v>121</v>
      </c>
      <c r="C13" s="166">
        <v>29</v>
      </c>
      <c r="D13" s="139">
        <v>16067000</v>
      </c>
      <c r="E13" s="141">
        <v>1327000</v>
      </c>
      <c r="F13" s="99">
        <v>-1.877E-3</v>
      </c>
      <c r="G13" s="99">
        <v>-1.562E-3</v>
      </c>
      <c r="H13" s="141">
        <v>1296842.2409999999</v>
      </c>
      <c r="I13" s="141">
        <v>1301903.3459999999</v>
      </c>
      <c r="J13" s="141">
        <v>5061.1049999999814</v>
      </c>
      <c r="K13" s="180">
        <v>3.902637375612738E-3</v>
      </c>
    </row>
    <row r="14" spans="1:11">
      <c r="A14" s="165">
        <v>7</v>
      </c>
      <c r="B14" s="150"/>
      <c r="C14" s="166"/>
      <c r="D14" s="139"/>
      <c r="E14" s="141"/>
      <c r="F14" s="181"/>
      <c r="G14" s="181"/>
      <c r="H14" s="181"/>
      <c r="I14" s="141"/>
      <c r="J14" s="141"/>
      <c r="K14" s="180"/>
    </row>
    <row r="15" spans="1:11">
      <c r="A15" s="165">
        <v>8</v>
      </c>
      <c r="B15" s="150" t="s">
        <v>122</v>
      </c>
      <c r="C15" s="166"/>
      <c r="D15" s="139">
        <v>7810514000</v>
      </c>
      <c r="E15" s="141">
        <v>777795000</v>
      </c>
      <c r="F15" s="99">
        <v>-2.0621440509549054E-3</v>
      </c>
      <c r="G15" s="99">
        <v>-1.7156037845908732E-3</v>
      </c>
      <c r="H15" s="141">
        <v>761688595.0200001</v>
      </c>
      <c r="I15" s="141">
        <v>764395252.62199998</v>
      </c>
      <c r="J15" s="141">
        <v>2706657.601999979</v>
      </c>
      <c r="K15" s="180">
        <v>3.553496297169723E-3</v>
      </c>
    </row>
    <row r="16" spans="1:11">
      <c r="A16" s="165">
        <v>9</v>
      </c>
      <c r="B16" s="150"/>
      <c r="C16" s="166"/>
      <c r="D16" s="139"/>
      <c r="E16" s="141"/>
      <c r="F16" s="181"/>
      <c r="G16" s="181"/>
      <c r="H16" s="181"/>
      <c r="I16" s="141"/>
      <c r="J16" s="141"/>
      <c r="K16" s="180"/>
    </row>
    <row r="17" spans="1:11">
      <c r="A17" s="165">
        <v>10</v>
      </c>
      <c r="B17" s="183" t="s">
        <v>123</v>
      </c>
      <c r="C17" s="166" t="s">
        <v>124</v>
      </c>
      <c r="D17" s="139">
        <v>1303207000</v>
      </c>
      <c r="E17" s="141">
        <v>114540000</v>
      </c>
      <c r="F17" s="99">
        <v>-2.0049999999999998E-3</v>
      </c>
      <c r="G17" s="99">
        <v>-1.668E-3</v>
      </c>
      <c r="H17" s="141">
        <v>111927069.965</v>
      </c>
      <c r="I17" s="141">
        <v>112366250.72400001</v>
      </c>
      <c r="J17" s="141">
        <v>439180.75900000334</v>
      </c>
      <c r="K17" s="180">
        <v>3.9238118101129309E-3</v>
      </c>
    </row>
    <row r="18" spans="1:11">
      <c r="A18" s="165">
        <v>11</v>
      </c>
      <c r="B18" s="183" t="s">
        <v>125</v>
      </c>
      <c r="C18" s="166">
        <v>35</v>
      </c>
      <c r="D18" s="139">
        <v>5141000</v>
      </c>
      <c r="E18" s="141">
        <v>267000</v>
      </c>
      <c r="F18" s="99">
        <v>-1.3569999999999999E-3</v>
      </c>
      <c r="G18" s="99">
        <v>-1.129E-3</v>
      </c>
      <c r="H18" s="141">
        <v>260023.663</v>
      </c>
      <c r="I18" s="141">
        <v>261195.81099999999</v>
      </c>
      <c r="J18" s="141">
        <v>1172.1479999999865</v>
      </c>
      <c r="K18" s="180">
        <v>4.5078512719820673E-3</v>
      </c>
    </row>
    <row r="19" spans="1:11">
      <c r="A19" s="165">
        <v>12</v>
      </c>
      <c r="B19" s="183" t="s">
        <v>126</v>
      </c>
      <c r="C19" s="166">
        <v>43</v>
      </c>
      <c r="D19" s="139">
        <v>120550000</v>
      </c>
      <c r="E19" s="141">
        <v>11808000</v>
      </c>
      <c r="F19" s="99">
        <v>-1.812E-3</v>
      </c>
      <c r="G19" s="99">
        <v>-1.508E-3</v>
      </c>
      <c r="H19" s="141">
        <v>11589563.4</v>
      </c>
      <c r="I19" s="141">
        <v>11626210.6</v>
      </c>
      <c r="J19" s="141">
        <v>36647.199999999255</v>
      </c>
      <c r="K19" s="180">
        <v>3.1620863301890434E-3</v>
      </c>
    </row>
    <row r="20" spans="1:11">
      <c r="A20" s="165">
        <v>13</v>
      </c>
      <c r="B20" s="184"/>
      <c r="C20" s="166"/>
      <c r="D20" s="139"/>
      <c r="E20" s="141"/>
      <c r="F20" s="181"/>
      <c r="G20" s="181"/>
      <c r="H20" s="181"/>
      <c r="I20" s="141"/>
      <c r="J20" s="141"/>
      <c r="K20" s="180"/>
    </row>
    <row r="21" spans="1:11">
      <c r="A21" s="165">
        <v>14</v>
      </c>
      <c r="B21" s="184" t="s">
        <v>127</v>
      </c>
      <c r="C21" s="166"/>
      <c r="D21" s="139">
        <v>1428898000</v>
      </c>
      <c r="E21" s="141">
        <v>126615000</v>
      </c>
      <c r="F21" s="99">
        <v>-1.9863859925621E-3</v>
      </c>
      <c r="G21" s="99">
        <v>-1.6525622297742734E-3</v>
      </c>
      <c r="H21" s="141">
        <v>123776657.02800001</v>
      </c>
      <c r="I21" s="141">
        <v>124253657.13500001</v>
      </c>
      <c r="J21" s="141">
        <v>477000.10700000258</v>
      </c>
      <c r="K21" s="180">
        <v>3.853716188926467E-3</v>
      </c>
    </row>
    <row r="22" spans="1:11">
      <c r="A22" s="165">
        <v>15</v>
      </c>
      <c r="B22" s="184"/>
      <c r="C22" s="166"/>
      <c r="D22" s="139"/>
      <c r="E22" s="141"/>
      <c r="F22" s="181"/>
      <c r="G22" s="181"/>
      <c r="H22" s="181"/>
      <c r="I22" s="141"/>
      <c r="J22" s="141"/>
      <c r="K22" s="180"/>
    </row>
    <row r="23" spans="1:11">
      <c r="A23" s="165">
        <v>16</v>
      </c>
      <c r="B23" s="185" t="s">
        <v>76</v>
      </c>
      <c r="C23" s="166">
        <v>40</v>
      </c>
      <c r="D23" s="139">
        <v>681789000</v>
      </c>
      <c r="E23" s="141">
        <v>58529000</v>
      </c>
      <c r="F23" s="99">
        <v>-2.1289999999999998E-3</v>
      </c>
      <c r="G23" s="99">
        <v>-1.7719999999999999E-3</v>
      </c>
      <c r="H23" s="141">
        <v>57077471.218999997</v>
      </c>
      <c r="I23" s="141">
        <v>57320869.891999997</v>
      </c>
      <c r="J23" s="141">
        <v>243398.67300000042</v>
      </c>
      <c r="K23" s="180">
        <v>4.2643562828161468E-3</v>
      </c>
    </row>
    <row r="24" spans="1:11">
      <c r="A24" s="165">
        <v>17</v>
      </c>
      <c r="B24" s="184"/>
      <c r="C24" s="166"/>
      <c r="D24" s="139"/>
      <c r="E24" s="141"/>
      <c r="F24" s="181"/>
      <c r="G24" s="181"/>
      <c r="H24" s="181"/>
      <c r="I24" s="141"/>
      <c r="J24" s="141"/>
      <c r="K24" s="180"/>
    </row>
    <row r="25" spans="1:11">
      <c r="A25" s="165">
        <v>18</v>
      </c>
      <c r="B25" s="183" t="s">
        <v>129</v>
      </c>
      <c r="C25" s="166">
        <v>46</v>
      </c>
      <c r="D25" s="139">
        <v>72699000</v>
      </c>
      <c r="E25" s="141">
        <v>5399000</v>
      </c>
      <c r="F25" s="99">
        <v>-1.0250000000000001E-3</v>
      </c>
      <c r="G25" s="99">
        <v>-8.5300000000000003E-4</v>
      </c>
      <c r="H25" s="141">
        <v>5324483.5250000004</v>
      </c>
      <c r="I25" s="141">
        <v>5336987.7529999996</v>
      </c>
      <c r="J25" s="141">
        <v>12504.227999999188</v>
      </c>
      <c r="K25" s="180">
        <v>2.3484396075766217E-3</v>
      </c>
    </row>
    <row r="26" spans="1:11">
      <c r="A26" s="165">
        <v>19</v>
      </c>
      <c r="B26" s="182" t="s">
        <v>130</v>
      </c>
      <c r="C26" s="166">
        <v>49</v>
      </c>
      <c r="D26" s="139">
        <v>576299000</v>
      </c>
      <c r="E26" s="141">
        <v>42233000</v>
      </c>
      <c r="F26" s="99">
        <v>-2.0379999999999999E-3</v>
      </c>
      <c r="G26" s="99">
        <v>-1.6949999999999999E-3</v>
      </c>
      <c r="H26" s="141">
        <v>41058502.637999997</v>
      </c>
      <c r="I26" s="141">
        <v>41256173.195</v>
      </c>
      <c r="J26" s="141">
        <v>197670.55700000376</v>
      </c>
      <c r="K26" s="180">
        <v>4.8143635130292834E-3</v>
      </c>
    </row>
    <row r="27" spans="1:11">
      <c r="A27" s="165">
        <v>20</v>
      </c>
      <c r="B27" s="150"/>
      <c r="C27" s="166"/>
      <c r="D27" s="139"/>
      <c r="E27" s="141"/>
      <c r="F27" s="181"/>
      <c r="G27" s="181"/>
      <c r="H27" s="181"/>
      <c r="I27" s="141"/>
      <c r="J27" s="141"/>
      <c r="K27" s="180"/>
    </row>
    <row r="28" spans="1:11">
      <c r="A28" s="165">
        <v>21</v>
      </c>
      <c r="B28" s="185" t="s">
        <v>131</v>
      </c>
      <c r="C28" s="166"/>
      <c r="D28" s="139">
        <v>648998000</v>
      </c>
      <c r="E28" s="141">
        <v>47632000</v>
      </c>
      <c r="F28" s="99">
        <v>-1.9245264808212044E-3</v>
      </c>
      <c r="G28" s="99">
        <v>-1.6006814381554332E-3</v>
      </c>
      <c r="H28" s="139">
        <v>46382986.162999995</v>
      </c>
      <c r="I28" s="139">
        <v>46593160.947999999</v>
      </c>
      <c r="J28" s="141">
        <v>210174.78500000294</v>
      </c>
      <c r="K28" s="180">
        <v>4.5312905094424625E-3</v>
      </c>
    </row>
    <row r="29" spans="1:11">
      <c r="A29" s="165">
        <v>22</v>
      </c>
      <c r="B29" s="150"/>
      <c r="C29" s="166"/>
      <c r="D29" s="139"/>
      <c r="E29" s="141"/>
      <c r="F29" s="181"/>
      <c r="G29" s="181"/>
      <c r="H29" s="181"/>
      <c r="I29" s="141"/>
      <c r="J29" s="141"/>
      <c r="K29" s="180"/>
    </row>
    <row r="30" spans="1:11">
      <c r="A30" s="165">
        <v>23</v>
      </c>
      <c r="B30" s="150" t="s">
        <v>132</v>
      </c>
      <c r="C30" s="166" t="s">
        <v>20</v>
      </c>
      <c r="D30" s="139">
        <v>76423000</v>
      </c>
      <c r="E30" s="141">
        <v>20424000</v>
      </c>
      <c r="F30" s="99">
        <v>-2.5379999999999999E-3</v>
      </c>
      <c r="G30" s="99">
        <v>-2.1120000000000002E-3</v>
      </c>
      <c r="H30" s="141">
        <v>20230038.425999999</v>
      </c>
      <c r="I30" s="141">
        <v>20262594.624000002</v>
      </c>
      <c r="J30" s="141">
        <v>32556.198000002652</v>
      </c>
      <c r="K30" s="180">
        <v>1.6092998596661516E-3</v>
      </c>
    </row>
    <row r="31" spans="1:11">
      <c r="A31" s="165">
        <v>24</v>
      </c>
      <c r="B31" s="150"/>
      <c r="C31" s="166"/>
      <c r="D31" s="139"/>
      <c r="E31" s="141"/>
      <c r="F31" s="181"/>
      <c r="G31" s="181"/>
      <c r="H31" s="150"/>
      <c r="I31" s="141"/>
      <c r="J31" s="141"/>
      <c r="K31" s="180"/>
    </row>
    <row r="32" spans="1:11">
      <c r="A32" s="165">
        <v>25</v>
      </c>
      <c r="B32" s="186" t="s">
        <v>210</v>
      </c>
      <c r="C32" s="130" t="s">
        <v>211</v>
      </c>
      <c r="D32" s="139">
        <v>6991000</v>
      </c>
      <c r="E32" s="141">
        <v>295000</v>
      </c>
      <c r="F32" s="99">
        <v>-2.4199999999999998E-3</v>
      </c>
      <c r="G32" s="99">
        <v>-2.0140000000000002E-3</v>
      </c>
      <c r="H32" s="141">
        <v>278081.78000000003</v>
      </c>
      <c r="I32" s="141">
        <v>280920.12599999999</v>
      </c>
      <c r="J32" s="141">
        <v>2838.3459999999614</v>
      </c>
      <c r="K32" s="180">
        <v>1.0206875114219856E-2</v>
      </c>
    </row>
    <row r="33" spans="1:11">
      <c r="A33" s="165">
        <v>26</v>
      </c>
      <c r="B33" s="186"/>
      <c r="C33" s="130"/>
      <c r="D33" s="139"/>
      <c r="E33" s="141"/>
      <c r="F33" s="181"/>
      <c r="G33" s="181"/>
      <c r="H33" s="181"/>
      <c r="I33" s="141"/>
      <c r="J33" s="141"/>
      <c r="K33" s="180"/>
    </row>
    <row r="34" spans="1:11">
      <c r="A34" s="165">
        <v>27</v>
      </c>
      <c r="B34" s="183" t="s">
        <v>133</v>
      </c>
      <c r="C34" s="166"/>
      <c r="D34" s="139">
        <v>21243481000</v>
      </c>
      <c r="E34" s="141">
        <v>2213052000</v>
      </c>
      <c r="F34" s="99">
        <v>-2.2706039350142292E-3</v>
      </c>
      <c r="G34" s="99">
        <v>-1.8891034462075039E-3</v>
      </c>
      <c r="H34" s="141">
        <v>2164816468.4480004</v>
      </c>
      <c r="I34" s="141">
        <v>2172926248.8509998</v>
      </c>
      <c r="J34" s="141">
        <v>8109780.4029998994</v>
      </c>
      <c r="K34" s="180">
        <v>3.7461745700844381E-3</v>
      </c>
    </row>
    <row r="35" spans="1:11">
      <c r="A35" s="165">
        <v>28</v>
      </c>
      <c r="B35" s="185"/>
      <c r="C35" s="166"/>
      <c r="D35" s="139"/>
      <c r="E35" s="141"/>
      <c r="F35" s="181"/>
      <c r="G35" s="181"/>
      <c r="H35" s="181"/>
      <c r="I35" s="141"/>
      <c r="J35" s="141"/>
      <c r="K35" s="180"/>
    </row>
    <row r="36" spans="1:11">
      <c r="A36" s="165">
        <v>29</v>
      </c>
      <c r="B36" s="185" t="s">
        <v>212</v>
      </c>
      <c r="C36" s="166"/>
      <c r="D36" s="139"/>
      <c r="E36" s="141"/>
      <c r="F36" s="141"/>
      <c r="G36" s="181"/>
      <c r="H36" s="181"/>
      <c r="I36" s="141"/>
      <c r="J36" s="141"/>
      <c r="K36" s="180"/>
    </row>
    <row r="37" spans="1:11">
      <c r="A37" s="165">
        <v>30</v>
      </c>
      <c r="B37" s="183" t="s">
        <v>134</v>
      </c>
      <c r="C37" s="130" t="s">
        <v>135</v>
      </c>
      <c r="D37" s="139">
        <v>2089170000</v>
      </c>
      <c r="E37" s="141">
        <v>10788000</v>
      </c>
      <c r="F37" s="141"/>
      <c r="G37" s="181"/>
      <c r="H37" s="141">
        <v>10788000</v>
      </c>
      <c r="I37" s="141">
        <v>10788000</v>
      </c>
      <c r="J37" s="141">
        <v>0</v>
      </c>
      <c r="K37" s="180"/>
    </row>
    <row r="38" spans="1:11">
      <c r="A38" s="165">
        <v>31</v>
      </c>
      <c r="B38" s="185"/>
      <c r="C38" s="166"/>
      <c r="D38" s="139"/>
      <c r="E38" s="141"/>
      <c r="F38" s="141"/>
      <c r="G38" s="181"/>
      <c r="H38" s="181"/>
      <c r="I38" s="141"/>
      <c r="J38" s="141"/>
      <c r="K38" s="180"/>
    </row>
    <row r="39" spans="1:11">
      <c r="A39" s="165">
        <v>32</v>
      </c>
      <c r="B39" s="185" t="s">
        <v>22</v>
      </c>
      <c r="C39" s="166"/>
      <c r="D39" s="139">
        <v>23332651000</v>
      </c>
      <c r="E39" s="141">
        <v>2223840000</v>
      </c>
      <c r="F39" s="141"/>
      <c r="G39" s="181"/>
      <c r="H39" s="141">
        <v>2175604468.4480004</v>
      </c>
      <c r="I39" s="141">
        <v>2183714248.8509998</v>
      </c>
      <c r="J39" s="141">
        <v>8109780.4029998994</v>
      </c>
      <c r="K39" s="180"/>
    </row>
    <row r="40" spans="1:11" ht="13.5" thickBot="1">
      <c r="A40" s="187"/>
      <c r="B40" s="188"/>
      <c r="C40" s="189"/>
      <c r="D40" s="190"/>
      <c r="E40" s="191"/>
      <c r="F40" s="191"/>
      <c r="G40" s="188"/>
      <c r="H40" s="188"/>
      <c r="I40" s="190"/>
      <c r="J40" s="188"/>
      <c r="K40" s="192"/>
    </row>
    <row r="41" spans="1:11">
      <c r="A41" s="166"/>
      <c r="B41" s="150"/>
      <c r="C41" s="166"/>
      <c r="D41" s="139"/>
      <c r="E41" s="139"/>
      <c r="F41" s="139"/>
      <c r="G41" s="150"/>
      <c r="H41" s="150"/>
      <c r="I41" s="139"/>
      <c r="J41" s="141"/>
      <c r="K41" s="150"/>
    </row>
    <row r="42" spans="1:11">
      <c r="G42" s="475">
        <f>+G34*D34</f>
        <v>-40131133.166543633</v>
      </c>
    </row>
  </sheetData>
  <printOptions horizontalCentered="1"/>
  <pageMargins left="0.7" right="0.7" top="0.75" bottom="0.71" header="0.3" footer="0.3"/>
  <pageSetup scale="83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36"/>
  <sheetViews>
    <sheetView workbookViewId="0">
      <selection sqref="A1:K1"/>
    </sheetView>
  </sheetViews>
  <sheetFormatPr defaultColWidth="8.85546875" defaultRowHeight="12.75"/>
  <cols>
    <col min="1" max="1" width="7.7109375" style="1" bestFit="1" customWidth="1"/>
    <col min="2" max="2" width="30.42578125" style="1" bestFit="1" customWidth="1"/>
    <col min="3" max="3" width="8.7109375" style="1" bestFit="1" customWidth="1"/>
    <col min="4" max="5" width="15.140625" style="1" bestFit="1" customWidth="1"/>
    <col min="6" max="7" width="10.85546875" style="1" bestFit="1" customWidth="1"/>
    <col min="8" max="9" width="15.140625" style="1" bestFit="1" customWidth="1"/>
    <col min="10" max="10" width="13.28515625" style="1" bestFit="1" customWidth="1"/>
    <col min="11" max="11" width="8" style="1" bestFit="1" customWidth="1"/>
    <col min="12" max="16384" width="8.85546875" style="1"/>
  </cols>
  <sheetData>
    <row r="1" spans="1:11">
      <c r="A1" s="276"/>
      <c r="B1" s="277" t="s">
        <v>312</v>
      </c>
      <c r="C1" s="277"/>
      <c r="D1" s="278"/>
      <c r="E1" s="278"/>
      <c r="F1" s="277"/>
      <c r="G1" s="277"/>
      <c r="H1" s="278"/>
      <c r="I1" s="278"/>
      <c r="J1" s="277"/>
      <c r="K1" s="279"/>
    </row>
    <row r="2" spans="1:11">
      <c r="A2" s="280"/>
      <c r="B2" s="281" t="s">
        <v>137</v>
      </c>
      <c r="C2" s="281"/>
      <c r="D2" s="282"/>
      <c r="E2" s="282"/>
      <c r="F2" s="281"/>
      <c r="G2" s="281"/>
      <c r="H2" s="282"/>
      <c r="I2" s="282"/>
      <c r="J2" s="281"/>
      <c r="K2" s="283"/>
    </row>
    <row r="3" spans="1:11">
      <c r="A3" s="280"/>
      <c r="B3" s="94"/>
      <c r="C3" s="284"/>
      <c r="D3" s="285"/>
      <c r="E3" s="285"/>
      <c r="F3" s="94"/>
      <c r="G3" s="94"/>
      <c r="H3" s="285"/>
      <c r="I3" s="285"/>
      <c r="J3" s="94"/>
      <c r="K3" s="286"/>
    </row>
    <row r="4" spans="1:11" ht="63.75">
      <c r="A4" s="287" t="s">
        <v>3</v>
      </c>
      <c r="B4" s="288" t="s">
        <v>97</v>
      </c>
      <c r="C4" s="288" t="s">
        <v>138</v>
      </c>
      <c r="D4" s="289" t="s">
        <v>313</v>
      </c>
      <c r="E4" s="289" t="s">
        <v>314</v>
      </c>
      <c r="F4" s="290" t="s">
        <v>315</v>
      </c>
      <c r="G4" s="290" t="s">
        <v>316</v>
      </c>
      <c r="H4" s="291" t="s">
        <v>275</v>
      </c>
      <c r="I4" s="291" t="s">
        <v>317</v>
      </c>
      <c r="J4" s="292" t="s">
        <v>105</v>
      </c>
      <c r="K4" s="293" t="s">
        <v>106</v>
      </c>
    </row>
    <row r="5" spans="1:11">
      <c r="A5" s="294"/>
      <c r="B5" s="295"/>
      <c r="C5" s="295"/>
      <c r="D5" s="97" t="s">
        <v>107</v>
      </c>
      <c r="E5" s="97" t="s">
        <v>108</v>
      </c>
      <c r="F5" s="98" t="s">
        <v>109</v>
      </c>
      <c r="G5" s="98" t="s">
        <v>110</v>
      </c>
      <c r="H5" s="296" t="s">
        <v>111</v>
      </c>
      <c r="I5" s="297" t="s">
        <v>112</v>
      </c>
      <c r="J5" s="295" t="s">
        <v>113</v>
      </c>
      <c r="K5" s="298" t="s">
        <v>114</v>
      </c>
    </row>
    <row r="6" spans="1:11">
      <c r="A6" s="299">
        <v>1</v>
      </c>
      <c r="B6" s="94"/>
      <c r="C6" s="284"/>
      <c r="D6" s="209"/>
      <c r="E6" s="209"/>
      <c r="F6" s="94"/>
      <c r="G6" s="207"/>
      <c r="H6" s="285"/>
      <c r="I6" s="285"/>
      <c r="J6" s="94"/>
      <c r="K6" s="286"/>
    </row>
    <row r="7" spans="1:11">
      <c r="A7" s="299">
        <v>2</v>
      </c>
      <c r="B7" s="300" t="s">
        <v>15</v>
      </c>
      <c r="C7" s="284">
        <v>7</v>
      </c>
      <c r="D7" s="209">
        <v>10637302000</v>
      </c>
      <c r="E7" s="256">
        <v>1111192000</v>
      </c>
      <c r="F7" s="222">
        <v>6.0750000000000005E-3</v>
      </c>
      <c r="G7" s="222">
        <v>4.8599999999999997E-3</v>
      </c>
      <c r="H7" s="301">
        <v>1175813609.6500001</v>
      </c>
      <c r="I7" s="301">
        <v>1162889287.72</v>
      </c>
      <c r="J7" s="301">
        <v>-12924321.930000067</v>
      </c>
      <c r="K7" s="332">
        <v>-1.0991811817731213E-2</v>
      </c>
    </row>
    <row r="8" spans="1:11">
      <c r="A8" s="299">
        <v>3</v>
      </c>
      <c r="B8" s="300"/>
      <c r="C8" s="284"/>
      <c r="D8" s="209"/>
      <c r="E8" s="256"/>
      <c r="F8" s="222"/>
      <c r="G8" s="222"/>
      <c r="H8" s="301"/>
      <c r="I8" s="301"/>
      <c r="J8" s="301"/>
      <c r="K8" s="332"/>
    </row>
    <row r="9" spans="1:11">
      <c r="A9" s="299">
        <v>4</v>
      </c>
      <c r="B9" s="303" t="s">
        <v>115</v>
      </c>
      <c r="C9" s="329" t="s">
        <v>276</v>
      </c>
      <c r="D9" s="209">
        <v>3012037000</v>
      </c>
      <c r="E9" s="256">
        <v>307540000</v>
      </c>
      <c r="F9" s="222">
        <v>4.6410000000000002E-3</v>
      </c>
      <c r="G9" s="222">
        <v>4.2079999999999999E-3</v>
      </c>
      <c r="H9" s="301">
        <v>321518863.71700001</v>
      </c>
      <c r="I9" s="301">
        <v>320214651.69599998</v>
      </c>
      <c r="J9" s="301">
        <v>-1304212.0210000277</v>
      </c>
      <c r="K9" s="332">
        <v>-4.0564090265882233E-3</v>
      </c>
    </row>
    <row r="10" spans="1:11">
      <c r="A10" s="299">
        <v>5</v>
      </c>
      <c r="B10" s="304" t="s">
        <v>117</v>
      </c>
      <c r="C10" s="329" t="s">
        <v>277</v>
      </c>
      <c r="D10" s="209">
        <v>2993580000</v>
      </c>
      <c r="E10" s="256">
        <v>282440000</v>
      </c>
      <c r="F10" s="222">
        <v>4.4990000000000004E-3</v>
      </c>
      <c r="G10" s="222">
        <v>4.2570000000000004E-3</v>
      </c>
      <c r="H10" s="301">
        <v>295908116.42000002</v>
      </c>
      <c r="I10" s="301">
        <v>295183670.06</v>
      </c>
      <c r="J10" s="301">
        <v>-724446.36000001431</v>
      </c>
      <c r="K10" s="332">
        <v>-2.4482138873533447E-3</v>
      </c>
    </row>
    <row r="11" spans="1:11">
      <c r="A11" s="299">
        <v>6</v>
      </c>
      <c r="B11" s="304" t="s">
        <v>119</v>
      </c>
      <c r="C11" s="329" t="s">
        <v>278</v>
      </c>
      <c r="D11" s="209">
        <v>1913788000</v>
      </c>
      <c r="E11" s="256">
        <v>162635000</v>
      </c>
      <c r="F11" s="222">
        <v>4.8000000000000004E-3</v>
      </c>
      <c r="G11" s="222">
        <v>4.3249999999999999E-3</v>
      </c>
      <c r="H11" s="301">
        <v>171821182.40000001</v>
      </c>
      <c r="I11" s="301">
        <v>170912133.09999999</v>
      </c>
      <c r="J11" s="301">
        <v>-909049.30000001192</v>
      </c>
      <c r="K11" s="332">
        <v>-5.2906707269872212E-3</v>
      </c>
    </row>
    <row r="12" spans="1:11">
      <c r="A12" s="299">
        <v>7</v>
      </c>
      <c r="B12" s="304" t="s">
        <v>121</v>
      </c>
      <c r="C12" s="284">
        <v>29</v>
      </c>
      <c r="D12" s="209">
        <v>16193000</v>
      </c>
      <c r="E12" s="256">
        <v>1236000</v>
      </c>
      <c r="F12" s="222">
        <v>4.5799999999999999E-3</v>
      </c>
      <c r="G12" s="222">
        <v>3.1960000000000001E-3</v>
      </c>
      <c r="H12" s="301">
        <v>1310163.94</v>
      </c>
      <c r="I12" s="301">
        <v>1287752.828</v>
      </c>
      <c r="J12" s="301">
        <v>-22411.111999999965</v>
      </c>
      <c r="K12" s="332">
        <v>-1.7105578405706971E-2</v>
      </c>
    </row>
    <row r="13" spans="1:11">
      <c r="A13" s="299">
        <v>8</v>
      </c>
      <c r="B13" s="300"/>
      <c r="C13" s="284"/>
      <c r="D13" s="209"/>
      <c r="E13" s="256"/>
      <c r="F13" s="222"/>
      <c r="G13" s="222"/>
      <c r="H13" s="301"/>
      <c r="I13" s="301"/>
      <c r="J13" s="301"/>
      <c r="K13" s="332"/>
    </row>
    <row r="14" spans="1:11">
      <c r="A14" s="299">
        <v>9</v>
      </c>
      <c r="B14" s="300" t="s">
        <v>122</v>
      </c>
      <c r="C14" s="284"/>
      <c r="D14" s="209">
        <v>7935598000</v>
      </c>
      <c r="E14" s="256">
        <v>753851000</v>
      </c>
      <c r="F14" s="222">
        <v>4.6259999999999999E-3</v>
      </c>
      <c r="G14" s="222">
        <v>4.2529999999999998E-3</v>
      </c>
      <c r="H14" s="301">
        <v>790558326.47700012</v>
      </c>
      <c r="I14" s="301">
        <v>787598207.68400002</v>
      </c>
      <c r="J14" s="301">
        <v>-2960118.7930000536</v>
      </c>
      <c r="K14" s="332">
        <v>-3.7443395305079654E-3</v>
      </c>
    </row>
    <row r="15" spans="1:11">
      <c r="A15" s="299">
        <v>10</v>
      </c>
      <c r="B15" s="300"/>
      <c r="C15" s="284"/>
      <c r="D15" s="209"/>
      <c r="E15" s="256"/>
      <c r="F15" s="222"/>
      <c r="G15" s="222"/>
      <c r="H15" s="301"/>
      <c r="I15" s="301"/>
      <c r="J15" s="301"/>
      <c r="K15" s="332"/>
    </row>
    <row r="16" spans="1:11">
      <c r="A16" s="299">
        <v>11</v>
      </c>
      <c r="B16" s="304" t="s">
        <v>123</v>
      </c>
      <c r="C16" s="329" t="s">
        <v>279</v>
      </c>
      <c r="D16" s="209">
        <v>1316672000</v>
      </c>
      <c r="E16" s="256">
        <v>110312000</v>
      </c>
      <c r="F16" s="222">
        <v>4.5519999999999996E-3</v>
      </c>
      <c r="G16" s="222">
        <v>4.1520000000000003E-3</v>
      </c>
      <c r="H16" s="301">
        <v>116305490.94400001</v>
      </c>
      <c r="I16" s="301">
        <v>115778822.14399999</v>
      </c>
      <c r="J16" s="301">
        <v>-526668.80000001192</v>
      </c>
      <c r="K16" s="332">
        <v>-4.5283227449132045E-3</v>
      </c>
    </row>
    <row r="17" spans="1:11">
      <c r="A17" s="299">
        <v>12</v>
      </c>
      <c r="B17" s="304" t="s">
        <v>125</v>
      </c>
      <c r="C17" s="284">
        <v>35</v>
      </c>
      <c r="D17" s="209">
        <v>5161000</v>
      </c>
      <c r="E17" s="256">
        <v>280000</v>
      </c>
      <c r="F17" s="222">
        <v>3.1360000000000003E-3</v>
      </c>
      <c r="G17" s="222">
        <v>2.9009999999999999E-3</v>
      </c>
      <c r="H17" s="301">
        <v>296184.89600000001</v>
      </c>
      <c r="I17" s="301">
        <v>294972.06099999999</v>
      </c>
      <c r="J17" s="301">
        <v>-1212.835000000021</v>
      </c>
      <c r="K17" s="332">
        <v>-4.094857693216135E-3</v>
      </c>
    </row>
    <row r="18" spans="1:11">
      <c r="A18" s="299">
        <v>13</v>
      </c>
      <c r="B18" s="304" t="s">
        <v>126</v>
      </c>
      <c r="C18" s="284">
        <v>43</v>
      </c>
      <c r="D18" s="209">
        <v>123190000</v>
      </c>
      <c r="E18" s="256">
        <v>11679000</v>
      </c>
      <c r="F18" s="222">
        <v>4.2499999999999994E-3</v>
      </c>
      <c r="G18" s="222">
        <v>3.2989999999999998E-3</v>
      </c>
      <c r="H18" s="301">
        <v>12202557.5</v>
      </c>
      <c r="I18" s="301">
        <v>12085403.810000001</v>
      </c>
      <c r="J18" s="301">
        <v>-117153.68999999948</v>
      </c>
      <c r="K18" s="332">
        <v>-9.600748859409142E-3</v>
      </c>
    </row>
    <row r="19" spans="1:11">
      <c r="A19" s="299">
        <v>14</v>
      </c>
      <c r="B19" s="300"/>
      <c r="C19" s="284"/>
      <c r="D19" s="209"/>
      <c r="E19" s="256"/>
      <c r="F19" s="222"/>
      <c r="G19" s="222"/>
      <c r="H19" s="301"/>
      <c r="I19" s="301"/>
      <c r="J19" s="301"/>
      <c r="K19" s="332"/>
    </row>
    <row r="20" spans="1:11">
      <c r="A20" s="299">
        <v>15</v>
      </c>
      <c r="B20" s="305" t="s">
        <v>127</v>
      </c>
      <c r="C20" s="284"/>
      <c r="D20" s="209">
        <v>1445023000</v>
      </c>
      <c r="E20" s="256">
        <v>122271000</v>
      </c>
      <c r="F20" s="222">
        <v>4.5209999999999998E-3</v>
      </c>
      <c r="G20" s="222">
        <v>4.0749999999999996E-3</v>
      </c>
      <c r="H20" s="301">
        <v>128804233.34</v>
      </c>
      <c r="I20" s="301">
        <v>128159198.015</v>
      </c>
      <c r="J20" s="301">
        <v>-645035.32500001136</v>
      </c>
      <c r="K20" s="332">
        <v>-5.0078736410575442E-3</v>
      </c>
    </row>
    <row r="21" spans="1:11">
      <c r="A21" s="299">
        <v>16</v>
      </c>
      <c r="B21" s="300"/>
      <c r="C21" s="284"/>
      <c r="D21" s="209"/>
      <c r="E21" s="256"/>
      <c r="F21" s="222"/>
      <c r="G21" s="222"/>
      <c r="H21" s="301"/>
      <c r="I21" s="301"/>
      <c r="J21" s="301"/>
      <c r="K21" s="332"/>
    </row>
    <row r="22" spans="1:11">
      <c r="A22" s="299">
        <v>17</v>
      </c>
      <c r="B22" s="305" t="s">
        <v>128</v>
      </c>
      <c r="C22" s="284">
        <v>40</v>
      </c>
      <c r="D22" s="209">
        <v>679072000</v>
      </c>
      <c r="E22" s="256">
        <v>52535000</v>
      </c>
      <c r="F22" s="222">
        <v>5.1419999999999999E-3</v>
      </c>
      <c r="G22" s="222">
        <v>3.79E-3</v>
      </c>
      <c r="H22" s="301">
        <v>56026788.223999999</v>
      </c>
      <c r="I22" s="301">
        <v>55108682.880000003</v>
      </c>
      <c r="J22" s="301">
        <v>-918105.34399999678</v>
      </c>
      <c r="K22" s="332">
        <v>-1.6386899429775115E-2</v>
      </c>
    </row>
    <row r="23" spans="1:11">
      <c r="A23" s="299">
        <v>18</v>
      </c>
      <c r="B23" s="300"/>
      <c r="C23" s="284"/>
      <c r="D23" s="209"/>
      <c r="E23" s="256"/>
      <c r="F23" s="222"/>
      <c r="G23" s="222"/>
      <c r="H23" s="301"/>
      <c r="I23" s="301"/>
      <c r="J23" s="301"/>
      <c r="K23" s="332"/>
    </row>
    <row r="24" spans="1:11">
      <c r="A24" s="299">
        <v>19</v>
      </c>
      <c r="B24" s="304" t="s">
        <v>129</v>
      </c>
      <c r="C24" s="284">
        <v>46</v>
      </c>
      <c r="D24" s="209">
        <v>72776000</v>
      </c>
      <c r="E24" s="256">
        <v>5157000</v>
      </c>
      <c r="F24" s="222">
        <v>2.9170000000000003E-3</v>
      </c>
      <c r="G24" s="222">
        <v>2.6159999999999998E-3</v>
      </c>
      <c r="H24" s="301">
        <v>5369287.5920000002</v>
      </c>
      <c r="I24" s="301">
        <v>5347382.0159999998</v>
      </c>
      <c r="J24" s="301">
        <v>-21905.57600000035</v>
      </c>
      <c r="K24" s="332">
        <v>-4.0797918950437086E-3</v>
      </c>
    </row>
    <row r="25" spans="1:11">
      <c r="A25" s="299">
        <v>20</v>
      </c>
      <c r="B25" s="303" t="s">
        <v>130</v>
      </c>
      <c r="C25" s="284">
        <v>49</v>
      </c>
      <c r="D25" s="209">
        <v>584007000</v>
      </c>
      <c r="E25" s="256">
        <v>40025000</v>
      </c>
      <c r="F25" s="222">
        <v>4.4260000000000002E-3</v>
      </c>
      <c r="G25" s="222">
        <v>3.9039999999999999E-3</v>
      </c>
      <c r="H25" s="301">
        <v>42609814.982000001</v>
      </c>
      <c r="I25" s="301">
        <v>42304963.328000002</v>
      </c>
      <c r="J25" s="301">
        <v>-304851.65399999917</v>
      </c>
      <c r="K25" s="332">
        <v>-7.1544937270621818E-3</v>
      </c>
    </row>
    <row r="26" spans="1:11">
      <c r="A26" s="299">
        <v>21</v>
      </c>
      <c r="B26" s="300"/>
      <c r="C26" s="284"/>
      <c r="D26" s="209"/>
      <c r="E26" s="256"/>
      <c r="F26" s="222"/>
      <c r="G26" s="222"/>
      <c r="H26" s="301"/>
      <c r="I26" s="301"/>
      <c r="J26" s="301"/>
      <c r="K26" s="332"/>
    </row>
    <row r="27" spans="1:11">
      <c r="A27" s="299">
        <v>22</v>
      </c>
      <c r="B27" s="300" t="s">
        <v>131</v>
      </c>
      <c r="C27" s="284"/>
      <c r="D27" s="209">
        <v>656783000</v>
      </c>
      <c r="E27" s="256">
        <v>45182000</v>
      </c>
      <c r="F27" s="222">
        <v>4.2589999999999998E-3</v>
      </c>
      <c r="G27" s="222">
        <v>3.761E-3</v>
      </c>
      <c r="H27" s="285">
        <v>47979102.574000001</v>
      </c>
      <c r="I27" s="285">
        <v>47652345.344000004</v>
      </c>
      <c r="J27" s="301">
        <v>-326757.22999999952</v>
      </c>
      <c r="K27" s="332">
        <v>-6.810407291299986E-3</v>
      </c>
    </row>
    <row r="28" spans="1:11">
      <c r="A28" s="299">
        <v>23</v>
      </c>
      <c r="B28" s="300"/>
      <c r="C28" s="284"/>
      <c r="D28" s="209"/>
      <c r="E28" s="256"/>
      <c r="F28" s="222"/>
      <c r="G28" s="222"/>
      <c r="H28" s="301"/>
      <c r="I28" s="301"/>
      <c r="J28" s="301"/>
      <c r="K28" s="332"/>
    </row>
    <row r="29" spans="1:11">
      <c r="A29" s="299">
        <v>24</v>
      </c>
      <c r="B29" s="300" t="s">
        <v>280</v>
      </c>
      <c r="C29" s="284" t="s">
        <v>135</v>
      </c>
      <c r="D29" s="209">
        <v>2088697000</v>
      </c>
      <c r="E29" s="256">
        <v>9141000</v>
      </c>
      <c r="F29" s="222">
        <v>1.0820000000000001E-3</v>
      </c>
      <c r="G29" s="222">
        <v>1.0549999999999999E-3</v>
      </c>
      <c r="H29" s="301">
        <v>11400970.153999999</v>
      </c>
      <c r="I29" s="301">
        <v>11344575.335000001</v>
      </c>
      <c r="J29" s="301">
        <v>-56394.818999998271</v>
      </c>
      <c r="K29" s="332">
        <v>-4.9464929947397769E-3</v>
      </c>
    </row>
    <row r="30" spans="1:11">
      <c r="A30" s="299">
        <v>25</v>
      </c>
      <c r="B30" s="300"/>
      <c r="C30" s="284"/>
      <c r="D30" s="209"/>
      <c r="E30" s="256"/>
      <c r="F30" s="222"/>
      <c r="G30" s="222"/>
      <c r="H30" s="301"/>
      <c r="I30" s="301"/>
      <c r="J30" s="301"/>
      <c r="K30" s="332"/>
    </row>
    <row r="31" spans="1:11">
      <c r="A31" s="299">
        <v>26</v>
      </c>
      <c r="B31" s="94" t="s">
        <v>132</v>
      </c>
      <c r="C31" s="329" t="s">
        <v>20</v>
      </c>
      <c r="D31" s="209">
        <v>76506000</v>
      </c>
      <c r="E31" s="256">
        <v>19539000</v>
      </c>
      <c r="F31" s="222">
        <v>6.2750000000000002E-3</v>
      </c>
      <c r="G31" s="222">
        <v>4.5710000000000004E-3</v>
      </c>
      <c r="H31" s="301">
        <v>20019075.149999999</v>
      </c>
      <c r="I31" s="301">
        <v>19888708.925999999</v>
      </c>
      <c r="J31" s="301">
        <v>-130366.22399999946</v>
      </c>
      <c r="K31" s="332">
        <v>-6.5121002355595569E-3</v>
      </c>
    </row>
    <row r="32" spans="1:11">
      <c r="A32" s="299">
        <v>27</v>
      </c>
      <c r="B32" s="300"/>
      <c r="C32" s="284"/>
      <c r="D32" s="209"/>
      <c r="E32" s="256"/>
      <c r="F32" s="222"/>
      <c r="G32" s="222"/>
      <c r="H32" s="301"/>
      <c r="I32" s="301"/>
      <c r="J32" s="301"/>
      <c r="K32" s="332"/>
    </row>
    <row r="33" spans="1:11">
      <c r="A33" s="299">
        <v>28</v>
      </c>
      <c r="B33" s="300" t="s">
        <v>22</v>
      </c>
      <c r="C33" s="284"/>
      <c r="D33" s="209">
        <v>23518981000</v>
      </c>
      <c r="E33" s="256">
        <v>2113711000</v>
      </c>
      <c r="F33" s="302">
        <v>4.9699999999999996E-3</v>
      </c>
      <c r="G33" s="222">
        <v>4.2069999999999998E-3</v>
      </c>
      <c r="H33" s="301">
        <v>2219201135.415</v>
      </c>
      <c r="I33" s="301">
        <v>2201296430.5690002</v>
      </c>
      <c r="J33" s="301">
        <v>-17904704.846000127</v>
      </c>
      <c r="K33" s="332">
        <v>-8.0680856549092701E-3</v>
      </c>
    </row>
    <row r="34" spans="1:11" ht="13.5" thickBot="1">
      <c r="A34" s="306"/>
      <c r="B34" s="307"/>
      <c r="C34" s="308"/>
      <c r="D34" s="309"/>
      <c r="E34" s="309"/>
      <c r="F34" s="310"/>
      <c r="G34" s="307"/>
      <c r="H34" s="309"/>
      <c r="I34" s="309"/>
      <c r="J34" s="307"/>
      <c r="K34" s="311"/>
    </row>
    <row r="35" spans="1:11">
      <c r="A35" s="94"/>
      <c r="B35" s="94"/>
      <c r="C35" s="284"/>
      <c r="D35" s="285"/>
      <c r="E35" s="285"/>
      <c r="F35" s="94"/>
      <c r="G35" s="94"/>
      <c r="H35" s="285"/>
      <c r="I35" s="285"/>
      <c r="J35" s="94"/>
      <c r="K35" s="94"/>
    </row>
    <row r="36" spans="1:11">
      <c r="A36" s="94"/>
      <c r="B36" s="596" t="s">
        <v>318</v>
      </c>
      <c r="C36" s="596">
        <v>0</v>
      </c>
      <c r="D36" s="596">
        <v>0</v>
      </c>
      <c r="E36" s="596">
        <v>0</v>
      </c>
      <c r="F36" s="596">
        <v>0</v>
      </c>
      <c r="G36" s="596">
        <v>0</v>
      </c>
      <c r="H36" s="596">
        <v>0</v>
      </c>
      <c r="I36" s="596">
        <v>0</v>
      </c>
      <c r="J36" s="596">
        <v>0</v>
      </c>
      <c r="K36" s="596">
        <v>0</v>
      </c>
    </row>
  </sheetData>
  <mergeCells count="1">
    <mergeCell ref="B36:K36"/>
  </mergeCells>
  <printOptions horizontalCentered="1"/>
  <pageMargins left="0.7" right="0.7" top="0.75" bottom="0.71" header="0.3" footer="0.3"/>
  <pageSetup scale="83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21"/>
  <sheetViews>
    <sheetView zoomScale="90" zoomScaleNormal="90" workbookViewId="0">
      <selection sqref="A1:K1"/>
    </sheetView>
  </sheetViews>
  <sheetFormatPr defaultRowHeight="12.75"/>
  <cols>
    <col min="1" max="1" width="7.7109375" bestFit="1" customWidth="1"/>
    <col min="2" max="2" width="60.5703125" bestFit="1" customWidth="1"/>
    <col min="3" max="3" width="13.85546875" bestFit="1" customWidth="1"/>
    <col min="4" max="5" width="15.140625" bestFit="1" customWidth="1"/>
    <col min="6" max="7" width="11.5703125" bestFit="1" customWidth="1"/>
    <col min="8" max="9" width="15.140625" bestFit="1" customWidth="1"/>
    <col min="10" max="10" width="9.85546875" bestFit="1" customWidth="1"/>
    <col min="11" max="11" width="8" bestFit="1" customWidth="1"/>
  </cols>
  <sheetData>
    <row r="1" spans="1:11">
      <c r="A1" s="597" t="s">
        <v>0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</row>
    <row r="2" spans="1:11">
      <c r="A2" s="598" t="s">
        <v>221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</row>
    <row r="3" spans="1:11">
      <c r="A3" s="598" t="s">
        <v>222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</row>
    <row r="4" spans="1:11">
      <c r="A4" s="597" t="s">
        <v>223</v>
      </c>
      <c r="B4" s="597"/>
      <c r="C4" s="597"/>
      <c r="D4" s="597"/>
      <c r="E4" s="597"/>
      <c r="F4" s="597"/>
      <c r="G4" s="597"/>
      <c r="H4" s="597"/>
      <c r="I4" s="597"/>
      <c r="J4" s="597"/>
      <c r="K4" s="597"/>
    </row>
    <row r="5" spans="1:11">
      <c r="A5" s="157"/>
    </row>
    <row r="7" spans="1:11" ht="76.5">
      <c r="A7" s="237" t="s">
        <v>3</v>
      </c>
      <c r="B7" s="237" t="s">
        <v>42</v>
      </c>
      <c r="C7" s="237" t="s">
        <v>224</v>
      </c>
      <c r="D7" s="238" t="s">
        <v>296</v>
      </c>
      <c r="E7" s="238" t="s">
        <v>297</v>
      </c>
      <c r="F7" s="238" t="s">
        <v>294</v>
      </c>
      <c r="G7" s="239" t="s">
        <v>295</v>
      </c>
      <c r="H7" s="237" t="s">
        <v>225</v>
      </c>
      <c r="I7" s="238" t="s">
        <v>226</v>
      </c>
      <c r="J7" s="238" t="s">
        <v>227</v>
      </c>
      <c r="K7" s="237" t="s">
        <v>228</v>
      </c>
    </row>
    <row r="8" spans="1:11">
      <c r="A8" s="240" t="s">
        <v>107</v>
      </c>
      <c r="B8" s="240" t="s">
        <v>108</v>
      </c>
      <c r="C8" s="240" t="s">
        <v>109</v>
      </c>
      <c r="D8" s="241" t="s">
        <v>110</v>
      </c>
      <c r="E8" s="240" t="s">
        <v>229</v>
      </c>
      <c r="F8" s="240" t="s">
        <v>230</v>
      </c>
      <c r="G8" s="242" t="s">
        <v>231</v>
      </c>
      <c r="H8" s="243" t="s">
        <v>232</v>
      </c>
      <c r="I8" s="243" t="s">
        <v>233</v>
      </c>
      <c r="J8" s="241" t="s">
        <v>234</v>
      </c>
      <c r="K8" s="244" t="s">
        <v>235</v>
      </c>
    </row>
    <row r="9" spans="1:11">
      <c r="A9" s="240"/>
      <c r="B9" s="240"/>
      <c r="C9" s="240"/>
      <c r="D9" s="244"/>
      <c r="E9" s="240"/>
      <c r="F9" s="240"/>
      <c r="G9" s="242"/>
      <c r="H9" s="240"/>
      <c r="I9" s="240"/>
      <c r="J9" s="244"/>
      <c r="K9" s="244"/>
    </row>
    <row r="10" spans="1:11">
      <c r="A10" s="245">
        <v>1</v>
      </c>
      <c r="B10" t="s">
        <v>15</v>
      </c>
      <c r="C10" s="245">
        <v>7</v>
      </c>
      <c r="D10" s="246">
        <v>10589868000</v>
      </c>
      <c r="E10" s="247">
        <v>1156336000</v>
      </c>
      <c r="F10" s="248">
        <v>-3.6600000000000001E-4</v>
      </c>
      <c r="G10" s="249">
        <v>-3.4600000000000001E-4</v>
      </c>
      <c r="H10" s="250">
        <v>1152460108</v>
      </c>
      <c r="I10" s="250">
        <v>1152671906</v>
      </c>
      <c r="J10" s="247">
        <v>211798</v>
      </c>
      <c r="K10" s="322">
        <v>1.8377902933886195E-4</v>
      </c>
    </row>
    <row r="11" spans="1:11">
      <c r="A11" s="245">
        <v>2</v>
      </c>
      <c r="B11" s="157" t="s">
        <v>236</v>
      </c>
      <c r="C11" s="245" t="s">
        <v>116</v>
      </c>
      <c r="D11" s="246">
        <v>2956760000</v>
      </c>
      <c r="E11" s="247">
        <v>309034000</v>
      </c>
      <c r="F11" s="248">
        <v>-2.6600000000000001E-4</v>
      </c>
      <c r="G11" s="249">
        <v>-2.63E-4</v>
      </c>
      <c r="H11" s="250">
        <v>308247502</v>
      </c>
      <c r="I11" s="250">
        <v>308256372</v>
      </c>
      <c r="J11" s="247">
        <v>8870</v>
      </c>
      <c r="K11" s="322">
        <v>2.8775577879622201E-5</v>
      </c>
    </row>
    <row r="12" spans="1:11">
      <c r="A12" s="245">
        <v>3</v>
      </c>
      <c r="B12" s="157" t="s">
        <v>237</v>
      </c>
      <c r="C12" s="251" t="s">
        <v>238</v>
      </c>
      <c r="D12" s="246">
        <v>2962293000</v>
      </c>
      <c r="E12" s="247">
        <v>288521000</v>
      </c>
      <c r="F12" s="248">
        <v>-2.4000000000000001E-4</v>
      </c>
      <c r="G12" s="249">
        <v>-2.4499999999999999E-4</v>
      </c>
      <c r="H12" s="250">
        <v>287810050</v>
      </c>
      <c r="I12" s="250">
        <v>287795238</v>
      </c>
      <c r="J12" s="247">
        <v>-14812</v>
      </c>
      <c r="K12" s="322">
        <v>-5.1464498894322833E-5</v>
      </c>
    </row>
    <row r="13" spans="1:11">
      <c r="A13" s="245">
        <v>4</v>
      </c>
      <c r="B13" s="157" t="s">
        <v>239</v>
      </c>
      <c r="C13" s="245" t="s">
        <v>189</v>
      </c>
      <c r="D13" s="246">
        <v>1891461000</v>
      </c>
      <c r="E13" s="247">
        <v>165868000</v>
      </c>
      <c r="F13" s="248">
        <v>-2.0900000000000001E-4</v>
      </c>
      <c r="G13" s="249">
        <v>-2.02E-4</v>
      </c>
      <c r="H13" s="250">
        <v>165472685</v>
      </c>
      <c r="I13" s="250">
        <v>165485925</v>
      </c>
      <c r="J13" s="247">
        <v>13240</v>
      </c>
      <c r="K13" s="322">
        <v>8.0013205804933907E-5</v>
      </c>
    </row>
    <row r="14" spans="1:11">
      <c r="A14" s="245">
        <v>5</v>
      </c>
      <c r="B14" s="252" t="s">
        <v>181</v>
      </c>
      <c r="C14" s="251" t="s">
        <v>240</v>
      </c>
      <c r="D14" s="246">
        <v>1428898000</v>
      </c>
      <c r="E14" s="247">
        <v>124017000</v>
      </c>
      <c r="F14" s="248">
        <v>-2.34E-4</v>
      </c>
      <c r="G14" s="249">
        <v>-2.3800000000000001E-4</v>
      </c>
      <c r="H14" s="250">
        <v>123682638</v>
      </c>
      <c r="I14" s="250">
        <v>123676922</v>
      </c>
      <c r="J14" s="247">
        <v>-5716</v>
      </c>
      <c r="K14" s="322">
        <v>-4.6215055665290706E-5</v>
      </c>
    </row>
    <row r="15" spans="1:11">
      <c r="A15" s="245">
        <v>6</v>
      </c>
      <c r="B15" s="252" t="s">
        <v>241</v>
      </c>
      <c r="C15" s="245">
        <v>40</v>
      </c>
      <c r="D15" s="246">
        <v>681789000</v>
      </c>
      <c r="E15" s="247">
        <v>57022000</v>
      </c>
      <c r="F15" s="248">
        <v>-1.2899999999999999E-4</v>
      </c>
      <c r="G15" s="249">
        <v>-1.3100000000000001E-4</v>
      </c>
      <c r="H15" s="250">
        <v>56934049</v>
      </c>
      <c r="I15" s="250">
        <v>56932686</v>
      </c>
      <c r="J15" s="247">
        <v>-1363</v>
      </c>
      <c r="K15" s="322">
        <v>-2.3939980098727917E-5</v>
      </c>
    </row>
    <row r="16" spans="1:11">
      <c r="A16" s="245">
        <v>7</v>
      </c>
      <c r="B16" s="252" t="s">
        <v>184</v>
      </c>
      <c r="C16" s="245" t="s">
        <v>242</v>
      </c>
      <c r="D16" s="246">
        <v>648998000</v>
      </c>
      <c r="E16" s="247">
        <v>46431000</v>
      </c>
      <c r="F16" s="248">
        <v>-8.5000000000000006E-5</v>
      </c>
      <c r="G16" s="249">
        <v>-1.1E-4</v>
      </c>
      <c r="H16" s="250">
        <v>46375835</v>
      </c>
      <c r="I16" s="250">
        <v>46359610</v>
      </c>
      <c r="J16" s="247">
        <v>-16225</v>
      </c>
      <c r="K16" s="322">
        <v>-3.4985892976374444E-4</v>
      </c>
    </row>
    <row r="17" spans="1:11">
      <c r="A17" s="245">
        <v>8</v>
      </c>
      <c r="B17" s="252" t="s">
        <v>161</v>
      </c>
      <c r="C17" s="245">
        <v>449</v>
      </c>
      <c r="D17" s="246">
        <v>2089170000</v>
      </c>
      <c r="E17" s="247">
        <v>10853000</v>
      </c>
      <c r="F17" s="248">
        <v>-3.1000000000000001E-5</v>
      </c>
      <c r="G17" s="249">
        <v>-2.8E-5</v>
      </c>
      <c r="H17" s="250">
        <v>10788236</v>
      </c>
      <c r="I17" s="250">
        <v>10794503</v>
      </c>
      <c r="J17" s="247">
        <v>6267</v>
      </c>
      <c r="K17" s="322">
        <v>5.8091053996223293E-4</v>
      </c>
    </row>
    <row r="18" spans="1:11">
      <c r="A18" s="245">
        <v>9</v>
      </c>
      <c r="B18" t="s">
        <v>186</v>
      </c>
      <c r="C18" s="245" t="s">
        <v>20</v>
      </c>
      <c r="D18" s="246">
        <v>76423000</v>
      </c>
      <c r="E18" s="247">
        <v>20326000</v>
      </c>
      <c r="F18" s="248">
        <v>-1.5399999999999999E-3</v>
      </c>
      <c r="G18" s="249">
        <v>-1.395E-3</v>
      </c>
      <c r="H18" s="250">
        <v>20208309</v>
      </c>
      <c r="I18" s="250">
        <v>20219390</v>
      </c>
      <c r="J18" s="247">
        <v>11081</v>
      </c>
      <c r="K18" s="322">
        <v>5.4833880459765336E-4</v>
      </c>
    </row>
    <row r="19" spans="1:11">
      <c r="A19" s="245">
        <v>10</v>
      </c>
      <c r="B19" t="s">
        <v>93</v>
      </c>
      <c r="C19" s="245"/>
      <c r="D19" s="246">
        <v>6991000</v>
      </c>
      <c r="E19" s="247">
        <v>277000</v>
      </c>
      <c r="F19" s="248">
        <v>0</v>
      </c>
      <c r="G19" s="249">
        <v>0</v>
      </c>
      <c r="H19" s="250">
        <v>277000</v>
      </c>
      <c r="I19" s="250">
        <v>277000</v>
      </c>
      <c r="J19" s="247">
        <v>0</v>
      </c>
      <c r="K19" s="322">
        <v>0</v>
      </c>
    </row>
    <row r="20" spans="1:11">
      <c r="A20" s="245">
        <v>11</v>
      </c>
      <c r="C20" s="245"/>
      <c r="D20" s="246"/>
      <c r="E20" s="245"/>
      <c r="F20" s="245"/>
      <c r="G20" s="253"/>
      <c r="H20" s="245"/>
      <c r="I20" s="245"/>
      <c r="K20" s="323"/>
    </row>
    <row r="21" spans="1:11">
      <c r="A21" s="245">
        <v>12</v>
      </c>
      <c r="B21" s="157" t="s">
        <v>22</v>
      </c>
      <c r="C21" s="245"/>
      <c r="D21" s="246">
        <v>23332651000</v>
      </c>
      <c r="E21" s="254">
        <v>2178685000</v>
      </c>
      <c r="F21" s="254"/>
      <c r="G21" s="255"/>
      <c r="H21" s="254">
        <v>2172256412</v>
      </c>
      <c r="I21" s="254">
        <v>2172469552</v>
      </c>
      <c r="J21" s="158">
        <v>213140</v>
      </c>
      <c r="K21" s="322">
        <v>9.7829654126227523E-5</v>
      </c>
    </row>
  </sheetData>
  <mergeCells count="4">
    <mergeCell ref="A1:K1"/>
    <mergeCell ref="A2:K2"/>
    <mergeCell ref="A3:K3"/>
    <mergeCell ref="A4:K4"/>
  </mergeCells>
  <printOptions horizontalCentered="1"/>
  <pageMargins left="0.7" right="0.7" top="0.75" bottom="0.71" header="0.3" footer="0.3"/>
  <pageSetup scale="68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4"/>
  <sheetViews>
    <sheetView topLeftCell="G1" workbookViewId="0">
      <selection sqref="A1:K1"/>
    </sheetView>
  </sheetViews>
  <sheetFormatPr defaultRowHeight="12.75"/>
  <cols>
    <col min="1" max="1" width="7.7109375" bestFit="1" customWidth="1"/>
    <col min="2" max="2" width="22.5703125" bestFit="1" customWidth="1"/>
    <col min="3" max="3" width="10.5703125" bestFit="1" customWidth="1"/>
    <col min="4" max="5" width="15.140625" bestFit="1" customWidth="1"/>
    <col min="6" max="7" width="11.5703125" bestFit="1" customWidth="1"/>
    <col min="8" max="9" width="15.140625" bestFit="1" customWidth="1"/>
    <col min="10" max="10" width="11.42578125" bestFit="1" customWidth="1"/>
  </cols>
  <sheetData>
    <row r="1" spans="1:11">
      <c r="A1" s="159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1">
      <c r="A2" s="162" t="s">
        <v>245</v>
      </c>
      <c r="B2" s="163"/>
      <c r="C2" s="163"/>
      <c r="D2" s="163"/>
      <c r="E2" s="163"/>
      <c r="F2" s="163"/>
      <c r="G2" s="163"/>
      <c r="H2" s="163"/>
      <c r="I2" s="163"/>
      <c r="J2" s="163"/>
      <c r="K2" s="164"/>
    </row>
    <row r="3" spans="1:11">
      <c r="A3" s="165"/>
      <c r="B3" s="150"/>
      <c r="C3" s="166"/>
      <c r="D3" s="139"/>
      <c r="E3" s="139"/>
      <c r="F3" s="139"/>
      <c r="G3" s="150"/>
      <c r="H3" s="150"/>
      <c r="I3" s="139"/>
      <c r="J3" s="150"/>
      <c r="K3" s="167"/>
    </row>
    <row r="4" spans="1:11">
      <c r="A4" s="175"/>
      <c r="B4" s="176"/>
      <c r="C4" s="176"/>
      <c r="D4" s="177"/>
      <c r="E4" s="177"/>
      <c r="F4" s="178"/>
      <c r="G4" s="176"/>
      <c r="H4" s="177"/>
      <c r="I4" s="177"/>
      <c r="J4" s="176"/>
      <c r="K4" s="179"/>
    </row>
    <row r="5" spans="1:11">
      <c r="A5" s="168"/>
      <c r="B5" s="98"/>
      <c r="C5" s="98"/>
      <c r="D5" s="169"/>
      <c r="E5" s="169"/>
      <c r="F5" s="169"/>
      <c r="G5" s="170"/>
      <c r="H5" s="169"/>
      <c r="I5" s="169"/>
      <c r="J5" s="170"/>
      <c r="K5" s="171"/>
    </row>
    <row r="6" spans="1:11" ht="64.5" thickBot="1">
      <c r="A6" s="172" t="s">
        <v>3</v>
      </c>
      <c r="B6" s="173" t="s">
        <v>97</v>
      </c>
      <c r="C6" s="173" t="s">
        <v>138</v>
      </c>
      <c r="D6" s="96" t="s">
        <v>298</v>
      </c>
      <c r="E6" s="95" t="s">
        <v>299</v>
      </c>
      <c r="F6" s="95" t="s">
        <v>300</v>
      </c>
      <c r="G6" s="95" t="s">
        <v>301</v>
      </c>
      <c r="H6" s="95" t="s">
        <v>302</v>
      </c>
      <c r="I6" s="95" t="s">
        <v>246</v>
      </c>
      <c r="J6" s="173" t="s">
        <v>206</v>
      </c>
      <c r="K6" s="174" t="s">
        <v>207</v>
      </c>
    </row>
    <row r="7" spans="1:11" ht="25.5">
      <c r="A7" s="175"/>
      <c r="B7" s="176"/>
      <c r="C7" s="176"/>
      <c r="D7" s="177" t="s">
        <v>107</v>
      </c>
      <c r="E7" s="177" t="s">
        <v>108</v>
      </c>
      <c r="F7" s="178" t="s">
        <v>109</v>
      </c>
      <c r="G7" s="176" t="s">
        <v>110</v>
      </c>
      <c r="H7" s="177" t="s">
        <v>247</v>
      </c>
      <c r="I7" s="177" t="s">
        <v>248</v>
      </c>
      <c r="J7" s="176" t="s">
        <v>113</v>
      </c>
      <c r="K7" s="179" t="s">
        <v>114</v>
      </c>
    </row>
    <row r="8" spans="1:11">
      <c r="A8" s="165"/>
      <c r="B8" s="150"/>
      <c r="C8" s="166"/>
      <c r="D8" s="139"/>
      <c r="E8" s="139"/>
      <c r="F8" s="139"/>
      <c r="G8" s="150"/>
      <c r="H8" s="150"/>
      <c r="I8" s="139"/>
      <c r="J8" s="150"/>
      <c r="K8" s="167"/>
    </row>
    <row r="9" spans="1:11">
      <c r="A9" s="165">
        <v>1</v>
      </c>
      <c r="B9" s="150" t="s">
        <v>15</v>
      </c>
      <c r="C9" s="166">
        <v>7</v>
      </c>
      <c r="D9" s="139">
        <v>10589868000</v>
      </c>
      <c r="E9" s="256">
        <v>1152460000</v>
      </c>
      <c r="F9" s="99">
        <v>0</v>
      </c>
      <c r="G9" s="99">
        <v>-3.4999999999999997E-5</v>
      </c>
      <c r="H9" s="141">
        <v>1152460000</v>
      </c>
      <c r="I9" s="141">
        <v>1152089354.6199999</v>
      </c>
      <c r="J9" s="141">
        <v>-370645.38000011444</v>
      </c>
      <c r="K9" s="257">
        <v>-3.2161235964815651E-4</v>
      </c>
    </row>
    <row r="10" spans="1:11">
      <c r="A10" s="165">
        <v>2</v>
      </c>
      <c r="B10" s="150"/>
      <c r="C10" s="166"/>
      <c r="D10" s="139"/>
      <c r="E10" s="256"/>
      <c r="F10" s="99"/>
      <c r="G10" s="99"/>
      <c r="H10" s="181"/>
      <c r="I10" s="141"/>
      <c r="J10" s="141"/>
      <c r="K10" s="257"/>
    </row>
    <row r="11" spans="1:11">
      <c r="A11" s="165">
        <v>3</v>
      </c>
      <c r="B11" s="182" t="s">
        <v>115</v>
      </c>
      <c r="C11" s="130" t="s">
        <v>155</v>
      </c>
      <c r="D11" s="139">
        <v>2956760000</v>
      </c>
      <c r="E11" s="256">
        <v>308247000</v>
      </c>
      <c r="F11" s="99">
        <v>0</v>
      </c>
      <c r="G11" s="99">
        <v>-2.8E-5</v>
      </c>
      <c r="H11" s="141">
        <v>308247000</v>
      </c>
      <c r="I11" s="141">
        <v>308164210.72000003</v>
      </c>
      <c r="J11" s="141">
        <v>-82789.27999997139</v>
      </c>
      <c r="K11" s="257">
        <v>-2.685809756460611E-4</v>
      </c>
    </row>
    <row r="12" spans="1:11">
      <c r="A12" s="165">
        <v>4</v>
      </c>
      <c r="B12" s="183" t="s">
        <v>117</v>
      </c>
      <c r="C12" s="130" t="s">
        <v>156</v>
      </c>
      <c r="D12" s="139">
        <v>2946226000</v>
      </c>
      <c r="E12" s="256">
        <v>286518000</v>
      </c>
      <c r="F12" s="99">
        <v>0</v>
      </c>
      <c r="G12" s="99">
        <v>-2.9E-5</v>
      </c>
      <c r="H12" s="141">
        <v>286518000</v>
      </c>
      <c r="I12" s="141">
        <v>286432559.44599998</v>
      </c>
      <c r="J12" s="141">
        <v>-85440.554000020027</v>
      </c>
      <c r="K12" s="257">
        <v>-2.9820309369749901E-4</v>
      </c>
    </row>
    <row r="13" spans="1:11">
      <c r="A13" s="165">
        <v>5</v>
      </c>
      <c r="B13" s="183" t="s">
        <v>119</v>
      </c>
      <c r="C13" s="130" t="s">
        <v>249</v>
      </c>
      <c r="D13" s="139">
        <v>1891461000</v>
      </c>
      <c r="E13" s="256">
        <v>165473000</v>
      </c>
      <c r="F13" s="99">
        <v>0</v>
      </c>
      <c r="G13" s="99">
        <v>-3.0000000000000001E-5</v>
      </c>
      <c r="H13" s="141">
        <v>165473000</v>
      </c>
      <c r="I13" s="141">
        <v>165416256.16999999</v>
      </c>
      <c r="J13" s="141">
        <v>-56743.830000013113</v>
      </c>
      <c r="K13" s="257">
        <v>-3.429189656319346E-4</v>
      </c>
    </row>
    <row r="14" spans="1:11">
      <c r="A14" s="165">
        <v>6</v>
      </c>
      <c r="B14" s="183" t="s">
        <v>121</v>
      </c>
      <c r="C14" s="166">
        <v>29</v>
      </c>
      <c r="D14" s="139">
        <v>16067000</v>
      </c>
      <c r="E14" s="256">
        <v>1292000</v>
      </c>
      <c r="F14" s="99">
        <v>0</v>
      </c>
      <c r="G14" s="99">
        <v>-2.5999999999999998E-5</v>
      </c>
      <c r="H14" s="141">
        <v>1292000</v>
      </c>
      <c r="I14" s="141">
        <v>1291582.2579999999</v>
      </c>
      <c r="J14" s="141">
        <v>-417.74200000008568</v>
      </c>
      <c r="K14" s="257">
        <v>-3.2332972136229544E-4</v>
      </c>
    </row>
    <row r="15" spans="1:11">
      <c r="A15" s="165">
        <v>7</v>
      </c>
      <c r="B15" s="150"/>
      <c r="C15" s="166"/>
      <c r="D15" s="139"/>
      <c r="E15" s="256"/>
      <c r="F15" s="99"/>
      <c r="G15" s="99"/>
      <c r="H15" s="181"/>
      <c r="I15" s="141"/>
      <c r="J15" s="141"/>
      <c r="K15" s="257"/>
    </row>
    <row r="16" spans="1:11">
      <c r="A16" s="165">
        <v>8</v>
      </c>
      <c r="B16" s="150" t="s">
        <v>122</v>
      </c>
      <c r="C16" s="166"/>
      <c r="D16" s="139">
        <v>7810514000</v>
      </c>
      <c r="E16" s="256">
        <v>761530000</v>
      </c>
      <c r="F16" s="99">
        <v>0</v>
      </c>
      <c r="G16" s="99">
        <v>-2.8857435759029431E-5</v>
      </c>
      <c r="H16" s="141">
        <v>761530000</v>
      </c>
      <c r="I16" s="141">
        <v>761304608.59399998</v>
      </c>
      <c r="J16" s="141">
        <v>-225391.40600000462</v>
      </c>
      <c r="K16" s="257">
        <v>-2.9597180150487128E-4</v>
      </c>
    </row>
    <row r="17" spans="1:11">
      <c r="A17" s="165">
        <v>9</v>
      </c>
      <c r="B17" s="150"/>
      <c r="C17" s="166"/>
      <c r="D17" s="139"/>
      <c r="E17" s="256"/>
      <c r="F17" s="99"/>
      <c r="G17" s="99"/>
      <c r="H17" s="181"/>
      <c r="I17" s="141"/>
      <c r="J17" s="141"/>
      <c r="K17" s="257"/>
    </row>
    <row r="18" spans="1:11">
      <c r="A18" s="165">
        <v>10</v>
      </c>
      <c r="B18" s="183" t="s">
        <v>123</v>
      </c>
      <c r="C18" s="130" t="s">
        <v>158</v>
      </c>
      <c r="D18" s="139">
        <v>1303207000</v>
      </c>
      <c r="E18" s="256">
        <v>111849000</v>
      </c>
      <c r="F18" s="99">
        <v>0</v>
      </c>
      <c r="G18" s="99">
        <v>-2.8E-5</v>
      </c>
      <c r="H18" s="141">
        <v>111849000</v>
      </c>
      <c r="I18" s="141">
        <v>111812510.204</v>
      </c>
      <c r="J18" s="141">
        <v>-36489.796000003815</v>
      </c>
      <c r="K18" s="257">
        <v>-3.2624159357708891E-4</v>
      </c>
    </row>
    <row r="19" spans="1:11">
      <c r="A19" s="165">
        <v>11</v>
      </c>
      <c r="B19" s="183" t="s">
        <v>125</v>
      </c>
      <c r="C19" s="166">
        <v>35</v>
      </c>
      <c r="D19" s="139">
        <v>5141000</v>
      </c>
      <c r="E19" s="256">
        <v>260000</v>
      </c>
      <c r="F19" s="99">
        <v>0</v>
      </c>
      <c r="G19" s="99">
        <v>-1.9000000000000001E-5</v>
      </c>
      <c r="H19" s="141">
        <v>260000</v>
      </c>
      <c r="I19" s="141">
        <v>259902.321</v>
      </c>
      <c r="J19" s="141">
        <v>-97.679000000003725</v>
      </c>
      <c r="K19" s="257">
        <v>-3.7568846153847589E-4</v>
      </c>
    </row>
    <row r="20" spans="1:11">
      <c r="A20" s="165">
        <v>12</v>
      </c>
      <c r="B20" s="183" t="s">
        <v>126</v>
      </c>
      <c r="C20" s="166">
        <v>43</v>
      </c>
      <c r="D20" s="139">
        <v>120550000</v>
      </c>
      <c r="E20" s="256">
        <v>11574000</v>
      </c>
      <c r="F20" s="99">
        <v>0</v>
      </c>
      <c r="G20" s="99">
        <v>-2.5000000000000001E-5</v>
      </c>
      <c r="H20" s="141">
        <v>11574000</v>
      </c>
      <c r="I20" s="141">
        <v>11570986.25</v>
      </c>
      <c r="J20" s="141">
        <v>-3013.75</v>
      </c>
      <c r="K20" s="257">
        <v>-2.6038966649386555E-4</v>
      </c>
    </row>
    <row r="21" spans="1:11">
      <c r="A21" s="165">
        <v>13</v>
      </c>
      <c r="B21" s="184"/>
      <c r="C21" s="166"/>
      <c r="D21" s="139"/>
      <c r="E21" s="256"/>
      <c r="F21" s="99"/>
      <c r="G21" s="99"/>
      <c r="H21" s="181"/>
      <c r="I21" s="141"/>
      <c r="J21" s="141"/>
      <c r="K21" s="257"/>
    </row>
    <row r="22" spans="1:11">
      <c r="A22" s="165">
        <v>14</v>
      </c>
      <c r="B22" s="184" t="s">
        <v>127</v>
      </c>
      <c r="C22" s="166"/>
      <c r="D22" s="139">
        <v>1428898000</v>
      </c>
      <c r="E22" s="256">
        <v>123683000</v>
      </c>
      <c r="F22" s="99">
        <v>0</v>
      </c>
      <c r="G22" s="99">
        <v>-2.7714521960279878E-5</v>
      </c>
      <c r="H22" s="141">
        <v>123683000</v>
      </c>
      <c r="I22" s="141">
        <v>123643398.77499999</v>
      </c>
      <c r="J22" s="141">
        <v>-39601.225000003818</v>
      </c>
      <c r="K22" s="257">
        <v>-3.2018325072971887E-4</v>
      </c>
    </row>
    <row r="23" spans="1:11">
      <c r="A23" s="165">
        <v>15</v>
      </c>
      <c r="B23" s="184"/>
      <c r="C23" s="166"/>
      <c r="D23" s="139"/>
      <c r="E23" s="256"/>
      <c r="F23" s="99"/>
      <c r="G23" s="99"/>
      <c r="H23" s="181"/>
      <c r="I23" s="141"/>
      <c r="J23" s="141"/>
      <c r="K23" s="257"/>
    </row>
    <row r="24" spans="1:11">
      <c r="A24" s="165">
        <v>16</v>
      </c>
      <c r="B24" s="185" t="s">
        <v>76</v>
      </c>
      <c r="C24" s="166">
        <v>40</v>
      </c>
      <c r="D24" s="139">
        <v>681789000</v>
      </c>
      <c r="E24" s="256">
        <v>56934000</v>
      </c>
      <c r="F24" s="99">
        <v>0</v>
      </c>
      <c r="G24" s="99">
        <v>-3.0000000000000001E-5</v>
      </c>
      <c r="H24" s="141">
        <v>56934000</v>
      </c>
      <c r="I24" s="141">
        <v>56913546.329999998</v>
      </c>
      <c r="J24" s="141">
        <v>-20453.670000001788</v>
      </c>
      <c r="K24" s="257">
        <v>-3.5925229212775824E-4</v>
      </c>
    </row>
    <row r="25" spans="1:11">
      <c r="A25" s="165">
        <v>17</v>
      </c>
      <c r="B25" s="184"/>
      <c r="C25" s="166"/>
      <c r="D25" s="139"/>
      <c r="E25" s="256"/>
      <c r="F25" s="99"/>
      <c r="G25" s="99"/>
      <c r="H25" s="181"/>
      <c r="I25" s="141"/>
      <c r="J25" s="141"/>
      <c r="K25" s="257"/>
    </row>
    <row r="26" spans="1:11">
      <c r="A26" s="165">
        <v>16</v>
      </c>
      <c r="B26" s="183" t="s">
        <v>129</v>
      </c>
      <c r="C26" s="166">
        <v>46</v>
      </c>
      <c r="D26" s="139">
        <v>72699000</v>
      </c>
      <c r="E26" s="256">
        <v>5303000</v>
      </c>
      <c r="F26" s="99">
        <v>0</v>
      </c>
      <c r="G26" s="99">
        <v>-1.4E-5</v>
      </c>
      <c r="H26" s="141">
        <v>5303000</v>
      </c>
      <c r="I26" s="141">
        <v>5301982.2139999997</v>
      </c>
      <c r="J26" s="141">
        <v>-1017.7860000003129</v>
      </c>
      <c r="K26" s="257">
        <v>-1.9192645672266886E-4</v>
      </c>
    </row>
    <row r="27" spans="1:11">
      <c r="A27" s="165">
        <v>17</v>
      </c>
      <c r="B27" s="182" t="s">
        <v>130</v>
      </c>
      <c r="C27" s="166">
        <v>49</v>
      </c>
      <c r="D27" s="139">
        <v>576299000</v>
      </c>
      <c r="E27" s="256">
        <v>41073000</v>
      </c>
      <c r="F27" s="99">
        <v>0</v>
      </c>
      <c r="G27" s="99">
        <v>-2.8E-5</v>
      </c>
      <c r="H27" s="141">
        <v>41073000</v>
      </c>
      <c r="I27" s="141">
        <v>41056863.627999999</v>
      </c>
      <c r="J27" s="141">
        <v>-16136.372000001371</v>
      </c>
      <c r="K27" s="257">
        <v>-3.9287054756169187E-4</v>
      </c>
    </row>
    <row r="28" spans="1:11">
      <c r="A28" s="165">
        <v>18</v>
      </c>
      <c r="B28" s="150"/>
      <c r="C28" s="166"/>
      <c r="D28" s="139"/>
      <c r="E28" s="256"/>
      <c r="F28" s="99"/>
      <c r="G28" s="99"/>
      <c r="H28" s="181"/>
      <c r="I28" s="141"/>
      <c r="J28" s="141"/>
      <c r="K28" s="257"/>
    </row>
    <row r="29" spans="1:11">
      <c r="A29" s="165">
        <v>19</v>
      </c>
      <c r="B29" s="185" t="s">
        <v>131</v>
      </c>
      <c r="C29" s="166"/>
      <c r="D29" s="139">
        <v>648998000</v>
      </c>
      <c r="E29" s="256">
        <v>46376000</v>
      </c>
      <c r="F29" s="99">
        <v>0</v>
      </c>
      <c r="G29" s="99">
        <v>-2.6431757879068966E-5</v>
      </c>
      <c r="H29" s="139">
        <v>46376000</v>
      </c>
      <c r="I29" s="139">
        <v>46358845.842</v>
      </c>
      <c r="J29" s="141">
        <v>-17154.158000001684</v>
      </c>
      <c r="K29" s="257">
        <v>-3.6989300500262385E-4</v>
      </c>
    </row>
    <row r="30" spans="1:11">
      <c r="A30" s="165">
        <v>20</v>
      </c>
      <c r="B30" s="150"/>
      <c r="C30" s="166"/>
      <c r="D30" s="139"/>
      <c r="E30" s="256"/>
      <c r="F30" s="99"/>
      <c r="G30" s="99"/>
      <c r="H30" s="181"/>
      <c r="I30" s="141"/>
      <c r="J30" s="141"/>
      <c r="K30" s="257"/>
    </row>
    <row r="31" spans="1:11">
      <c r="A31" s="165">
        <v>21</v>
      </c>
      <c r="B31" s="150" t="s">
        <v>132</v>
      </c>
      <c r="C31" s="166" t="s">
        <v>20</v>
      </c>
      <c r="D31" s="139">
        <v>76423000</v>
      </c>
      <c r="E31" s="256">
        <v>20208000</v>
      </c>
      <c r="F31" s="99">
        <v>0</v>
      </c>
      <c r="G31" s="99">
        <v>-3.4999999999999997E-5</v>
      </c>
      <c r="H31" s="141">
        <v>20208000</v>
      </c>
      <c r="I31" s="141">
        <v>20205325.195</v>
      </c>
      <c r="J31" s="141">
        <v>-2674.804999999702</v>
      </c>
      <c r="K31" s="257">
        <v>-1.3236366785430038E-4</v>
      </c>
    </row>
    <row r="32" spans="1:11">
      <c r="A32" s="165">
        <v>22</v>
      </c>
      <c r="B32" s="150"/>
      <c r="C32" s="166"/>
      <c r="D32" s="139"/>
      <c r="E32" s="256"/>
      <c r="F32" s="99"/>
      <c r="G32" s="99"/>
      <c r="H32" s="150"/>
      <c r="I32" s="141"/>
      <c r="J32" s="141"/>
      <c r="K32" s="257"/>
    </row>
    <row r="33" spans="1:11">
      <c r="A33" s="165">
        <v>23</v>
      </c>
      <c r="B33" s="186" t="s">
        <v>210</v>
      </c>
      <c r="C33" s="130" t="s">
        <v>211</v>
      </c>
      <c r="D33" s="139">
        <v>6991000</v>
      </c>
      <c r="E33" s="256">
        <v>277000</v>
      </c>
      <c r="F33" s="99">
        <v>0</v>
      </c>
      <c r="G33" s="99">
        <v>-3.4E-5</v>
      </c>
      <c r="H33" s="141">
        <v>277000</v>
      </c>
      <c r="I33" s="141">
        <v>276762.30599999998</v>
      </c>
      <c r="J33" s="141">
        <v>-237.6940000000177</v>
      </c>
      <c r="K33" s="257">
        <v>-8.581010830325549E-4</v>
      </c>
    </row>
    <row r="34" spans="1:11">
      <c r="A34" s="165">
        <v>24</v>
      </c>
      <c r="B34" s="186"/>
      <c r="C34" s="130"/>
      <c r="D34" s="139"/>
      <c r="E34" s="256"/>
      <c r="F34" s="99"/>
      <c r="G34" s="99"/>
      <c r="H34" s="181"/>
      <c r="I34" s="141"/>
      <c r="J34" s="141"/>
      <c r="K34" s="257"/>
    </row>
    <row r="35" spans="1:11">
      <c r="A35" s="165">
        <v>25</v>
      </c>
      <c r="B35" s="183" t="s">
        <v>133</v>
      </c>
      <c r="C35" s="166"/>
      <c r="D35" s="139">
        <v>21243481000</v>
      </c>
      <c r="E35" s="256">
        <v>2161468000</v>
      </c>
      <c r="F35" s="99">
        <v>0</v>
      </c>
      <c r="G35" s="99">
        <v>-3.1828980288117567E-5</v>
      </c>
      <c r="H35" s="141">
        <v>2161468000</v>
      </c>
      <c r="I35" s="141">
        <v>2160791841.6620002</v>
      </c>
      <c r="J35" s="141">
        <v>-676158.33800012607</v>
      </c>
      <c r="K35" s="257">
        <v>-3.1282366336218072E-4</v>
      </c>
    </row>
    <row r="36" spans="1:11">
      <c r="A36" s="165">
        <v>26</v>
      </c>
      <c r="B36" s="185"/>
      <c r="C36" s="166"/>
      <c r="D36" s="139"/>
      <c r="E36" s="256"/>
      <c r="F36" s="181"/>
      <c r="G36" s="181"/>
      <c r="H36" s="181"/>
      <c r="I36" s="141"/>
      <c r="J36" s="141"/>
      <c r="K36" s="257"/>
    </row>
    <row r="37" spans="1:11">
      <c r="A37" s="165">
        <v>27</v>
      </c>
      <c r="B37" s="185" t="s">
        <v>212</v>
      </c>
      <c r="C37" s="166"/>
      <c r="D37" s="139"/>
      <c r="E37" s="256"/>
      <c r="F37" s="141"/>
      <c r="G37" s="181"/>
      <c r="H37" s="181"/>
      <c r="I37" s="141"/>
      <c r="J37" s="141"/>
      <c r="K37" s="257"/>
    </row>
    <row r="38" spans="1:11">
      <c r="A38" s="165">
        <v>28</v>
      </c>
      <c r="B38" s="183" t="s">
        <v>134</v>
      </c>
      <c r="C38" s="130" t="s">
        <v>135</v>
      </c>
      <c r="D38" s="139">
        <v>2089170000</v>
      </c>
      <c r="E38" s="256">
        <v>10788000</v>
      </c>
      <c r="F38" s="141"/>
      <c r="G38" s="181"/>
      <c r="H38" s="141">
        <v>10788000</v>
      </c>
      <c r="I38" s="141">
        <v>10788000</v>
      </c>
      <c r="J38" s="141">
        <v>0</v>
      </c>
      <c r="K38" s="257"/>
    </row>
    <row r="39" spans="1:11">
      <c r="A39" s="165">
        <v>29</v>
      </c>
      <c r="B39" s="182"/>
      <c r="C39" s="166"/>
      <c r="D39" s="139"/>
      <c r="E39" s="256"/>
      <c r="F39" s="141"/>
      <c r="G39" s="181"/>
      <c r="H39" s="181"/>
      <c r="I39" s="141"/>
      <c r="J39" s="141"/>
      <c r="K39" s="257"/>
    </row>
    <row r="40" spans="1:11">
      <c r="A40" s="165">
        <v>30</v>
      </c>
      <c r="B40" s="185"/>
      <c r="C40" s="166"/>
      <c r="D40" s="139"/>
      <c r="E40" s="256"/>
      <c r="F40" s="141"/>
      <c r="G40" s="181"/>
      <c r="H40" s="181"/>
      <c r="I40" s="141"/>
      <c r="J40" s="141"/>
      <c r="K40" s="257"/>
    </row>
    <row r="41" spans="1:11">
      <c r="A41" s="165">
        <v>31</v>
      </c>
      <c r="B41" s="185" t="s">
        <v>22</v>
      </c>
      <c r="C41" s="166"/>
      <c r="D41" s="139">
        <v>23332651000</v>
      </c>
      <c r="E41" s="256">
        <v>2172256000</v>
      </c>
      <c r="F41" s="141"/>
      <c r="G41" s="181"/>
      <c r="H41" s="141">
        <v>2172256000</v>
      </c>
      <c r="I41" s="141">
        <v>2171579841.6620002</v>
      </c>
      <c r="J41" s="141">
        <v>-676158.33800012607</v>
      </c>
      <c r="K41" s="257"/>
    </row>
    <row r="42" spans="1:11" ht="13.5" thickBot="1">
      <c r="A42" s="187"/>
      <c r="B42" s="188"/>
      <c r="C42" s="189"/>
      <c r="D42" s="190"/>
      <c r="E42" s="191"/>
      <c r="F42" s="191"/>
      <c r="G42" s="188"/>
      <c r="H42" s="188"/>
      <c r="I42" s="190"/>
      <c r="J42" s="188"/>
      <c r="K42" s="192"/>
    </row>
    <row r="43" spans="1:11">
      <c r="A43" s="166"/>
      <c r="B43" s="150"/>
      <c r="C43" s="166"/>
      <c r="D43" s="139"/>
      <c r="E43" s="139"/>
      <c r="F43" s="139"/>
      <c r="G43" s="150"/>
      <c r="H43" s="150"/>
      <c r="I43" s="139"/>
      <c r="J43" s="141"/>
      <c r="K43" s="150"/>
    </row>
    <row r="44" spans="1:11">
      <c r="A44" s="599"/>
      <c r="B44" s="599"/>
      <c r="C44" s="599"/>
      <c r="D44" s="599"/>
      <c r="E44" s="599"/>
      <c r="F44" s="599"/>
      <c r="G44" s="599"/>
      <c r="H44" s="599"/>
      <c r="I44" s="599"/>
      <c r="J44" s="599"/>
      <c r="K44" s="599"/>
    </row>
  </sheetData>
  <mergeCells count="1">
    <mergeCell ref="A44:K44"/>
  </mergeCells>
  <printOptions horizontalCentered="1"/>
  <pageMargins left="0.7" right="0.7" top="0.75" bottom="0.71" header="0.3" footer="0.3"/>
  <pageSetup scale="83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36"/>
  <sheetViews>
    <sheetView workbookViewId="0">
      <selection sqref="A1:K1"/>
    </sheetView>
  </sheetViews>
  <sheetFormatPr defaultColWidth="8.85546875" defaultRowHeight="12.75"/>
  <cols>
    <col min="1" max="1" width="7.7109375" style="1" bestFit="1" customWidth="1"/>
    <col min="2" max="2" width="33.7109375" style="1" bestFit="1" customWidth="1"/>
    <col min="3" max="3" width="10.140625" style="1" bestFit="1" customWidth="1"/>
    <col min="4" max="4" width="14.7109375" style="1" bestFit="1" customWidth="1"/>
    <col min="5" max="5" width="13.7109375" style="1" bestFit="1" customWidth="1"/>
    <col min="6" max="7" width="10.7109375" style="1" bestFit="1" customWidth="1"/>
    <col min="8" max="8" width="11.85546875" style="1" bestFit="1" customWidth="1"/>
    <col min="9" max="9" width="8.42578125" style="1" bestFit="1" customWidth="1"/>
    <col min="10" max="16384" width="8.85546875" style="1"/>
  </cols>
  <sheetData>
    <row r="1" spans="1:9">
      <c r="A1" s="600" t="s">
        <v>0</v>
      </c>
      <c r="B1" s="600">
        <v>0</v>
      </c>
      <c r="C1" s="600">
        <v>0</v>
      </c>
      <c r="D1" s="600">
        <v>0</v>
      </c>
      <c r="E1" s="600">
        <v>0</v>
      </c>
      <c r="F1" s="600">
        <v>0</v>
      </c>
      <c r="G1" s="600">
        <v>0</v>
      </c>
      <c r="H1" s="600">
        <v>0</v>
      </c>
      <c r="I1" s="600">
        <v>0</v>
      </c>
    </row>
    <row r="2" spans="1:9">
      <c r="A2" s="600" t="s">
        <v>162</v>
      </c>
      <c r="B2" s="600">
        <v>0</v>
      </c>
      <c r="C2" s="600">
        <v>0</v>
      </c>
      <c r="D2" s="600">
        <v>0</v>
      </c>
      <c r="E2" s="600">
        <v>0</v>
      </c>
      <c r="F2" s="600">
        <v>0</v>
      </c>
      <c r="G2" s="600">
        <v>0</v>
      </c>
      <c r="H2" s="600">
        <v>0</v>
      </c>
      <c r="I2" s="600">
        <v>0</v>
      </c>
    </row>
    <row r="3" spans="1:9">
      <c r="A3" s="601" t="s">
        <v>332</v>
      </c>
      <c r="B3" s="600">
        <v>0</v>
      </c>
      <c r="C3" s="600">
        <v>0</v>
      </c>
      <c r="D3" s="600">
        <v>0</v>
      </c>
      <c r="E3" s="600">
        <v>0</v>
      </c>
      <c r="F3" s="600">
        <v>0</v>
      </c>
      <c r="G3" s="600">
        <v>0</v>
      </c>
      <c r="H3" s="600">
        <v>0</v>
      </c>
      <c r="I3" s="600">
        <v>0</v>
      </c>
    </row>
    <row r="4" spans="1:9">
      <c r="A4" s="275"/>
      <c r="B4" s="100"/>
      <c r="C4" s="100"/>
      <c r="D4" s="100"/>
      <c r="E4" s="100"/>
      <c r="F4" s="275"/>
      <c r="G4" s="275"/>
      <c r="H4" s="275"/>
      <c r="I4" s="275"/>
    </row>
    <row r="5" spans="1:9" ht="76.5">
      <c r="A5" s="101" t="s">
        <v>3</v>
      </c>
      <c r="B5" s="101" t="s">
        <v>163</v>
      </c>
      <c r="C5" s="101" t="s">
        <v>142</v>
      </c>
      <c r="D5" s="102" t="s">
        <v>333</v>
      </c>
      <c r="E5" s="102" t="s">
        <v>334</v>
      </c>
      <c r="F5" s="102" t="s">
        <v>335</v>
      </c>
      <c r="G5" s="102" t="s">
        <v>336</v>
      </c>
      <c r="H5" s="102" t="s">
        <v>164</v>
      </c>
      <c r="I5" s="102" t="s">
        <v>165</v>
      </c>
    </row>
    <row r="6" spans="1:9" ht="38.25">
      <c r="A6" s="103"/>
      <c r="B6" s="104" t="s">
        <v>166</v>
      </c>
      <c r="C6" s="105" t="s">
        <v>167</v>
      </c>
      <c r="D6" s="105" t="s">
        <v>168</v>
      </c>
      <c r="E6" s="105" t="s">
        <v>169</v>
      </c>
      <c r="F6" s="106" t="s">
        <v>170</v>
      </c>
      <c r="G6" s="106" t="s">
        <v>171</v>
      </c>
      <c r="H6" s="105" t="s">
        <v>172</v>
      </c>
      <c r="I6" s="105" t="s">
        <v>173</v>
      </c>
    </row>
    <row r="7" spans="1:9">
      <c r="A7" s="107">
        <v>1</v>
      </c>
      <c r="B7" s="108" t="s">
        <v>15</v>
      </c>
      <c r="C7" s="103"/>
      <c r="D7" s="103"/>
      <c r="E7" s="109"/>
      <c r="F7" s="107"/>
      <c r="G7" s="107"/>
      <c r="H7" s="109"/>
      <c r="I7" s="109"/>
    </row>
    <row r="8" spans="1:9">
      <c r="A8" s="107">
        <v>2</v>
      </c>
      <c r="B8" s="110" t="s">
        <v>15</v>
      </c>
      <c r="C8" s="330">
        <v>7</v>
      </c>
      <c r="D8" s="111">
        <v>10637302000</v>
      </c>
      <c r="E8" s="111">
        <v>1137477000</v>
      </c>
      <c r="F8" s="113">
        <v>3.6039999999999996E-3</v>
      </c>
      <c r="G8" s="113">
        <v>3.408E-3</v>
      </c>
      <c r="H8" s="112">
        <v>-2084911.1919999954</v>
      </c>
      <c r="I8" s="114">
        <v>-1.7731643627950508E-3</v>
      </c>
    </row>
    <row r="9" spans="1:9">
      <c r="A9" s="107">
        <v>3</v>
      </c>
      <c r="B9" s="115" t="s">
        <v>174</v>
      </c>
      <c r="C9" s="275"/>
      <c r="D9" s="116">
        <v>10637302000</v>
      </c>
      <c r="E9" s="116">
        <v>1137477000</v>
      </c>
      <c r="F9" s="118">
        <v>3.6039999999999996E-3</v>
      </c>
      <c r="G9" s="118">
        <v>3.408E-3</v>
      </c>
      <c r="H9" s="117">
        <v>-2084911.1919999954</v>
      </c>
      <c r="I9" s="119">
        <v>-1.7731643627950508E-3</v>
      </c>
    </row>
    <row r="10" spans="1:9">
      <c r="A10" s="107">
        <v>4</v>
      </c>
      <c r="B10" s="275"/>
      <c r="C10" s="275"/>
      <c r="D10" s="120"/>
      <c r="E10" s="120"/>
      <c r="F10" s="122"/>
      <c r="G10" s="122"/>
      <c r="H10" s="121"/>
      <c r="I10" s="123"/>
    </row>
    <row r="11" spans="1:9">
      <c r="A11" s="107">
        <v>5</v>
      </c>
      <c r="B11" s="275" t="s">
        <v>175</v>
      </c>
      <c r="C11" s="275"/>
      <c r="D11" s="120"/>
      <c r="E11" s="120"/>
      <c r="F11" s="122"/>
      <c r="G11" s="122"/>
      <c r="H11" s="121"/>
      <c r="I11" s="123"/>
    </row>
    <row r="12" spans="1:9">
      <c r="A12" s="107">
        <v>6</v>
      </c>
      <c r="B12" s="124" t="s">
        <v>176</v>
      </c>
      <c r="C12" s="331" t="s">
        <v>155</v>
      </c>
      <c r="D12" s="120">
        <v>3012037000</v>
      </c>
      <c r="E12" s="120">
        <v>313848000</v>
      </c>
      <c r="F12" s="113">
        <v>2.5469999999999998E-3</v>
      </c>
      <c r="G12" s="113">
        <v>2.5799999999999998E-3</v>
      </c>
      <c r="H12" s="121">
        <v>99397.221000000136</v>
      </c>
      <c r="I12" s="123">
        <v>3.0914819188478272E-4</v>
      </c>
    </row>
    <row r="13" spans="1:9">
      <c r="A13" s="107">
        <v>7</v>
      </c>
      <c r="B13" s="124" t="s">
        <v>177</v>
      </c>
      <c r="C13" s="331" t="s">
        <v>178</v>
      </c>
      <c r="D13" s="120">
        <v>2993580000</v>
      </c>
      <c r="E13" s="120">
        <v>288969000</v>
      </c>
      <c r="F13" s="113">
        <v>2.3180000000000002E-3</v>
      </c>
      <c r="G13" s="113">
        <v>2.421E-3</v>
      </c>
      <c r="H13" s="121">
        <v>308338.73999999941</v>
      </c>
      <c r="I13" s="123">
        <v>1.0420083829586443E-3</v>
      </c>
    </row>
    <row r="14" spans="1:9">
      <c r="A14" s="107">
        <v>8</v>
      </c>
      <c r="B14" s="124" t="s">
        <v>179</v>
      </c>
      <c r="C14" s="331" t="s">
        <v>249</v>
      </c>
      <c r="D14" s="120">
        <v>1913788000</v>
      </c>
      <c r="E14" s="120">
        <v>167599000</v>
      </c>
      <c r="F14" s="113">
        <v>2.2060000000000001E-3</v>
      </c>
      <c r="G14" s="113">
        <v>2.2239999999999998E-3</v>
      </c>
      <c r="H14" s="121">
        <v>34448.183999999594</v>
      </c>
      <c r="I14" s="123">
        <v>2.0048900206735834E-4</v>
      </c>
    </row>
    <row r="15" spans="1:9">
      <c r="A15" s="107">
        <v>9</v>
      </c>
      <c r="B15" s="110" t="s">
        <v>180</v>
      </c>
      <c r="C15" s="330">
        <v>29</v>
      </c>
      <c r="D15" s="120">
        <v>16193000</v>
      </c>
      <c r="E15" s="120">
        <v>1272000</v>
      </c>
      <c r="F15" s="113">
        <v>2.3180000000000002E-3</v>
      </c>
      <c r="G15" s="113">
        <v>2.421E-3</v>
      </c>
      <c r="H15" s="121">
        <v>1667.8789999999967</v>
      </c>
      <c r="I15" s="123">
        <v>1.2736418069451835E-3</v>
      </c>
    </row>
    <row r="16" spans="1:9">
      <c r="A16" s="107">
        <v>10</v>
      </c>
      <c r="B16" s="125" t="s">
        <v>17</v>
      </c>
      <c r="C16" s="275"/>
      <c r="D16" s="116">
        <v>7935598000</v>
      </c>
      <c r="E16" s="116">
        <v>771688000</v>
      </c>
      <c r="F16" s="118">
        <v>2.3779088080066557E-3</v>
      </c>
      <c r="G16" s="118">
        <v>2.4338405757196872E-3</v>
      </c>
      <c r="H16" s="117">
        <v>443852.02399999916</v>
      </c>
      <c r="I16" s="119">
        <v>5.6144135145251453E-4</v>
      </c>
    </row>
    <row r="17" spans="1:9">
      <c r="A17" s="107">
        <v>11</v>
      </c>
      <c r="B17" s="275"/>
      <c r="C17" s="275"/>
      <c r="D17" s="120"/>
      <c r="E17" s="120"/>
      <c r="F17" s="122"/>
      <c r="G17" s="122"/>
      <c r="H17" s="121"/>
      <c r="I17" s="123"/>
    </row>
    <row r="18" spans="1:9">
      <c r="A18" s="107">
        <v>12</v>
      </c>
      <c r="B18" s="275" t="s">
        <v>181</v>
      </c>
      <c r="C18" s="275"/>
      <c r="D18" s="120"/>
      <c r="E18" s="120"/>
      <c r="F18" s="122"/>
      <c r="G18" s="122"/>
      <c r="H18" s="121"/>
      <c r="I18" s="123"/>
    </row>
    <row r="19" spans="1:9">
      <c r="A19" s="107">
        <v>13</v>
      </c>
      <c r="B19" s="124" t="s">
        <v>182</v>
      </c>
      <c r="C19" s="331" t="s">
        <v>158</v>
      </c>
      <c r="D19" s="120">
        <v>1316672000</v>
      </c>
      <c r="E19" s="120">
        <v>113411000</v>
      </c>
      <c r="F19" s="113">
        <v>2.1980000000000003E-3</v>
      </c>
      <c r="G19" s="122">
        <v>2.2130000000000001E-3</v>
      </c>
      <c r="H19" s="121">
        <v>19750.079999999765</v>
      </c>
      <c r="I19" s="123">
        <v>1.6981275395654808E-4</v>
      </c>
    </row>
    <row r="20" spans="1:9">
      <c r="A20" s="107">
        <v>14</v>
      </c>
      <c r="B20" s="110" t="s">
        <v>180</v>
      </c>
      <c r="C20" s="330">
        <v>35</v>
      </c>
      <c r="D20" s="120">
        <v>5161000</v>
      </c>
      <c r="E20" s="120">
        <v>285000</v>
      </c>
      <c r="F20" s="113">
        <v>2.1980000000000003E-3</v>
      </c>
      <c r="G20" s="122">
        <v>2.2130000000000001E-3</v>
      </c>
      <c r="H20" s="121">
        <v>77.414999999999083</v>
      </c>
      <c r="I20" s="123">
        <v>2.6123367394145753E-4</v>
      </c>
    </row>
    <row r="21" spans="1:9">
      <c r="A21" s="107">
        <v>15</v>
      </c>
      <c r="B21" s="110" t="s">
        <v>183</v>
      </c>
      <c r="C21" s="330">
        <v>43</v>
      </c>
      <c r="D21" s="120">
        <v>123190000</v>
      </c>
      <c r="E21" s="120">
        <v>11739000</v>
      </c>
      <c r="F21" s="113">
        <v>3.7650000000000001E-3</v>
      </c>
      <c r="G21" s="122">
        <v>3.2399999999999998E-3</v>
      </c>
      <c r="H21" s="121">
        <v>-64674.750000000036</v>
      </c>
      <c r="I21" s="123">
        <v>-5.2999881293738236E-3</v>
      </c>
    </row>
    <row r="22" spans="1:9">
      <c r="A22" s="107">
        <v>16</v>
      </c>
      <c r="B22" s="115" t="s">
        <v>18</v>
      </c>
      <c r="C22" s="275"/>
      <c r="D22" s="116">
        <v>1445023000</v>
      </c>
      <c r="E22" s="116">
        <v>125435000</v>
      </c>
      <c r="F22" s="118">
        <v>2.3315886902838226E-3</v>
      </c>
      <c r="G22" s="118">
        <v>2.3005530216474064E-3</v>
      </c>
      <c r="H22" s="117">
        <v>-44847.255000000267</v>
      </c>
      <c r="I22" s="119">
        <v>-3.4818162178949373E-4</v>
      </c>
    </row>
    <row r="23" spans="1:9">
      <c r="A23" s="107">
        <v>17</v>
      </c>
      <c r="B23" s="275"/>
      <c r="C23" s="275"/>
      <c r="D23" s="120"/>
      <c r="E23" s="120"/>
      <c r="F23" s="122"/>
      <c r="G23" s="122"/>
      <c r="H23" s="121"/>
      <c r="I23" s="123"/>
    </row>
    <row r="24" spans="1:9">
      <c r="A24" s="107">
        <v>18</v>
      </c>
      <c r="B24" s="275" t="s">
        <v>76</v>
      </c>
      <c r="C24" s="330">
        <v>40</v>
      </c>
      <c r="D24" s="116">
        <v>679072000</v>
      </c>
      <c r="E24" s="116">
        <v>54431000</v>
      </c>
      <c r="F24" s="118">
        <v>2.3499999999999997E-3</v>
      </c>
      <c r="G24" s="118">
        <v>2.0669999999999998E-3</v>
      </c>
      <c r="H24" s="117">
        <v>-192177.37599999987</v>
      </c>
      <c r="I24" s="119">
        <v>-3.4300961351023808E-3</v>
      </c>
    </row>
    <row r="25" spans="1:9">
      <c r="A25" s="107">
        <v>19</v>
      </c>
      <c r="B25" s="275"/>
      <c r="C25" s="275"/>
      <c r="D25" s="120"/>
      <c r="E25" s="120"/>
      <c r="F25" s="122"/>
      <c r="G25" s="122"/>
      <c r="H25" s="121"/>
      <c r="I25" s="123"/>
    </row>
    <row r="26" spans="1:9">
      <c r="A26" s="107">
        <v>20</v>
      </c>
      <c r="B26" s="275" t="s">
        <v>184</v>
      </c>
      <c r="C26" s="275"/>
      <c r="D26" s="120"/>
      <c r="E26" s="120"/>
      <c r="F26" s="122"/>
      <c r="G26" s="122"/>
      <c r="H26" s="121"/>
      <c r="I26" s="123"/>
    </row>
    <row r="27" spans="1:9">
      <c r="A27" s="107">
        <v>21</v>
      </c>
      <c r="B27" s="124" t="s">
        <v>185</v>
      </c>
      <c r="C27" s="330">
        <v>46</v>
      </c>
      <c r="D27" s="120">
        <v>72776000</v>
      </c>
      <c r="E27" s="120">
        <v>5262000</v>
      </c>
      <c r="F27" s="122">
        <v>1.4659999999999999E-3</v>
      </c>
      <c r="G27" s="122">
        <v>1.621E-3</v>
      </c>
      <c r="H27" s="121">
        <v>11280.280000000013</v>
      </c>
      <c r="I27" s="123">
        <v>2.1011235155748314E-3</v>
      </c>
    </row>
    <row r="28" spans="1:9">
      <c r="A28" s="107">
        <v>22</v>
      </c>
      <c r="B28" s="124" t="s">
        <v>182</v>
      </c>
      <c r="C28" s="330">
        <v>49</v>
      </c>
      <c r="D28" s="120">
        <v>584007000</v>
      </c>
      <c r="E28" s="120">
        <v>41754000</v>
      </c>
      <c r="F28" s="122">
        <v>1.4659999999999999E-3</v>
      </c>
      <c r="G28" s="122">
        <v>1.621E-3</v>
      </c>
      <c r="H28" s="121">
        <v>90521.085000000108</v>
      </c>
      <c r="I28" s="123">
        <v>2.1244017199141514E-3</v>
      </c>
    </row>
    <row r="29" spans="1:9">
      <c r="A29" s="107">
        <v>23</v>
      </c>
      <c r="B29" s="125" t="s">
        <v>19</v>
      </c>
      <c r="C29" s="275"/>
      <c r="D29" s="116">
        <v>656783000</v>
      </c>
      <c r="E29" s="116">
        <v>47016000</v>
      </c>
      <c r="F29" s="118">
        <v>1.4659999999999999E-3</v>
      </c>
      <c r="G29" s="118">
        <v>1.621E-3</v>
      </c>
      <c r="H29" s="117">
        <v>101801.36500000012</v>
      </c>
      <c r="I29" s="119">
        <v>2.121796958235579E-3</v>
      </c>
    </row>
    <row r="30" spans="1:9">
      <c r="A30" s="107">
        <v>24</v>
      </c>
      <c r="B30" s="275"/>
      <c r="C30" s="275"/>
      <c r="D30" s="120"/>
      <c r="E30" s="120"/>
      <c r="F30" s="122"/>
      <c r="G30" s="122"/>
      <c r="H30" s="121"/>
      <c r="I30" s="123"/>
    </row>
    <row r="31" spans="1:9">
      <c r="A31" s="107">
        <v>25</v>
      </c>
      <c r="B31" s="275" t="s">
        <v>186</v>
      </c>
      <c r="C31" s="330" t="s">
        <v>20</v>
      </c>
      <c r="D31" s="116">
        <v>76506000</v>
      </c>
      <c r="E31" s="116">
        <v>19237000</v>
      </c>
      <c r="F31" s="118">
        <v>1.0231000000000001E-2</v>
      </c>
      <c r="G31" s="118">
        <v>9.1180000000000011E-3</v>
      </c>
      <c r="H31" s="117">
        <v>-85151.177999999956</v>
      </c>
      <c r="I31" s="119">
        <v>-4.2533623442871727E-3</v>
      </c>
    </row>
    <row r="32" spans="1:9">
      <c r="A32" s="107">
        <v>26</v>
      </c>
      <c r="B32" s="275"/>
      <c r="C32" s="275"/>
      <c r="D32" s="120"/>
      <c r="E32" s="120"/>
      <c r="F32" s="122"/>
      <c r="G32" s="122"/>
      <c r="H32" s="121"/>
      <c r="I32" s="123"/>
    </row>
    <row r="33" spans="1:9">
      <c r="A33" s="107">
        <v>27</v>
      </c>
      <c r="B33" s="115" t="s">
        <v>187</v>
      </c>
      <c r="C33" s="330" t="s">
        <v>21</v>
      </c>
      <c r="D33" s="116">
        <v>2088697000</v>
      </c>
      <c r="E33" s="116">
        <v>10776000</v>
      </c>
      <c r="F33" s="118">
        <v>2.99E-4</v>
      </c>
      <c r="G33" s="118">
        <v>2.9E-5</v>
      </c>
      <c r="H33" s="117">
        <v>-563948.19000000006</v>
      </c>
      <c r="I33" s="119">
        <v>-4.9466881340925396E-2</v>
      </c>
    </row>
    <row r="34" spans="1:9">
      <c r="A34" s="107">
        <v>28</v>
      </c>
      <c r="B34" s="275"/>
      <c r="C34" s="275"/>
      <c r="D34" s="120"/>
      <c r="E34" s="120"/>
      <c r="F34" s="122"/>
      <c r="G34" s="122"/>
      <c r="H34" s="121"/>
      <c r="I34" s="123"/>
    </row>
    <row r="35" spans="1:9" ht="13.5" thickBot="1">
      <c r="A35" s="107">
        <v>29</v>
      </c>
      <c r="B35" s="125" t="s">
        <v>188</v>
      </c>
      <c r="C35" s="275"/>
      <c r="D35" s="126">
        <v>23518981000</v>
      </c>
      <c r="E35" s="126">
        <v>2166060000</v>
      </c>
      <c r="F35" s="128">
        <v>2.7442549675090085E-3</v>
      </c>
      <c r="G35" s="128">
        <v>2.6411305250852489E-3</v>
      </c>
      <c r="H35" s="127">
        <v>-2425381.8019999964</v>
      </c>
      <c r="I35" s="129">
        <v>-1.0873215905553065E-3</v>
      </c>
    </row>
    <row r="36" spans="1:9" ht="13.5" thickTop="1"/>
  </sheetData>
  <mergeCells count="3">
    <mergeCell ref="A1:I1"/>
    <mergeCell ref="A2:I2"/>
    <mergeCell ref="A3:I3"/>
  </mergeCells>
  <printOptions horizontalCentered="1"/>
  <pageMargins left="0.7" right="0.7" top="0.75" bottom="0.71" header="0.3" footer="0.3"/>
  <pageSetup scale="97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43"/>
  <sheetViews>
    <sheetView topLeftCell="A13" workbookViewId="0">
      <selection sqref="A1:L1"/>
    </sheetView>
  </sheetViews>
  <sheetFormatPr defaultColWidth="8.85546875" defaultRowHeight="12.75"/>
  <cols>
    <col min="1" max="2" width="7.7109375" style="1" bestFit="1" customWidth="1"/>
    <col min="3" max="3" width="21" style="1" bestFit="1" customWidth="1"/>
    <col min="4" max="4" width="15.140625" style="1" bestFit="1" customWidth="1"/>
    <col min="5" max="5" width="10.42578125" style="1" bestFit="1" customWidth="1"/>
    <col min="6" max="6" width="15.140625" style="1" bestFit="1" customWidth="1"/>
    <col min="7" max="7" width="2" style="1" bestFit="1" customWidth="1"/>
    <col min="8" max="8" width="10.85546875" style="1" bestFit="1" customWidth="1"/>
    <col min="9" max="9" width="11.5703125" style="1" bestFit="1" customWidth="1"/>
    <col min="10" max="10" width="2" style="1" bestFit="1" customWidth="1"/>
    <col min="11" max="11" width="12.42578125" style="1" bestFit="1" customWidth="1"/>
    <col min="12" max="12" width="13.28515625" style="1" bestFit="1" customWidth="1"/>
    <col min="13" max="16384" width="8.85546875" style="1"/>
  </cols>
  <sheetData>
    <row r="1" spans="1:12">
      <c r="A1" s="585" t="s">
        <v>0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</row>
    <row r="2" spans="1:12">
      <c r="A2" s="586" t="s">
        <v>319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</row>
    <row r="3" spans="1:12">
      <c r="A3" s="585" t="s">
        <v>320</v>
      </c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</row>
    <row r="4" spans="1:12">
      <c r="A4" s="585" t="s">
        <v>321</v>
      </c>
      <c r="B4" s="585"/>
      <c r="C4" s="585"/>
      <c r="D4" s="585"/>
      <c r="E4" s="585"/>
      <c r="F4" s="585"/>
      <c r="G4" s="585"/>
      <c r="H4" s="585"/>
      <c r="I4" s="585"/>
      <c r="J4" s="585"/>
      <c r="K4" s="585"/>
      <c r="L4" s="585"/>
    </row>
    <row r="5" spans="1:12">
      <c r="A5" s="585"/>
      <c r="B5" s="585"/>
      <c r="C5" s="585"/>
      <c r="D5" s="585"/>
      <c r="E5" s="585"/>
      <c r="F5" s="585"/>
      <c r="G5" s="585"/>
      <c r="H5" s="585"/>
      <c r="I5" s="585"/>
      <c r="J5" s="585"/>
      <c r="K5" s="585"/>
      <c r="L5" s="585"/>
    </row>
    <row r="6" spans="1:12">
      <c r="A6" s="334"/>
      <c r="B6" s="335"/>
      <c r="C6" s="335"/>
      <c r="D6" s="585" t="s">
        <v>322</v>
      </c>
      <c r="E6" s="585"/>
      <c r="F6" s="585"/>
      <c r="G6" s="336"/>
      <c r="H6" s="336"/>
      <c r="I6" s="336"/>
      <c r="J6" s="336"/>
      <c r="K6" s="336"/>
      <c r="L6" s="336"/>
    </row>
    <row r="7" spans="1:12" ht="51">
      <c r="A7" s="337" t="s">
        <v>3</v>
      </c>
      <c r="B7" s="337" t="s">
        <v>4</v>
      </c>
      <c r="C7" s="337" t="s">
        <v>42</v>
      </c>
      <c r="D7" s="338" t="s">
        <v>323</v>
      </c>
      <c r="E7" s="339" t="s">
        <v>324</v>
      </c>
      <c r="F7" s="340" t="s">
        <v>5</v>
      </c>
      <c r="G7" s="341"/>
      <c r="H7" s="338" t="s">
        <v>327</v>
      </c>
      <c r="I7" s="338" t="s">
        <v>307</v>
      </c>
      <c r="J7" s="341"/>
      <c r="K7" s="339" t="s">
        <v>328</v>
      </c>
      <c r="L7" s="339" t="s">
        <v>329</v>
      </c>
    </row>
    <row r="8" spans="1:12" ht="38.25">
      <c r="A8" s="337"/>
      <c r="B8" s="337"/>
      <c r="C8" s="337"/>
      <c r="D8" s="342" t="s">
        <v>166</v>
      </c>
      <c r="E8" s="343" t="s">
        <v>167</v>
      </c>
      <c r="F8" s="342" t="s">
        <v>168</v>
      </c>
      <c r="G8" s="342"/>
      <c r="H8" s="342" t="s">
        <v>169</v>
      </c>
      <c r="I8" s="341" t="s">
        <v>170</v>
      </c>
      <c r="J8" s="342"/>
      <c r="K8" s="342" t="s">
        <v>330</v>
      </c>
      <c r="L8" s="342" t="s">
        <v>331</v>
      </c>
    </row>
    <row r="9" spans="1:12">
      <c r="A9" s="335">
        <v>1</v>
      </c>
      <c r="B9" s="335">
        <v>7</v>
      </c>
      <c r="C9" s="336"/>
      <c r="D9" s="344">
        <v>10637302000</v>
      </c>
      <c r="E9" s="345"/>
      <c r="F9" s="346">
        <v>1159444000</v>
      </c>
      <c r="G9" s="341"/>
      <c r="H9" s="347">
        <v>1.201E-3</v>
      </c>
      <c r="I9" s="348">
        <v>-1.1280000000000001E-3</v>
      </c>
      <c r="J9" s="341"/>
      <c r="K9" s="349">
        <v>12775000</v>
      </c>
      <c r="L9" s="349">
        <v>-11999000</v>
      </c>
    </row>
    <row r="10" spans="1:12">
      <c r="A10" s="335">
        <v>2</v>
      </c>
      <c r="B10" s="334" t="s">
        <v>252</v>
      </c>
      <c r="C10" s="336"/>
      <c r="D10" s="344">
        <v>2067000</v>
      </c>
      <c r="E10" s="345"/>
      <c r="F10" s="346">
        <v>176000</v>
      </c>
      <c r="G10" s="341"/>
      <c r="H10" s="347">
        <v>1.335E-3</v>
      </c>
      <c r="I10" s="348">
        <v>1.524E-3</v>
      </c>
      <c r="J10" s="341"/>
      <c r="K10" s="349">
        <v>3000</v>
      </c>
      <c r="L10" s="349">
        <v>3000</v>
      </c>
    </row>
    <row r="11" spans="1:12">
      <c r="A11" s="335">
        <v>3</v>
      </c>
      <c r="B11" s="335"/>
      <c r="C11" s="336" t="s">
        <v>15</v>
      </c>
      <c r="D11" s="350">
        <v>10639369000</v>
      </c>
      <c r="E11" s="345"/>
      <c r="F11" s="351">
        <v>1159620000</v>
      </c>
      <c r="G11" s="341"/>
      <c r="H11" s="352"/>
      <c r="I11" s="352"/>
      <c r="J11" s="341"/>
      <c r="K11" s="351">
        <v>12778000</v>
      </c>
      <c r="L11" s="351">
        <v>-11996000</v>
      </c>
    </row>
    <row r="12" spans="1:12">
      <c r="A12" s="335">
        <v>4</v>
      </c>
      <c r="B12" s="335"/>
      <c r="C12" s="336"/>
      <c r="D12" s="345"/>
      <c r="E12" s="345"/>
      <c r="F12" s="349"/>
      <c r="G12" s="353"/>
      <c r="H12" s="352"/>
      <c r="I12" s="352"/>
      <c r="J12" s="353"/>
      <c r="K12" s="349"/>
      <c r="L12" s="349"/>
    </row>
    <row r="13" spans="1:12">
      <c r="A13" s="335">
        <v>5</v>
      </c>
      <c r="B13" s="334" t="s">
        <v>325</v>
      </c>
      <c r="C13" s="336"/>
      <c r="D13" s="344">
        <v>253017000</v>
      </c>
      <c r="E13" s="345"/>
      <c r="F13" s="346">
        <v>25376000</v>
      </c>
      <c r="G13" s="353"/>
      <c r="H13" s="347">
        <v>1.335E-3</v>
      </c>
      <c r="I13" s="348">
        <v>1.369E-3</v>
      </c>
      <c r="J13" s="353"/>
      <c r="K13" s="349">
        <v>338000</v>
      </c>
      <c r="L13" s="349">
        <v>346000</v>
      </c>
    </row>
    <row r="14" spans="1:12">
      <c r="A14" s="335">
        <v>6</v>
      </c>
      <c r="B14" s="335">
        <v>24</v>
      </c>
      <c r="C14" s="336"/>
      <c r="D14" s="344">
        <v>2759020000</v>
      </c>
      <c r="E14" s="345"/>
      <c r="F14" s="346">
        <v>276708000</v>
      </c>
      <c r="G14" s="353"/>
      <c r="H14" s="347">
        <v>1.335E-3</v>
      </c>
      <c r="I14" s="348">
        <v>1.369E-3</v>
      </c>
      <c r="J14" s="353"/>
      <c r="K14" s="349">
        <v>3683000</v>
      </c>
      <c r="L14" s="349">
        <v>3777000</v>
      </c>
    </row>
    <row r="15" spans="1:12">
      <c r="A15" s="335">
        <v>7</v>
      </c>
      <c r="B15" s="334">
        <v>11</v>
      </c>
      <c r="C15" s="336"/>
      <c r="D15" s="344">
        <v>151312000</v>
      </c>
      <c r="E15" s="345"/>
      <c r="F15" s="346">
        <v>14014000</v>
      </c>
      <c r="G15" s="353"/>
      <c r="H15" s="347">
        <v>1.335E-3</v>
      </c>
      <c r="I15" s="348">
        <v>1.524E-3</v>
      </c>
      <c r="J15" s="353"/>
      <c r="K15" s="349">
        <v>202000</v>
      </c>
      <c r="L15" s="349">
        <v>231000</v>
      </c>
    </row>
    <row r="16" spans="1:12">
      <c r="A16" s="335">
        <v>8</v>
      </c>
      <c r="B16" s="334">
        <v>25</v>
      </c>
      <c r="C16" s="336"/>
      <c r="D16" s="344">
        <v>2840201000</v>
      </c>
      <c r="E16" s="345"/>
      <c r="F16" s="346">
        <v>263057000</v>
      </c>
      <c r="G16" s="353"/>
      <c r="H16" s="347">
        <v>1.335E-3</v>
      </c>
      <c r="I16" s="348">
        <v>1.524E-3</v>
      </c>
      <c r="J16" s="353"/>
      <c r="K16" s="349">
        <v>3792000</v>
      </c>
      <c r="L16" s="349">
        <v>4328000</v>
      </c>
    </row>
    <row r="17" spans="1:12">
      <c r="A17" s="335">
        <v>9</v>
      </c>
      <c r="B17" s="335">
        <v>12</v>
      </c>
      <c r="C17" s="336"/>
      <c r="D17" s="344">
        <v>20054000</v>
      </c>
      <c r="E17" s="345"/>
      <c r="F17" s="346"/>
      <c r="G17" s="353"/>
      <c r="H17" s="347"/>
      <c r="I17" s="348">
        <v>3.0400000000000002E-4</v>
      </c>
      <c r="J17" s="353"/>
      <c r="K17" s="349">
        <v>0</v>
      </c>
      <c r="L17" s="349">
        <v>6000</v>
      </c>
    </row>
    <row r="18" spans="1:12">
      <c r="A18" s="335">
        <v>10</v>
      </c>
      <c r="B18" s="334" t="s">
        <v>326</v>
      </c>
      <c r="C18" s="336"/>
      <c r="D18" s="344">
        <v>1893734000</v>
      </c>
      <c r="E18" s="345"/>
      <c r="F18" s="346"/>
      <c r="G18" s="353"/>
      <c r="H18" s="347"/>
      <c r="I18" s="348">
        <v>3.0400000000000002E-4</v>
      </c>
      <c r="J18" s="353"/>
      <c r="K18" s="349">
        <v>0</v>
      </c>
      <c r="L18" s="349">
        <v>576000</v>
      </c>
    </row>
    <row r="19" spans="1:12">
      <c r="A19" s="335">
        <v>11</v>
      </c>
      <c r="B19" s="335">
        <v>12</v>
      </c>
      <c r="C19" s="336"/>
      <c r="D19" s="344"/>
      <c r="E19" s="345">
        <v>47459</v>
      </c>
      <c r="F19" s="346">
        <v>1701000</v>
      </c>
      <c r="G19" s="353"/>
      <c r="H19" s="354">
        <v>-0.17</v>
      </c>
      <c r="I19" s="355">
        <v>-0.09</v>
      </c>
      <c r="J19" s="353"/>
      <c r="K19" s="349">
        <v>-8000</v>
      </c>
      <c r="L19" s="349">
        <v>-4000</v>
      </c>
    </row>
    <row r="20" spans="1:12">
      <c r="A20" s="335">
        <v>12</v>
      </c>
      <c r="B20" s="334" t="s">
        <v>326</v>
      </c>
      <c r="C20" s="336"/>
      <c r="D20" s="344"/>
      <c r="E20" s="345">
        <v>4359242</v>
      </c>
      <c r="F20" s="346">
        <v>160642000</v>
      </c>
      <c r="G20" s="353"/>
      <c r="H20" s="354">
        <v>-0.17</v>
      </c>
      <c r="I20" s="355">
        <v>-0.09</v>
      </c>
      <c r="J20" s="353"/>
      <c r="K20" s="349">
        <v>-741000</v>
      </c>
      <c r="L20" s="349">
        <v>-392000</v>
      </c>
    </row>
    <row r="21" spans="1:12">
      <c r="A21" s="335">
        <v>13</v>
      </c>
      <c r="B21" s="335">
        <v>29</v>
      </c>
      <c r="C21" s="336"/>
      <c r="D21" s="344">
        <v>16193000</v>
      </c>
      <c r="E21" s="345"/>
      <c r="F21" s="346">
        <v>1323000</v>
      </c>
      <c r="G21" s="353"/>
      <c r="H21" s="347">
        <v>1.335E-3</v>
      </c>
      <c r="I21" s="348">
        <v>1.524E-3</v>
      </c>
      <c r="J21" s="353"/>
      <c r="K21" s="349">
        <v>22000</v>
      </c>
      <c r="L21" s="349">
        <v>25000</v>
      </c>
    </row>
    <row r="22" spans="1:12">
      <c r="A22" s="335">
        <v>14</v>
      </c>
      <c r="B22" s="335"/>
      <c r="C22" s="356" t="s">
        <v>17</v>
      </c>
      <c r="D22" s="350">
        <v>7933531000</v>
      </c>
      <c r="E22" s="350">
        <v>4406701</v>
      </c>
      <c r="F22" s="351">
        <v>742821000</v>
      </c>
      <c r="G22" s="353"/>
      <c r="H22" s="352"/>
      <c r="I22" s="352"/>
      <c r="J22" s="353"/>
      <c r="K22" s="351">
        <v>7288000</v>
      </c>
      <c r="L22" s="351">
        <v>8893000</v>
      </c>
    </row>
    <row r="23" spans="1:12">
      <c r="A23" s="335">
        <v>15</v>
      </c>
      <c r="B23" s="335"/>
      <c r="C23" s="336"/>
      <c r="D23" s="345"/>
      <c r="E23" s="345"/>
      <c r="F23" s="349"/>
      <c r="G23" s="353"/>
      <c r="H23" s="352"/>
      <c r="I23" s="352"/>
      <c r="J23" s="353"/>
      <c r="K23" s="349"/>
      <c r="L23" s="349"/>
    </row>
    <row r="24" spans="1:12">
      <c r="A24" s="335">
        <v>16</v>
      </c>
      <c r="B24" s="335">
        <v>10</v>
      </c>
      <c r="C24" s="336"/>
      <c r="D24" s="344">
        <v>30336000</v>
      </c>
      <c r="E24" s="345"/>
      <c r="F24" s="349"/>
      <c r="G24" s="353"/>
      <c r="H24" s="347"/>
      <c r="I24" s="348">
        <v>1.5300000000000001E-4</v>
      </c>
      <c r="J24" s="353"/>
      <c r="K24" s="349">
        <v>0</v>
      </c>
      <c r="L24" s="349">
        <v>5000</v>
      </c>
    </row>
    <row r="25" spans="1:12">
      <c r="A25" s="335">
        <v>17</v>
      </c>
      <c r="B25" s="335">
        <v>31</v>
      </c>
      <c r="C25" s="336"/>
      <c r="D25" s="344">
        <v>1286336000</v>
      </c>
      <c r="E25" s="345"/>
      <c r="F25" s="349"/>
      <c r="G25" s="353"/>
      <c r="H25" s="347"/>
      <c r="I25" s="348">
        <v>1.5300000000000001E-4</v>
      </c>
      <c r="J25" s="353"/>
      <c r="K25" s="349">
        <v>0</v>
      </c>
      <c r="L25" s="349">
        <v>197000</v>
      </c>
    </row>
    <row r="26" spans="1:12">
      <c r="A26" s="335">
        <v>18</v>
      </c>
      <c r="B26" s="335">
        <v>10</v>
      </c>
      <c r="C26" s="336"/>
      <c r="D26" s="357"/>
      <c r="E26" s="345">
        <v>65163</v>
      </c>
      <c r="F26" s="346">
        <v>2531000</v>
      </c>
      <c r="G26" s="353"/>
      <c r="H26" s="354">
        <v>-0.04</v>
      </c>
      <c r="I26" s="355">
        <v>-0.11</v>
      </c>
      <c r="J26" s="353"/>
      <c r="K26" s="349">
        <v>-3000</v>
      </c>
      <c r="L26" s="349">
        <v>-7000</v>
      </c>
    </row>
    <row r="27" spans="1:12">
      <c r="A27" s="335">
        <v>19</v>
      </c>
      <c r="B27" s="335">
        <v>31</v>
      </c>
      <c r="C27" s="336"/>
      <c r="D27" s="357"/>
      <c r="E27" s="345">
        <v>3173045</v>
      </c>
      <c r="F27" s="346">
        <v>107316000</v>
      </c>
      <c r="G27" s="353"/>
      <c r="H27" s="354">
        <v>-0.04</v>
      </c>
      <c r="I27" s="355">
        <v>-0.11</v>
      </c>
      <c r="J27" s="353"/>
      <c r="K27" s="349">
        <v>-127000</v>
      </c>
      <c r="L27" s="349">
        <v>-349000</v>
      </c>
    </row>
    <row r="28" spans="1:12">
      <c r="A28" s="335">
        <v>20</v>
      </c>
      <c r="B28" s="335">
        <v>35</v>
      </c>
      <c r="C28" s="336"/>
      <c r="D28" s="344">
        <v>5161000</v>
      </c>
      <c r="E28" s="345"/>
      <c r="F28" s="346">
        <v>306000</v>
      </c>
      <c r="G28" s="353"/>
      <c r="H28" s="347">
        <v>1.335E-3</v>
      </c>
      <c r="I28" s="348">
        <v>1.524E-3</v>
      </c>
      <c r="J28" s="353"/>
      <c r="K28" s="349">
        <v>7000</v>
      </c>
      <c r="L28" s="349">
        <v>8000</v>
      </c>
    </row>
    <row r="29" spans="1:12">
      <c r="A29" s="335">
        <v>21</v>
      </c>
      <c r="B29" s="335">
        <v>43</v>
      </c>
      <c r="C29" s="336"/>
      <c r="D29" s="344">
        <v>123190000</v>
      </c>
      <c r="E29" s="345"/>
      <c r="F29" s="346">
        <v>11211000</v>
      </c>
      <c r="G29" s="353"/>
      <c r="H29" s="347">
        <v>1.335E-3</v>
      </c>
      <c r="I29" s="348">
        <v>1.524E-3</v>
      </c>
      <c r="J29" s="353"/>
      <c r="K29" s="349">
        <v>164000</v>
      </c>
      <c r="L29" s="349">
        <v>188000</v>
      </c>
    </row>
    <row r="30" spans="1:12">
      <c r="A30" s="335">
        <v>22</v>
      </c>
      <c r="B30" s="335"/>
      <c r="C30" s="336" t="s">
        <v>18</v>
      </c>
      <c r="D30" s="350">
        <v>1445023000</v>
      </c>
      <c r="E30" s="350">
        <v>3238208</v>
      </c>
      <c r="F30" s="351">
        <v>121364000</v>
      </c>
      <c r="G30" s="353"/>
      <c r="H30" s="352"/>
      <c r="I30" s="352"/>
      <c r="J30" s="353"/>
      <c r="K30" s="351">
        <v>41000</v>
      </c>
      <c r="L30" s="351">
        <v>42000</v>
      </c>
    </row>
    <row r="31" spans="1:12">
      <c r="A31" s="335">
        <v>23</v>
      </c>
      <c r="B31" s="335"/>
      <c r="C31" s="336"/>
      <c r="D31" s="345"/>
      <c r="E31" s="345"/>
      <c r="F31" s="349"/>
      <c r="G31" s="353"/>
      <c r="H31" s="352"/>
      <c r="I31" s="352"/>
      <c r="J31" s="353"/>
      <c r="K31" s="349"/>
      <c r="L31" s="349"/>
    </row>
    <row r="32" spans="1:12">
      <c r="A32" s="335">
        <v>24</v>
      </c>
      <c r="B32" s="335">
        <v>40</v>
      </c>
      <c r="C32" s="336"/>
      <c r="D32" s="358">
        <v>679072000</v>
      </c>
      <c r="E32" s="345"/>
      <c r="F32" s="346">
        <v>51132000</v>
      </c>
      <c r="G32" s="353"/>
      <c r="H32" s="347">
        <v>1.335E-3</v>
      </c>
      <c r="I32" s="348">
        <v>1.9119999999999999E-3</v>
      </c>
      <c r="J32" s="353"/>
      <c r="K32" s="349">
        <v>907000</v>
      </c>
      <c r="L32" s="349">
        <v>1298000</v>
      </c>
    </row>
    <row r="33" spans="1:12">
      <c r="A33" s="335">
        <v>25</v>
      </c>
      <c r="B33" s="335">
        <v>0</v>
      </c>
      <c r="C33" s="336"/>
      <c r="D33" s="345"/>
      <c r="E33" s="345"/>
      <c r="F33" s="346"/>
      <c r="G33" s="353"/>
      <c r="H33" s="352"/>
      <c r="I33" s="352"/>
      <c r="J33" s="353"/>
      <c r="K33" s="349"/>
      <c r="L33" s="349"/>
    </row>
    <row r="34" spans="1:12">
      <c r="A34" s="335">
        <v>26</v>
      </c>
      <c r="B34" s="335">
        <v>46</v>
      </c>
      <c r="C34" s="336"/>
      <c r="D34" s="344">
        <v>72776000</v>
      </c>
      <c r="E34" s="345"/>
      <c r="F34" s="346">
        <v>4993000</v>
      </c>
      <c r="G34" s="353"/>
      <c r="H34" s="347">
        <v>1.335E-3</v>
      </c>
      <c r="I34" s="348">
        <v>1.418E-3</v>
      </c>
      <c r="J34" s="353"/>
      <c r="K34" s="349">
        <v>97000</v>
      </c>
      <c r="L34" s="349">
        <v>103000</v>
      </c>
    </row>
    <row r="35" spans="1:12">
      <c r="A35" s="335">
        <v>27</v>
      </c>
      <c r="B35" s="335">
        <v>49</v>
      </c>
      <c r="C35" s="336"/>
      <c r="D35" s="344">
        <v>584007000</v>
      </c>
      <c r="E35" s="345"/>
      <c r="F35" s="346">
        <v>39323000</v>
      </c>
      <c r="G35" s="353"/>
      <c r="H35" s="347">
        <v>1.335E-3</v>
      </c>
      <c r="I35" s="348">
        <v>1.418E-3</v>
      </c>
      <c r="J35" s="353"/>
      <c r="K35" s="349">
        <v>780000</v>
      </c>
      <c r="L35" s="349">
        <v>828000</v>
      </c>
    </row>
    <row r="36" spans="1:12">
      <c r="A36" s="335">
        <v>28</v>
      </c>
      <c r="B36" s="335"/>
      <c r="C36" s="336" t="s">
        <v>19</v>
      </c>
      <c r="D36" s="350">
        <v>656783000</v>
      </c>
      <c r="E36" s="345"/>
      <c r="F36" s="351">
        <v>44316000</v>
      </c>
      <c r="G36" s="353"/>
      <c r="H36" s="352"/>
      <c r="I36" s="352"/>
      <c r="J36" s="353"/>
      <c r="K36" s="351">
        <v>877000</v>
      </c>
      <c r="L36" s="351">
        <v>931000</v>
      </c>
    </row>
    <row r="37" spans="1:12">
      <c r="A37" s="335">
        <v>29</v>
      </c>
      <c r="B37" s="335"/>
      <c r="C37" s="336"/>
      <c r="D37" s="345"/>
      <c r="E37" s="345"/>
      <c r="F37" s="349"/>
      <c r="G37" s="353"/>
      <c r="H37" s="359"/>
      <c r="I37" s="359"/>
      <c r="J37" s="353"/>
      <c r="K37" s="349"/>
      <c r="L37" s="349"/>
    </row>
    <row r="38" spans="1:12">
      <c r="A38" s="335">
        <v>30</v>
      </c>
      <c r="B38" s="335" t="s">
        <v>20</v>
      </c>
      <c r="C38" s="336"/>
      <c r="D38" s="358">
        <v>76506000</v>
      </c>
      <c r="E38" s="345"/>
      <c r="F38" s="346">
        <v>18910000</v>
      </c>
      <c r="G38" s="353"/>
      <c r="H38" s="359"/>
      <c r="I38" s="359"/>
      <c r="J38" s="353"/>
      <c r="K38" s="349"/>
      <c r="L38" s="349"/>
    </row>
    <row r="39" spans="1:12">
      <c r="A39" s="335">
        <v>31</v>
      </c>
      <c r="B39" s="335"/>
      <c r="C39" s="336"/>
      <c r="D39" s="345"/>
      <c r="E39" s="345"/>
      <c r="F39" s="346"/>
      <c r="G39" s="353"/>
      <c r="H39" s="359"/>
      <c r="I39" s="359"/>
      <c r="J39" s="353"/>
      <c r="K39" s="349"/>
      <c r="L39" s="349"/>
    </row>
    <row r="40" spans="1:12">
      <c r="A40" s="335">
        <v>32</v>
      </c>
      <c r="B40" s="335" t="s">
        <v>21</v>
      </c>
      <c r="C40" s="336"/>
      <c r="D40" s="358">
        <v>2088697000</v>
      </c>
      <c r="E40" s="345"/>
      <c r="F40" s="346">
        <v>8505000</v>
      </c>
      <c r="G40" s="353"/>
      <c r="H40" s="359"/>
      <c r="I40" s="359"/>
      <c r="J40" s="353"/>
      <c r="K40" s="349"/>
      <c r="L40" s="349"/>
    </row>
    <row r="41" spans="1:12">
      <c r="A41" s="335">
        <v>33</v>
      </c>
      <c r="B41" s="335"/>
      <c r="C41" s="336"/>
      <c r="D41" s="345"/>
      <c r="E41" s="345"/>
      <c r="F41" s="349"/>
      <c r="G41" s="353"/>
      <c r="H41" s="359"/>
      <c r="I41" s="359"/>
      <c r="J41" s="353"/>
      <c r="K41" s="349"/>
      <c r="L41" s="349"/>
    </row>
    <row r="42" spans="1:12" ht="13.5" thickBot="1">
      <c r="A42" s="335">
        <v>34</v>
      </c>
      <c r="B42" s="335"/>
      <c r="C42" s="356" t="s">
        <v>92</v>
      </c>
      <c r="D42" s="360">
        <v>23518981000</v>
      </c>
      <c r="E42" s="360">
        <v>7644909</v>
      </c>
      <c r="F42" s="361">
        <v>2146668000</v>
      </c>
      <c r="G42" s="353"/>
      <c r="H42" s="359"/>
      <c r="I42" s="359"/>
      <c r="J42" s="353"/>
      <c r="K42" s="361">
        <v>21891000</v>
      </c>
      <c r="L42" s="361">
        <v>-832000</v>
      </c>
    </row>
    <row r="43" spans="1:12" ht="13.5" thickTop="1"/>
  </sheetData>
  <mergeCells count="6">
    <mergeCell ref="D6:F6"/>
    <mergeCell ref="A1:L1"/>
    <mergeCell ref="A2:L2"/>
    <mergeCell ref="A3:L3"/>
    <mergeCell ref="A4:L4"/>
    <mergeCell ref="A5:L5"/>
  </mergeCells>
  <printOptions horizontalCentered="1"/>
  <pageMargins left="0.7" right="0.7" top="0.75" bottom="0.71" header="0.3" footer="0.3"/>
  <pageSetup scale="86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28"/>
  <sheetViews>
    <sheetView workbookViewId="0">
      <selection sqref="A1:K1"/>
    </sheetView>
  </sheetViews>
  <sheetFormatPr defaultColWidth="8.85546875" defaultRowHeight="12.75"/>
  <cols>
    <col min="1" max="1" width="7.7109375" style="1" bestFit="1" customWidth="1"/>
    <col min="2" max="2" width="8.42578125" style="1" bestFit="1" customWidth="1"/>
    <col min="3" max="3" width="75.140625" style="1" bestFit="1" customWidth="1"/>
    <col min="4" max="4" width="12.42578125" style="1" bestFit="1" customWidth="1"/>
    <col min="5" max="16384" width="8.85546875" style="1"/>
  </cols>
  <sheetData>
    <row r="1" spans="1:4">
      <c r="A1" s="602" t="s">
        <v>0</v>
      </c>
      <c r="B1" s="602"/>
      <c r="C1" s="602"/>
      <c r="D1" s="602"/>
    </row>
    <row r="2" spans="1:4">
      <c r="A2" s="602" t="s">
        <v>190</v>
      </c>
      <c r="B2" s="602"/>
      <c r="C2" s="602"/>
      <c r="D2" s="602"/>
    </row>
    <row r="3" spans="1:4">
      <c r="A3" s="602" t="s">
        <v>191</v>
      </c>
      <c r="B3" s="602"/>
      <c r="C3" s="602"/>
      <c r="D3" s="602"/>
    </row>
    <row r="4" spans="1:4">
      <c r="A4" s="603" t="s">
        <v>290</v>
      </c>
      <c r="B4" s="602"/>
      <c r="C4" s="602"/>
      <c r="D4" s="602"/>
    </row>
    <row r="5" spans="1:4">
      <c r="A5" s="603" t="s">
        <v>291</v>
      </c>
      <c r="B5" s="602"/>
      <c r="C5" s="602"/>
      <c r="D5" s="602"/>
    </row>
    <row r="6" spans="1:4">
      <c r="A6" s="131"/>
      <c r="B6" s="131"/>
      <c r="C6" s="132"/>
      <c r="D6" s="132"/>
    </row>
    <row r="7" spans="1:4">
      <c r="A7" s="133" t="s">
        <v>3</v>
      </c>
      <c r="B7" s="133"/>
      <c r="C7" s="133" t="s">
        <v>42</v>
      </c>
      <c r="D7" s="134" t="s">
        <v>192</v>
      </c>
    </row>
    <row r="8" spans="1:4">
      <c r="A8" s="135">
        <v>1</v>
      </c>
      <c r="B8" s="131"/>
      <c r="C8" s="136" t="s">
        <v>283</v>
      </c>
      <c r="D8" s="137">
        <v>10907855</v>
      </c>
    </row>
    <row r="9" spans="1:4">
      <c r="A9" s="135">
        <v>2</v>
      </c>
      <c r="B9" s="138"/>
      <c r="C9" s="131"/>
      <c r="D9" s="139"/>
    </row>
    <row r="10" spans="1:4">
      <c r="A10" s="135">
        <v>3</v>
      </c>
      <c r="B10" s="136"/>
      <c r="C10" s="136" t="s">
        <v>284</v>
      </c>
      <c r="D10" s="140">
        <v>75268651.353983968</v>
      </c>
    </row>
    <row r="11" spans="1:4">
      <c r="A11" s="135">
        <v>4</v>
      </c>
      <c r="B11" s="138"/>
      <c r="C11" s="131"/>
      <c r="D11" s="141"/>
    </row>
    <row r="12" spans="1:4">
      <c r="A12" s="135">
        <v>5</v>
      </c>
      <c r="B12" s="138"/>
      <c r="C12" s="142" t="s">
        <v>285</v>
      </c>
      <c r="D12" s="143">
        <v>1827804.9350000001</v>
      </c>
    </row>
    <row r="13" spans="1:4">
      <c r="A13" s="135">
        <v>6</v>
      </c>
      <c r="B13" s="131" t="s">
        <v>193</v>
      </c>
      <c r="C13" s="144" t="s">
        <v>194</v>
      </c>
      <c r="D13" s="145">
        <v>77096456.288983971</v>
      </c>
    </row>
    <row r="14" spans="1:4">
      <c r="A14" s="135">
        <v>7</v>
      </c>
      <c r="B14" s="131"/>
      <c r="C14" s="144"/>
      <c r="D14" s="141"/>
    </row>
    <row r="15" spans="1:4">
      <c r="A15" s="135">
        <v>8</v>
      </c>
      <c r="B15" s="138"/>
      <c r="C15" s="146" t="s">
        <v>195</v>
      </c>
      <c r="D15" s="147">
        <v>0.95437899999999998</v>
      </c>
    </row>
    <row r="16" spans="1:4" ht="13.5" thickBot="1">
      <c r="A16" s="135">
        <v>9</v>
      </c>
      <c r="B16" s="131" t="s">
        <v>196</v>
      </c>
      <c r="C16" s="148" t="s">
        <v>197</v>
      </c>
      <c r="D16" s="149">
        <v>80781802.919997171</v>
      </c>
    </row>
    <row r="17" spans="1:4" ht="13.5" thickTop="1">
      <c r="A17" s="135">
        <v>10</v>
      </c>
      <c r="B17" s="138"/>
      <c r="C17" s="132"/>
      <c r="D17" s="150"/>
    </row>
    <row r="18" spans="1:4" ht="13.5" thickBot="1">
      <c r="A18" s="135">
        <v>11</v>
      </c>
      <c r="B18" s="131" t="s">
        <v>198</v>
      </c>
      <c r="C18" s="136" t="s">
        <v>286</v>
      </c>
      <c r="D18" s="151">
        <v>7.4058380000000005E-3</v>
      </c>
    </row>
    <row r="19" spans="1:4" ht="13.5" thickTop="1">
      <c r="A19" s="135">
        <v>12</v>
      </c>
      <c r="B19" s="138"/>
      <c r="C19" s="132"/>
      <c r="D19" s="150"/>
    </row>
    <row r="20" spans="1:4">
      <c r="A20" s="135">
        <v>13</v>
      </c>
      <c r="B20" s="138"/>
      <c r="C20" s="152" t="s">
        <v>199</v>
      </c>
      <c r="D20" s="150"/>
    </row>
    <row r="21" spans="1:4">
      <c r="A21" s="135">
        <v>14</v>
      </c>
      <c r="B21" s="138"/>
      <c r="C21" s="132" t="s">
        <v>287</v>
      </c>
      <c r="D21" s="150"/>
    </row>
    <row r="22" spans="1:4">
      <c r="A22" s="135">
        <v>15</v>
      </c>
      <c r="B22" s="138"/>
      <c r="C22" s="131" t="s">
        <v>200</v>
      </c>
      <c r="D22" s="150"/>
    </row>
    <row r="23" spans="1:4">
      <c r="A23" s="135">
        <v>16</v>
      </c>
      <c r="B23" s="138"/>
      <c r="C23" s="142" t="s">
        <v>288</v>
      </c>
      <c r="D23" s="153">
        <v>97.419999999999987</v>
      </c>
    </row>
    <row r="24" spans="1:4">
      <c r="A24" s="135">
        <v>17</v>
      </c>
      <c r="B24" s="138"/>
      <c r="C24" s="142" t="s">
        <v>289</v>
      </c>
      <c r="D24" s="153">
        <v>96.859999999999985</v>
      </c>
    </row>
    <row r="25" spans="1:4">
      <c r="A25" s="135">
        <v>18</v>
      </c>
      <c r="B25" s="131" t="s">
        <v>201</v>
      </c>
      <c r="C25" s="142" t="s">
        <v>202</v>
      </c>
      <c r="D25" s="154">
        <v>-0.56000000000000227</v>
      </c>
    </row>
    <row r="26" spans="1:4" ht="13.5" thickBot="1">
      <c r="A26" s="135">
        <v>19</v>
      </c>
      <c r="B26" s="131" t="s">
        <v>203</v>
      </c>
      <c r="C26" s="155" t="s">
        <v>204</v>
      </c>
      <c r="D26" s="319">
        <v>-5.7483063026072916E-3</v>
      </c>
    </row>
    <row r="27" spans="1:4" ht="13.5" thickTop="1">
      <c r="A27" s="132"/>
      <c r="B27" s="138"/>
      <c r="C27" s="132"/>
      <c r="D27" s="132"/>
    </row>
    <row r="28" spans="1:4">
      <c r="A28" s="132"/>
      <c r="B28" s="132"/>
      <c r="C28" s="132"/>
      <c r="D28" s="132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AQ33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B8" sqref="AB8:AQ33"/>
    </sheetView>
  </sheetViews>
  <sheetFormatPr defaultColWidth="8.85546875" defaultRowHeight="15"/>
  <cols>
    <col min="1" max="1" width="15.140625" style="479" customWidth="1"/>
    <col min="2" max="2" width="8.85546875" style="479"/>
    <col min="3" max="26" width="11.7109375" style="479" customWidth="1"/>
    <col min="27" max="41" width="8.85546875" style="479"/>
    <col min="42" max="42" width="10.140625" style="479" bestFit="1" customWidth="1"/>
    <col min="43" max="16384" width="8.85546875" style="479"/>
  </cols>
  <sheetData>
    <row r="1" spans="1:43" ht="21">
      <c r="A1" s="477" t="s">
        <v>415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  <c r="Y1" s="478"/>
      <c r="Z1" s="478"/>
      <c r="AD1" s="574" t="str">
        <f>+A1</f>
        <v>Monthly Billing Demand by Rate Schedule</v>
      </c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</row>
    <row r="2" spans="1:43" ht="21">
      <c r="A2" s="480"/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  <c r="S2" s="478"/>
      <c r="T2" s="478"/>
      <c r="U2" s="478"/>
      <c r="V2" s="478"/>
      <c r="W2" s="478"/>
      <c r="X2" s="478"/>
      <c r="Y2" s="478"/>
      <c r="Z2" s="478"/>
      <c r="AD2" s="574" t="s">
        <v>440</v>
      </c>
      <c r="AE2" s="574"/>
      <c r="AF2" s="574"/>
      <c r="AG2" s="574"/>
      <c r="AH2" s="574"/>
      <c r="AI2" s="574"/>
      <c r="AJ2" s="574"/>
      <c r="AK2" s="574"/>
      <c r="AL2" s="574"/>
      <c r="AM2" s="574"/>
      <c r="AN2" s="574"/>
      <c r="AO2" s="574"/>
      <c r="AP2" s="574"/>
      <c r="AQ2" s="574"/>
    </row>
    <row r="3" spans="1:43" ht="21">
      <c r="A3" s="480" t="s">
        <v>416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8"/>
      <c r="X3" s="478"/>
      <c r="Y3" s="478"/>
      <c r="Z3" s="478"/>
      <c r="AD3" s="574" t="str">
        <f>+A3</f>
        <v>Monthly kW or kVa History and Projections, Jan. 2018 - Dec. 2023</v>
      </c>
      <c r="AE3" s="574"/>
      <c r="AF3" s="574"/>
      <c r="AG3" s="574"/>
      <c r="AH3" s="574"/>
      <c r="AI3" s="574"/>
      <c r="AJ3" s="574"/>
      <c r="AK3" s="574"/>
      <c r="AL3" s="574"/>
      <c r="AM3" s="574"/>
      <c r="AN3" s="574"/>
      <c r="AO3" s="574"/>
      <c r="AP3" s="574"/>
      <c r="AQ3" s="574"/>
    </row>
    <row r="4" spans="1:43" ht="21">
      <c r="A4" s="481" t="s">
        <v>347</v>
      </c>
      <c r="B4" s="478"/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78"/>
      <c r="Q4" s="478"/>
      <c r="R4" s="478"/>
      <c r="S4" s="478"/>
      <c r="T4" s="478"/>
      <c r="U4" s="478"/>
      <c r="V4" s="478"/>
      <c r="W4" s="478"/>
      <c r="X4" s="478"/>
      <c r="Y4" s="478"/>
      <c r="Z4" s="478"/>
      <c r="AD4" s="574" t="str">
        <f>+A4</f>
        <v>(After DSM Program Impacts)</v>
      </c>
      <c r="AE4" s="574"/>
      <c r="AF4" s="574"/>
      <c r="AG4" s="574"/>
      <c r="AH4" s="574"/>
      <c r="AI4" s="574"/>
      <c r="AJ4" s="574"/>
      <c r="AK4" s="574"/>
      <c r="AL4" s="574"/>
      <c r="AM4" s="574"/>
      <c r="AN4" s="574"/>
      <c r="AO4" s="574"/>
      <c r="AP4" s="574"/>
      <c r="AQ4" s="574"/>
    </row>
    <row r="5" spans="1:43" ht="21">
      <c r="A5" s="482" t="s">
        <v>417</v>
      </c>
      <c r="B5" s="478"/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  <c r="S5" s="478"/>
      <c r="T5" s="478"/>
      <c r="U5" s="478"/>
      <c r="V5" s="478"/>
      <c r="W5" s="478"/>
      <c r="X5" s="478"/>
      <c r="Y5" s="478"/>
      <c r="Z5" s="478"/>
      <c r="AD5" s="574" t="str">
        <f>+A5</f>
        <v>(Actual Values for Jan. - Mar. 2018)</v>
      </c>
      <c r="AE5" s="574"/>
      <c r="AF5" s="574"/>
      <c r="AG5" s="574"/>
      <c r="AH5" s="574"/>
      <c r="AI5" s="574"/>
      <c r="AJ5" s="574"/>
      <c r="AK5" s="574"/>
      <c r="AL5" s="574"/>
      <c r="AM5" s="574"/>
      <c r="AN5" s="574"/>
      <c r="AO5" s="574"/>
      <c r="AP5" s="574"/>
      <c r="AQ5" s="574"/>
    </row>
    <row r="6" spans="1:43">
      <c r="A6" s="478"/>
      <c r="B6" s="478"/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  <c r="N6" s="478"/>
      <c r="O6" s="478"/>
      <c r="P6" s="478"/>
      <c r="Q6" s="478"/>
      <c r="R6" s="478"/>
      <c r="S6" s="478"/>
      <c r="T6" s="478"/>
      <c r="U6" s="478"/>
      <c r="V6" s="478"/>
      <c r="W6" s="478"/>
      <c r="X6" s="478"/>
      <c r="Y6" s="478"/>
      <c r="Z6" s="478"/>
    </row>
    <row r="7" spans="1:43" s="569" customFormat="1" ht="30">
      <c r="A7" s="566" t="s">
        <v>348</v>
      </c>
      <c r="B7" s="567" t="s">
        <v>349</v>
      </c>
      <c r="C7" s="568" t="s">
        <v>357</v>
      </c>
      <c r="D7" s="568" t="s">
        <v>359</v>
      </c>
      <c r="E7" s="568" t="s">
        <v>361</v>
      </c>
      <c r="F7" s="568" t="s">
        <v>362</v>
      </c>
      <c r="G7" s="568" t="s">
        <v>363</v>
      </c>
      <c r="H7" s="568" t="s">
        <v>366</v>
      </c>
      <c r="I7" s="568" t="s">
        <v>367</v>
      </c>
      <c r="J7" s="568" t="s">
        <v>382</v>
      </c>
      <c r="K7" s="568" t="s">
        <v>368</v>
      </c>
      <c r="L7" s="568" t="s">
        <v>369</v>
      </c>
      <c r="M7" s="568" t="s">
        <v>370</v>
      </c>
      <c r="N7" s="568" t="s">
        <v>371</v>
      </c>
      <c r="O7" s="568" t="s">
        <v>372</v>
      </c>
      <c r="P7" s="568" t="s">
        <v>373</v>
      </c>
      <c r="Q7" s="568" t="s">
        <v>374</v>
      </c>
      <c r="R7" s="568" t="s">
        <v>375</v>
      </c>
      <c r="S7" s="568" t="s">
        <v>376</v>
      </c>
      <c r="T7" s="568" t="s">
        <v>377</v>
      </c>
      <c r="U7" s="568" t="s">
        <v>378</v>
      </c>
      <c r="V7" s="568" t="s">
        <v>379</v>
      </c>
      <c r="W7" s="568" t="s">
        <v>380</v>
      </c>
      <c r="X7" s="566" t="s">
        <v>393</v>
      </c>
      <c r="Y7" s="568" t="s">
        <v>394</v>
      </c>
      <c r="Z7" s="567" t="s">
        <v>395</v>
      </c>
      <c r="AB7" s="566" t="s">
        <v>348</v>
      </c>
      <c r="AC7" s="567" t="s">
        <v>349</v>
      </c>
      <c r="AD7" s="570" t="s">
        <v>397</v>
      </c>
      <c r="AE7" s="570" t="s">
        <v>399</v>
      </c>
      <c r="AF7" s="570" t="s">
        <v>400</v>
      </c>
      <c r="AG7" s="570" t="s">
        <v>401</v>
      </c>
      <c r="AH7" s="570" t="s">
        <v>402</v>
      </c>
      <c r="AI7" s="570" t="s">
        <v>403</v>
      </c>
      <c r="AJ7" s="570" t="s">
        <v>404</v>
      </c>
      <c r="AK7" s="570" t="s">
        <v>405</v>
      </c>
      <c r="AL7" s="570" t="s">
        <v>406</v>
      </c>
      <c r="AM7" s="570" t="s">
        <v>407</v>
      </c>
      <c r="AN7" s="570" t="s">
        <v>93</v>
      </c>
      <c r="AO7" s="570" t="s">
        <v>134</v>
      </c>
      <c r="AP7" s="571" t="s">
        <v>408</v>
      </c>
      <c r="AQ7" s="571" t="s">
        <v>86</v>
      </c>
    </row>
    <row r="8" spans="1:43">
      <c r="A8" s="484">
        <v>2018</v>
      </c>
      <c r="B8" s="485">
        <v>1</v>
      </c>
      <c r="C8" s="486">
        <v>1735.24</v>
      </c>
      <c r="D8" s="487">
        <v>523.18070953436813</v>
      </c>
      <c r="E8" s="488">
        <v>6603.9000757002268</v>
      </c>
      <c r="F8" s="487">
        <v>22549.317073170732</v>
      </c>
      <c r="G8" s="487">
        <v>3646.561377245509</v>
      </c>
      <c r="H8" s="487">
        <v>352202.82936985634</v>
      </c>
      <c r="I8" s="487">
        <v>32028.285472976586</v>
      </c>
      <c r="J8" s="487">
        <v>204.80820399113082</v>
      </c>
      <c r="K8" s="487">
        <v>324445.70504541061</v>
      </c>
      <c r="L8" s="487">
        <v>51196.383912526297</v>
      </c>
      <c r="M8" s="487">
        <v>63.278248182018714</v>
      </c>
      <c r="N8" s="488">
        <v>162313.38752558667</v>
      </c>
      <c r="O8" s="487">
        <v>101024.83310090724</v>
      </c>
      <c r="P8" s="487">
        <v>9.6010868234002693</v>
      </c>
      <c r="Q8" s="487">
        <v>82339.159971242043</v>
      </c>
      <c r="R8" s="487">
        <v>10149.798683821369</v>
      </c>
      <c r="S8" s="487">
        <v>68265.649643106837</v>
      </c>
      <c r="T8" s="487">
        <v>8800</v>
      </c>
      <c r="U8" s="487">
        <v>25270.999999999996</v>
      </c>
      <c r="V8" s="487">
        <v>84518</v>
      </c>
      <c r="W8" s="487">
        <v>27965</v>
      </c>
      <c r="X8" s="489">
        <v>12594.036144578313</v>
      </c>
      <c r="Y8" s="487">
        <v>238557.95180722891</v>
      </c>
      <c r="Z8" s="490">
        <v>43510</v>
      </c>
      <c r="AB8" s="484">
        <v>2018</v>
      </c>
      <c r="AC8" s="485">
        <v>1</v>
      </c>
      <c r="AD8" s="508">
        <f>+D8</f>
        <v>523.18070953436813</v>
      </c>
      <c r="AE8" s="508">
        <f>SUM(F8,H8:J8)</f>
        <v>406985.24011999479</v>
      </c>
      <c r="AF8" s="508">
        <f>SUM(G8,K8:L8)</f>
        <v>379288.65033518244</v>
      </c>
      <c r="AG8" s="508">
        <f>+M8</f>
        <v>63.278248182018714</v>
      </c>
      <c r="AH8" s="508">
        <f>SUM(E8,N8:O8)</f>
        <v>269942.12070219417</v>
      </c>
      <c r="AI8" s="508">
        <f>+P8</f>
        <v>9.6010868234002693</v>
      </c>
      <c r="AJ8" s="508">
        <f>+S8</f>
        <v>68265.649643106837</v>
      </c>
      <c r="AK8" s="508">
        <f>SUM(Q8:R8)</f>
        <v>92488.958655063412</v>
      </c>
      <c r="AL8" s="508">
        <f>SUM(T8:U8)</f>
        <v>34071</v>
      </c>
      <c r="AM8" s="508">
        <f>SUM(V8:W8)</f>
        <v>112483</v>
      </c>
      <c r="AN8" s="508">
        <f>SUM(C8)</f>
        <v>1735.24</v>
      </c>
      <c r="AO8" s="508">
        <f>SUM(X8:Z8)</f>
        <v>294661.98795180721</v>
      </c>
      <c r="AP8" s="508">
        <f>SUM(AD8:AO8)</f>
        <v>1660517.9074518888</v>
      </c>
      <c r="AQ8" s="508">
        <f>SUM(C8:Z8)-AP8</f>
        <v>0</v>
      </c>
    </row>
    <row r="9" spans="1:43">
      <c r="A9" s="491"/>
      <c r="B9" s="492">
        <v>2</v>
      </c>
      <c r="C9" s="493">
        <v>1575</v>
      </c>
      <c r="D9" s="488">
        <v>413.72062084257209</v>
      </c>
      <c r="E9" s="488">
        <v>7207.1400454201366</v>
      </c>
      <c r="F9" s="488">
        <v>20842.809312638583</v>
      </c>
      <c r="G9" s="488">
        <v>3938.6414670658683</v>
      </c>
      <c r="H9" s="488">
        <v>353510.04920919333</v>
      </c>
      <c r="I9" s="488">
        <v>32193.203471552559</v>
      </c>
      <c r="J9" s="488">
        <v>201.19068736141907</v>
      </c>
      <c r="K9" s="488">
        <v>316344.32064669882</v>
      </c>
      <c r="L9" s="488">
        <v>50754.808616404312</v>
      </c>
      <c r="M9" s="488">
        <v>276.12078346028295</v>
      </c>
      <c r="N9" s="488">
        <v>162576.16524701874</v>
      </c>
      <c r="O9" s="488">
        <v>100407.25894378194</v>
      </c>
      <c r="P9" s="488">
        <v>9.6008146639511196</v>
      </c>
      <c r="Q9" s="488">
        <v>91747.5735842461</v>
      </c>
      <c r="R9" s="488">
        <v>10067.867876840784</v>
      </c>
      <c r="S9" s="488">
        <v>64664.340080971662</v>
      </c>
      <c r="T9" s="488">
        <v>8800</v>
      </c>
      <c r="U9" s="488">
        <v>22864</v>
      </c>
      <c r="V9" s="488">
        <v>82261</v>
      </c>
      <c r="W9" s="488">
        <v>28237.999999999996</v>
      </c>
      <c r="X9" s="494">
        <v>12735</v>
      </c>
      <c r="Y9" s="488">
        <v>234350.96385542164</v>
      </c>
      <c r="Z9" s="495">
        <v>43776.024096385539</v>
      </c>
      <c r="AB9" s="491"/>
      <c r="AC9" s="492">
        <v>2</v>
      </c>
      <c r="AD9" s="508">
        <f t="shared" ref="AD9:AD31" si="0">+D9</f>
        <v>413.72062084257209</v>
      </c>
      <c r="AE9" s="508">
        <f t="shared" ref="AE9:AE31" si="1">SUM(F9,H9:J9)</f>
        <v>406747.25268074591</v>
      </c>
      <c r="AF9" s="508">
        <f t="shared" ref="AF9:AF31" si="2">SUM(G9,K9:L9)</f>
        <v>371037.77073016897</v>
      </c>
      <c r="AG9" s="508">
        <f t="shared" ref="AG9:AG31" si="3">+M9</f>
        <v>276.12078346028295</v>
      </c>
      <c r="AH9" s="508">
        <f t="shared" ref="AH9:AH31" si="4">SUM(E9,N9:O9)</f>
        <v>270190.56423622085</v>
      </c>
      <c r="AI9" s="508">
        <f t="shared" ref="AI9:AI31" si="5">+P9</f>
        <v>9.6008146639511196</v>
      </c>
      <c r="AJ9" s="508">
        <f t="shared" ref="AJ9:AJ31" si="6">+S9</f>
        <v>64664.340080971662</v>
      </c>
      <c r="AK9" s="508">
        <f t="shared" ref="AK9:AK31" si="7">SUM(Q9:R9)</f>
        <v>101815.44146108688</v>
      </c>
      <c r="AL9" s="508">
        <f t="shared" ref="AL9:AL31" si="8">SUM(T9:U9)</f>
        <v>31664</v>
      </c>
      <c r="AM9" s="508">
        <f t="shared" ref="AM9:AM31" si="9">SUM(V9:W9)</f>
        <v>110499</v>
      </c>
      <c r="AN9" s="508">
        <f t="shared" ref="AN9:AN31" si="10">SUM(C9)</f>
        <v>1575</v>
      </c>
      <c r="AO9" s="508">
        <f t="shared" ref="AO9:AO31" si="11">SUM(X9:Z9)</f>
        <v>290861.98795180715</v>
      </c>
      <c r="AP9" s="508">
        <f t="shared" ref="AP9:AP31" si="12">SUM(AD9:AO9)</f>
        <v>1649754.7993599684</v>
      </c>
      <c r="AQ9" s="508">
        <f t="shared" ref="AQ9:AQ31" si="13">SUM(C9:Z9)-AP9</f>
        <v>0</v>
      </c>
    </row>
    <row r="10" spans="1:43" ht="15.75" thickBot="1">
      <c r="A10" s="496"/>
      <c r="B10" s="497">
        <v>3</v>
      </c>
      <c r="C10" s="498">
        <v>1741.84</v>
      </c>
      <c r="D10" s="499">
        <v>379.40022172949006</v>
      </c>
      <c r="E10" s="499">
        <v>6815.5200605601813</v>
      </c>
      <c r="F10" s="499">
        <v>18358.547671840355</v>
      </c>
      <c r="G10" s="499">
        <v>3553.6998502994015</v>
      </c>
      <c r="H10" s="499">
        <v>364303.4252651881</v>
      </c>
      <c r="I10" s="499">
        <v>32154.398264223724</v>
      </c>
      <c r="J10" s="499">
        <v>228.03991130820401</v>
      </c>
      <c r="K10" s="499">
        <v>319591.66115184984</v>
      </c>
      <c r="L10" s="499">
        <v>51040.571665285825</v>
      </c>
      <c r="M10" s="499">
        <v>275.68008705114255</v>
      </c>
      <c r="N10" s="499">
        <v>160042.96507666097</v>
      </c>
      <c r="O10" s="499">
        <v>102104.18568994888</v>
      </c>
      <c r="P10" s="499">
        <v>9.6008146639511196</v>
      </c>
      <c r="Q10" s="499">
        <v>84101.77998801478</v>
      </c>
      <c r="R10" s="499">
        <v>9824.3132137030989</v>
      </c>
      <c r="S10" s="499">
        <v>66528.720647773269</v>
      </c>
      <c r="T10" s="499">
        <v>8800</v>
      </c>
      <c r="U10" s="499">
        <v>26334</v>
      </c>
      <c r="V10" s="499">
        <v>86099</v>
      </c>
      <c r="W10" s="499">
        <v>28515.999999999996</v>
      </c>
      <c r="X10" s="500">
        <v>12545</v>
      </c>
      <c r="Y10" s="499">
        <v>236009.99999999997</v>
      </c>
      <c r="Z10" s="501">
        <v>44396.987951807227</v>
      </c>
      <c r="AB10" s="496"/>
      <c r="AC10" s="497">
        <v>3</v>
      </c>
      <c r="AD10" s="508">
        <f t="shared" si="0"/>
        <v>379.40022172949006</v>
      </c>
      <c r="AE10" s="508">
        <f t="shared" si="1"/>
        <v>415044.41111256037</v>
      </c>
      <c r="AF10" s="508">
        <f t="shared" si="2"/>
        <v>374185.93266743503</v>
      </c>
      <c r="AG10" s="508">
        <f t="shared" si="3"/>
        <v>275.68008705114255</v>
      </c>
      <c r="AH10" s="508">
        <f t="shared" si="4"/>
        <v>268962.67082717002</v>
      </c>
      <c r="AI10" s="508">
        <f t="shared" si="5"/>
        <v>9.6008146639511196</v>
      </c>
      <c r="AJ10" s="508">
        <f t="shared" si="6"/>
        <v>66528.720647773269</v>
      </c>
      <c r="AK10" s="508">
        <f t="shared" si="7"/>
        <v>93926.093201717886</v>
      </c>
      <c r="AL10" s="508">
        <f t="shared" si="8"/>
        <v>35134</v>
      </c>
      <c r="AM10" s="508">
        <f t="shared" si="9"/>
        <v>114615</v>
      </c>
      <c r="AN10" s="508">
        <f t="shared" si="10"/>
        <v>1741.84</v>
      </c>
      <c r="AO10" s="508">
        <f t="shared" si="11"/>
        <v>292951.98795180721</v>
      </c>
      <c r="AP10" s="508">
        <f t="shared" si="12"/>
        <v>1663755.3375319084</v>
      </c>
      <c r="AQ10" s="508">
        <f t="shared" si="13"/>
        <v>0</v>
      </c>
    </row>
    <row r="11" spans="1:43">
      <c r="A11" s="491"/>
      <c r="B11" s="492">
        <v>4</v>
      </c>
      <c r="C11" s="493">
        <v>1439.2908877466491</v>
      </c>
      <c r="D11" s="488">
        <v>273.1673010748857</v>
      </c>
      <c r="E11" s="488">
        <v>6391.2519100080681</v>
      </c>
      <c r="F11" s="488">
        <v>16217.71245827012</v>
      </c>
      <c r="G11" s="488">
        <v>3351.3913286891675</v>
      </c>
      <c r="H11" s="488">
        <v>281008.07536063582</v>
      </c>
      <c r="I11" s="488">
        <v>31685.393104009971</v>
      </c>
      <c r="J11" s="488">
        <v>312.59692515403611</v>
      </c>
      <c r="K11" s="488">
        <v>312148.57192346331</v>
      </c>
      <c r="L11" s="488">
        <v>50451.908713448203</v>
      </c>
      <c r="M11" s="488">
        <v>323.22740999678865</v>
      </c>
      <c r="N11" s="488">
        <v>164349.83861878127</v>
      </c>
      <c r="O11" s="488">
        <v>102920.64882043995</v>
      </c>
      <c r="P11" s="488">
        <v>5.4336482766832193</v>
      </c>
      <c r="Q11" s="488">
        <v>80988.004063479064</v>
      </c>
      <c r="R11" s="488">
        <v>4345.4405857467018</v>
      </c>
      <c r="S11" s="488">
        <v>60885.829924473837</v>
      </c>
      <c r="T11" s="488">
        <v>8800</v>
      </c>
      <c r="U11" s="488">
        <v>24593.607457578622</v>
      </c>
      <c r="V11" s="488">
        <v>87747.157207539349</v>
      </c>
      <c r="W11" s="488">
        <v>31540.314146467965</v>
      </c>
      <c r="X11" s="494">
        <v>11851.352730764078</v>
      </c>
      <c r="Y11" s="488">
        <v>232670.62475802581</v>
      </c>
      <c r="Z11" s="495">
        <v>41277.449486200552</v>
      </c>
      <c r="AB11" s="491"/>
      <c r="AC11" s="492">
        <v>4</v>
      </c>
      <c r="AD11" s="508">
        <f t="shared" si="0"/>
        <v>273.1673010748857</v>
      </c>
      <c r="AE11" s="508">
        <f t="shared" si="1"/>
        <v>329223.77784806996</v>
      </c>
      <c r="AF11" s="508">
        <f t="shared" si="2"/>
        <v>365951.8719656007</v>
      </c>
      <c r="AG11" s="508">
        <f t="shared" si="3"/>
        <v>323.22740999678865</v>
      </c>
      <c r="AH11" s="508">
        <f t="shared" si="4"/>
        <v>273661.73934922926</v>
      </c>
      <c r="AI11" s="508">
        <f t="shared" si="5"/>
        <v>5.4336482766832193</v>
      </c>
      <c r="AJ11" s="508">
        <f t="shared" si="6"/>
        <v>60885.829924473837</v>
      </c>
      <c r="AK11" s="508">
        <f t="shared" si="7"/>
        <v>85333.44464922577</v>
      </c>
      <c r="AL11" s="508">
        <f t="shared" si="8"/>
        <v>33393.607457578619</v>
      </c>
      <c r="AM11" s="508">
        <f t="shared" si="9"/>
        <v>119287.47135400731</v>
      </c>
      <c r="AN11" s="508">
        <f t="shared" si="10"/>
        <v>1439.2908877466491</v>
      </c>
      <c r="AO11" s="508">
        <f t="shared" si="11"/>
        <v>285799.42697499041</v>
      </c>
      <c r="AP11" s="508">
        <f t="shared" si="12"/>
        <v>1555578.288770271</v>
      </c>
      <c r="AQ11" s="508">
        <f t="shared" si="13"/>
        <v>0</v>
      </c>
    </row>
    <row r="12" spans="1:43">
      <c r="A12" s="491"/>
      <c r="B12" s="492">
        <v>5</v>
      </c>
      <c r="C12" s="493">
        <v>1188.924977565556</v>
      </c>
      <c r="D12" s="488">
        <v>277.54237624272474</v>
      </c>
      <c r="E12" s="488">
        <v>6359.0877482876476</v>
      </c>
      <c r="F12" s="488">
        <v>14489.987671847057</v>
      </c>
      <c r="G12" s="488">
        <v>3323.3790646703651</v>
      </c>
      <c r="H12" s="488">
        <v>363780.81525937858</v>
      </c>
      <c r="I12" s="488">
        <v>30788.777547323265</v>
      </c>
      <c r="J12" s="488">
        <v>290.00940912234739</v>
      </c>
      <c r="K12" s="488">
        <v>321060.1212461692</v>
      </c>
      <c r="L12" s="488">
        <v>52796.20654124274</v>
      </c>
      <c r="M12" s="488">
        <v>525.55321925630676</v>
      </c>
      <c r="N12" s="488">
        <v>177822.53364044963</v>
      </c>
      <c r="O12" s="488">
        <v>103107.38439983051</v>
      </c>
      <c r="P12" s="488">
        <v>846.13283406784467</v>
      </c>
      <c r="Q12" s="488">
        <v>90258.661819099565</v>
      </c>
      <c r="R12" s="488">
        <v>10365.416099616577</v>
      </c>
      <c r="S12" s="488">
        <v>51057.879383454318</v>
      </c>
      <c r="T12" s="488">
        <v>8800</v>
      </c>
      <c r="U12" s="488">
        <v>22326.047070518634</v>
      </c>
      <c r="V12" s="488">
        <v>85968.725623845341</v>
      </c>
      <c r="W12" s="488">
        <v>28458.754948893591</v>
      </c>
      <c r="X12" s="494">
        <v>12028.461620340238</v>
      </c>
      <c r="Y12" s="488">
        <v>264050.94636488712</v>
      </c>
      <c r="Z12" s="495">
        <v>44284.557029568125</v>
      </c>
      <c r="AB12" s="491"/>
      <c r="AC12" s="492">
        <v>5</v>
      </c>
      <c r="AD12" s="508">
        <f t="shared" si="0"/>
        <v>277.54237624272474</v>
      </c>
      <c r="AE12" s="508">
        <f t="shared" si="1"/>
        <v>409349.58988767123</v>
      </c>
      <c r="AF12" s="508">
        <f t="shared" si="2"/>
        <v>377179.70685208228</v>
      </c>
      <c r="AG12" s="508">
        <f t="shared" si="3"/>
        <v>525.55321925630676</v>
      </c>
      <c r="AH12" s="508">
        <f t="shared" si="4"/>
        <v>287289.00578856783</v>
      </c>
      <c r="AI12" s="508">
        <f t="shared" si="5"/>
        <v>846.13283406784467</v>
      </c>
      <c r="AJ12" s="508">
        <f t="shared" si="6"/>
        <v>51057.879383454318</v>
      </c>
      <c r="AK12" s="508">
        <f t="shared" si="7"/>
        <v>100624.07791871614</v>
      </c>
      <c r="AL12" s="508">
        <f t="shared" si="8"/>
        <v>31126.047070518634</v>
      </c>
      <c r="AM12" s="508">
        <f t="shared" si="9"/>
        <v>114427.48057273893</v>
      </c>
      <c r="AN12" s="508">
        <f t="shared" si="10"/>
        <v>1188.924977565556</v>
      </c>
      <c r="AO12" s="508">
        <f t="shared" si="11"/>
        <v>320363.96501479548</v>
      </c>
      <c r="AP12" s="508">
        <f t="shared" si="12"/>
        <v>1694255.9058956774</v>
      </c>
      <c r="AQ12" s="508">
        <f t="shared" si="13"/>
        <v>0</v>
      </c>
    </row>
    <row r="13" spans="1:43">
      <c r="A13" s="491"/>
      <c r="B13" s="492">
        <v>6</v>
      </c>
      <c r="C13" s="493">
        <v>917.30412970468785</v>
      </c>
      <c r="D13" s="488">
        <v>321.09372055464263</v>
      </c>
      <c r="E13" s="488">
        <v>6171.1049461904659</v>
      </c>
      <c r="F13" s="488">
        <v>13278.953673837088</v>
      </c>
      <c r="G13" s="488">
        <v>3404.0250734816209</v>
      </c>
      <c r="H13" s="488">
        <v>334796.91934712953</v>
      </c>
      <c r="I13" s="488">
        <v>30448.171574980453</v>
      </c>
      <c r="J13" s="488">
        <v>375.12120940633105</v>
      </c>
      <c r="K13" s="488">
        <v>312769.51201978908</v>
      </c>
      <c r="L13" s="488">
        <v>52036.587478897069</v>
      </c>
      <c r="M13" s="488">
        <v>567.18478684019965</v>
      </c>
      <c r="N13" s="488">
        <v>175614.89388047007</v>
      </c>
      <c r="O13" s="488">
        <v>101775.37672544354</v>
      </c>
      <c r="P13" s="488">
        <v>1223.6175770450727</v>
      </c>
      <c r="Q13" s="488">
        <v>88840.953889222626</v>
      </c>
      <c r="R13" s="488">
        <v>9890.4240328461401</v>
      </c>
      <c r="S13" s="488">
        <v>41449.451945868954</v>
      </c>
      <c r="T13" s="488">
        <v>8800</v>
      </c>
      <c r="U13" s="488">
        <v>24069.243392217748</v>
      </c>
      <c r="V13" s="488">
        <v>86863.819499543461</v>
      </c>
      <c r="W13" s="488">
        <v>29368.74270928606</v>
      </c>
      <c r="X13" s="494">
        <v>11625.242421887724</v>
      </c>
      <c r="Y13" s="488">
        <v>239364.17805362502</v>
      </c>
      <c r="Z13" s="495">
        <v>46176.388248661227</v>
      </c>
      <c r="AB13" s="491"/>
      <c r="AC13" s="492">
        <v>6</v>
      </c>
      <c r="AD13" s="508">
        <f t="shared" si="0"/>
        <v>321.09372055464263</v>
      </c>
      <c r="AE13" s="508">
        <f t="shared" si="1"/>
        <v>378899.16580535338</v>
      </c>
      <c r="AF13" s="508">
        <f t="shared" si="2"/>
        <v>368210.12457216776</v>
      </c>
      <c r="AG13" s="508">
        <f t="shared" si="3"/>
        <v>567.18478684019965</v>
      </c>
      <c r="AH13" s="508">
        <f t="shared" si="4"/>
        <v>283561.37555210409</v>
      </c>
      <c r="AI13" s="508">
        <f t="shared" si="5"/>
        <v>1223.6175770450727</v>
      </c>
      <c r="AJ13" s="508">
        <f t="shared" si="6"/>
        <v>41449.451945868954</v>
      </c>
      <c r="AK13" s="508">
        <f t="shared" si="7"/>
        <v>98731.377922068772</v>
      </c>
      <c r="AL13" s="508">
        <f t="shared" si="8"/>
        <v>32869.243392217744</v>
      </c>
      <c r="AM13" s="508">
        <f t="shared" si="9"/>
        <v>116232.56220882952</v>
      </c>
      <c r="AN13" s="508">
        <f t="shared" si="10"/>
        <v>917.30412970468785</v>
      </c>
      <c r="AO13" s="508">
        <f t="shared" si="11"/>
        <v>297165.80872417398</v>
      </c>
      <c r="AP13" s="508">
        <f t="shared" si="12"/>
        <v>1620148.3103369288</v>
      </c>
      <c r="AQ13" s="508">
        <f t="shared" si="13"/>
        <v>0</v>
      </c>
    </row>
    <row r="14" spans="1:43">
      <c r="A14" s="491"/>
      <c r="B14" s="492">
        <v>7</v>
      </c>
      <c r="C14" s="493">
        <v>748.21966074960687</v>
      </c>
      <c r="D14" s="488">
        <v>378.14822197612546</v>
      </c>
      <c r="E14" s="488">
        <v>6183.8350219531858</v>
      </c>
      <c r="F14" s="488">
        <v>13501.639083356717</v>
      </c>
      <c r="G14" s="488">
        <v>4334.1554591852055</v>
      </c>
      <c r="H14" s="488">
        <v>336951.18936471321</v>
      </c>
      <c r="I14" s="488">
        <v>31021.233002396457</v>
      </c>
      <c r="J14" s="488">
        <v>331.74259355650469</v>
      </c>
      <c r="K14" s="488">
        <v>324097.64068563585</v>
      </c>
      <c r="L14" s="488">
        <v>51347.55129136172</v>
      </c>
      <c r="M14" s="488">
        <v>801.42607279120432</v>
      </c>
      <c r="N14" s="488">
        <v>171931.06876859104</v>
      </c>
      <c r="O14" s="488">
        <v>102898.40343556844</v>
      </c>
      <c r="P14" s="488">
        <v>1283.4119738877362</v>
      </c>
      <c r="Q14" s="488">
        <v>91271.02418895092</v>
      </c>
      <c r="R14" s="488">
        <v>10650.76061636188</v>
      </c>
      <c r="S14" s="488">
        <v>31961.798838355233</v>
      </c>
      <c r="T14" s="488">
        <v>8800</v>
      </c>
      <c r="U14" s="488">
        <v>23267.356897484035</v>
      </c>
      <c r="V14" s="488">
        <v>88268.909614456963</v>
      </c>
      <c r="W14" s="488">
        <v>30804.007818751583</v>
      </c>
      <c r="X14" s="494">
        <v>11347.8632333358</v>
      </c>
      <c r="Y14" s="488">
        <v>242721.29484339274</v>
      </c>
      <c r="Z14" s="495">
        <v>45789.983586334165</v>
      </c>
      <c r="AB14" s="491"/>
      <c r="AC14" s="492">
        <v>7</v>
      </c>
      <c r="AD14" s="508">
        <f t="shared" si="0"/>
        <v>378.14822197612546</v>
      </c>
      <c r="AE14" s="508">
        <f t="shared" si="1"/>
        <v>381805.80404402292</v>
      </c>
      <c r="AF14" s="508">
        <f t="shared" si="2"/>
        <v>379779.34743618278</v>
      </c>
      <c r="AG14" s="508">
        <f t="shared" si="3"/>
        <v>801.42607279120432</v>
      </c>
      <c r="AH14" s="508">
        <f t="shared" si="4"/>
        <v>281013.30722611269</v>
      </c>
      <c r="AI14" s="508">
        <f t="shared" si="5"/>
        <v>1283.4119738877362</v>
      </c>
      <c r="AJ14" s="508">
        <f t="shared" si="6"/>
        <v>31961.798838355233</v>
      </c>
      <c r="AK14" s="508">
        <f t="shared" si="7"/>
        <v>101921.7848053128</v>
      </c>
      <c r="AL14" s="508">
        <f t="shared" si="8"/>
        <v>32067.356897484035</v>
      </c>
      <c r="AM14" s="508">
        <f t="shared" si="9"/>
        <v>119072.91743320855</v>
      </c>
      <c r="AN14" s="508">
        <f t="shared" si="10"/>
        <v>748.21966074960687</v>
      </c>
      <c r="AO14" s="508">
        <f t="shared" si="11"/>
        <v>299859.14166306274</v>
      </c>
      <c r="AP14" s="508">
        <f t="shared" si="12"/>
        <v>1630692.6642731465</v>
      </c>
      <c r="AQ14" s="508">
        <f t="shared" si="13"/>
        <v>0</v>
      </c>
    </row>
    <row r="15" spans="1:43">
      <c r="A15" s="491"/>
      <c r="B15" s="492">
        <v>8</v>
      </c>
      <c r="C15" s="493">
        <v>634.84026736126043</v>
      </c>
      <c r="D15" s="488">
        <v>379.52753014911019</v>
      </c>
      <c r="E15" s="488">
        <v>6341.9496019569015</v>
      </c>
      <c r="F15" s="488">
        <v>14251.532294776065</v>
      </c>
      <c r="G15" s="488">
        <v>4580.2847275574859</v>
      </c>
      <c r="H15" s="488">
        <v>336068.50325138622</v>
      </c>
      <c r="I15" s="488">
        <v>31270.125809298246</v>
      </c>
      <c r="J15" s="488">
        <v>283.71940190780782</v>
      </c>
      <c r="K15" s="488">
        <v>325105.01089949463</v>
      </c>
      <c r="L15" s="488">
        <v>52746.959125837369</v>
      </c>
      <c r="M15" s="488">
        <v>1023.4790360715238</v>
      </c>
      <c r="N15" s="488">
        <v>170861.23953595848</v>
      </c>
      <c r="O15" s="488">
        <v>102992.33226031394</v>
      </c>
      <c r="P15" s="488">
        <v>1449.2430467562087</v>
      </c>
      <c r="Q15" s="488">
        <v>94592.907697694129</v>
      </c>
      <c r="R15" s="488">
        <v>10005.905328014491</v>
      </c>
      <c r="S15" s="488">
        <v>21801.71357104601</v>
      </c>
      <c r="T15" s="488">
        <v>8800</v>
      </c>
      <c r="U15" s="488">
        <v>22658.905144212571</v>
      </c>
      <c r="V15" s="488">
        <v>86978.907045876069</v>
      </c>
      <c r="W15" s="488">
        <v>29942.650094975852</v>
      </c>
      <c r="X15" s="494">
        <v>11471.712681686278</v>
      </c>
      <c r="Y15" s="488">
        <v>241239.55573819429</v>
      </c>
      <c r="Z15" s="495">
        <v>45163.249842427424</v>
      </c>
      <c r="AB15" s="491"/>
      <c r="AC15" s="492">
        <v>8</v>
      </c>
      <c r="AD15" s="508">
        <f t="shared" si="0"/>
        <v>379.52753014911019</v>
      </c>
      <c r="AE15" s="508">
        <f t="shared" si="1"/>
        <v>381873.88075736834</v>
      </c>
      <c r="AF15" s="508">
        <f t="shared" si="2"/>
        <v>382432.25475288951</v>
      </c>
      <c r="AG15" s="508">
        <f t="shared" si="3"/>
        <v>1023.4790360715238</v>
      </c>
      <c r="AH15" s="508">
        <f t="shared" si="4"/>
        <v>280195.52139822929</v>
      </c>
      <c r="AI15" s="508">
        <f t="shared" si="5"/>
        <v>1449.2430467562087</v>
      </c>
      <c r="AJ15" s="508">
        <f t="shared" si="6"/>
        <v>21801.71357104601</v>
      </c>
      <c r="AK15" s="508">
        <f t="shared" si="7"/>
        <v>104598.81302570862</v>
      </c>
      <c r="AL15" s="508">
        <f t="shared" si="8"/>
        <v>31458.905144212571</v>
      </c>
      <c r="AM15" s="508">
        <f t="shared" si="9"/>
        <v>116921.55714085192</v>
      </c>
      <c r="AN15" s="508">
        <f t="shared" si="10"/>
        <v>634.84026736126043</v>
      </c>
      <c r="AO15" s="508">
        <f t="shared" si="11"/>
        <v>297874.51826230797</v>
      </c>
      <c r="AP15" s="508">
        <f t="shared" si="12"/>
        <v>1620644.2539329524</v>
      </c>
      <c r="AQ15" s="508">
        <f t="shared" si="13"/>
        <v>0</v>
      </c>
    </row>
    <row r="16" spans="1:43">
      <c r="A16" s="491"/>
      <c r="B16" s="492">
        <v>9</v>
      </c>
      <c r="C16" s="493">
        <v>692.1631262586003</v>
      </c>
      <c r="D16" s="488">
        <v>334.95181597246346</v>
      </c>
      <c r="E16" s="488">
        <v>6468.6570615704404</v>
      </c>
      <c r="F16" s="488">
        <v>14496.00148901606</v>
      </c>
      <c r="G16" s="488">
        <v>4600.5933682921304</v>
      </c>
      <c r="H16" s="488">
        <v>344785.71590573777</v>
      </c>
      <c r="I16" s="488">
        <v>30881.954695853259</v>
      </c>
      <c r="J16" s="488">
        <v>255.70985358335113</v>
      </c>
      <c r="K16" s="488">
        <v>322533.90464571927</v>
      </c>
      <c r="L16" s="488">
        <v>53133.78642068903</v>
      </c>
      <c r="M16" s="488">
        <v>865.13811291983063</v>
      </c>
      <c r="N16" s="488">
        <v>172656.79566157909</v>
      </c>
      <c r="O16" s="488">
        <v>101981.46091396252</v>
      </c>
      <c r="P16" s="488">
        <v>1479.613785588695</v>
      </c>
      <c r="Q16" s="488">
        <v>91056.284138161514</v>
      </c>
      <c r="R16" s="488">
        <v>11077.434731346058</v>
      </c>
      <c r="S16" s="488">
        <v>32080.131962490552</v>
      </c>
      <c r="T16" s="488">
        <v>8800</v>
      </c>
      <c r="U16" s="488">
        <v>19454.358288394</v>
      </c>
      <c r="V16" s="488">
        <v>92733.71539685833</v>
      </c>
      <c r="W16" s="488">
        <v>30703.149837883837</v>
      </c>
      <c r="X16" s="494">
        <v>10687.797142530151</v>
      </c>
      <c r="Y16" s="488">
        <v>235123.63011961462</v>
      </c>
      <c r="Z16" s="495">
        <v>47380.223207738207</v>
      </c>
      <c r="AB16" s="491"/>
      <c r="AC16" s="492">
        <v>9</v>
      </c>
      <c r="AD16" s="508">
        <f t="shared" si="0"/>
        <v>334.95181597246346</v>
      </c>
      <c r="AE16" s="508">
        <f t="shared" si="1"/>
        <v>390419.38194419048</v>
      </c>
      <c r="AF16" s="508">
        <f t="shared" si="2"/>
        <v>380268.28443470044</v>
      </c>
      <c r="AG16" s="508">
        <f t="shared" si="3"/>
        <v>865.13811291983063</v>
      </c>
      <c r="AH16" s="508">
        <f t="shared" si="4"/>
        <v>281106.91363711207</v>
      </c>
      <c r="AI16" s="508">
        <f t="shared" si="5"/>
        <v>1479.613785588695</v>
      </c>
      <c r="AJ16" s="508">
        <f t="shared" si="6"/>
        <v>32080.131962490552</v>
      </c>
      <c r="AK16" s="508">
        <f t="shared" si="7"/>
        <v>102133.71886950757</v>
      </c>
      <c r="AL16" s="508">
        <f t="shared" si="8"/>
        <v>28254.358288394</v>
      </c>
      <c r="AM16" s="508">
        <f t="shared" si="9"/>
        <v>123436.86523474217</v>
      </c>
      <c r="AN16" s="508">
        <f t="shared" si="10"/>
        <v>692.1631262586003</v>
      </c>
      <c r="AO16" s="508">
        <f t="shared" si="11"/>
        <v>293191.650469883</v>
      </c>
      <c r="AP16" s="508">
        <f t="shared" si="12"/>
        <v>1634263.1716817599</v>
      </c>
      <c r="AQ16" s="508">
        <f t="shared" si="13"/>
        <v>0</v>
      </c>
    </row>
    <row r="17" spans="1:43">
      <c r="A17" s="511"/>
      <c r="B17" s="512">
        <v>10</v>
      </c>
      <c r="C17" s="509">
        <v>870.76051896355091</v>
      </c>
      <c r="D17" s="513">
        <v>283.83021200639712</v>
      </c>
      <c r="E17" s="513">
        <v>6175.7889796736063</v>
      </c>
      <c r="F17" s="513">
        <v>14682.162566968593</v>
      </c>
      <c r="G17" s="513">
        <v>3765.0008997090922</v>
      </c>
      <c r="H17" s="513">
        <v>332803.75998571562</v>
      </c>
      <c r="I17" s="513">
        <v>30942.985482759308</v>
      </c>
      <c r="J17" s="513">
        <v>230.9692065974449</v>
      </c>
      <c r="K17" s="513">
        <v>318158.79613329668</v>
      </c>
      <c r="L17" s="513">
        <v>52430.141625319127</v>
      </c>
      <c r="M17" s="513">
        <v>672.909311818481</v>
      </c>
      <c r="N17" s="513">
        <v>172687.83858765563</v>
      </c>
      <c r="O17" s="513">
        <v>103289.07557820639</v>
      </c>
      <c r="P17" s="513">
        <v>1233.7333477397676</v>
      </c>
      <c r="Q17" s="513">
        <v>86788.134899849669</v>
      </c>
      <c r="R17" s="513">
        <v>10663.300801523083</v>
      </c>
      <c r="S17" s="513">
        <v>42441.376506561304</v>
      </c>
      <c r="T17" s="513">
        <v>8800</v>
      </c>
      <c r="U17" s="513">
        <v>20432.070127782426</v>
      </c>
      <c r="V17" s="513">
        <v>90624.95402230855</v>
      </c>
      <c r="W17" s="513">
        <v>29315.921156599488</v>
      </c>
      <c r="X17" s="514">
        <v>10010.634193768772</v>
      </c>
      <c r="Y17" s="513">
        <v>225019.60327001792</v>
      </c>
      <c r="Z17" s="515">
        <v>47725.662805414468</v>
      </c>
      <c r="AA17" s="516"/>
      <c r="AB17" s="511"/>
      <c r="AC17" s="512">
        <v>10</v>
      </c>
      <c r="AD17" s="517">
        <f t="shared" si="0"/>
        <v>283.83021200639712</v>
      </c>
      <c r="AE17" s="517">
        <f t="shared" si="1"/>
        <v>378659.87724204094</v>
      </c>
      <c r="AF17" s="517">
        <f t="shared" si="2"/>
        <v>374353.93865832494</v>
      </c>
      <c r="AG17" s="517">
        <f t="shared" si="3"/>
        <v>672.909311818481</v>
      </c>
      <c r="AH17" s="517">
        <f t="shared" si="4"/>
        <v>282152.70314553566</v>
      </c>
      <c r="AI17" s="517">
        <f t="shared" si="5"/>
        <v>1233.7333477397676</v>
      </c>
      <c r="AJ17" s="517">
        <f t="shared" si="6"/>
        <v>42441.376506561304</v>
      </c>
      <c r="AK17" s="517">
        <f t="shared" si="7"/>
        <v>97451.435701372757</v>
      </c>
      <c r="AL17" s="517">
        <f t="shared" si="8"/>
        <v>29232.070127782426</v>
      </c>
      <c r="AM17" s="517">
        <f t="shared" si="9"/>
        <v>119940.87517890804</v>
      </c>
      <c r="AN17" s="517">
        <f t="shared" si="10"/>
        <v>870.76051896355091</v>
      </c>
      <c r="AO17" s="517">
        <f t="shared" si="11"/>
        <v>282755.90026920114</v>
      </c>
      <c r="AP17" s="517">
        <f t="shared" si="12"/>
        <v>1610049.4102202551</v>
      </c>
      <c r="AQ17" s="517">
        <f t="shared" si="13"/>
        <v>0</v>
      </c>
    </row>
    <row r="18" spans="1:43">
      <c r="A18" s="511"/>
      <c r="B18" s="512">
        <v>11</v>
      </c>
      <c r="C18" s="509">
        <v>1135.6555168648879</v>
      </c>
      <c r="D18" s="513">
        <v>300.92803541616917</v>
      </c>
      <c r="E18" s="513">
        <v>6114.1574924732158</v>
      </c>
      <c r="F18" s="513">
        <v>16292.241889276836</v>
      </c>
      <c r="G18" s="513">
        <v>3596.5136081107794</v>
      </c>
      <c r="H18" s="513">
        <v>330620.60011452471</v>
      </c>
      <c r="I18" s="513">
        <v>31189.7827885441</v>
      </c>
      <c r="J18" s="513">
        <v>180.5001960421269</v>
      </c>
      <c r="K18" s="513">
        <v>310483.34290918813</v>
      </c>
      <c r="L18" s="513">
        <v>51232.893166463058</v>
      </c>
      <c r="M18" s="513">
        <v>487.42025498288461</v>
      </c>
      <c r="N18" s="513">
        <v>168785.81503135245</v>
      </c>
      <c r="O18" s="513">
        <v>104027.12851847924</v>
      </c>
      <c r="P18" s="513">
        <v>1025.5633454753829</v>
      </c>
      <c r="Q18" s="513">
        <v>81098.432100678561</v>
      </c>
      <c r="R18" s="513">
        <v>10005.638078281207</v>
      </c>
      <c r="S18" s="513">
        <v>54625.135703504457</v>
      </c>
      <c r="T18" s="513">
        <v>8800</v>
      </c>
      <c r="U18" s="513">
        <v>22207.493156294691</v>
      </c>
      <c r="V18" s="513">
        <v>90806.934506856458</v>
      </c>
      <c r="W18" s="513">
        <v>27082.463694107151</v>
      </c>
      <c r="X18" s="514">
        <v>10342.35205429801</v>
      </c>
      <c r="Y18" s="513">
        <v>230215.12208845749</v>
      </c>
      <c r="Z18" s="515">
        <v>47530.534485612094</v>
      </c>
      <c r="AA18" s="516"/>
      <c r="AB18" s="511"/>
      <c r="AC18" s="512">
        <v>11</v>
      </c>
      <c r="AD18" s="517">
        <f t="shared" si="0"/>
        <v>300.92803541616917</v>
      </c>
      <c r="AE18" s="517">
        <f t="shared" si="1"/>
        <v>378283.12498838775</v>
      </c>
      <c r="AF18" s="517">
        <f t="shared" si="2"/>
        <v>365312.74968376197</v>
      </c>
      <c r="AG18" s="517">
        <f t="shared" si="3"/>
        <v>487.42025498288461</v>
      </c>
      <c r="AH18" s="517">
        <f t="shared" si="4"/>
        <v>278927.10104230489</v>
      </c>
      <c r="AI18" s="517">
        <f t="shared" si="5"/>
        <v>1025.5633454753829</v>
      </c>
      <c r="AJ18" s="517">
        <f t="shared" si="6"/>
        <v>54625.135703504457</v>
      </c>
      <c r="AK18" s="517">
        <f t="shared" si="7"/>
        <v>91104.070178959766</v>
      </c>
      <c r="AL18" s="517">
        <f t="shared" si="8"/>
        <v>31007.493156294691</v>
      </c>
      <c r="AM18" s="517">
        <f t="shared" si="9"/>
        <v>117889.39820096361</v>
      </c>
      <c r="AN18" s="517">
        <f t="shared" si="10"/>
        <v>1135.6555168648879</v>
      </c>
      <c r="AO18" s="517">
        <f t="shared" si="11"/>
        <v>288088.00862836756</v>
      </c>
      <c r="AP18" s="517">
        <f t="shared" si="12"/>
        <v>1608186.6487352843</v>
      </c>
      <c r="AQ18" s="517">
        <f t="shared" si="13"/>
        <v>0</v>
      </c>
    </row>
    <row r="19" spans="1:43">
      <c r="A19" s="518"/>
      <c r="B19" s="519">
        <v>12</v>
      </c>
      <c r="C19" s="510">
        <v>1618.8545790803726</v>
      </c>
      <c r="D19" s="520">
        <v>412.97515288694592</v>
      </c>
      <c r="E19" s="520">
        <v>6943.2906607028572</v>
      </c>
      <c r="F19" s="520">
        <v>19076.553690975183</v>
      </c>
      <c r="G19" s="520">
        <v>3925.3845605752895</v>
      </c>
      <c r="H19" s="520">
        <v>354544.86058653303</v>
      </c>
      <c r="I19" s="520">
        <v>32610.083724696724</v>
      </c>
      <c r="J19" s="520">
        <v>222.12036729093651</v>
      </c>
      <c r="K19" s="520">
        <v>320359.78111034597</v>
      </c>
      <c r="L19" s="520">
        <v>50194.616277280336</v>
      </c>
      <c r="M19" s="520">
        <v>369.65371571022388</v>
      </c>
      <c r="N19" s="520">
        <v>172662.69922217855</v>
      </c>
      <c r="O19" s="520">
        <v>102125.93593467565</v>
      </c>
      <c r="P19" s="520">
        <v>4.8809029481710775</v>
      </c>
      <c r="Q19" s="520">
        <v>84942.578625793423</v>
      </c>
      <c r="R19" s="520">
        <v>9567.0390281045457</v>
      </c>
      <c r="S19" s="520">
        <v>67453.885605992313</v>
      </c>
      <c r="T19" s="520">
        <v>8800</v>
      </c>
      <c r="U19" s="520">
        <v>22700.07965403856</v>
      </c>
      <c r="V19" s="520">
        <v>90529.256405383232</v>
      </c>
      <c r="W19" s="520">
        <v>29786.869951155088</v>
      </c>
      <c r="X19" s="521">
        <v>10602.56957719397</v>
      </c>
      <c r="Y19" s="520">
        <v>238440.92342162938</v>
      </c>
      <c r="Z19" s="522">
        <v>45754.545469302015</v>
      </c>
      <c r="AA19" s="516"/>
      <c r="AB19" s="518"/>
      <c r="AC19" s="519">
        <v>12</v>
      </c>
      <c r="AD19" s="517">
        <f t="shared" si="0"/>
        <v>412.97515288694592</v>
      </c>
      <c r="AE19" s="517">
        <f t="shared" si="1"/>
        <v>406453.61836949585</v>
      </c>
      <c r="AF19" s="517">
        <f t="shared" si="2"/>
        <v>374479.78194820159</v>
      </c>
      <c r="AG19" s="517">
        <f t="shared" si="3"/>
        <v>369.65371571022388</v>
      </c>
      <c r="AH19" s="517">
        <f t="shared" si="4"/>
        <v>281731.92581755703</v>
      </c>
      <c r="AI19" s="517">
        <f t="shared" si="5"/>
        <v>4.8809029481710775</v>
      </c>
      <c r="AJ19" s="517">
        <f t="shared" si="6"/>
        <v>67453.885605992313</v>
      </c>
      <c r="AK19" s="517">
        <f t="shared" si="7"/>
        <v>94509.617653897963</v>
      </c>
      <c r="AL19" s="517">
        <f t="shared" si="8"/>
        <v>31500.07965403856</v>
      </c>
      <c r="AM19" s="517">
        <f t="shared" si="9"/>
        <v>120316.12635653833</v>
      </c>
      <c r="AN19" s="517">
        <f t="shared" si="10"/>
        <v>1618.8545790803726</v>
      </c>
      <c r="AO19" s="517">
        <f t="shared" si="11"/>
        <v>294798.03846812539</v>
      </c>
      <c r="AP19" s="517">
        <f t="shared" si="12"/>
        <v>1673649.4382244726</v>
      </c>
      <c r="AQ19" s="517">
        <f t="shared" si="13"/>
        <v>0</v>
      </c>
    </row>
    <row r="20" spans="1:43">
      <c r="A20" s="511">
        <f>A8+1</f>
        <v>2019</v>
      </c>
      <c r="B20" s="512">
        <f>B8</f>
        <v>1</v>
      </c>
      <c r="C20" s="509">
        <v>1739.980597237598</v>
      </c>
      <c r="D20" s="513">
        <v>365.52525953067942</v>
      </c>
      <c r="E20" s="513">
        <v>7547.4566690601814</v>
      </c>
      <c r="F20" s="513">
        <v>22161.160769966562</v>
      </c>
      <c r="G20" s="513">
        <v>4185.2492069632372</v>
      </c>
      <c r="H20" s="513">
        <v>365803.48195082397</v>
      </c>
      <c r="I20" s="513">
        <v>33247.263007706155</v>
      </c>
      <c r="J20" s="513">
        <v>189.58311718101658</v>
      </c>
      <c r="K20" s="513">
        <v>315860.64662280033</v>
      </c>
      <c r="L20" s="513">
        <v>48632.93554703526</v>
      </c>
      <c r="M20" s="513">
        <v>170.99659900013023</v>
      </c>
      <c r="N20" s="513">
        <v>172897.78973642687</v>
      </c>
      <c r="O20" s="513">
        <v>105420.53577097067</v>
      </c>
      <c r="P20" s="513">
        <v>5.1424651087255526</v>
      </c>
      <c r="Q20" s="513">
        <v>5036.146205340674</v>
      </c>
      <c r="R20" s="513">
        <v>10195.151370933338</v>
      </c>
      <c r="S20" s="513">
        <v>70930.885595644941</v>
      </c>
      <c r="T20" s="513">
        <v>8800</v>
      </c>
      <c r="U20" s="513">
        <v>27751.400092719166</v>
      </c>
      <c r="V20" s="513">
        <v>82216.921547368547</v>
      </c>
      <c r="W20" s="513">
        <v>26066.305368845533</v>
      </c>
      <c r="X20" s="514">
        <v>11875.097056684868</v>
      </c>
      <c r="Y20" s="513">
        <v>243800.76998483913</v>
      </c>
      <c r="Z20" s="515">
        <v>45521.15405448954</v>
      </c>
      <c r="AA20" s="516"/>
      <c r="AB20" s="511">
        <f>AB8+1</f>
        <v>2019</v>
      </c>
      <c r="AC20" s="512">
        <f>AC8</f>
        <v>1</v>
      </c>
      <c r="AD20" s="517">
        <f t="shared" si="0"/>
        <v>365.52525953067942</v>
      </c>
      <c r="AE20" s="517">
        <f t="shared" si="1"/>
        <v>421401.4888456777</v>
      </c>
      <c r="AF20" s="517">
        <f t="shared" si="2"/>
        <v>368678.8313767988</v>
      </c>
      <c r="AG20" s="517">
        <f t="shared" si="3"/>
        <v>170.99659900013023</v>
      </c>
      <c r="AH20" s="517">
        <f t="shared" si="4"/>
        <v>285865.78217645775</v>
      </c>
      <c r="AI20" s="517">
        <f t="shared" si="5"/>
        <v>5.1424651087255526</v>
      </c>
      <c r="AJ20" s="517">
        <f t="shared" si="6"/>
        <v>70930.885595644941</v>
      </c>
      <c r="AK20" s="517">
        <f t="shared" si="7"/>
        <v>15231.297576274012</v>
      </c>
      <c r="AL20" s="517">
        <f t="shared" si="8"/>
        <v>36551.400092719166</v>
      </c>
      <c r="AM20" s="517">
        <f t="shared" si="9"/>
        <v>108283.22691621407</v>
      </c>
      <c r="AN20" s="517">
        <f t="shared" si="10"/>
        <v>1739.980597237598</v>
      </c>
      <c r="AO20" s="517">
        <f t="shared" si="11"/>
        <v>301197.02109601354</v>
      </c>
      <c r="AP20" s="517">
        <f t="shared" si="12"/>
        <v>1610421.5785966769</v>
      </c>
      <c r="AQ20" s="517">
        <f t="shared" si="13"/>
        <v>0</v>
      </c>
    </row>
    <row r="21" spans="1:43">
      <c r="A21" s="511"/>
      <c r="B21" s="512">
        <f t="shared" ref="B21:B31" si="14">B9</f>
        <v>2</v>
      </c>
      <c r="C21" s="509">
        <v>1692.5689810339286</v>
      </c>
      <c r="D21" s="513">
        <v>317.27316820879003</v>
      </c>
      <c r="E21" s="513">
        <v>7271.9444312351034</v>
      </c>
      <c r="F21" s="513">
        <v>20556.743940924091</v>
      </c>
      <c r="G21" s="513">
        <v>4126.2268610274932</v>
      </c>
      <c r="H21" s="513">
        <v>362224.37246690661</v>
      </c>
      <c r="I21" s="513">
        <v>33237.945077369091</v>
      </c>
      <c r="J21" s="513">
        <v>192.99877800479271</v>
      </c>
      <c r="K21" s="513">
        <v>314752.35435621493</v>
      </c>
      <c r="L21" s="513">
        <v>49823.450433976483</v>
      </c>
      <c r="M21" s="513">
        <v>167.94756007008129</v>
      </c>
      <c r="N21" s="513">
        <v>172809.15892061085</v>
      </c>
      <c r="O21" s="513">
        <v>105092.46702829131</v>
      </c>
      <c r="P21" s="513">
        <v>4.697048003182557</v>
      </c>
      <c r="Q21" s="513">
        <v>9063.1649395818204</v>
      </c>
      <c r="R21" s="513">
        <v>10136.809223927683</v>
      </c>
      <c r="S21" s="513">
        <v>69842.62498593959</v>
      </c>
      <c r="T21" s="513">
        <v>8800</v>
      </c>
      <c r="U21" s="513">
        <v>31712.417791911019</v>
      </c>
      <c r="V21" s="513">
        <v>80620.053322538646</v>
      </c>
      <c r="W21" s="513">
        <v>26697.764209650042</v>
      </c>
      <c r="X21" s="514">
        <v>11629.936447253544</v>
      </c>
      <c r="Y21" s="513">
        <v>249061.150471281</v>
      </c>
      <c r="Z21" s="515">
        <v>44912.50749054394</v>
      </c>
      <c r="AA21" s="516"/>
      <c r="AB21" s="511"/>
      <c r="AC21" s="512">
        <f t="shared" ref="AC21:AC31" si="15">AC9</f>
        <v>2</v>
      </c>
      <c r="AD21" s="517">
        <f t="shared" si="0"/>
        <v>317.27316820879003</v>
      </c>
      <c r="AE21" s="517">
        <f t="shared" si="1"/>
        <v>416212.06026320462</v>
      </c>
      <c r="AF21" s="517">
        <f t="shared" si="2"/>
        <v>368702.03165121889</v>
      </c>
      <c r="AG21" s="517">
        <f t="shared" si="3"/>
        <v>167.94756007008129</v>
      </c>
      <c r="AH21" s="517">
        <f t="shared" si="4"/>
        <v>285173.5703801373</v>
      </c>
      <c r="AI21" s="517">
        <f t="shared" si="5"/>
        <v>4.697048003182557</v>
      </c>
      <c r="AJ21" s="517">
        <f t="shared" si="6"/>
        <v>69842.62498593959</v>
      </c>
      <c r="AK21" s="517">
        <f t="shared" si="7"/>
        <v>19199.974163509505</v>
      </c>
      <c r="AL21" s="517">
        <f t="shared" si="8"/>
        <v>40512.417791911023</v>
      </c>
      <c r="AM21" s="517">
        <f t="shared" si="9"/>
        <v>107317.8175321887</v>
      </c>
      <c r="AN21" s="517">
        <f t="shared" si="10"/>
        <v>1692.5689810339286</v>
      </c>
      <c r="AO21" s="517">
        <f t="shared" si="11"/>
        <v>305603.59440907848</v>
      </c>
      <c r="AP21" s="517">
        <f t="shared" si="12"/>
        <v>1614746.577934504</v>
      </c>
      <c r="AQ21" s="517">
        <f t="shared" si="13"/>
        <v>0</v>
      </c>
    </row>
    <row r="22" spans="1:43">
      <c r="A22" s="511"/>
      <c r="B22" s="512">
        <f t="shared" si="14"/>
        <v>3</v>
      </c>
      <c r="C22" s="509">
        <v>1586.5122192478736</v>
      </c>
      <c r="D22" s="513">
        <v>298.96827383255817</v>
      </c>
      <c r="E22" s="513">
        <v>6858.8442578455533</v>
      </c>
      <c r="F22" s="513">
        <v>18394.087173235159</v>
      </c>
      <c r="G22" s="513">
        <v>3608.6638665311307</v>
      </c>
      <c r="H22" s="513">
        <v>334731.22873380943</v>
      </c>
      <c r="I22" s="513">
        <v>31825.848310982532</v>
      </c>
      <c r="J22" s="513">
        <v>235.78750245354271</v>
      </c>
      <c r="K22" s="513">
        <v>309107.88613225927</v>
      </c>
      <c r="L22" s="513">
        <v>48098.663806313773</v>
      </c>
      <c r="M22" s="513">
        <v>206.30823881796022</v>
      </c>
      <c r="N22" s="513">
        <v>170234.44726967253</v>
      </c>
      <c r="O22" s="513">
        <v>99768.872029276943</v>
      </c>
      <c r="P22" s="513">
        <v>4.9651199999999998</v>
      </c>
      <c r="Q22" s="513">
        <v>14000.239689862976</v>
      </c>
      <c r="R22" s="513">
        <v>9259.2403684508881</v>
      </c>
      <c r="S22" s="513">
        <v>64801.220432277711</v>
      </c>
      <c r="T22" s="513">
        <v>8800</v>
      </c>
      <c r="U22" s="513">
        <v>28894.799826706414</v>
      </c>
      <c r="V22" s="513">
        <v>89823.15249879178</v>
      </c>
      <c r="W22" s="513">
        <v>28701.362892129102</v>
      </c>
      <c r="X22" s="514">
        <v>10992.006517024447</v>
      </c>
      <c r="Y22" s="513">
        <v>248577.94869745514</v>
      </c>
      <c r="Z22" s="515">
        <v>44990.548772438786</v>
      </c>
      <c r="AA22" s="516"/>
      <c r="AB22" s="511"/>
      <c r="AC22" s="512">
        <f t="shared" si="15"/>
        <v>3</v>
      </c>
      <c r="AD22" s="517">
        <f t="shared" si="0"/>
        <v>298.96827383255817</v>
      </c>
      <c r="AE22" s="517">
        <f t="shared" si="1"/>
        <v>385186.95172048063</v>
      </c>
      <c r="AF22" s="517">
        <f t="shared" si="2"/>
        <v>360815.21380510414</v>
      </c>
      <c r="AG22" s="517">
        <f t="shared" si="3"/>
        <v>206.30823881796022</v>
      </c>
      <c r="AH22" s="517">
        <f t="shared" si="4"/>
        <v>276862.16355679499</v>
      </c>
      <c r="AI22" s="517">
        <f t="shared" si="5"/>
        <v>4.9651199999999998</v>
      </c>
      <c r="AJ22" s="517">
        <f t="shared" si="6"/>
        <v>64801.220432277711</v>
      </c>
      <c r="AK22" s="517">
        <f t="shared" si="7"/>
        <v>23259.480058313864</v>
      </c>
      <c r="AL22" s="517">
        <f t="shared" si="8"/>
        <v>37694.79982670641</v>
      </c>
      <c r="AM22" s="517">
        <f t="shared" si="9"/>
        <v>118524.51539092089</v>
      </c>
      <c r="AN22" s="517">
        <f t="shared" si="10"/>
        <v>1586.5122192478736</v>
      </c>
      <c r="AO22" s="517">
        <f t="shared" si="11"/>
        <v>304560.50398691837</v>
      </c>
      <c r="AP22" s="517">
        <f t="shared" si="12"/>
        <v>1573801.6026294152</v>
      </c>
      <c r="AQ22" s="517">
        <f t="shared" si="13"/>
        <v>0</v>
      </c>
    </row>
    <row r="23" spans="1:43">
      <c r="A23" s="511"/>
      <c r="B23" s="512">
        <f t="shared" si="14"/>
        <v>4</v>
      </c>
      <c r="C23" s="509">
        <v>1439.2908877466491</v>
      </c>
      <c r="D23" s="513">
        <v>273.1673010748857</v>
      </c>
      <c r="E23" s="513">
        <v>6391.2519100080681</v>
      </c>
      <c r="F23" s="513">
        <v>16217.71245827012</v>
      </c>
      <c r="G23" s="513">
        <v>3351.3913286891675</v>
      </c>
      <c r="H23" s="513">
        <v>282936.23493705463</v>
      </c>
      <c r="I23" s="513">
        <v>31790.478329715897</v>
      </c>
      <c r="J23" s="513">
        <v>312.59692515403611</v>
      </c>
      <c r="K23" s="513">
        <v>309197.18131380278</v>
      </c>
      <c r="L23" s="513">
        <v>49017.883202537727</v>
      </c>
      <c r="M23" s="513">
        <v>328.63452272857944</v>
      </c>
      <c r="N23" s="513">
        <v>169825.4117715836</v>
      </c>
      <c r="O23" s="513">
        <v>103927.42660956149</v>
      </c>
      <c r="P23" s="513">
        <v>5.4336482766832193</v>
      </c>
      <c r="Q23" s="513">
        <v>13826.698007772517</v>
      </c>
      <c r="R23" s="513">
        <v>4321.4343044351563</v>
      </c>
      <c r="S23" s="513">
        <v>60885.829924473837</v>
      </c>
      <c r="T23" s="513">
        <v>8800</v>
      </c>
      <c r="U23" s="513">
        <v>24593.607457578622</v>
      </c>
      <c r="V23" s="513">
        <v>87311.730250191205</v>
      </c>
      <c r="W23" s="513">
        <v>30568.448437503343</v>
      </c>
      <c r="X23" s="514">
        <v>11185.109747613393</v>
      </c>
      <c r="Y23" s="513">
        <v>233553.83381480421</v>
      </c>
      <c r="Z23" s="515">
        <v>41726.704456707936</v>
      </c>
      <c r="AA23" s="516"/>
      <c r="AB23" s="511"/>
      <c r="AC23" s="512">
        <f t="shared" si="15"/>
        <v>4</v>
      </c>
      <c r="AD23" s="517">
        <f t="shared" si="0"/>
        <v>273.1673010748857</v>
      </c>
      <c r="AE23" s="517">
        <f t="shared" si="1"/>
        <v>331257.0226501947</v>
      </c>
      <c r="AF23" s="517">
        <f t="shared" si="2"/>
        <v>361566.45584502968</v>
      </c>
      <c r="AG23" s="517">
        <f t="shared" si="3"/>
        <v>328.63452272857944</v>
      </c>
      <c r="AH23" s="517">
        <f t="shared" si="4"/>
        <v>280144.09029115317</v>
      </c>
      <c r="AI23" s="517">
        <f t="shared" si="5"/>
        <v>5.4336482766832193</v>
      </c>
      <c r="AJ23" s="517">
        <f t="shared" si="6"/>
        <v>60885.829924473837</v>
      </c>
      <c r="AK23" s="517">
        <f t="shared" si="7"/>
        <v>18148.132312207672</v>
      </c>
      <c r="AL23" s="517">
        <f t="shared" si="8"/>
        <v>33393.607457578619</v>
      </c>
      <c r="AM23" s="517">
        <f t="shared" si="9"/>
        <v>117880.17868769454</v>
      </c>
      <c r="AN23" s="517">
        <f t="shared" si="10"/>
        <v>1439.2908877466491</v>
      </c>
      <c r="AO23" s="517">
        <f t="shared" si="11"/>
        <v>286465.64801912557</v>
      </c>
      <c r="AP23" s="517">
        <f t="shared" si="12"/>
        <v>1491787.4915472846</v>
      </c>
      <c r="AQ23" s="517">
        <f t="shared" si="13"/>
        <v>0</v>
      </c>
    </row>
    <row r="24" spans="1:43">
      <c r="A24" s="511"/>
      <c r="B24" s="512">
        <f t="shared" si="14"/>
        <v>5</v>
      </c>
      <c r="C24" s="509">
        <v>1188.924977565556</v>
      </c>
      <c r="D24" s="513">
        <v>277.54237624272474</v>
      </c>
      <c r="E24" s="513">
        <v>6359.0877482876476</v>
      </c>
      <c r="F24" s="513">
        <v>14489.987671847057</v>
      </c>
      <c r="G24" s="513">
        <v>3323.3790646703651</v>
      </c>
      <c r="H24" s="513">
        <v>366277.0291223916</v>
      </c>
      <c r="I24" s="513">
        <v>30893.392983801372</v>
      </c>
      <c r="J24" s="513">
        <v>290.00940912234739</v>
      </c>
      <c r="K24" s="513">
        <v>318068.2535153061</v>
      </c>
      <c r="L24" s="513">
        <v>51390.392202946627</v>
      </c>
      <c r="M24" s="513">
        <v>534.3449411684511</v>
      </c>
      <c r="N24" s="513">
        <v>176765.95627539774</v>
      </c>
      <c r="O24" s="513">
        <v>104100.44088340018</v>
      </c>
      <c r="P24" s="513">
        <v>847.58638237876391</v>
      </c>
      <c r="Q24" s="513">
        <v>15931.743892422592</v>
      </c>
      <c r="R24" s="513">
        <v>10308.152609324057</v>
      </c>
      <c r="S24" s="513">
        <v>51057.879383454318</v>
      </c>
      <c r="T24" s="513">
        <v>8800</v>
      </c>
      <c r="U24" s="513">
        <v>22326.047070518634</v>
      </c>
      <c r="V24" s="513">
        <v>85968.725623845341</v>
      </c>
      <c r="W24" s="513">
        <v>28458.754948893591</v>
      </c>
      <c r="X24" s="514">
        <v>11352.262174192092</v>
      </c>
      <c r="Y24" s="513">
        <v>265053.27395790804</v>
      </c>
      <c r="Z24" s="515">
        <v>44766.540718238182</v>
      </c>
      <c r="AA24" s="516"/>
      <c r="AB24" s="511"/>
      <c r="AC24" s="512">
        <f t="shared" si="15"/>
        <v>5</v>
      </c>
      <c r="AD24" s="517">
        <f t="shared" si="0"/>
        <v>277.54237624272474</v>
      </c>
      <c r="AE24" s="517">
        <f t="shared" si="1"/>
        <v>411950.41918716236</v>
      </c>
      <c r="AF24" s="517">
        <f t="shared" si="2"/>
        <v>372782.02478292311</v>
      </c>
      <c r="AG24" s="517">
        <f t="shared" si="3"/>
        <v>534.3449411684511</v>
      </c>
      <c r="AH24" s="517">
        <f t="shared" si="4"/>
        <v>287225.48490708554</v>
      </c>
      <c r="AI24" s="517">
        <f t="shared" si="5"/>
        <v>847.58638237876391</v>
      </c>
      <c r="AJ24" s="517">
        <f t="shared" si="6"/>
        <v>51057.879383454318</v>
      </c>
      <c r="AK24" s="517">
        <f t="shared" si="7"/>
        <v>26239.896501746647</v>
      </c>
      <c r="AL24" s="517">
        <f t="shared" si="8"/>
        <v>31126.047070518634</v>
      </c>
      <c r="AM24" s="517">
        <f t="shared" si="9"/>
        <v>114427.48057273893</v>
      </c>
      <c r="AN24" s="517">
        <f t="shared" si="10"/>
        <v>1188.924977565556</v>
      </c>
      <c r="AO24" s="517">
        <f t="shared" si="11"/>
        <v>321172.07685033832</v>
      </c>
      <c r="AP24" s="517">
        <f t="shared" si="12"/>
        <v>1618829.7079333237</v>
      </c>
      <c r="AQ24" s="517">
        <f t="shared" si="13"/>
        <v>0</v>
      </c>
    </row>
    <row r="25" spans="1:43">
      <c r="A25" s="511"/>
      <c r="B25" s="512">
        <f t="shared" si="14"/>
        <v>6</v>
      </c>
      <c r="C25" s="509">
        <v>917.30412970468785</v>
      </c>
      <c r="D25" s="513">
        <v>321.09372055464263</v>
      </c>
      <c r="E25" s="513">
        <v>6171.1049461904659</v>
      </c>
      <c r="F25" s="513">
        <v>13278.953673837088</v>
      </c>
      <c r="G25" s="513">
        <v>3404.0250734816209</v>
      </c>
      <c r="H25" s="513">
        <v>337093.89768473129</v>
      </c>
      <c r="I25" s="513">
        <v>30550.60194915739</v>
      </c>
      <c r="J25" s="513">
        <v>375.12120940633105</v>
      </c>
      <c r="K25" s="513">
        <v>309930.31516901311</v>
      </c>
      <c r="L25" s="513">
        <v>50679.98614588927</v>
      </c>
      <c r="M25" s="513">
        <v>576.67294281754141</v>
      </c>
      <c r="N25" s="513">
        <v>174497.08053821043</v>
      </c>
      <c r="O25" s="513">
        <v>102740.57989684149</v>
      </c>
      <c r="P25" s="513">
        <v>1225.7195960079516</v>
      </c>
      <c r="Q25" s="513">
        <v>9637.2230479671416</v>
      </c>
      <c r="R25" s="513">
        <v>9835.7846247267935</v>
      </c>
      <c r="S25" s="513">
        <v>41449.451945868954</v>
      </c>
      <c r="T25" s="513">
        <v>8800</v>
      </c>
      <c r="U25" s="513">
        <v>24069.243392217748</v>
      </c>
      <c r="V25" s="513">
        <v>86863.819499543461</v>
      </c>
      <c r="W25" s="513">
        <v>29368.74270928606</v>
      </c>
      <c r="X25" s="514">
        <v>10971.71059586224</v>
      </c>
      <c r="Y25" s="513">
        <v>240272.79559030442</v>
      </c>
      <c r="Z25" s="515">
        <v>46678.962225469681</v>
      </c>
      <c r="AA25" s="516"/>
      <c r="AB25" s="511"/>
      <c r="AC25" s="512">
        <f t="shared" si="15"/>
        <v>6</v>
      </c>
      <c r="AD25" s="517">
        <f t="shared" si="0"/>
        <v>321.09372055464263</v>
      </c>
      <c r="AE25" s="517">
        <f t="shared" si="1"/>
        <v>381298.57451713207</v>
      </c>
      <c r="AF25" s="517">
        <f t="shared" si="2"/>
        <v>364014.32638838398</v>
      </c>
      <c r="AG25" s="517">
        <f t="shared" si="3"/>
        <v>576.67294281754141</v>
      </c>
      <c r="AH25" s="517">
        <f t="shared" si="4"/>
        <v>283408.76538124238</v>
      </c>
      <c r="AI25" s="517">
        <f t="shared" si="5"/>
        <v>1225.7195960079516</v>
      </c>
      <c r="AJ25" s="517">
        <f t="shared" si="6"/>
        <v>41449.451945868954</v>
      </c>
      <c r="AK25" s="517">
        <f t="shared" si="7"/>
        <v>19473.007672693937</v>
      </c>
      <c r="AL25" s="517">
        <f t="shared" si="8"/>
        <v>32869.243392217744</v>
      </c>
      <c r="AM25" s="517">
        <f t="shared" si="9"/>
        <v>116232.56220882952</v>
      </c>
      <c r="AN25" s="517">
        <f t="shared" si="10"/>
        <v>917.30412970468785</v>
      </c>
      <c r="AO25" s="517">
        <f t="shared" si="11"/>
        <v>297923.46841163636</v>
      </c>
      <c r="AP25" s="517">
        <f t="shared" si="12"/>
        <v>1539710.1903070896</v>
      </c>
      <c r="AQ25" s="517">
        <f t="shared" si="13"/>
        <v>0</v>
      </c>
    </row>
    <row r="26" spans="1:43">
      <c r="A26" s="511"/>
      <c r="B26" s="512">
        <f t="shared" si="14"/>
        <v>7</v>
      </c>
      <c r="C26" s="509">
        <v>748.21966074960687</v>
      </c>
      <c r="D26" s="513">
        <v>378.14822197612546</v>
      </c>
      <c r="E26" s="513">
        <v>6183.8350219531858</v>
      </c>
      <c r="F26" s="513">
        <v>13501.639083356717</v>
      </c>
      <c r="G26" s="513">
        <v>4334.1554591852055</v>
      </c>
      <c r="H26" s="513">
        <v>339263.04238039197</v>
      </c>
      <c r="I26" s="513">
        <v>31125.010552315078</v>
      </c>
      <c r="J26" s="513">
        <v>331.74259355650469</v>
      </c>
      <c r="K26" s="513">
        <v>321242.74183298083</v>
      </c>
      <c r="L26" s="513">
        <v>49984.849713562457</v>
      </c>
      <c r="M26" s="513">
        <v>814.83273629731445</v>
      </c>
      <c r="N26" s="513">
        <v>170763.56449953618</v>
      </c>
      <c r="O26" s="513">
        <v>103877.97489017936</v>
      </c>
      <c r="P26" s="513">
        <v>1285.6167119994693</v>
      </c>
      <c r="Q26" s="513">
        <v>9860.3101633481692</v>
      </c>
      <c r="R26" s="513">
        <v>10591.920747194876</v>
      </c>
      <c r="S26" s="513">
        <v>31961.798838355233</v>
      </c>
      <c r="T26" s="513">
        <v>8800</v>
      </c>
      <c r="U26" s="513">
        <v>23267.356897484035</v>
      </c>
      <c r="V26" s="513">
        <v>88268.909614456963</v>
      </c>
      <c r="W26" s="513">
        <v>30804.007818751583</v>
      </c>
      <c r="X26" s="514">
        <v>10709.924727519663</v>
      </c>
      <c r="Y26" s="513">
        <v>243642.65587081778</v>
      </c>
      <c r="Z26" s="515">
        <v>46288.352017079604</v>
      </c>
      <c r="AA26" s="516"/>
      <c r="AB26" s="511"/>
      <c r="AC26" s="512">
        <f t="shared" si="15"/>
        <v>7</v>
      </c>
      <c r="AD26" s="517">
        <f t="shared" si="0"/>
        <v>378.14822197612546</v>
      </c>
      <c r="AE26" s="517">
        <f t="shared" si="1"/>
        <v>384221.43460962031</v>
      </c>
      <c r="AF26" s="517">
        <f t="shared" si="2"/>
        <v>375561.74700572848</v>
      </c>
      <c r="AG26" s="517">
        <f t="shared" si="3"/>
        <v>814.83273629731445</v>
      </c>
      <c r="AH26" s="517">
        <f t="shared" si="4"/>
        <v>280825.37441166874</v>
      </c>
      <c r="AI26" s="517">
        <f t="shared" si="5"/>
        <v>1285.6167119994693</v>
      </c>
      <c r="AJ26" s="517">
        <f t="shared" si="6"/>
        <v>31961.798838355233</v>
      </c>
      <c r="AK26" s="517">
        <f t="shared" si="7"/>
        <v>20452.230910543047</v>
      </c>
      <c r="AL26" s="517">
        <f t="shared" si="8"/>
        <v>32067.356897484035</v>
      </c>
      <c r="AM26" s="517">
        <f t="shared" si="9"/>
        <v>119072.91743320855</v>
      </c>
      <c r="AN26" s="517">
        <f t="shared" si="10"/>
        <v>748.21966074960687</v>
      </c>
      <c r="AO26" s="517">
        <f t="shared" si="11"/>
        <v>300640.93261541706</v>
      </c>
      <c r="AP26" s="517">
        <f t="shared" si="12"/>
        <v>1548030.6100530482</v>
      </c>
      <c r="AQ26" s="517">
        <f t="shared" si="13"/>
        <v>0</v>
      </c>
    </row>
    <row r="27" spans="1:43">
      <c r="A27" s="511"/>
      <c r="B27" s="512">
        <f t="shared" si="14"/>
        <v>8</v>
      </c>
      <c r="C27" s="509">
        <v>634.84026736126043</v>
      </c>
      <c r="D27" s="513">
        <v>379.52753014911019</v>
      </c>
      <c r="E27" s="513">
        <v>6341.9496019569015</v>
      </c>
      <c r="F27" s="513">
        <v>14251.532294776065</v>
      </c>
      <c r="G27" s="513">
        <v>4580.2847275574859</v>
      </c>
      <c r="H27" s="513">
        <v>338374.36300408869</v>
      </c>
      <c r="I27" s="513">
        <v>31371.213863054279</v>
      </c>
      <c r="J27" s="513">
        <v>283.71940190780782</v>
      </c>
      <c r="K27" s="513">
        <v>322315.96421735844</v>
      </c>
      <c r="L27" s="513">
        <v>51406.897350112915</v>
      </c>
      <c r="M27" s="513">
        <v>1040.6003146373432</v>
      </c>
      <c r="N27" s="513">
        <v>169665.93921091352</v>
      </c>
      <c r="O27" s="513">
        <v>103949.34563124532</v>
      </c>
      <c r="P27" s="513">
        <v>1451.7326615045181</v>
      </c>
      <c r="Q27" s="513">
        <v>6849.6905059983483</v>
      </c>
      <c r="R27" s="513">
        <v>9950.6279462758248</v>
      </c>
      <c r="S27" s="513">
        <v>21801.71357104601</v>
      </c>
      <c r="T27" s="513">
        <v>8800</v>
      </c>
      <c r="U27" s="513">
        <v>22658.905144212571</v>
      </c>
      <c r="V27" s="513">
        <v>86978.907045876069</v>
      </c>
      <c r="W27" s="513">
        <v>29942.650094975852</v>
      </c>
      <c r="X27" s="514">
        <v>10826.811778597432</v>
      </c>
      <c r="Y27" s="513">
        <v>242155.29213896589</v>
      </c>
      <c r="Z27" s="515">
        <v>45654.797036562071</v>
      </c>
      <c r="AA27" s="516"/>
      <c r="AB27" s="511"/>
      <c r="AC27" s="512">
        <f t="shared" si="15"/>
        <v>8</v>
      </c>
      <c r="AD27" s="517">
        <f t="shared" si="0"/>
        <v>379.52753014911019</v>
      </c>
      <c r="AE27" s="517">
        <f t="shared" si="1"/>
        <v>384280.82856382686</v>
      </c>
      <c r="AF27" s="517">
        <f t="shared" si="2"/>
        <v>378303.14629502886</v>
      </c>
      <c r="AG27" s="517">
        <f t="shared" si="3"/>
        <v>1040.6003146373432</v>
      </c>
      <c r="AH27" s="517">
        <f t="shared" si="4"/>
        <v>279957.23444411578</v>
      </c>
      <c r="AI27" s="517">
        <f t="shared" si="5"/>
        <v>1451.7326615045181</v>
      </c>
      <c r="AJ27" s="517">
        <f t="shared" si="6"/>
        <v>21801.71357104601</v>
      </c>
      <c r="AK27" s="517">
        <f t="shared" si="7"/>
        <v>16800.318452274172</v>
      </c>
      <c r="AL27" s="517">
        <f t="shared" si="8"/>
        <v>31458.905144212571</v>
      </c>
      <c r="AM27" s="517">
        <f t="shared" si="9"/>
        <v>116921.55714085192</v>
      </c>
      <c r="AN27" s="517">
        <f t="shared" si="10"/>
        <v>634.84026736126043</v>
      </c>
      <c r="AO27" s="517">
        <f t="shared" si="11"/>
        <v>298636.90095412539</v>
      </c>
      <c r="AP27" s="517">
        <f t="shared" si="12"/>
        <v>1531667.3053391338</v>
      </c>
      <c r="AQ27" s="517">
        <f t="shared" si="13"/>
        <v>0</v>
      </c>
    </row>
    <row r="28" spans="1:43">
      <c r="A28" s="511"/>
      <c r="B28" s="512">
        <f t="shared" si="14"/>
        <v>9</v>
      </c>
      <c r="C28" s="509">
        <v>692.1631262586003</v>
      </c>
      <c r="D28" s="513">
        <v>334.95181597246346</v>
      </c>
      <c r="E28" s="513">
        <v>6468.6570615704404</v>
      </c>
      <c r="F28" s="513">
        <v>14496.00148901606</v>
      </c>
      <c r="G28" s="513">
        <v>4600.5933682921304</v>
      </c>
      <c r="H28" s="513">
        <v>347151.75117727055</v>
      </c>
      <c r="I28" s="513">
        <v>30984.5263448447</v>
      </c>
      <c r="J28" s="513">
        <v>255.70985358335113</v>
      </c>
      <c r="K28" s="513">
        <v>319686.84880398831</v>
      </c>
      <c r="L28" s="513">
        <v>51764.904628580567</v>
      </c>
      <c r="M28" s="513">
        <v>879.61058388129027</v>
      </c>
      <c r="N28" s="513">
        <v>171425.16581033831</v>
      </c>
      <c r="O28" s="513">
        <v>102963.59566720309</v>
      </c>
      <c r="P28" s="513">
        <v>1482.1555733934727</v>
      </c>
      <c r="Q28" s="513">
        <v>9709.0723845523153</v>
      </c>
      <c r="R28" s="513">
        <v>11016.237711360731</v>
      </c>
      <c r="S28" s="513">
        <v>32080.131962490552</v>
      </c>
      <c r="T28" s="513">
        <v>8800</v>
      </c>
      <c r="U28" s="513">
        <v>19454.358288394</v>
      </c>
      <c r="V28" s="513">
        <v>92733.71539685833</v>
      </c>
      <c r="W28" s="513">
        <v>30703.149837883837</v>
      </c>
      <c r="X28" s="514">
        <v>10086.96532076987</v>
      </c>
      <c r="Y28" s="513">
        <v>236016.15069371043</v>
      </c>
      <c r="Z28" s="515">
        <v>47895.899467894291</v>
      </c>
      <c r="AA28" s="516"/>
      <c r="AB28" s="511"/>
      <c r="AC28" s="512">
        <f t="shared" si="15"/>
        <v>9</v>
      </c>
      <c r="AD28" s="517">
        <f t="shared" si="0"/>
        <v>334.95181597246346</v>
      </c>
      <c r="AE28" s="517">
        <f t="shared" si="1"/>
        <v>392887.98886471469</v>
      </c>
      <c r="AF28" s="517">
        <f t="shared" si="2"/>
        <v>376052.34680086101</v>
      </c>
      <c r="AG28" s="517">
        <f t="shared" si="3"/>
        <v>879.61058388129027</v>
      </c>
      <c r="AH28" s="517">
        <f t="shared" si="4"/>
        <v>280857.41853911185</v>
      </c>
      <c r="AI28" s="517">
        <f t="shared" si="5"/>
        <v>1482.1555733934727</v>
      </c>
      <c r="AJ28" s="517">
        <f t="shared" si="6"/>
        <v>32080.131962490552</v>
      </c>
      <c r="AK28" s="517">
        <f t="shared" si="7"/>
        <v>20725.310095913046</v>
      </c>
      <c r="AL28" s="517">
        <f t="shared" si="8"/>
        <v>28254.358288394</v>
      </c>
      <c r="AM28" s="517">
        <f t="shared" si="9"/>
        <v>123436.86523474217</v>
      </c>
      <c r="AN28" s="517">
        <f t="shared" si="10"/>
        <v>692.1631262586003</v>
      </c>
      <c r="AO28" s="517">
        <f t="shared" si="11"/>
        <v>293999.01548237458</v>
      </c>
      <c r="AP28" s="517">
        <f t="shared" si="12"/>
        <v>1551682.3163681077</v>
      </c>
      <c r="AQ28" s="517">
        <f t="shared" si="13"/>
        <v>0</v>
      </c>
    </row>
    <row r="29" spans="1:43">
      <c r="A29" s="491"/>
      <c r="B29" s="492">
        <f t="shared" si="14"/>
        <v>10</v>
      </c>
      <c r="C29" s="493">
        <v>870.76051896355091</v>
      </c>
      <c r="D29" s="488">
        <v>283.83021200639712</v>
      </c>
      <c r="E29" s="488">
        <v>6175.7889796736063</v>
      </c>
      <c r="F29" s="488">
        <v>14682.162566968593</v>
      </c>
      <c r="G29" s="488">
        <v>3765.0008997090922</v>
      </c>
      <c r="H29" s="488">
        <v>335087.5530171101</v>
      </c>
      <c r="I29" s="488">
        <v>31047.266678766038</v>
      </c>
      <c r="J29" s="488">
        <v>230.9692065974449</v>
      </c>
      <c r="K29" s="488">
        <v>315243.40965658048</v>
      </c>
      <c r="L29" s="488">
        <v>51092.612331819641</v>
      </c>
      <c r="M29" s="488">
        <v>684.16608149438957</v>
      </c>
      <c r="N29" s="488">
        <v>171462.95236537553</v>
      </c>
      <c r="O29" s="488">
        <v>104284.16161806222</v>
      </c>
      <c r="P29" s="488">
        <v>1235.8527443067471</v>
      </c>
      <c r="Q29" s="488">
        <v>14054.012242153494</v>
      </c>
      <c r="R29" s="488">
        <v>10604.391654406758</v>
      </c>
      <c r="S29" s="488">
        <v>42441.376506561304</v>
      </c>
      <c r="T29" s="488">
        <v>8800</v>
      </c>
      <c r="U29" s="488">
        <v>20432.070127782426</v>
      </c>
      <c r="V29" s="488">
        <v>90624.95402230855</v>
      </c>
      <c r="W29" s="488">
        <v>29315.921156599488</v>
      </c>
      <c r="X29" s="494">
        <v>9447.8701836171003</v>
      </c>
      <c r="Y29" s="488">
        <v>225873.76933317035</v>
      </c>
      <c r="Z29" s="495">
        <v>48245.098756593085</v>
      </c>
      <c r="AB29" s="491"/>
      <c r="AC29" s="492">
        <f t="shared" si="15"/>
        <v>10</v>
      </c>
      <c r="AD29" s="508">
        <f t="shared" si="0"/>
        <v>283.83021200639712</v>
      </c>
      <c r="AE29" s="508">
        <f t="shared" si="1"/>
        <v>381047.95146944217</v>
      </c>
      <c r="AF29" s="508">
        <f t="shared" si="2"/>
        <v>370101.02288810926</v>
      </c>
      <c r="AG29" s="508">
        <f t="shared" si="3"/>
        <v>684.16608149438957</v>
      </c>
      <c r="AH29" s="508">
        <f t="shared" si="4"/>
        <v>281922.90296311135</v>
      </c>
      <c r="AI29" s="508">
        <f t="shared" si="5"/>
        <v>1235.8527443067471</v>
      </c>
      <c r="AJ29" s="508">
        <f t="shared" si="6"/>
        <v>42441.376506561304</v>
      </c>
      <c r="AK29" s="508">
        <f t="shared" si="7"/>
        <v>24658.403896560252</v>
      </c>
      <c r="AL29" s="508">
        <f t="shared" si="8"/>
        <v>29232.070127782426</v>
      </c>
      <c r="AM29" s="508">
        <f t="shared" si="9"/>
        <v>119940.87517890804</v>
      </c>
      <c r="AN29" s="508">
        <f t="shared" si="10"/>
        <v>870.76051896355091</v>
      </c>
      <c r="AO29" s="508">
        <f t="shared" si="11"/>
        <v>283566.73827338056</v>
      </c>
      <c r="AP29" s="508">
        <f t="shared" si="12"/>
        <v>1535985.9508606263</v>
      </c>
      <c r="AQ29" s="508">
        <f t="shared" si="13"/>
        <v>0</v>
      </c>
    </row>
    <row r="30" spans="1:43">
      <c r="A30" s="491"/>
      <c r="B30" s="492">
        <f t="shared" si="14"/>
        <v>11</v>
      </c>
      <c r="C30" s="493">
        <v>1135.6555168648879</v>
      </c>
      <c r="D30" s="488">
        <v>300.92803541616917</v>
      </c>
      <c r="E30" s="488">
        <v>6114.1574924732158</v>
      </c>
      <c r="F30" s="488">
        <v>16292.241889276836</v>
      </c>
      <c r="G30" s="488">
        <v>3596.5136081107794</v>
      </c>
      <c r="H30" s="488">
        <v>332889.02540743316</v>
      </c>
      <c r="I30" s="488">
        <v>31292.809474315138</v>
      </c>
      <c r="J30" s="488">
        <v>180.5001960421269</v>
      </c>
      <c r="K30" s="488">
        <v>307631.94716939621</v>
      </c>
      <c r="L30" s="488">
        <v>49931.843905958158</v>
      </c>
      <c r="M30" s="488">
        <v>495.57406924782231</v>
      </c>
      <c r="N30" s="488">
        <v>167631.52022371683</v>
      </c>
      <c r="O30" s="488">
        <v>105018.07235638252</v>
      </c>
      <c r="P30" s="488">
        <v>1027.3251325241017</v>
      </c>
      <c r="Q30" s="488">
        <v>12219.33665660083</v>
      </c>
      <c r="R30" s="488">
        <v>9950.3621729572205</v>
      </c>
      <c r="S30" s="488">
        <v>54625.135703504457</v>
      </c>
      <c r="T30" s="488">
        <v>8800</v>
      </c>
      <c r="U30" s="488">
        <v>22207.493156294691</v>
      </c>
      <c r="V30" s="488">
        <v>90806.934506856458</v>
      </c>
      <c r="W30" s="488">
        <v>27082.463694107151</v>
      </c>
      <c r="X30" s="494">
        <v>9760.9399875080726</v>
      </c>
      <c r="Y30" s="488">
        <v>231089.01014823015</v>
      </c>
      <c r="Z30" s="495">
        <v>48047.846701708972</v>
      </c>
      <c r="AB30" s="491"/>
      <c r="AC30" s="492">
        <f t="shared" si="15"/>
        <v>11</v>
      </c>
      <c r="AD30" s="508">
        <f t="shared" si="0"/>
        <v>300.92803541616917</v>
      </c>
      <c r="AE30" s="508">
        <f t="shared" si="1"/>
        <v>380654.57696706726</v>
      </c>
      <c r="AF30" s="508">
        <f t="shared" si="2"/>
        <v>361160.30468346516</v>
      </c>
      <c r="AG30" s="508">
        <f t="shared" si="3"/>
        <v>495.57406924782231</v>
      </c>
      <c r="AH30" s="508">
        <f t="shared" si="4"/>
        <v>278763.75007257255</v>
      </c>
      <c r="AI30" s="508">
        <f t="shared" si="5"/>
        <v>1027.3251325241017</v>
      </c>
      <c r="AJ30" s="508">
        <f t="shared" si="6"/>
        <v>54625.135703504457</v>
      </c>
      <c r="AK30" s="508">
        <f t="shared" si="7"/>
        <v>22169.698829558052</v>
      </c>
      <c r="AL30" s="508">
        <f t="shared" si="8"/>
        <v>31007.493156294691</v>
      </c>
      <c r="AM30" s="508">
        <f t="shared" si="9"/>
        <v>117889.39820096361</v>
      </c>
      <c r="AN30" s="508">
        <f t="shared" si="10"/>
        <v>1135.6555168648879</v>
      </c>
      <c r="AO30" s="508">
        <f t="shared" si="11"/>
        <v>288897.79683744721</v>
      </c>
      <c r="AP30" s="508">
        <f t="shared" si="12"/>
        <v>1538127.6372049262</v>
      </c>
      <c r="AQ30" s="508">
        <f t="shared" si="13"/>
        <v>0</v>
      </c>
    </row>
    <row r="31" spans="1:43">
      <c r="A31" s="502"/>
      <c r="B31" s="503">
        <f t="shared" si="14"/>
        <v>12</v>
      </c>
      <c r="C31" s="504">
        <v>1618.8545790803726</v>
      </c>
      <c r="D31" s="505">
        <v>412.97515288694592</v>
      </c>
      <c r="E31" s="505">
        <v>6943.2906607028572</v>
      </c>
      <c r="F31" s="505">
        <v>19076.553690975183</v>
      </c>
      <c r="G31" s="505">
        <v>3925.3845605752895</v>
      </c>
      <c r="H31" s="505">
        <v>356977.28231976472</v>
      </c>
      <c r="I31" s="505">
        <v>32714.458532331872</v>
      </c>
      <c r="J31" s="505">
        <v>222.12036729093651</v>
      </c>
      <c r="K31" s="505">
        <v>317557.50020934455</v>
      </c>
      <c r="L31" s="505">
        <v>48891.530615637159</v>
      </c>
      <c r="M31" s="505">
        <v>375.83747132856826</v>
      </c>
      <c r="N31" s="505">
        <v>171597.15585637701</v>
      </c>
      <c r="O31" s="505">
        <v>103105.50073583749</v>
      </c>
      <c r="P31" s="505">
        <v>4.8809029481710775</v>
      </c>
      <c r="Q31" s="505">
        <v>9915.3755090718678</v>
      </c>
      <c r="R31" s="505">
        <v>9514.1861526146477</v>
      </c>
      <c r="S31" s="505">
        <v>67453.885605992313</v>
      </c>
      <c r="T31" s="505">
        <v>8800</v>
      </c>
      <c r="U31" s="505">
        <v>22700.07965403856</v>
      </c>
      <c r="V31" s="505">
        <v>90529.256405383232</v>
      </c>
      <c r="W31" s="505">
        <v>29786.869951155088</v>
      </c>
      <c r="X31" s="506">
        <v>10006.528961017239</v>
      </c>
      <c r="Y31" s="505">
        <v>239346.03631798926</v>
      </c>
      <c r="Z31" s="507">
        <v>46252.528199127933</v>
      </c>
      <c r="AB31" s="502"/>
      <c r="AC31" s="503">
        <f t="shared" si="15"/>
        <v>12</v>
      </c>
      <c r="AD31" s="508">
        <f t="shared" si="0"/>
        <v>412.97515288694592</v>
      </c>
      <c r="AE31" s="508">
        <f t="shared" si="1"/>
        <v>408990.41491036268</v>
      </c>
      <c r="AF31" s="508">
        <f t="shared" si="2"/>
        <v>370374.41538555699</v>
      </c>
      <c r="AG31" s="508">
        <f t="shared" si="3"/>
        <v>375.83747132856826</v>
      </c>
      <c r="AH31" s="508">
        <f t="shared" si="4"/>
        <v>281645.94725291734</v>
      </c>
      <c r="AI31" s="508">
        <f t="shared" si="5"/>
        <v>4.8809029481710775</v>
      </c>
      <c r="AJ31" s="508">
        <f t="shared" si="6"/>
        <v>67453.885605992313</v>
      </c>
      <c r="AK31" s="508">
        <f t="shared" si="7"/>
        <v>19429.561661686515</v>
      </c>
      <c r="AL31" s="508">
        <f t="shared" si="8"/>
        <v>31500.07965403856</v>
      </c>
      <c r="AM31" s="508">
        <f t="shared" si="9"/>
        <v>120316.12635653833</v>
      </c>
      <c r="AN31" s="508">
        <f t="shared" si="10"/>
        <v>1618.8545790803726</v>
      </c>
      <c r="AO31" s="508">
        <f t="shared" si="11"/>
        <v>295605.09347813443</v>
      </c>
      <c r="AP31" s="508">
        <f t="shared" si="12"/>
        <v>1597728.0724114713</v>
      </c>
      <c r="AQ31" s="508">
        <f t="shared" si="13"/>
        <v>0</v>
      </c>
    </row>
    <row r="32" spans="1:43">
      <c r="A32"/>
      <c r="B32"/>
      <c r="C32"/>
      <c r="D32"/>
      <c r="AB32"/>
      <c r="AC32"/>
    </row>
    <row r="33" spans="1:43">
      <c r="A33" s="447" t="s">
        <v>409</v>
      </c>
      <c r="B33" s="447"/>
      <c r="C33" s="449">
        <f>SUM(C17:C28)</f>
        <v>14265.075461814569</v>
      </c>
      <c r="D33" s="449">
        <f t="shared" ref="D33:AQ33" si="16">SUM(D17:D28)</f>
        <v>3943.9310678514921</v>
      </c>
      <c r="E33" s="449">
        <f t="shared" si="16"/>
        <v>78827.368780957229</v>
      </c>
      <c r="F33" s="449">
        <f t="shared" si="16"/>
        <v>197398.77670244954</v>
      </c>
      <c r="G33" s="449">
        <f t="shared" si="16"/>
        <v>46800.868024792988</v>
      </c>
      <c r="H33" s="449">
        <f t="shared" si="16"/>
        <v>4091824.6221442423</v>
      </c>
      <c r="I33" s="449">
        <f t="shared" si="16"/>
        <v>379769.13241494662</v>
      </c>
      <c r="J33" s="449">
        <f t="shared" si="16"/>
        <v>3100.8585603002389</v>
      </c>
      <c r="K33" s="449">
        <f t="shared" si="16"/>
        <v>3789164.1121165548</v>
      </c>
      <c r="L33" s="449">
        <f t="shared" si="16"/>
        <v>604657.61410001758</v>
      </c>
      <c r="M33" s="449">
        <f t="shared" si="16"/>
        <v>6249.9317219302802</v>
      </c>
      <c r="N33" s="449">
        <f t="shared" si="16"/>
        <v>2063020.8668738767</v>
      </c>
      <c r="O33" s="449">
        <f t="shared" si="16"/>
        <v>1241283.3784383312</v>
      </c>
      <c r="P33" s="449">
        <f t="shared" si="16"/>
        <v>8577.2268028360886</v>
      </c>
      <c r="Q33" s="449">
        <f t="shared" si="16"/>
        <v>346743.43446316815</v>
      </c>
      <c r="R33" s="449">
        <f t="shared" si="16"/>
        <v>115851.33681453818</v>
      </c>
      <c r="S33" s="449">
        <f t="shared" si="16"/>
        <v>609331.93445560918</v>
      </c>
      <c r="T33" s="449">
        <f t="shared" si="16"/>
        <v>105600</v>
      </c>
      <c r="U33" s="449">
        <f t="shared" si="16"/>
        <v>290067.77889985789</v>
      </c>
      <c r="V33" s="449">
        <f t="shared" si="16"/>
        <v>1052747.0797340185</v>
      </c>
      <c r="W33" s="449">
        <f t="shared" si="16"/>
        <v>347496.44111978065</v>
      </c>
      <c r="X33" s="449">
        <f t="shared" si="16"/>
        <v>130585.38019077831</v>
      </c>
      <c r="Y33" s="449">
        <f t="shared" si="16"/>
        <v>2895809.5200001905</v>
      </c>
      <c r="Z33" s="449">
        <f t="shared" si="16"/>
        <v>549446.20899975265</v>
      </c>
      <c r="AB33" s="447" t="s">
        <v>409</v>
      </c>
      <c r="AC33" s="447"/>
      <c r="AD33" s="449">
        <f t="shared" si="16"/>
        <v>3943.9310678514921</v>
      </c>
      <c r="AE33" s="449">
        <f t="shared" si="16"/>
        <v>4672093.3898219382</v>
      </c>
      <c r="AF33" s="449">
        <f t="shared" si="16"/>
        <v>4440622.5942413658</v>
      </c>
      <c r="AG33" s="449">
        <f t="shared" si="16"/>
        <v>6249.9317219302802</v>
      </c>
      <c r="AH33" s="449">
        <f t="shared" si="16"/>
        <v>3383131.6140931649</v>
      </c>
      <c r="AI33" s="449">
        <f t="shared" si="16"/>
        <v>8577.2268028360886</v>
      </c>
      <c r="AJ33" s="449">
        <f t="shared" si="16"/>
        <v>609331.93445560918</v>
      </c>
      <c r="AK33" s="449">
        <f t="shared" si="16"/>
        <v>462594.77127770649</v>
      </c>
      <c r="AL33" s="449">
        <f t="shared" si="16"/>
        <v>395667.77889985789</v>
      </c>
      <c r="AM33" s="449">
        <f t="shared" si="16"/>
        <v>1400243.5208537995</v>
      </c>
      <c r="AN33" s="449">
        <f t="shared" si="16"/>
        <v>14265.075461814569</v>
      </c>
      <c r="AO33" s="449">
        <f t="shared" si="16"/>
        <v>3575841.109190722</v>
      </c>
      <c r="AP33" s="449">
        <f t="shared" si="16"/>
        <v>18972562.877888594</v>
      </c>
      <c r="AQ33" s="449">
        <f t="shared" si="16"/>
        <v>0</v>
      </c>
    </row>
  </sheetData>
  <mergeCells count="5">
    <mergeCell ref="AD1:AQ1"/>
    <mergeCell ref="AD2:AQ2"/>
    <mergeCell ref="AD3:AQ3"/>
    <mergeCell ref="AD4:AQ4"/>
    <mergeCell ref="AD5:AQ5"/>
  </mergeCells>
  <pageMargins left="0.7" right="0.7" top="0.75" bottom="0.75" header="0.3" footer="0.3"/>
  <pageSetup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"/>
  <sheetViews>
    <sheetView workbookViewId="0"/>
  </sheetViews>
  <sheetFormatPr defaultColWidth="8.85546875" defaultRowHeight="12.75"/>
  <cols>
    <col min="1" max="16384" width="8.85546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theme="5" tint="0.79998168889431442"/>
    <pageSetUpPr fitToPage="1"/>
  </sheetPr>
  <dimension ref="B1:T59"/>
  <sheetViews>
    <sheetView zoomScale="80" zoomScaleNormal="80" zoomScaleSheetLayoutView="70" workbookViewId="0">
      <pane xSplit="5" ySplit="13" topLeftCell="I23" activePane="bottomRight" state="frozen"/>
      <selection pane="topRight" activeCell="F1" sqref="F1"/>
      <selection pane="bottomLeft" activeCell="A14" sqref="A14"/>
      <selection pane="bottomRight" activeCell="S23" sqref="S23"/>
    </sheetView>
  </sheetViews>
  <sheetFormatPr defaultColWidth="6.140625" defaultRowHeight="15.75"/>
  <cols>
    <col min="1" max="1" width="6.140625" style="16" customWidth="1"/>
    <col min="2" max="2" width="4.85546875" style="16" bestFit="1" customWidth="1"/>
    <col min="3" max="3" width="6.140625" style="16"/>
    <col min="4" max="4" width="38.85546875" style="19" bestFit="1" customWidth="1"/>
    <col min="5" max="5" width="6.140625" style="19"/>
    <col min="6" max="6" width="11.5703125" style="19" bestFit="1" customWidth="1"/>
    <col min="7" max="7" width="6.140625" style="19"/>
    <col min="8" max="8" width="10.85546875" style="16" bestFit="1" customWidth="1"/>
    <col min="9" max="9" width="6.140625" style="16"/>
    <col min="10" max="10" width="12" style="16" bestFit="1" customWidth="1"/>
    <col min="11" max="11" width="6.140625" style="16"/>
    <col min="12" max="12" width="11.28515625" style="16" bestFit="1" customWidth="1"/>
    <col min="13" max="13" width="6.140625" style="16"/>
    <col min="14" max="14" width="11.28515625" style="16" bestFit="1" customWidth="1"/>
    <col min="15" max="15" width="6.140625" style="16"/>
    <col min="16" max="16" width="8.7109375" style="16" bestFit="1" customWidth="1"/>
    <col min="17" max="17" width="8" style="16" bestFit="1" customWidth="1"/>
    <col min="18" max="18" width="6.140625" style="16"/>
    <col min="19" max="19" width="12.28515625" style="16" bestFit="1" customWidth="1"/>
    <col min="20" max="16384" width="6.140625" style="16"/>
  </cols>
  <sheetData>
    <row r="1" spans="2:19" ht="18.75">
      <c r="C1" s="17"/>
      <c r="D1" s="18"/>
      <c r="N1" s="20" t="s">
        <v>24</v>
      </c>
    </row>
    <row r="2" spans="2:19">
      <c r="B2" s="583" t="s">
        <v>25</v>
      </c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  <c r="Q2" s="583"/>
      <c r="R2" s="583"/>
      <c r="S2" s="21"/>
    </row>
    <row r="3" spans="2:19">
      <c r="B3" s="584" t="s">
        <v>26</v>
      </c>
      <c r="C3" s="584"/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4"/>
      <c r="Q3" s="584"/>
      <c r="R3" s="584"/>
      <c r="S3" s="22"/>
    </row>
    <row r="4" spans="2:19">
      <c r="B4" s="584" t="s">
        <v>27</v>
      </c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584"/>
      <c r="P4" s="584"/>
      <c r="Q4" s="584"/>
      <c r="R4" s="584"/>
      <c r="S4" s="22"/>
    </row>
    <row r="5" spans="2:19">
      <c r="B5" s="583" t="s">
        <v>28</v>
      </c>
      <c r="C5" s="584"/>
      <c r="D5" s="584"/>
      <c r="E5" s="584"/>
      <c r="F5" s="584"/>
      <c r="G5" s="584"/>
      <c r="H5" s="584"/>
      <c r="I5" s="584"/>
      <c r="J5" s="584"/>
      <c r="K5" s="584"/>
      <c r="L5" s="584"/>
      <c r="M5" s="584"/>
      <c r="N5" s="584"/>
      <c r="O5" s="584"/>
      <c r="P5" s="584"/>
      <c r="Q5" s="584"/>
      <c r="R5" s="584"/>
      <c r="S5" s="22"/>
    </row>
    <row r="6" spans="2:19">
      <c r="B6" s="583" t="s">
        <v>29</v>
      </c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583"/>
      <c r="O6" s="583"/>
      <c r="P6" s="583"/>
      <c r="Q6" s="583"/>
      <c r="R6" s="583"/>
      <c r="S6" s="22"/>
    </row>
    <row r="7" spans="2:19">
      <c r="B7" s="583"/>
      <c r="C7" s="583"/>
      <c r="D7" s="583"/>
      <c r="E7" s="583"/>
      <c r="F7" s="583"/>
      <c r="G7" s="583"/>
      <c r="H7" s="583"/>
      <c r="I7" s="583"/>
      <c r="J7" s="583"/>
      <c r="K7" s="583"/>
      <c r="L7" s="583"/>
      <c r="M7" s="583"/>
      <c r="N7" s="583"/>
      <c r="O7" s="583"/>
      <c r="P7" s="583"/>
      <c r="Q7" s="583"/>
      <c r="R7" s="583"/>
      <c r="S7" s="21"/>
    </row>
    <row r="8" spans="2:19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1"/>
      <c r="S8" s="21"/>
    </row>
    <row r="9" spans="2:19">
      <c r="K9" s="24"/>
      <c r="L9" s="25"/>
      <c r="M9" s="26"/>
      <c r="N9" s="575" t="s">
        <v>430</v>
      </c>
      <c r="O9" s="576"/>
      <c r="P9" s="576"/>
      <c r="Q9" s="577"/>
      <c r="R9" s="26"/>
      <c r="S9" s="27"/>
    </row>
    <row r="10" spans="2:19">
      <c r="L10" s="28" t="s">
        <v>30</v>
      </c>
      <c r="M10" s="29"/>
      <c r="N10" s="578" t="s">
        <v>31</v>
      </c>
      <c r="O10" s="579"/>
      <c r="P10" s="579"/>
      <c r="Q10" s="580"/>
      <c r="R10" s="29"/>
      <c r="S10" s="30"/>
    </row>
    <row r="11" spans="2:19" ht="15.6" customHeight="1">
      <c r="F11" s="31" t="s">
        <v>32</v>
      </c>
      <c r="G11" s="32"/>
      <c r="L11" s="30" t="s">
        <v>33</v>
      </c>
      <c r="M11" s="33"/>
      <c r="N11" s="30" t="s">
        <v>33</v>
      </c>
      <c r="O11" s="30"/>
      <c r="P11" s="34" t="s">
        <v>24</v>
      </c>
      <c r="Q11" s="34"/>
      <c r="R11" s="34"/>
      <c r="S11" s="30" t="s">
        <v>31</v>
      </c>
    </row>
    <row r="12" spans="2:19">
      <c r="B12" s="35" t="s">
        <v>35</v>
      </c>
      <c r="F12" s="32" t="s">
        <v>36</v>
      </c>
      <c r="G12" s="32"/>
      <c r="H12" s="28" t="s">
        <v>37</v>
      </c>
      <c r="L12" s="28" t="s">
        <v>38</v>
      </c>
      <c r="M12" s="35"/>
      <c r="N12" s="235" t="s">
        <v>38</v>
      </c>
      <c r="O12" s="28"/>
      <c r="P12" s="36" t="s">
        <v>39</v>
      </c>
      <c r="Q12" s="28" t="s">
        <v>33</v>
      </c>
      <c r="R12" s="35"/>
      <c r="S12" s="28" t="s">
        <v>40</v>
      </c>
    </row>
    <row r="13" spans="2:19">
      <c r="B13" s="38" t="s">
        <v>41</v>
      </c>
      <c r="D13" s="39" t="s">
        <v>42</v>
      </c>
      <c r="F13" s="39" t="s">
        <v>41</v>
      </c>
      <c r="G13" s="40"/>
      <c r="H13" s="41" t="s">
        <v>43</v>
      </c>
      <c r="J13" s="41" t="s">
        <v>44</v>
      </c>
      <c r="L13" s="42" t="s">
        <v>45</v>
      </c>
      <c r="M13" s="30"/>
      <c r="N13" s="236" t="s">
        <v>45</v>
      </c>
      <c r="O13" s="43"/>
      <c r="P13" s="44" t="s">
        <v>45</v>
      </c>
      <c r="Q13" s="41" t="s">
        <v>46</v>
      </c>
      <c r="R13" s="37"/>
      <c r="S13" s="42" t="s">
        <v>429</v>
      </c>
    </row>
    <row r="14" spans="2:19">
      <c r="B14" s="45"/>
      <c r="D14" s="36" t="s">
        <v>47</v>
      </c>
      <c r="F14" s="36" t="s">
        <v>48</v>
      </c>
      <c r="G14" s="32"/>
      <c r="H14" s="36" t="s">
        <v>49</v>
      </c>
      <c r="J14" s="36" t="s">
        <v>50</v>
      </c>
      <c r="L14" s="36" t="s">
        <v>51</v>
      </c>
      <c r="M14" s="36"/>
      <c r="N14" s="36" t="s">
        <v>52</v>
      </c>
      <c r="O14" s="36"/>
      <c r="P14" s="36" t="s">
        <v>53</v>
      </c>
      <c r="Q14" s="36" t="s">
        <v>54</v>
      </c>
      <c r="R14" s="36"/>
      <c r="S14" s="36" t="s">
        <v>55</v>
      </c>
    </row>
    <row r="15" spans="2:19">
      <c r="M15" s="36"/>
      <c r="N15" s="36" t="s">
        <v>24</v>
      </c>
      <c r="P15" s="36" t="s">
        <v>56</v>
      </c>
      <c r="Q15" s="36" t="s">
        <v>57</v>
      </c>
      <c r="S15" s="36" t="s">
        <v>58</v>
      </c>
    </row>
    <row r="16" spans="2:19">
      <c r="D16" s="46" t="s">
        <v>59</v>
      </c>
    </row>
    <row r="17" spans="2:20">
      <c r="B17" s="35">
        <v>1</v>
      </c>
      <c r="D17" s="19" t="s">
        <v>59</v>
      </c>
      <c r="F17" s="31">
        <v>7</v>
      </c>
      <c r="G17" s="31"/>
      <c r="H17" s="47">
        <v>999942</v>
      </c>
      <c r="I17" s="20"/>
      <c r="J17" s="47">
        <v>10442426</v>
      </c>
      <c r="L17" s="48">
        <v>1066627</v>
      </c>
      <c r="M17" s="49"/>
      <c r="N17" s="48">
        <v>1086698</v>
      </c>
      <c r="O17" s="48"/>
      <c r="P17" s="48">
        <f>N17-L17</f>
        <v>20071</v>
      </c>
      <c r="Q17" s="316">
        <f>P17/L17</f>
        <v>1.8817262266940551E-2</v>
      </c>
      <c r="R17" s="50"/>
      <c r="S17" s="554">
        <f>N17/J17</f>
        <v>0.10406566443468213</v>
      </c>
    </row>
    <row r="18" spans="2:20">
      <c r="B18" s="52">
        <f>MAX(B$14:B17)+1</f>
        <v>2</v>
      </c>
      <c r="D18" s="53" t="s">
        <v>60</v>
      </c>
      <c r="H18" s="54">
        <f>SUM(H17:H17)</f>
        <v>999942</v>
      </c>
      <c r="J18" s="54">
        <f>SUM(J17:J17)</f>
        <v>10442426</v>
      </c>
      <c r="L18" s="55">
        <f>SUM(L17:L17)</f>
        <v>1066627</v>
      </c>
      <c r="M18" s="49"/>
      <c r="N18" s="55">
        <f>SUM(N17:N17)</f>
        <v>1086698</v>
      </c>
      <c r="O18" s="48"/>
      <c r="P18" s="55">
        <f>SUM(P17)</f>
        <v>20071</v>
      </c>
      <c r="Q18" s="317">
        <f>P18/L18</f>
        <v>1.8817262266940551E-2</v>
      </c>
      <c r="R18" s="50"/>
      <c r="S18" s="555">
        <f>N18/J18</f>
        <v>0.10406566443468213</v>
      </c>
      <c r="T18" s="56"/>
    </row>
    <row r="19" spans="2:20">
      <c r="J19" s="20" t="s">
        <v>24</v>
      </c>
      <c r="L19" s="56"/>
      <c r="M19" s="56"/>
      <c r="N19" s="56"/>
      <c r="O19" s="56"/>
      <c r="P19" s="56"/>
      <c r="Q19" s="57"/>
      <c r="S19" s="556"/>
    </row>
    <row r="20" spans="2:20">
      <c r="D20" s="58" t="s">
        <v>61</v>
      </c>
      <c r="H20" s="59"/>
      <c r="L20" s="56"/>
      <c r="M20" s="56"/>
      <c r="N20" s="56"/>
      <c r="O20" s="56"/>
      <c r="P20" s="56"/>
      <c r="Q20" s="57"/>
      <c r="S20" s="556"/>
    </row>
    <row r="21" spans="2:20">
      <c r="B21" s="52">
        <f>MAX(B$14:B20)+1</f>
        <v>3</v>
      </c>
      <c r="D21" s="60" t="s">
        <v>62</v>
      </c>
      <c r="F21" s="31" t="s">
        <v>63</v>
      </c>
      <c r="G21" s="32"/>
      <c r="H21" s="47">
        <v>126833.25</v>
      </c>
      <c r="I21" s="20"/>
      <c r="J21" s="47">
        <v>2787584</v>
      </c>
      <c r="L21" s="48">
        <v>266957</v>
      </c>
      <c r="M21" s="49"/>
      <c r="N21" s="48">
        <v>270724</v>
      </c>
      <c r="O21" s="48"/>
      <c r="P21" s="48">
        <f t="shared" ref="P21:P24" si="0">N21-L21</f>
        <v>3767</v>
      </c>
      <c r="Q21" s="316">
        <f t="shared" ref="Q21:Q24" si="1">P21/L21</f>
        <v>1.4110886772026956E-2</v>
      </c>
      <c r="R21" s="50"/>
      <c r="S21" s="554">
        <f t="shared" ref="S21:S25" si="2">N21/J21</f>
        <v>9.711779088988888E-2</v>
      </c>
      <c r="T21" s="56"/>
    </row>
    <row r="22" spans="2:20">
      <c r="B22" s="52">
        <f>MAX(B$14:B21)+1</f>
        <v>4</v>
      </c>
      <c r="D22" s="60" t="s">
        <v>64</v>
      </c>
      <c r="E22" s="61"/>
      <c r="F22" s="31" t="s">
        <v>65</v>
      </c>
      <c r="G22" s="32"/>
      <c r="H22" s="47">
        <v>7219.916666666667</v>
      </c>
      <c r="I22" s="20"/>
      <c r="J22" s="47">
        <v>2839459</v>
      </c>
      <c r="L22" s="48">
        <v>252529</v>
      </c>
      <c r="M22" s="49"/>
      <c r="N22" s="48">
        <v>255617</v>
      </c>
      <c r="O22" s="48"/>
      <c r="P22" s="48">
        <f t="shared" si="0"/>
        <v>3088</v>
      </c>
      <c r="Q22" s="316">
        <f t="shared" si="1"/>
        <v>1.2228298532049785E-2</v>
      </c>
      <c r="R22" s="50"/>
      <c r="S22" s="554">
        <f t="shared" si="2"/>
        <v>9.0023134688685419E-2</v>
      </c>
      <c r="T22" s="56"/>
    </row>
    <row r="23" spans="2:20">
      <c r="B23" s="52">
        <f>MAX(B$14:B22)+1</f>
        <v>5</v>
      </c>
      <c r="D23" s="60" t="s">
        <v>66</v>
      </c>
      <c r="F23" s="31" t="s">
        <v>67</v>
      </c>
      <c r="G23" s="32"/>
      <c r="H23" s="47">
        <v>9711</v>
      </c>
      <c r="I23" s="20"/>
      <c r="J23" s="47">
        <v>1892054.7443816457</v>
      </c>
      <c r="L23" s="48">
        <v>153864.55600000001</v>
      </c>
      <c r="M23" s="49"/>
      <c r="N23" s="48">
        <v>155745.5</v>
      </c>
      <c r="O23" s="48"/>
      <c r="P23" s="48">
        <f t="shared" si="0"/>
        <v>1880.9439999999886</v>
      </c>
      <c r="Q23" s="316">
        <f t="shared" si="1"/>
        <v>1.2224673757873051E-2</v>
      </c>
      <c r="R23" s="50"/>
      <c r="S23" s="554">
        <f t="shared" si="2"/>
        <v>8.231553577531403E-2</v>
      </c>
      <c r="T23" s="56"/>
    </row>
    <row r="24" spans="2:20">
      <c r="B24" s="52">
        <f>MAX(B$14:B23)+1</f>
        <v>6</v>
      </c>
      <c r="D24" s="60" t="s">
        <v>68</v>
      </c>
      <c r="F24" s="32">
        <v>29</v>
      </c>
      <c r="G24" s="32"/>
      <c r="H24" s="47">
        <v>607.5</v>
      </c>
      <c r="I24" s="20"/>
      <c r="J24" s="47">
        <v>14327</v>
      </c>
      <c r="L24" s="48">
        <v>1137.7460000000001</v>
      </c>
      <c r="M24" s="49"/>
      <c r="N24" s="48">
        <v>1151.671</v>
      </c>
      <c r="O24" s="48"/>
      <c r="P24" s="48">
        <f t="shared" si="0"/>
        <v>13.924999999999955</v>
      </c>
      <c r="Q24" s="316">
        <f t="shared" si="1"/>
        <v>1.2239111365805683E-2</v>
      </c>
      <c r="R24" s="50"/>
      <c r="S24" s="554">
        <f t="shared" si="2"/>
        <v>8.0384658337404907E-2</v>
      </c>
      <c r="T24" s="56"/>
    </row>
    <row r="25" spans="2:20">
      <c r="B25" s="52">
        <f>MAX(B$14:B24)+1</f>
        <v>7</v>
      </c>
      <c r="D25" s="53" t="s">
        <v>69</v>
      </c>
      <c r="F25" s="32"/>
      <c r="G25" s="32"/>
      <c r="H25" s="54">
        <f>SUM(H21:H24)</f>
        <v>144371.66666666666</v>
      </c>
      <c r="J25" s="54">
        <f>SUM(J21:J24)</f>
        <v>7533424.7443816457</v>
      </c>
      <c r="L25" s="55">
        <f>SUM(L21:L24)</f>
        <v>674488.30200000003</v>
      </c>
      <c r="M25" s="49"/>
      <c r="N25" s="55">
        <f>SUM(N21:N24)</f>
        <v>683238.17099999997</v>
      </c>
      <c r="O25" s="48"/>
      <c r="P25" s="55">
        <f>SUM(P21:P24)</f>
        <v>8749.8689999999879</v>
      </c>
      <c r="Q25" s="317">
        <f t="shared" ref="Q25" si="3">P25/L25</f>
        <v>1.2972603044492813E-2</v>
      </c>
      <c r="R25" s="50"/>
      <c r="S25" s="555">
        <f t="shared" si="2"/>
        <v>9.0694231930776539E-2</v>
      </c>
      <c r="T25" s="56"/>
    </row>
    <row r="26" spans="2:20">
      <c r="B26" s="52"/>
      <c r="D26" s="60"/>
      <c r="F26" s="32"/>
      <c r="G26" s="32"/>
      <c r="H26" s="47"/>
      <c r="J26" s="47"/>
      <c r="L26" s="48"/>
      <c r="M26" s="49"/>
      <c r="N26" s="48"/>
      <c r="O26" s="48"/>
      <c r="P26" s="48"/>
      <c r="Q26" s="50"/>
      <c r="R26" s="50"/>
      <c r="S26" s="554"/>
    </row>
    <row r="27" spans="2:20">
      <c r="B27" s="52"/>
      <c r="D27" s="58" t="s">
        <v>70</v>
      </c>
      <c r="F27" s="32"/>
      <c r="G27" s="32"/>
      <c r="H27" s="47"/>
      <c r="J27" s="47"/>
      <c r="L27" s="48"/>
      <c r="M27" s="49"/>
      <c r="N27" s="48"/>
      <c r="O27" s="48"/>
      <c r="P27" s="48"/>
      <c r="Q27" s="50"/>
      <c r="R27" s="50"/>
      <c r="S27" s="554"/>
    </row>
    <row r="28" spans="2:20">
      <c r="B28" s="52">
        <f>MAX(B$14:B26)+1</f>
        <v>8</v>
      </c>
      <c r="D28" s="60" t="s">
        <v>71</v>
      </c>
      <c r="F28" s="31" t="s">
        <v>72</v>
      </c>
      <c r="G28" s="32"/>
      <c r="H28" s="47">
        <v>487.83333333333331</v>
      </c>
      <c r="I28" s="20"/>
      <c r="J28" s="47">
        <v>1284401.5744586966</v>
      </c>
      <c r="L28" s="48">
        <v>102890.712</v>
      </c>
      <c r="M28" s="49"/>
      <c r="N28" s="48">
        <v>104148.59600000001</v>
      </c>
      <c r="O28" s="48"/>
      <c r="P28" s="48">
        <f t="shared" ref="P28:P30" si="4">N28-L28</f>
        <v>1257.8840000000055</v>
      </c>
      <c r="Q28" s="316">
        <f t="shared" ref="Q28:Q31" si="5">P28/L28</f>
        <v>1.2225437802393723E-2</v>
      </c>
      <c r="R28" s="50"/>
      <c r="S28" s="554">
        <f t="shared" ref="S28:S31" si="6">N28/J28</f>
        <v>8.1087253450224717E-2</v>
      </c>
      <c r="T28" s="56"/>
    </row>
    <row r="29" spans="2:20">
      <c r="B29" s="52">
        <f>MAX(B$14:B28)+1</f>
        <v>9</v>
      </c>
      <c r="D29" s="60" t="s">
        <v>73</v>
      </c>
      <c r="F29" s="32">
        <v>35</v>
      </c>
      <c r="G29" s="32"/>
      <c r="H29" s="47">
        <v>1</v>
      </c>
      <c r="I29" s="20"/>
      <c r="J29" s="47">
        <v>4452.6000000000004</v>
      </c>
      <c r="L29" s="48">
        <v>248.215</v>
      </c>
      <c r="M29" s="49"/>
      <c r="N29" s="48">
        <v>255.21899999999999</v>
      </c>
      <c r="O29" s="48"/>
      <c r="P29" s="48">
        <f t="shared" si="4"/>
        <v>7.0039999999999907</v>
      </c>
      <c r="Q29" s="316">
        <f t="shared" si="5"/>
        <v>2.8217472755474048E-2</v>
      </c>
      <c r="R29" s="50"/>
      <c r="S29" s="554">
        <f t="shared" si="6"/>
        <v>5.7319094461662841E-2</v>
      </c>
      <c r="T29" s="56"/>
    </row>
    <row r="30" spans="2:20">
      <c r="B30" s="52">
        <f>MAX(B$14:B29)+1</f>
        <v>10</v>
      </c>
      <c r="D30" s="19" t="s">
        <v>74</v>
      </c>
      <c r="F30" s="31">
        <v>43</v>
      </c>
      <c r="G30" s="32"/>
      <c r="H30" s="47">
        <v>158.66666666666666</v>
      </c>
      <c r="I30" s="20"/>
      <c r="J30" s="47">
        <v>119660.40146477679</v>
      </c>
      <c r="L30" s="48">
        <v>10337.824000000001</v>
      </c>
      <c r="M30" s="49"/>
      <c r="N30" s="48">
        <v>10532.384</v>
      </c>
      <c r="O30" s="48"/>
      <c r="P30" s="48">
        <f t="shared" si="4"/>
        <v>194.55999999999949</v>
      </c>
      <c r="Q30" s="316">
        <f t="shared" si="5"/>
        <v>1.8820208198553148E-2</v>
      </c>
      <c r="R30" s="50"/>
      <c r="S30" s="554">
        <f t="shared" si="6"/>
        <v>8.8018959246934425E-2</v>
      </c>
      <c r="T30" s="56"/>
    </row>
    <row r="31" spans="2:20">
      <c r="B31" s="52">
        <f>MAX(B$14:B30)+1</f>
        <v>11</v>
      </c>
      <c r="D31" s="53" t="s">
        <v>75</v>
      </c>
      <c r="F31" s="32"/>
      <c r="G31" s="32"/>
      <c r="H31" s="54">
        <f>SUM(H28:H30)</f>
        <v>647.5</v>
      </c>
      <c r="J31" s="54">
        <f>SUM(J28:J30)</f>
        <v>1408514.5759234736</v>
      </c>
      <c r="L31" s="55">
        <f>SUM(L28:L30)</f>
        <v>113476.75099999999</v>
      </c>
      <c r="M31" s="49"/>
      <c r="N31" s="55">
        <f>SUM(N28:N30)</f>
        <v>114936.19900000001</v>
      </c>
      <c r="O31" s="48"/>
      <c r="P31" s="55">
        <f>SUM(P28:P30)</f>
        <v>1459.4480000000049</v>
      </c>
      <c r="Q31" s="317">
        <f t="shared" si="5"/>
        <v>1.2861207138367973E-2</v>
      </c>
      <c r="R31" s="50"/>
      <c r="S31" s="555">
        <f t="shared" si="6"/>
        <v>8.1601000773913634E-2</v>
      </c>
      <c r="T31" s="56"/>
    </row>
    <row r="32" spans="2:20">
      <c r="B32" s="52"/>
      <c r="F32" s="31"/>
      <c r="G32" s="32"/>
      <c r="H32" s="47"/>
      <c r="J32" s="47"/>
      <c r="L32" s="48"/>
      <c r="M32" s="49"/>
      <c r="N32" s="48"/>
      <c r="O32" s="48"/>
      <c r="P32" s="48"/>
      <c r="Q32" s="50"/>
      <c r="R32" s="50"/>
      <c r="S32" s="554"/>
      <c r="T32" s="56"/>
    </row>
    <row r="33" spans="2:20">
      <c r="B33" s="52">
        <f>MAX(B$14:B32)+1</f>
        <v>12</v>
      </c>
      <c r="D33" s="19" t="s">
        <v>76</v>
      </c>
      <c r="F33" s="31">
        <v>40</v>
      </c>
      <c r="G33" s="32"/>
      <c r="H33" s="54">
        <v>142.25</v>
      </c>
      <c r="J33" s="54">
        <v>621678.72633913101</v>
      </c>
      <c r="L33" s="55">
        <v>43551.319801261998</v>
      </c>
      <c r="M33" s="49"/>
      <c r="N33" s="55">
        <v>45113.1855</v>
      </c>
      <c r="O33" s="48"/>
      <c r="P33" s="55">
        <f>N33-L33</f>
        <v>1561.8656987380018</v>
      </c>
      <c r="Q33" s="317">
        <f t="shared" ref="Q33" si="7">P33/L33</f>
        <v>3.5862649073903456E-2</v>
      </c>
      <c r="R33" s="50"/>
      <c r="S33" s="555">
        <f>N33/J33</f>
        <v>7.256671909244386E-2</v>
      </c>
      <c r="T33" s="56"/>
    </row>
    <row r="34" spans="2:20">
      <c r="B34" s="52"/>
      <c r="F34" s="31"/>
      <c r="G34" s="32"/>
      <c r="H34" s="47"/>
      <c r="J34" s="47"/>
      <c r="L34" s="48"/>
      <c r="M34" s="49"/>
      <c r="N34" s="48"/>
      <c r="O34" s="48"/>
      <c r="P34" s="48"/>
      <c r="Q34" s="50"/>
      <c r="R34" s="50"/>
      <c r="S34" s="554"/>
      <c r="T34" s="56"/>
    </row>
    <row r="35" spans="2:20">
      <c r="B35" s="52"/>
      <c r="D35" s="58" t="s">
        <v>77</v>
      </c>
      <c r="F35" s="31"/>
      <c r="G35" s="32"/>
      <c r="H35" s="47"/>
      <c r="J35" s="47"/>
      <c r="L35" s="48"/>
      <c r="M35" s="49"/>
      <c r="N35" s="48"/>
      <c r="O35" s="48"/>
      <c r="P35" s="48"/>
      <c r="Q35" s="50"/>
      <c r="R35" s="50"/>
      <c r="S35" s="554"/>
    </row>
    <row r="36" spans="2:20">
      <c r="B36" s="52">
        <f>MAX(B$14:B34)+1</f>
        <v>13</v>
      </c>
      <c r="D36" s="60" t="s">
        <v>78</v>
      </c>
      <c r="F36" s="31">
        <v>46</v>
      </c>
      <c r="G36" s="32"/>
      <c r="H36" s="47">
        <v>5</v>
      </c>
      <c r="I36" s="20"/>
      <c r="J36" s="47">
        <v>64275.357697999993</v>
      </c>
      <c r="L36" s="48">
        <v>4202.3490000000002</v>
      </c>
      <c r="M36" s="49"/>
      <c r="N36" s="48">
        <v>4256.2510000000002</v>
      </c>
      <c r="O36" s="48"/>
      <c r="P36" s="48">
        <f t="shared" ref="P36:P37" si="8">N36-L36</f>
        <v>53.902000000000044</v>
      </c>
      <c r="Q36" s="316">
        <f t="shared" ref="Q36:Q38" si="9">P36/L36</f>
        <v>1.2826635769661216E-2</v>
      </c>
      <c r="R36" s="50"/>
      <c r="S36" s="554">
        <f t="shared" ref="S36:S38" si="10">N36/J36</f>
        <v>6.6219016936446218E-2</v>
      </c>
      <c r="T36" s="56"/>
    </row>
    <row r="37" spans="2:20">
      <c r="B37" s="52">
        <f>MAX(B$14:B36)+1</f>
        <v>14</v>
      </c>
      <c r="D37" s="19" t="s">
        <v>79</v>
      </c>
      <c r="F37" s="31">
        <v>49</v>
      </c>
      <c r="G37" s="32"/>
      <c r="H37" s="47">
        <v>20</v>
      </c>
      <c r="I37" s="20"/>
      <c r="J37" s="47">
        <v>567983.85900000005</v>
      </c>
      <c r="L37" s="48">
        <v>36157.741000000002</v>
      </c>
      <c r="M37" s="49"/>
      <c r="N37" s="48">
        <v>36597.635000000002</v>
      </c>
      <c r="O37" s="48"/>
      <c r="P37" s="48">
        <f t="shared" si="8"/>
        <v>439.89400000000023</v>
      </c>
      <c r="Q37" s="316">
        <f t="shared" si="9"/>
        <v>1.216597021368122E-2</v>
      </c>
      <c r="R37" s="50"/>
      <c r="S37" s="554">
        <f t="shared" si="10"/>
        <v>6.4434287031385512E-2</v>
      </c>
      <c r="T37" s="56"/>
    </row>
    <row r="38" spans="2:20">
      <c r="B38" s="52">
        <f>MAX(B$14:B37)+1</f>
        <v>15</v>
      </c>
      <c r="D38" s="53" t="s">
        <v>77</v>
      </c>
      <c r="F38" s="32"/>
      <c r="G38" s="32"/>
      <c r="H38" s="54">
        <f>SUM(H36:H37)</f>
        <v>25</v>
      </c>
      <c r="J38" s="54">
        <f>SUM(J36:J37)</f>
        <v>632259.21669800009</v>
      </c>
      <c r="L38" s="55">
        <f>SUM(L36:L37)</f>
        <v>40360.090000000004</v>
      </c>
      <c r="M38" s="49"/>
      <c r="N38" s="55">
        <f>SUM(N36:N37)</f>
        <v>40853.885999999999</v>
      </c>
      <c r="O38" s="48"/>
      <c r="P38" s="55">
        <f>SUM(P36:P37)</f>
        <v>493.79600000000028</v>
      </c>
      <c r="Q38" s="317">
        <f t="shared" si="9"/>
        <v>1.223475963507515E-2</v>
      </c>
      <c r="R38" s="50"/>
      <c r="S38" s="555">
        <f t="shared" si="10"/>
        <v>6.4615722350970392E-2</v>
      </c>
      <c r="T38" s="56"/>
    </row>
    <row r="39" spans="2:20">
      <c r="B39" s="52"/>
      <c r="F39" s="31"/>
      <c r="G39" s="32"/>
      <c r="H39" s="47"/>
      <c r="J39" s="47"/>
      <c r="L39" s="48"/>
      <c r="M39" s="49"/>
      <c r="N39" s="48"/>
      <c r="O39" s="48"/>
      <c r="P39" s="48"/>
      <c r="Q39" s="50"/>
      <c r="R39" s="50"/>
      <c r="S39" s="554"/>
      <c r="T39" s="56"/>
    </row>
    <row r="40" spans="2:20">
      <c r="B40" s="52">
        <f>MAX(B$14:B39)+1</f>
        <v>16</v>
      </c>
      <c r="D40" s="19" t="s">
        <v>80</v>
      </c>
      <c r="F40" s="31" t="s">
        <v>81</v>
      </c>
      <c r="G40" s="32"/>
      <c r="H40" s="54">
        <v>20</v>
      </c>
      <c r="J40" s="54">
        <v>2098103.6366259996</v>
      </c>
      <c r="L40" s="55">
        <v>7513.2849999999999</v>
      </c>
      <c r="M40" s="49"/>
      <c r="N40" s="55">
        <v>7958.26</v>
      </c>
      <c r="O40" s="48"/>
      <c r="P40" s="55">
        <f>N40-L40</f>
        <v>444.97500000000036</v>
      </c>
      <c r="Q40" s="317">
        <f t="shared" ref="Q40" si="11">P40/L40</f>
        <v>5.9225092619273778E-2</v>
      </c>
      <c r="R40" s="50"/>
      <c r="S40" s="555">
        <f>N40/J40</f>
        <v>3.7930728783244615E-3</v>
      </c>
      <c r="T40" s="56"/>
    </row>
    <row r="41" spans="2:20">
      <c r="B41" s="52"/>
      <c r="F41" s="31"/>
      <c r="G41" s="32"/>
      <c r="H41" s="47"/>
      <c r="J41" s="47"/>
      <c r="L41" s="48"/>
      <c r="M41" s="49"/>
      <c r="N41" s="48"/>
      <c r="O41" s="48"/>
      <c r="P41" s="48"/>
      <c r="Q41" s="50"/>
      <c r="R41" s="50"/>
      <c r="S41" s="554"/>
      <c r="T41" s="56"/>
    </row>
    <row r="42" spans="2:20">
      <c r="B42" s="52">
        <f>MAX(B$14:B41)+1</f>
        <v>17</v>
      </c>
      <c r="D42" s="19" t="s">
        <v>82</v>
      </c>
      <c r="F42" s="31" t="s">
        <v>20</v>
      </c>
      <c r="G42" s="32"/>
      <c r="H42" s="54">
        <v>7226.5</v>
      </c>
      <c r="J42" s="54">
        <v>77972.349305999989</v>
      </c>
      <c r="L42" s="55">
        <v>17167.293000000001</v>
      </c>
      <c r="M42" s="49"/>
      <c r="N42" s="55">
        <v>17488.471000000001</v>
      </c>
      <c r="O42" s="48"/>
      <c r="P42" s="55">
        <f>N42-L42</f>
        <v>321.17799999999988</v>
      </c>
      <c r="Q42" s="317">
        <f t="shared" ref="Q42" si="12">P42/L42</f>
        <v>1.8708715462595057E-2</v>
      </c>
      <c r="R42" s="50"/>
      <c r="S42" s="555">
        <f>N42/J42</f>
        <v>0.22429067683169399</v>
      </c>
      <c r="T42" s="56"/>
    </row>
    <row r="43" spans="2:20">
      <c r="B43" s="52"/>
      <c r="F43" s="31"/>
      <c r="G43" s="32"/>
      <c r="H43" s="47"/>
      <c r="J43" s="47"/>
      <c r="L43" s="48"/>
      <c r="M43" s="49"/>
      <c r="N43" s="48"/>
      <c r="O43" s="48"/>
      <c r="P43" s="48"/>
      <c r="Q43" s="50"/>
      <c r="R43" s="50"/>
      <c r="S43" s="554"/>
      <c r="T43" s="56"/>
    </row>
    <row r="44" spans="2:20">
      <c r="B44" s="52">
        <f>MAX(B$14:B43)+1</f>
        <v>18</v>
      </c>
      <c r="D44" s="53" t="s">
        <v>83</v>
      </c>
      <c r="H44" s="54">
        <f>SUM(H42,H40,H38,H33,H31,H25,H18)</f>
        <v>1152374.9166666667</v>
      </c>
      <c r="J44" s="54">
        <f>SUM(J42,J40,J38,J33,J31,J25,J18)</f>
        <v>22814379.24927425</v>
      </c>
      <c r="L44" s="55">
        <f>SUM(L42,L40,L38,L33,L31,L25,L18)</f>
        <v>1963184.040801262</v>
      </c>
      <c r="M44" s="49"/>
      <c r="N44" s="55">
        <f>SUM(N42,N40,N38,N33,N31,N25,N18)</f>
        <v>1996286.1724999999</v>
      </c>
      <c r="O44" s="48"/>
      <c r="P44" s="55">
        <f>SUM(P42,P40,P38,P33,P31,P25,P18)</f>
        <v>33102.131698737998</v>
      </c>
      <c r="Q44" s="317">
        <f>P44/L44</f>
        <v>1.6861451097181675E-2</v>
      </c>
      <c r="R44" s="50"/>
      <c r="S44" s="555">
        <f>N44/J44</f>
        <v>8.75012267784364E-2</v>
      </c>
      <c r="T44" s="56"/>
    </row>
    <row r="45" spans="2:20">
      <c r="B45" s="35"/>
      <c r="L45" s="56"/>
      <c r="M45" s="56"/>
      <c r="N45" s="56"/>
      <c r="O45" s="56"/>
      <c r="P45" s="56"/>
      <c r="Q45" s="57"/>
      <c r="S45" s="556"/>
      <c r="T45" s="56"/>
    </row>
    <row r="46" spans="2:20">
      <c r="B46" s="52">
        <f>MAX(B$14:B45)+1</f>
        <v>19</v>
      </c>
      <c r="D46" s="19" t="s">
        <v>84</v>
      </c>
      <c r="F46" s="31" t="s">
        <v>20</v>
      </c>
      <c r="G46" s="32"/>
      <c r="H46" s="54">
        <v>8</v>
      </c>
      <c r="J46" s="54">
        <v>6929.8034221808284</v>
      </c>
      <c r="L46" s="55">
        <v>316.39299999999997</v>
      </c>
      <c r="M46" s="49"/>
      <c r="N46" s="55">
        <v>684.43883817964468</v>
      </c>
      <c r="O46" s="48"/>
      <c r="P46" s="55">
        <f>N46-L46</f>
        <v>368.0458381796447</v>
      </c>
      <c r="Q46" s="317">
        <f t="shared" ref="Q46" si="13">P46/L46</f>
        <v>1.1632553127902474</v>
      </c>
      <c r="R46" s="50"/>
      <c r="S46" s="555">
        <f>N46/J46</f>
        <v>9.8767424771228199E-2</v>
      </c>
      <c r="T46" s="56"/>
    </row>
    <row r="47" spans="2:20">
      <c r="B47" s="35"/>
      <c r="L47" s="56"/>
      <c r="M47" s="56"/>
      <c r="N47" s="56"/>
      <c r="O47" s="56"/>
      <c r="P47" s="56"/>
      <c r="Q47" s="57"/>
      <c r="S47" s="556"/>
      <c r="T47" s="56"/>
    </row>
    <row r="48" spans="2:20" ht="16.5" thickBot="1">
      <c r="B48" s="52">
        <f>MAX(B$14:B47)+1</f>
        <v>20</v>
      </c>
      <c r="D48" s="62" t="s">
        <v>85</v>
      </c>
      <c r="H48" s="63">
        <f>H46+H44</f>
        <v>1152382.9166666667</v>
      </c>
      <c r="J48" s="63">
        <f>J46+J44</f>
        <v>22821309.052696429</v>
      </c>
      <c r="L48" s="64">
        <f>L46+L44</f>
        <v>1963500.4338012619</v>
      </c>
      <c r="M48" s="65"/>
      <c r="N48" s="64">
        <f>N46+N44</f>
        <v>1996970.6113381796</v>
      </c>
      <c r="O48" s="66"/>
      <c r="P48" s="64">
        <f>P46+P44</f>
        <v>33470.177536917639</v>
      </c>
      <c r="Q48" s="318">
        <f>P48/L48</f>
        <v>1.7046177816279189E-2</v>
      </c>
      <c r="R48" s="51"/>
      <c r="S48" s="557">
        <f>N48/J48</f>
        <v>8.7504647815206268E-2</v>
      </c>
      <c r="T48" s="56"/>
    </row>
    <row r="49" spans="2:20" ht="16.5" thickTop="1">
      <c r="B49" s="581" t="s">
        <v>24</v>
      </c>
      <c r="C49" s="582"/>
      <c r="D49" s="582"/>
      <c r="H49" s="67"/>
      <c r="J49" s="67"/>
      <c r="L49" s="68"/>
      <c r="M49" s="51"/>
      <c r="N49" s="68"/>
      <c r="O49" s="68"/>
      <c r="P49" s="68"/>
      <c r="Q49" s="57"/>
      <c r="R49" s="51"/>
      <c r="S49" s="51"/>
      <c r="T49" s="56"/>
    </row>
    <row r="50" spans="2:20" ht="18.75" customHeight="1" thickBot="1">
      <c r="D50" s="19" t="s">
        <v>86</v>
      </c>
      <c r="J50" s="63">
        <v>22821309</v>
      </c>
      <c r="L50" s="64">
        <v>1963503</v>
      </c>
      <c r="P50" s="69" t="s">
        <v>24</v>
      </c>
      <c r="Q50" s="70" t="s">
        <v>24</v>
      </c>
      <c r="T50" s="56"/>
    </row>
    <row r="51" spans="2:20" ht="17.25" thickTop="1" thickBot="1">
      <c r="D51" s="19" t="s">
        <v>86</v>
      </c>
      <c r="J51" s="63">
        <f>J50-J48</f>
        <v>-5.2696429193019867E-2</v>
      </c>
      <c r="L51" s="64">
        <f>L50-L48</f>
        <v>2.566198738059029</v>
      </c>
      <c r="M51" s="24"/>
      <c r="N51" s="71"/>
      <c r="P51" s="71"/>
      <c r="Q51" s="72"/>
      <c r="R51" s="24"/>
      <c r="S51" s="24"/>
      <c r="T51" s="56"/>
    </row>
    <row r="52" spans="2:20" ht="16.5" thickTop="1">
      <c r="J52" s="59"/>
      <c r="L52" s="73"/>
      <c r="M52" s="24"/>
      <c r="N52" s="73"/>
      <c r="P52" s="73"/>
      <c r="R52" s="24"/>
      <c r="S52" s="68"/>
    </row>
    <row r="53" spans="2:20">
      <c r="N53" s="74"/>
      <c r="P53" s="75"/>
      <c r="Q53" s="76"/>
    </row>
    <row r="54" spans="2:20">
      <c r="N54" s="24"/>
      <c r="P54" s="77"/>
      <c r="Q54" s="78"/>
    </row>
    <row r="55" spans="2:20">
      <c r="N55" s="45"/>
      <c r="P55" s="79"/>
      <c r="Q55" s="80"/>
    </row>
    <row r="56" spans="2:20">
      <c r="N56" s="81"/>
      <c r="Q56" s="82"/>
    </row>
    <row r="57" spans="2:20">
      <c r="N57" s="20"/>
      <c r="Q57" s="83"/>
    </row>
    <row r="59" spans="2:20">
      <c r="N59" s="45"/>
    </row>
  </sheetData>
  <mergeCells count="9">
    <mergeCell ref="N9:Q9"/>
    <mergeCell ref="N10:Q10"/>
    <mergeCell ref="B49:D49"/>
    <mergeCell ref="B7:R7"/>
    <mergeCell ref="B2:R2"/>
    <mergeCell ref="B3:R3"/>
    <mergeCell ref="B4:R4"/>
    <mergeCell ref="B5:R5"/>
    <mergeCell ref="B6:R6"/>
  </mergeCells>
  <printOptions horizontalCentered="1"/>
  <pageMargins left="0.7" right="0.7" top="0.75" bottom="0.71" header="0.3" footer="0.3"/>
  <pageSetup scale="70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4"/>
  <sheetViews>
    <sheetView workbookViewId="0">
      <selection activeCell="E7" sqref="E7"/>
    </sheetView>
  </sheetViews>
  <sheetFormatPr defaultColWidth="8.85546875" defaultRowHeight="12.75"/>
  <cols>
    <col min="1" max="1" width="7.7109375" style="1" bestFit="1" customWidth="1"/>
    <col min="2" max="2" width="10.28515625" style="1" bestFit="1" customWidth="1"/>
    <col min="3" max="3" width="21" style="1" bestFit="1" customWidth="1"/>
    <col min="4" max="4" width="15.140625" style="1" bestFit="1" customWidth="1"/>
    <col min="5" max="5" width="11.5703125" style="1" bestFit="1" customWidth="1"/>
    <col min="6" max="6" width="13.28515625" style="1" bestFit="1" customWidth="1"/>
    <col min="7" max="16384" width="8.85546875" style="1"/>
  </cols>
  <sheetData>
    <row r="1" spans="1:6">
      <c r="A1" s="585" t="s">
        <v>0</v>
      </c>
      <c r="B1" s="585"/>
      <c r="C1" s="585"/>
      <c r="D1" s="585"/>
      <c r="E1" s="585"/>
      <c r="F1" s="585"/>
    </row>
    <row r="2" spans="1:6">
      <c r="A2" s="586" t="s">
        <v>91</v>
      </c>
      <c r="B2" s="585"/>
      <c r="C2" s="585"/>
      <c r="D2" s="585"/>
      <c r="E2" s="585"/>
      <c r="F2" s="585"/>
    </row>
    <row r="3" spans="1:6">
      <c r="A3" s="585" t="str">
        <f>+'Rate Impacts 10-4-2018'!A3</f>
        <v>Test Year ended September 2019</v>
      </c>
      <c r="B3" s="585"/>
      <c r="C3" s="585"/>
      <c r="D3" s="585"/>
      <c r="E3" s="585"/>
      <c r="F3" s="585"/>
    </row>
    <row r="4" spans="1:6">
      <c r="A4" s="585"/>
      <c r="B4" s="585"/>
      <c r="C4" s="585"/>
      <c r="D4" s="585"/>
      <c r="E4" s="585"/>
      <c r="F4" s="585"/>
    </row>
    <row r="5" spans="1:6">
      <c r="A5" s="2"/>
      <c r="B5" s="3"/>
      <c r="C5" s="3"/>
      <c r="D5" s="3"/>
      <c r="E5" s="4"/>
      <c r="F5" s="4"/>
    </row>
    <row r="6" spans="1:6" ht="51">
      <c r="A6" s="6" t="s">
        <v>3</v>
      </c>
      <c r="B6" s="6" t="s">
        <v>4</v>
      </c>
      <c r="C6" s="6" t="s">
        <v>42</v>
      </c>
      <c r="D6" s="7" t="str">
        <f>+'Rate Impacts 10-4-2018'!C7</f>
        <v>Annual kWh Delivered Sales YE 9-2019 (F2018)</v>
      </c>
      <c r="E6" s="290" t="s">
        <v>412</v>
      </c>
      <c r="F6" s="7" t="s">
        <v>216</v>
      </c>
    </row>
    <row r="7" spans="1:6">
      <c r="A7" s="3">
        <v>1</v>
      </c>
      <c r="B7" s="3">
        <v>7</v>
      </c>
      <c r="C7" s="4"/>
      <c r="D7" s="9">
        <f>+'Rate Impacts 10-4-2018'!C9</f>
        <v>10809562000</v>
      </c>
      <c r="E7" s="193">
        <v>0</v>
      </c>
      <c r="F7" s="194">
        <f>ROUND(D7*E7,0)</f>
        <v>0</v>
      </c>
    </row>
    <row r="8" spans="1:6">
      <c r="A8" s="3">
        <f t="shared" ref="A8:A40" si="0">+A7+1</f>
        <v>2</v>
      </c>
      <c r="B8" s="2" t="s">
        <v>14</v>
      </c>
      <c r="C8" s="4"/>
      <c r="D8" s="9">
        <v>0</v>
      </c>
      <c r="E8" s="193">
        <v>0</v>
      </c>
      <c r="F8" s="194">
        <f>ROUND(D8*E8,0)</f>
        <v>0</v>
      </c>
    </row>
    <row r="9" spans="1:6">
      <c r="A9" s="3">
        <f t="shared" si="0"/>
        <v>3</v>
      </c>
      <c r="B9" s="3"/>
      <c r="C9" s="4" t="s">
        <v>15</v>
      </c>
      <c r="D9" s="13">
        <f>SUM(D7:D8)</f>
        <v>10809562000</v>
      </c>
      <c r="E9" s="195"/>
      <c r="F9" s="196">
        <f t="shared" ref="F9" si="1">SUM(F7:F8)</f>
        <v>0</v>
      </c>
    </row>
    <row r="10" spans="1:6">
      <c r="A10" s="3">
        <f t="shared" si="0"/>
        <v>4</v>
      </c>
      <c r="B10" s="3"/>
      <c r="C10" s="4"/>
      <c r="D10" s="9"/>
      <c r="E10" s="193"/>
      <c r="F10" s="194"/>
    </row>
    <row r="11" spans="1:6">
      <c r="A11" s="3">
        <f t="shared" si="0"/>
        <v>5</v>
      </c>
      <c r="B11" s="3">
        <v>8</v>
      </c>
      <c r="C11" s="4"/>
      <c r="D11" s="9">
        <v>0</v>
      </c>
      <c r="E11" s="193">
        <v>0</v>
      </c>
      <c r="F11" s="194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>+'Rate Impacts 10-4-2018'!C12</f>
        <v>3049254000</v>
      </c>
      <c r="E12" s="197">
        <f>+E11</f>
        <v>0</v>
      </c>
      <c r="F12" s="194">
        <f t="shared" si="2"/>
        <v>0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93">
        <v>0</v>
      </c>
      <c r="F13" s="194">
        <f t="shared" si="2"/>
        <v>0</v>
      </c>
    </row>
    <row r="14" spans="1:6">
      <c r="A14" s="3">
        <f t="shared" si="0"/>
        <v>8</v>
      </c>
      <c r="B14" s="2">
        <v>25</v>
      </c>
      <c r="D14" s="9">
        <f>+'Rate Impacts 10-4-2018'!C13</f>
        <v>3208495000</v>
      </c>
      <c r="E14" s="197">
        <f>+E13</f>
        <v>0</v>
      </c>
      <c r="F14" s="194">
        <f t="shared" si="2"/>
        <v>0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93">
        <v>0</v>
      </c>
      <c r="F15" s="194">
        <f t="shared" si="2"/>
        <v>0</v>
      </c>
    </row>
    <row r="16" spans="1:6">
      <c r="A16" s="3">
        <f t="shared" si="0"/>
        <v>10</v>
      </c>
      <c r="B16" s="3" t="s">
        <v>16</v>
      </c>
      <c r="D16" s="9">
        <f>+'Rate Impacts 10-4-2018'!C14</f>
        <v>1921550000</v>
      </c>
      <c r="E16" s="197">
        <f>+E15</f>
        <v>0</v>
      </c>
      <c r="F16" s="194">
        <f t="shared" si="2"/>
        <v>0</v>
      </c>
    </row>
    <row r="17" spans="1:6">
      <c r="A17" s="3">
        <f t="shared" si="0"/>
        <v>11</v>
      </c>
      <c r="B17" s="3">
        <v>29</v>
      </c>
      <c r="C17" s="4"/>
      <c r="D17" s="9">
        <f>+'Rate Impacts 10-4-2018'!C15</f>
        <v>16140000</v>
      </c>
      <c r="E17" s="193">
        <v>0</v>
      </c>
      <c r="F17" s="194">
        <f t="shared" si="2"/>
        <v>0</v>
      </c>
    </row>
    <row r="18" spans="1:6">
      <c r="A18" s="3">
        <f t="shared" si="0"/>
        <v>12</v>
      </c>
      <c r="B18" s="3"/>
      <c r="C18" s="12" t="s">
        <v>17</v>
      </c>
      <c r="D18" s="13">
        <f>SUM(D11:D17)</f>
        <v>8195439000</v>
      </c>
      <c r="E18" s="195"/>
      <c r="F18" s="196">
        <f t="shared" ref="F18" si="3">SUM(F11:F17)</f>
        <v>0</v>
      </c>
    </row>
    <row r="19" spans="1:6">
      <c r="A19" s="3">
        <f t="shared" si="0"/>
        <v>13</v>
      </c>
      <c r="B19" s="3"/>
      <c r="C19" s="4"/>
      <c r="D19" s="9"/>
      <c r="E19" s="193"/>
      <c r="F19" s="194"/>
    </row>
    <row r="20" spans="1:6">
      <c r="A20" s="3">
        <f t="shared" si="0"/>
        <v>14</v>
      </c>
      <c r="B20" s="3">
        <v>10</v>
      </c>
      <c r="D20" s="9">
        <v>0</v>
      </c>
      <c r="E20" s="193">
        <v>0</v>
      </c>
      <c r="F20" s="194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+'Rate Impacts 10-4-2018'!C18</f>
        <v>1409546000</v>
      </c>
      <c r="E21" s="197">
        <f>+E20</f>
        <v>0</v>
      </c>
      <c r="F21" s="194">
        <f>ROUND(D21*E21,0)</f>
        <v>0</v>
      </c>
    </row>
    <row r="22" spans="1:6">
      <c r="A22" s="3">
        <f t="shared" si="0"/>
        <v>16</v>
      </c>
      <c r="B22" s="3">
        <v>35</v>
      </c>
      <c r="C22" s="4"/>
      <c r="D22" s="9">
        <f>+'Rate Impacts 10-4-2018'!C19</f>
        <v>5150000</v>
      </c>
      <c r="E22" s="193">
        <v>0</v>
      </c>
      <c r="F22" s="194">
        <f>ROUND(D22*E22,0)</f>
        <v>0</v>
      </c>
    </row>
    <row r="23" spans="1:6">
      <c r="A23" s="3">
        <f t="shared" si="0"/>
        <v>17</v>
      </c>
      <c r="B23" s="3">
        <v>43</v>
      </c>
      <c r="C23" s="4"/>
      <c r="D23" s="9">
        <f>+'Rate Impacts 10-4-2018'!C20</f>
        <v>123766000</v>
      </c>
      <c r="E23" s="193">
        <v>0</v>
      </c>
      <c r="F23" s="194">
        <f>ROUND(D23*E23,0)</f>
        <v>0</v>
      </c>
    </row>
    <row r="24" spans="1:6">
      <c r="A24" s="3">
        <f t="shared" si="0"/>
        <v>18</v>
      </c>
      <c r="B24" s="3"/>
      <c r="C24" s="4" t="s">
        <v>18</v>
      </c>
      <c r="D24" s="13">
        <f>SUM(D20:D23)</f>
        <v>1538462000</v>
      </c>
      <c r="E24" s="195"/>
      <c r="F24" s="196">
        <f t="shared" ref="F24" si="4">SUM(F20:F23)</f>
        <v>0</v>
      </c>
    </row>
    <row r="25" spans="1:6">
      <c r="A25" s="3">
        <f t="shared" si="0"/>
        <v>19</v>
      </c>
      <c r="B25" s="3"/>
      <c r="C25" s="4"/>
      <c r="D25" s="9"/>
      <c r="E25" s="193"/>
      <c r="F25" s="194"/>
    </row>
    <row r="26" spans="1:6">
      <c r="A26" s="3">
        <f t="shared" si="0"/>
        <v>20</v>
      </c>
      <c r="B26" s="3">
        <v>40</v>
      </c>
      <c r="C26" s="4"/>
      <c r="D26" s="13">
        <f>+'Rate Impacts 10-4-2018'!C23</f>
        <v>586365000</v>
      </c>
      <c r="E26" s="195">
        <v>0</v>
      </c>
      <c r="F26" s="196">
        <f>ROUND(D26*E26,0)</f>
        <v>0</v>
      </c>
    </row>
    <row r="27" spans="1:6">
      <c r="A27" s="3">
        <f t="shared" si="0"/>
        <v>21</v>
      </c>
      <c r="B27" s="3"/>
      <c r="C27" s="4"/>
      <c r="D27" s="9"/>
      <c r="E27" s="193"/>
      <c r="F27" s="194"/>
    </row>
    <row r="28" spans="1:6">
      <c r="A28" s="3">
        <f t="shared" si="0"/>
        <v>22</v>
      </c>
      <c r="B28" s="3">
        <v>46</v>
      </c>
      <c r="C28" s="4"/>
      <c r="D28" s="9">
        <f>+'Rate Impacts 10-4-2018'!C25</f>
        <v>79268000</v>
      </c>
      <c r="E28" s="193">
        <v>0</v>
      </c>
      <c r="F28" s="194">
        <f>ROUND(D28*E28,0)</f>
        <v>0</v>
      </c>
    </row>
    <row r="29" spans="1:6">
      <c r="A29" s="3">
        <f t="shared" si="0"/>
        <v>23</v>
      </c>
      <c r="B29" s="3">
        <v>49</v>
      </c>
      <c r="C29" s="4"/>
      <c r="D29" s="9">
        <f>+'Rate Impacts 10-4-2018'!C26</f>
        <v>597895000</v>
      </c>
      <c r="E29" s="193">
        <v>0</v>
      </c>
      <c r="F29" s="194">
        <f>ROUND(D29*E29,0)</f>
        <v>0</v>
      </c>
    </row>
    <row r="30" spans="1:6">
      <c r="A30" s="3">
        <f t="shared" si="0"/>
        <v>24</v>
      </c>
      <c r="B30" s="3"/>
      <c r="C30" s="4" t="s">
        <v>19</v>
      </c>
      <c r="D30" s="13">
        <f>SUM(D28:D29)</f>
        <v>677163000</v>
      </c>
      <c r="E30" s="195"/>
      <c r="F30" s="196">
        <f t="shared" ref="F30" si="5">SUM(F28:F29)</f>
        <v>0</v>
      </c>
    </row>
    <row r="31" spans="1:6">
      <c r="A31" s="3">
        <f t="shared" si="0"/>
        <v>25</v>
      </c>
      <c r="B31" s="3"/>
      <c r="C31" s="4"/>
      <c r="D31" s="9"/>
      <c r="E31" s="193"/>
      <c r="F31" s="194"/>
    </row>
    <row r="32" spans="1:6">
      <c r="A32" s="3">
        <f t="shared" si="0"/>
        <v>26</v>
      </c>
      <c r="B32" s="3" t="s">
        <v>20</v>
      </c>
      <c r="C32" s="4"/>
      <c r="D32" s="13">
        <f>+'Rate Impacts 10-4-2018'!C29</f>
        <v>70960000</v>
      </c>
      <c r="E32" s="195">
        <v>0</v>
      </c>
      <c r="F32" s="196">
        <f>ROUND(D32*E32,0)</f>
        <v>0</v>
      </c>
    </row>
    <row r="33" spans="1:6">
      <c r="A33" s="3">
        <f t="shared" si="0"/>
        <v>27</v>
      </c>
      <c r="B33" s="3"/>
      <c r="C33" s="4"/>
      <c r="D33" s="9"/>
      <c r="E33" s="193"/>
      <c r="F33" s="194"/>
    </row>
    <row r="34" spans="1:6">
      <c r="A34" s="3">
        <f t="shared" si="0"/>
        <v>28</v>
      </c>
      <c r="B34" s="3" t="s">
        <v>21</v>
      </c>
      <c r="C34" s="4"/>
      <c r="D34" s="13">
        <f>+'Rate Impacts 10-4-2018'!C31</f>
        <v>2030932000</v>
      </c>
      <c r="E34" s="195">
        <v>0</v>
      </c>
      <c r="F34" s="196">
        <f>ROUND(D34*E34,0)</f>
        <v>0</v>
      </c>
    </row>
    <row r="35" spans="1:6">
      <c r="A35" s="3">
        <f t="shared" si="0"/>
        <v>29</v>
      </c>
      <c r="B35" s="3"/>
      <c r="C35" s="4"/>
      <c r="D35" s="9"/>
      <c r="E35" s="193"/>
      <c r="F35" s="194"/>
    </row>
    <row r="36" spans="1:6" ht="13.5" thickBot="1">
      <c r="A36" s="3">
        <f t="shared" si="0"/>
        <v>30</v>
      </c>
      <c r="B36" s="3"/>
      <c r="C36" s="12" t="s">
        <v>92</v>
      </c>
      <c r="D36" s="14">
        <f>SUM(D9,D18,D24,D26,D30,D32,D34)</f>
        <v>23908883000</v>
      </c>
      <c r="E36" s="198"/>
      <c r="F36" s="199">
        <f t="shared" ref="F36" si="6">SUM(F9,F18,F24,F26,F30,F32,F34)</f>
        <v>0</v>
      </c>
    </row>
    <row r="37" spans="1:6" ht="13.5" thickTop="1">
      <c r="A37" s="3">
        <f t="shared" si="0"/>
        <v>31</v>
      </c>
      <c r="B37" s="3"/>
      <c r="F37" s="194"/>
    </row>
    <row r="38" spans="1:6">
      <c r="A38" s="3">
        <f t="shared" si="0"/>
        <v>32</v>
      </c>
      <c r="B38" s="3">
        <v>5</v>
      </c>
      <c r="C38" s="1" t="s">
        <v>93</v>
      </c>
      <c r="D38" s="9">
        <f>+'Rate Impacts 10-4-2018'!C35</f>
        <v>7036000</v>
      </c>
      <c r="E38" s="195">
        <v>0</v>
      </c>
      <c r="F38" s="196">
        <f>ROUND(D38*E38,0)</f>
        <v>0</v>
      </c>
    </row>
    <row r="39" spans="1:6">
      <c r="A39" s="3">
        <f t="shared" si="0"/>
        <v>33</v>
      </c>
      <c r="B39" s="3"/>
      <c r="F39" s="194"/>
    </row>
    <row r="40" spans="1:6" ht="13.5" thickBot="1">
      <c r="A40" s="3">
        <f t="shared" si="0"/>
        <v>34</v>
      </c>
      <c r="B40" s="3"/>
      <c r="C40" s="12" t="s">
        <v>94</v>
      </c>
      <c r="D40" s="14">
        <f>SUM(D36,D38)</f>
        <v>23915919000</v>
      </c>
      <c r="F40" s="199">
        <f t="shared" ref="F40" si="7">SUM(F36,F38)</f>
        <v>0</v>
      </c>
    </row>
    <row r="41" spans="1:6" ht="13.5" thickTop="1"/>
    <row r="42" spans="1:6" ht="13.5" thickBot="1">
      <c r="F42" s="199"/>
    </row>
    <row r="43" spans="1:6" ht="14.25" thickTop="1" thickBot="1">
      <c r="F43" s="199">
        <f>+F40-F42</f>
        <v>0</v>
      </c>
    </row>
    <row r="44" spans="1:6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8" header="0.3" footer="0.3"/>
  <pageSetup scale="85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43"/>
  <sheetViews>
    <sheetView workbookViewId="0">
      <pane xSplit="4" ySplit="6" topLeftCell="E16" activePane="bottomRight" state="frozen"/>
      <selection pane="topRight" activeCell="E1" sqref="E1"/>
      <selection pane="bottomLeft" activeCell="A7" sqref="A7"/>
      <selection pane="bottomRight" activeCell="F7" sqref="F7:F40"/>
    </sheetView>
  </sheetViews>
  <sheetFormatPr defaultColWidth="8.85546875" defaultRowHeight="12.75"/>
  <cols>
    <col min="1" max="1" width="7.7109375" style="1" bestFit="1" customWidth="1"/>
    <col min="2" max="2" width="10.28515625" style="1" bestFit="1" customWidth="1"/>
    <col min="3" max="3" width="21" style="1" bestFit="1" customWidth="1"/>
    <col min="4" max="4" width="15.140625" style="1" bestFit="1" customWidth="1"/>
    <col min="5" max="5" width="14" style="1" bestFit="1" customWidth="1"/>
    <col min="6" max="6" width="13.28515625" style="1" bestFit="1" customWidth="1"/>
    <col min="7" max="7" width="2.42578125" style="1" customWidth="1"/>
    <col min="8" max="8" width="18.28515625" style="1" bestFit="1" customWidth="1"/>
    <col min="9" max="9" width="19.85546875" style="1" bestFit="1" customWidth="1"/>
    <col min="10" max="10" width="2.28515625" style="1" customWidth="1"/>
    <col min="11" max="11" width="12.7109375" style="1" customWidth="1"/>
    <col min="12" max="16384" width="8.85546875" style="1"/>
  </cols>
  <sheetData>
    <row r="1" spans="1:11">
      <c r="A1" s="585" t="s">
        <v>0</v>
      </c>
      <c r="B1" s="585"/>
      <c r="C1" s="585"/>
      <c r="D1" s="585"/>
      <c r="E1" s="585"/>
      <c r="F1" s="585"/>
    </row>
    <row r="2" spans="1:11">
      <c r="A2" s="586" t="s">
        <v>95</v>
      </c>
      <c r="B2" s="585"/>
      <c r="C2" s="585"/>
      <c r="D2" s="585"/>
      <c r="E2" s="585"/>
      <c r="F2" s="585"/>
    </row>
    <row r="3" spans="1:11">
      <c r="A3" s="585" t="str">
        <f>+'Rate Impacts 10-4-2018'!A3</f>
        <v>Test Year ended September 2019</v>
      </c>
      <c r="B3" s="585"/>
      <c r="C3" s="585"/>
      <c r="D3" s="585"/>
      <c r="E3" s="585"/>
      <c r="F3" s="585"/>
    </row>
    <row r="4" spans="1:11">
      <c r="A4" s="585"/>
      <c r="B4" s="585"/>
      <c r="C4" s="585"/>
      <c r="D4" s="585"/>
      <c r="E4" s="585"/>
      <c r="F4" s="585"/>
    </row>
    <row r="5" spans="1:11">
      <c r="A5" s="2"/>
      <c r="B5" s="3"/>
      <c r="C5" s="3"/>
      <c r="D5" s="3"/>
      <c r="E5" s="4"/>
      <c r="F5" s="4" t="s">
        <v>136</v>
      </c>
    </row>
    <row r="6" spans="1:11" ht="51">
      <c r="A6" s="6" t="s">
        <v>3</v>
      </c>
      <c r="B6" s="6" t="s">
        <v>4</v>
      </c>
      <c r="C6" s="6" t="s">
        <v>42</v>
      </c>
      <c r="D6" s="7" t="str">
        <f>+'Rate Impacts 10-4-2018'!C7</f>
        <v>Annual kWh Delivered Sales YE 9-2019 (F2018)</v>
      </c>
      <c r="E6" s="290" t="s">
        <v>307</v>
      </c>
      <c r="F6" s="7" t="s">
        <v>215</v>
      </c>
      <c r="H6" s="290" t="s">
        <v>307</v>
      </c>
      <c r="I6" s="290" t="s">
        <v>215</v>
      </c>
      <c r="K6" s="98" t="s">
        <v>34</v>
      </c>
    </row>
    <row r="7" spans="1:11">
      <c r="A7" s="3">
        <v>1</v>
      </c>
      <c r="B7" s="3">
        <v>7</v>
      </c>
      <c r="C7" s="4"/>
      <c r="D7" s="9">
        <f>+'Rate Impacts 10-4-2018'!C9</f>
        <v>10809562000</v>
      </c>
      <c r="E7" s="193">
        <f>+H7</f>
        <v>-2.0720000000000001E-3</v>
      </c>
      <c r="F7" s="194">
        <f>ROUND(D7*E7,-3)</f>
        <v>-22397000</v>
      </c>
      <c r="H7" s="193">
        <f>+'UE-180284 (Sch 95A)'!G8</f>
        <v>-2.0720000000000001E-3</v>
      </c>
      <c r="I7" s="314">
        <f>ROUND(D7*H7,0)</f>
        <v>-22397412</v>
      </c>
      <c r="K7" s="333">
        <f>+I7-F7</f>
        <v>-412</v>
      </c>
    </row>
    <row r="8" spans="1:11">
      <c r="A8" s="3">
        <f t="shared" ref="A8:A40" si="0">+A7+1</f>
        <v>2</v>
      </c>
      <c r="B8" s="2" t="s">
        <v>14</v>
      </c>
      <c r="C8" s="4"/>
      <c r="D8" s="9">
        <v>0</v>
      </c>
      <c r="E8" s="193">
        <f>+H8</f>
        <v>-1.7129999999999999E-3</v>
      </c>
      <c r="F8" s="194">
        <f>ROUND(D8*E8,-3)</f>
        <v>0</v>
      </c>
      <c r="H8" s="193">
        <f>+'UE-180284 (Sch 95A)'!G11</f>
        <v>-1.7129999999999999E-3</v>
      </c>
      <c r="I8" s="314">
        <f>ROUND(D8*H8,0)</f>
        <v>0</v>
      </c>
      <c r="K8" s="333">
        <f>+I8-F8</f>
        <v>0</v>
      </c>
    </row>
    <row r="9" spans="1:11">
      <c r="A9" s="3">
        <f t="shared" si="0"/>
        <v>3</v>
      </c>
      <c r="B9" s="3"/>
      <c r="C9" s="4" t="s">
        <v>15</v>
      </c>
      <c r="D9" s="13">
        <f>SUM(D7:D8)</f>
        <v>10809562000</v>
      </c>
      <c r="E9" s="195"/>
      <c r="F9" s="196">
        <f t="shared" ref="F9" si="1">SUM(F7:F8)</f>
        <v>-22397000</v>
      </c>
      <c r="H9" s="195"/>
      <c r="I9" s="315">
        <f t="shared" ref="I9:K9" si="2">SUM(I7:I8)</f>
        <v>-22397412</v>
      </c>
      <c r="K9" s="315">
        <f t="shared" si="2"/>
        <v>-412</v>
      </c>
    </row>
    <row r="10" spans="1:11">
      <c r="A10" s="3">
        <f t="shared" si="0"/>
        <v>4</v>
      </c>
      <c r="B10" s="3"/>
      <c r="C10" s="4"/>
      <c r="D10" s="9"/>
      <c r="E10" s="193"/>
      <c r="F10" s="194"/>
      <c r="H10" s="193"/>
      <c r="I10" s="314"/>
      <c r="K10" s="314"/>
    </row>
    <row r="11" spans="1:11">
      <c r="A11" s="3">
        <f t="shared" si="0"/>
        <v>5</v>
      </c>
      <c r="B11" s="3">
        <v>8</v>
      </c>
      <c r="C11" s="4"/>
      <c r="D11" s="9">
        <v>0</v>
      </c>
      <c r="E11" s="193">
        <f>+H11</f>
        <v>-1.6739999999999999E-3</v>
      </c>
      <c r="F11" s="194">
        <f t="shared" ref="F11:F17" si="3">ROUND(D11*E11,-3)</f>
        <v>0</v>
      </c>
      <c r="H11" s="193">
        <f>+'UE-180284 (Sch 95A)'!G10</f>
        <v>-1.6739999999999999E-3</v>
      </c>
      <c r="I11" s="314">
        <f t="shared" ref="I11:I17" si="4">ROUND(D11*H11,0)</f>
        <v>0</v>
      </c>
      <c r="K11" s="333">
        <f t="shared" ref="K11:K17" si="5">+I11-F11</f>
        <v>0</v>
      </c>
    </row>
    <row r="12" spans="1:11">
      <c r="A12" s="3">
        <f t="shared" si="0"/>
        <v>6</v>
      </c>
      <c r="B12" s="3">
        <v>24</v>
      </c>
      <c r="D12" s="9">
        <f>+'Rate Impacts 10-4-2018'!C12</f>
        <v>3049254000</v>
      </c>
      <c r="E12" s="197">
        <f>+E11</f>
        <v>-1.6739999999999999E-3</v>
      </c>
      <c r="F12" s="194">
        <f t="shared" si="3"/>
        <v>-5104000</v>
      </c>
      <c r="H12" s="197">
        <f>+H11</f>
        <v>-1.6739999999999999E-3</v>
      </c>
      <c r="I12" s="314">
        <f t="shared" si="4"/>
        <v>-5104451</v>
      </c>
      <c r="K12" s="333">
        <f t="shared" si="5"/>
        <v>-451</v>
      </c>
    </row>
    <row r="13" spans="1:11">
      <c r="A13" s="3">
        <f t="shared" si="0"/>
        <v>7</v>
      </c>
      <c r="B13" s="2">
        <v>11</v>
      </c>
      <c r="C13" s="4"/>
      <c r="D13" s="9">
        <v>0</v>
      </c>
      <c r="E13" s="193">
        <f>+H13</f>
        <v>-1.7129999999999999E-3</v>
      </c>
      <c r="F13" s="194">
        <f t="shared" si="3"/>
        <v>0</v>
      </c>
      <c r="H13" s="193">
        <f>+H8</f>
        <v>-1.7129999999999999E-3</v>
      </c>
      <c r="I13" s="314">
        <f t="shared" si="4"/>
        <v>0</v>
      </c>
      <c r="K13" s="333">
        <f t="shared" si="5"/>
        <v>0</v>
      </c>
    </row>
    <row r="14" spans="1:11">
      <c r="A14" s="3">
        <f t="shared" si="0"/>
        <v>8</v>
      </c>
      <c r="B14" s="2">
        <v>25</v>
      </c>
      <c r="D14" s="9">
        <f>+'Rate Impacts 10-4-2018'!C13</f>
        <v>3208495000</v>
      </c>
      <c r="E14" s="197">
        <f>+E13</f>
        <v>-1.7129999999999999E-3</v>
      </c>
      <c r="F14" s="194">
        <f t="shared" si="3"/>
        <v>-5496000</v>
      </c>
      <c r="H14" s="197">
        <f>+H13</f>
        <v>-1.7129999999999999E-3</v>
      </c>
      <c r="I14" s="314">
        <f t="shared" si="4"/>
        <v>-5496152</v>
      </c>
      <c r="K14" s="333">
        <f t="shared" si="5"/>
        <v>-152</v>
      </c>
    </row>
    <row r="15" spans="1:11">
      <c r="A15" s="3">
        <f t="shared" si="0"/>
        <v>9</v>
      </c>
      <c r="B15" s="3">
        <v>12</v>
      </c>
      <c r="C15" s="4"/>
      <c r="D15" s="9">
        <v>0</v>
      </c>
      <c r="E15" s="193">
        <f>+H15</f>
        <v>-1.786E-3</v>
      </c>
      <c r="F15" s="194">
        <f t="shared" si="3"/>
        <v>0</v>
      </c>
      <c r="H15" s="193">
        <f>+'UE-180284 (Sch 95A)'!G12</f>
        <v>-1.786E-3</v>
      </c>
      <c r="I15" s="314">
        <f t="shared" si="4"/>
        <v>0</v>
      </c>
      <c r="K15" s="333">
        <f t="shared" si="5"/>
        <v>0</v>
      </c>
    </row>
    <row r="16" spans="1:11">
      <c r="A16" s="3">
        <f t="shared" si="0"/>
        <v>10</v>
      </c>
      <c r="B16" s="3" t="s">
        <v>16</v>
      </c>
      <c r="D16" s="9">
        <f>+'Rate Impacts 10-4-2018'!C14</f>
        <v>1921550000</v>
      </c>
      <c r="E16" s="197">
        <f>+E15</f>
        <v>-1.786E-3</v>
      </c>
      <c r="F16" s="194">
        <f t="shared" si="3"/>
        <v>-3432000</v>
      </c>
      <c r="H16" s="197">
        <f>+H15</f>
        <v>-1.786E-3</v>
      </c>
      <c r="I16" s="314">
        <f t="shared" si="4"/>
        <v>-3431888</v>
      </c>
      <c r="K16" s="333">
        <f t="shared" si="5"/>
        <v>112</v>
      </c>
    </row>
    <row r="17" spans="1:11">
      <c r="A17" s="3">
        <f t="shared" si="0"/>
        <v>11</v>
      </c>
      <c r="B17" s="3">
        <v>29</v>
      </c>
      <c r="C17" s="4"/>
      <c r="D17" s="9">
        <f>+'Rate Impacts 10-4-2018'!C15</f>
        <v>16140000</v>
      </c>
      <c r="E17" s="193">
        <f>+H17</f>
        <v>-1.562E-3</v>
      </c>
      <c r="F17" s="194">
        <f t="shared" si="3"/>
        <v>-25000</v>
      </c>
      <c r="H17" s="193">
        <f>+'UE-180284 (Sch 95A)'!G13</f>
        <v>-1.562E-3</v>
      </c>
      <c r="I17" s="314">
        <f t="shared" si="4"/>
        <v>-25211</v>
      </c>
      <c r="K17" s="333">
        <f t="shared" si="5"/>
        <v>-211</v>
      </c>
    </row>
    <row r="18" spans="1:11">
      <c r="A18" s="3">
        <f t="shared" si="0"/>
        <v>12</v>
      </c>
      <c r="B18" s="3"/>
      <c r="C18" s="12" t="s">
        <v>17</v>
      </c>
      <c r="D18" s="13">
        <f>SUM(D11:D17)</f>
        <v>8195439000</v>
      </c>
      <c r="E18" s="195"/>
      <c r="F18" s="196">
        <f t="shared" ref="F18" si="6">SUM(F11:F17)</f>
        <v>-14057000</v>
      </c>
      <c r="H18" s="195"/>
      <c r="I18" s="315">
        <f t="shared" ref="I18:K18" si="7">SUM(I11:I17)</f>
        <v>-14057702</v>
      </c>
      <c r="K18" s="315">
        <f t="shared" si="7"/>
        <v>-702</v>
      </c>
    </row>
    <row r="19" spans="1:11">
      <c r="A19" s="3">
        <f t="shared" si="0"/>
        <v>13</v>
      </c>
      <c r="B19" s="3"/>
      <c r="C19" s="4"/>
      <c r="D19" s="9"/>
      <c r="E19" s="193"/>
      <c r="F19" s="194"/>
      <c r="H19" s="193"/>
      <c r="I19" s="314"/>
      <c r="K19" s="314"/>
    </row>
    <row r="20" spans="1:11">
      <c r="A20" s="3">
        <f t="shared" si="0"/>
        <v>14</v>
      </c>
      <c r="B20" s="3">
        <v>10</v>
      </c>
      <c r="D20" s="9">
        <v>0</v>
      </c>
      <c r="E20" s="193">
        <f>+H20</f>
        <v>-1.668E-3</v>
      </c>
      <c r="F20" s="194">
        <f>ROUND(D20*E20,-3)</f>
        <v>0</v>
      </c>
      <c r="H20" s="193">
        <f>+'UE-180284 (Sch 95A)'!G17</f>
        <v>-1.668E-3</v>
      </c>
      <c r="I20" s="314">
        <f t="shared" ref="I20:I23" si="8">ROUND(D20*H20,0)</f>
        <v>0</v>
      </c>
      <c r="K20" s="333">
        <f t="shared" ref="K20:K23" si="9">+I20-F20</f>
        <v>0</v>
      </c>
    </row>
    <row r="21" spans="1:11">
      <c r="A21" s="3">
        <f t="shared" si="0"/>
        <v>15</v>
      </c>
      <c r="B21" s="3">
        <v>31</v>
      </c>
      <c r="C21" s="4"/>
      <c r="D21" s="9">
        <f>+'Rate Impacts 10-4-2018'!C18</f>
        <v>1409546000</v>
      </c>
      <c r="E21" s="197">
        <f>+E20</f>
        <v>-1.668E-3</v>
      </c>
      <c r="F21" s="194">
        <f>ROUND(D21*E21,-3)</f>
        <v>-2351000</v>
      </c>
      <c r="H21" s="197">
        <f>+H20</f>
        <v>-1.668E-3</v>
      </c>
      <c r="I21" s="314">
        <f t="shared" si="8"/>
        <v>-2351123</v>
      </c>
      <c r="K21" s="333">
        <f t="shared" si="9"/>
        <v>-123</v>
      </c>
    </row>
    <row r="22" spans="1:11">
      <c r="A22" s="3">
        <f t="shared" si="0"/>
        <v>16</v>
      </c>
      <c r="B22" s="3">
        <v>35</v>
      </c>
      <c r="C22" s="4"/>
      <c r="D22" s="9">
        <f>+'Rate Impacts 10-4-2018'!C19</f>
        <v>5150000</v>
      </c>
      <c r="E22" s="193">
        <f t="shared" ref="E22:E23" si="10">+H22</f>
        <v>-1.129E-3</v>
      </c>
      <c r="F22" s="194">
        <f>ROUND(D22*E22,-3)</f>
        <v>-6000</v>
      </c>
      <c r="H22" s="193">
        <f>+'UE-180284 (Sch 95A)'!G18</f>
        <v>-1.129E-3</v>
      </c>
      <c r="I22" s="314">
        <f t="shared" si="8"/>
        <v>-5814</v>
      </c>
      <c r="K22" s="333">
        <f t="shared" si="9"/>
        <v>186</v>
      </c>
    </row>
    <row r="23" spans="1:11">
      <c r="A23" s="3">
        <f t="shared" si="0"/>
        <v>17</v>
      </c>
      <c r="B23" s="3">
        <v>43</v>
      </c>
      <c r="C23" s="4"/>
      <c r="D23" s="9">
        <f>+'Rate Impacts 10-4-2018'!C20</f>
        <v>123766000</v>
      </c>
      <c r="E23" s="193">
        <f t="shared" si="10"/>
        <v>-1.508E-3</v>
      </c>
      <c r="F23" s="194">
        <f>ROUND(D23*E23,-3)</f>
        <v>-187000</v>
      </c>
      <c r="H23" s="193">
        <f>+'UE-180284 (Sch 95A)'!G19</f>
        <v>-1.508E-3</v>
      </c>
      <c r="I23" s="314">
        <f t="shared" si="8"/>
        <v>-186639</v>
      </c>
      <c r="K23" s="333">
        <f t="shared" si="9"/>
        <v>361</v>
      </c>
    </row>
    <row r="24" spans="1:11">
      <c r="A24" s="3">
        <f t="shared" si="0"/>
        <v>18</v>
      </c>
      <c r="B24" s="3"/>
      <c r="C24" s="4" t="s">
        <v>18</v>
      </c>
      <c r="D24" s="13">
        <f>SUM(D20:D23)</f>
        <v>1538462000</v>
      </c>
      <c r="E24" s="195"/>
      <c r="F24" s="196">
        <f t="shared" ref="F24" si="11">SUM(F20:F23)</f>
        <v>-2544000</v>
      </c>
      <c r="H24" s="195"/>
      <c r="I24" s="315">
        <f t="shared" ref="I24:K24" si="12">SUM(I20:I23)</f>
        <v>-2543576</v>
      </c>
      <c r="K24" s="315">
        <f t="shared" si="12"/>
        <v>424</v>
      </c>
    </row>
    <row r="25" spans="1:11">
      <c r="A25" s="3">
        <f t="shared" si="0"/>
        <v>19</v>
      </c>
      <c r="B25" s="3"/>
      <c r="C25" s="4"/>
      <c r="D25" s="9"/>
      <c r="E25" s="193"/>
      <c r="F25" s="194"/>
      <c r="H25" s="193"/>
      <c r="I25" s="314"/>
      <c r="K25" s="314"/>
    </row>
    <row r="26" spans="1:11">
      <c r="A26" s="3">
        <f t="shared" si="0"/>
        <v>20</v>
      </c>
      <c r="B26" s="3">
        <v>40</v>
      </c>
      <c r="C26" s="4"/>
      <c r="D26" s="13">
        <f>+'Rate Impacts 10-4-2018'!C23</f>
        <v>586365000</v>
      </c>
      <c r="E26" s="193">
        <f>+H26</f>
        <v>-1.7719999999999999E-3</v>
      </c>
      <c r="F26" s="196">
        <f>ROUND(D26*E26,-3)</f>
        <v>-1039000</v>
      </c>
      <c r="H26" s="195">
        <f>+'UE-180284 (Sch 95A)'!G23</f>
        <v>-1.7719999999999999E-3</v>
      </c>
      <c r="I26" s="314">
        <f>ROUND(D26*H26,0)</f>
        <v>-1039039</v>
      </c>
      <c r="K26" s="333">
        <f>+I26-F26</f>
        <v>-39</v>
      </c>
    </row>
    <row r="27" spans="1:11">
      <c r="A27" s="3">
        <f t="shared" si="0"/>
        <v>21</v>
      </c>
      <c r="B27" s="3"/>
      <c r="C27" s="4"/>
      <c r="D27" s="9"/>
      <c r="E27" s="193"/>
      <c r="F27" s="194"/>
      <c r="H27" s="193"/>
      <c r="I27" s="314"/>
      <c r="K27" s="314"/>
    </row>
    <row r="28" spans="1:11">
      <c r="A28" s="3">
        <f t="shared" si="0"/>
        <v>22</v>
      </c>
      <c r="B28" s="3">
        <v>46</v>
      </c>
      <c r="C28" s="4"/>
      <c r="D28" s="9">
        <f>+'Rate Impacts 10-4-2018'!C25</f>
        <v>79268000</v>
      </c>
      <c r="E28" s="193">
        <f>+H28</f>
        <v>-8.5300000000000003E-4</v>
      </c>
      <c r="F28" s="194">
        <f>ROUND(D28*E28,-3)</f>
        <v>-68000</v>
      </c>
      <c r="H28" s="193">
        <f>+'UE-180284 (Sch 95A)'!G25</f>
        <v>-8.5300000000000003E-4</v>
      </c>
      <c r="I28" s="314">
        <f t="shared" ref="I28:I29" si="13">ROUND(D28*H28,0)</f>
        <v>-67616</v>
      </c>
      <c r="K28" s="333">
        <f t="shared" ref="K28:K29" si="14">+I28-F28</f>
        <v>384</v>
      </c>
    </row>
    <row r="29" spans="1:11">
      <c r="A29" s="3">
        <f t="shared" si="0"/>
        <v>23</v>
      </c>
      <c r="B29" s="3">
        <v>49</v>
      </c>
      <c r="C29" s="4"/>
      <c r="D29" s="9">
        <f>+'Rate Impacts 10-4-2018'!C26</f>
        <v>597895000</v>
      </c>
      <c r="E29" s="193">
        <f>+H29</f>
        <v>-1.6949999999999999E-3</v>
      </c>
      <c r="F29" s="194">
        <f>ROUND(D29*E29,-3)</f>
        <v>-1013000</v>
      </c>
      <c r="H29" s="193">
        <f>+'UE-180284 (Sch 95A)'!G26</f>
        <v>-1.6949999999999999E-3</v>
      </c>
      <c r="I29" s="314">
        <f t="shared" si="13"/>
        <v>-1013432</v>
      </c>
      <c r="K29" s="333">
        <f t="shared" si="14"/>
        <v>-432</v>
      </c>
    </row>
    <row r="30" spans="1:11">
      <c r="A30" s="3">
        <f t="shared" si="0"/>
        <v>24</v>
      </c>
      <c r="B30" s="3"/>
      <c r="C30" s="4" t="s">
        <v>19</v>
      </c>
      <c r="D30" s="13">
        <f>SUM(D28:D29)</f>
        <v>677163000</v>
      </c>
      <c r="E30" s="195"/>
      <c r="F30" s="196">
        <f t="shared" ref="F30" si="15">SUM(F28:F29)</f>
        <v>-1081000</v>
      </c>
      <c r="H30" s="195"/>
      <c r="I30" s="315">
        <f t="shared" ref="I30:K30" si="16">SUM(I28:I29)</f>
        <v>-1081048</v>
      </c>
      <c r="K30" s="315">
        <f t="shared" si="16"/>
        <v>-48</v>
      </c>
    </row>
    <row r="31" spans="1:11">
      <c r="A31" s="3">
        <f t="shared" si="0"/>
        <v>25</v>
      </c>
      <c r="B31" s="3"/>
      <c r="C31" s="4"/>
      <c r="D31" s="9"/>
      <c r="E31" s="193"/>
      <c r="F31" s="194"/>
      <c r="H31" s="193"/>
      <c r="I31" s="314"/>
      <c r="K31" s="314"/>
    </row>
    <row r="32" spans="1:11">
      <c r="A32" s="3">
        <f t="shared" si="0"/>
        <v>26</v>
      </c>
      <c r="B32" s="3" t="s">
        <v>20</v>
      </c>
      <c r="C32" s="4"/>
      <c r="D32" s="13">
        <f>+'Rate Impacts 10-4-2018'!C29</f>
        <v>70960000</v>
      </c>
      <c r="E32" s="193">
        <f>+H32</f>
        <v>-2.1120000000000002E-3</v>
      </c>
      <c r="F32" s="196">
        <f>ROUND(D32*E32,-3)</f>
        <v>-150000</v>
      </c>
      <c r="H32" s="195">
        <f>+'UE-180284 (Sch 95A)'!G30</f>
        <v>-2.1120000000000002E-3</v>
      </c>
      <c r="I32" s="314">
        <f>ROUND(D32*H32,0)</f>
        <v>-149868</v>
      </c>
      <c r="K32" s="333">
        <f>+I32-F32</f>
        <v>132</v>
      </c>
    </row>
    <row r="33" spans="1:11">
      <c r="A33" s="3">
        <f t="shared" si="0"/>
        <v>27</v>
      </c>
      <c r="B33" s="3"/>
      <c r="C33" s="4"/>
      <c r="D33" s="9"/>
      <c r="E33" s="193"/>
      <c r="F33" s="194"/>
      <c r="H33" s="193"/>
      <c r="I33" s="314"/>
      <c r="K33" s="314"/>
    </row>
    <row r="34" spans="1:11">
      <c r="A34" s="3">
        <f t="shared" si="0"/>
        <v>28</v>
      </c>
      <c r="B34" s="3" t="s">
        <v>21</v>
      </c>
      <c r="C34" s="4"/>
      <c r="D34" s="13">
        <f>+'Rate Impacts 10-4-2018'!C31</f>
        <v>2030932000</v>
      </c>
      <c r="E34" s="195">
        <f>+'UE-180284 (Sch 95A)'!F37</f>
        <v>0</v>
      </c>
      <c r="F34" s="196">
        <f>ROUND(D34*E34,-3)</f>
        <v>0</v>
      </c>
      <c r="H34" s="195">
        <f>+'UE-180284 (Sch 95A)'!G37</f>
        <v>0</v>
      </c>
      <c r="I34" s="314">
        <f>ROUND(D34*H34,0)</f>
        <v>0</v>
      </c>
      <c r="K34" s="333">
        <f>+I34-F34</f>
        <v>0</v>
      </c>
    </row>
    <row r="35" spans="1:11">
      <c r="A35" s="3">
        <f t="shared" si="0"/>
        <v>29</v>
      </c>
      <c r="B35" s="3"/>
      <c r="C35" s="4"/>
      <c r="D35" s="9"/>
      <c r="E35" s="193"/>
      <c r="F35" s="194"/>
      <c r="H35" s="193"/>
      <c r="I35" s="314"/>
      <c r="K35" s="314"/>
    </row>
    <row r="36" spans="1:11" ht="13.5" thickBot="1">
      <c r="A36" s="3">
        <f t="shared" si="0"/>
        <v>30</v>
      </c>
      <c r="B36" s="3"/>
      <c r="C36" s="12" t="s">
        <v>92</v>
      </c>
      <c r="D36" s="14">
        <f>SUM(D9,D18,D24,D26,D30,D32,D34)</f>
        <v>23908883000</v>
      </c>
      <c r="E36" s="198"/>
      <c r="F36" s="199">
        <f t="shared" ref="F36" si="17">SUM(F9,F18,F24,F26,F30,F32,F34)</f>
        <v>-41268000</v>
      </c>
      <c r="H36" s="198"/>
      <c r="I36" s="199">
        <f t="shared" ref="I36:K36" si="18">SUM(I9,I18,I24,I26,I30,I32,I34)</f>
        <v>-41268645</v>
      </c>
      <c r="K36" s="199">
        <f t="shared" si="18"/>
        <v>-645</v>
      </c>
    </row>
    <row r="37" spans="1:11" ht="13.5" thickTop="1">
      <c r="A37" s="3">
        <f t="shared" si="0"/>
        <v>31</v>
      </c>
      <c r="B37" s="3"/>
      <c r="F37" s="194"/>
      <c r="I37" s="314"/>
      <c r="K37" s="314"/>
    </row>
    <row r="38" spans="1:11">
      <c r="A38" s="3">
        <f t="shared" si="0"/>
        <v>32</v>
      </c>
      <c r="B38" s="3">
        <v>5</v>
      </c>
      <c r="C38" s="1" t="s">
        <v>93</v>
      </c>
      <c r="D38" s="9">
        <f>+'Rate Impacts 10-4-2018'!C35</f>
        <v>7036000</v>
      </c>
      <c r="E38" s="193">
        <f>+H38</f>
        <v>-2.0140000000000002E-3</v>
      </c>
      <c r="F38" s="196">
        <f>ROUND(D38*E38,-3)</f>
        <v>-14000</v>
      </c>
      <c r="H38" s="195">
        <f>+'UE-180284 (Sch 95A)'!G32</f>
        <v>-2.0140000000000002E-3</v>
      </c>
      <c r="I38" s="314">
        <f>ROUND(D38*H38,0)</f>
        <v>-14171</v>
      </c>
      <c r="K38" s="333">
        <f>+I38-F38</f>
        <v>-171</v>
      </c>
    </row>
    <row r="39" spans="1:11">
      <c r="A39" s="3">
        <f t="shared" si="0"/>
        <v>33</v>
      </c>
      <c r="B39" s="3"/>
      <c r="F39" s="194"/>
      <c r="I39" s="314"/>
      <c r="K39" s="314"/>
    </row>
    <row r="40" spans="1:11" ht="13.5" thickBot="1">
      <c r="A40" s="3">
        <f t="shared" si="0"/>
        <v>34</v>
      </c>
      <c r="B40" s="3"/>
      <c r="C40" s="12" t="s">
        <v>94</v>
      </c>
      <c r="D40" s="14">
        <f>SUM(D36,D38)</f>
        <v>23915919000</v>
      </c>
      <c r="F40" s="199">
        <f t="shared" ref="F40" si="19">SUM(F36,F38)</f>
        <v>-41282000</v>
      </c>
      <c r="I40" s="199">
        <f t="shared" ref="I40:K40" si="20">SUM(I36,I38)</f>
        <v>-41282816</v>
      </c>
      <c r="K40" s="199">
        <f t="shared" si="20"/>
        <v>-816</v>
      </c>
    </row>
    <row r="41" spans="1:11" ht="13.5" thickTop="1">
      <c r="I41" s="333"/>
    </row>
    <row r="42" spans="1:11">
      <c r="I42" s="476"/>
    </row>
    <row r="43" spans="1:11">
      <c r="I43" s="333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85" header="0.3" footer="0.3"/>
  <pageSetup scale="88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42"/>
  <sheetViews>
    <sheetView topLeftCell="A16" workbookViewId="0">
      <selection activeCell="F7" sqref="F7:F40"/>
    </sheetView>
  </sheetViews>
  <sheetFormatPr defaultColWidth="8.85546875" defaultRowHeight="12.75"/>
  <cols>
    <col min="1" max="1" width="7.7109375" style="1" bestFit="1" customWidth="1"/>
    <col min="2" max="2" width="10.28515625" style="1" bestFit="1" customWidth="1"/>
    <col min="3" max="3" width="21" style="1" bestFit="1" customWidth="1"/>
    <col min="4" max="4" width="15.140625" style="1" bestFit="1" customWidth="1"/>
    <col min="5" max="5" width="14" style="1" bestFit="1" customWidth="1"/>
    <col min="6" max="6" width="13.28515625" style="1" bestFit="1" customWidth="1"/>
    <col min="7" max="7" width="8.85546875" style="1"/>
    <col min="8" max="8" width="10.85546875" style="1" bestFit="1" customWidth="1"/>
    <col min="9" max="9" width="13.5703125" style="1" bestFit="1" customWidth="1"/>
    <col min="10" max="10" width="8.85546875" style="1"/>
    <col min="11" max="11" width="9.5703125" style="1" bestFit="1" customWidth="1"/>
    <col min="12" max="16384" width="8.85546875" style="1"/>
  </cols>
  <sheetData>
    <row r="1" spans="1:11">
      <c r="A1" s="585" t="s">
        <v>0</v>
      </c>
      <c r="B1" s="585"/>
      <c r="C1" s="585"/>
      <c r="D1" s="585"/>
      <c r="E1" s="585"/>
      <c r="F1" s="585"/>
    </row>
    <row r="2" spans="1:11">
      <c r="A2" s="586" t="s">
        <v>213</v>
      </c>
      <c r="B2" s="585"/>
      <c r="C2" s="585"/>
      <c r="D2" s="585"/>
      <c r="E2" s="585"/>
      <c r="F2" s="585"/>
    </row>
    <row r="3" spans="1:11">
      <c r="A3" s="585" t="str">
        <f>+'Rate Impacts 10-4-2018'!A3</f>
        <v>Test Year ended September 2019</v>
      </c>
      <c r="B3" s="585"/>
      <c r="C3" s="585"/>
      <c r="D3" s="585"/>
      <c r="E3" s="585"/>
      <c r="F3" s="585"/>
    </row>
    <row r="4" spans="1:11">
      <c r="A4" s="585"/>
      <c r="B4" s="585"/>
      <c r="C4" s="585"/>
      <c r="D4" s="585"/>
      <c r="E4" s="585"/>
      <c r="F4" s="585"/>
    </row>
    <row r="5" spans="1:11">
      <c r="A5" s="2"/>
      <c r="B5" s="3"/>
      <c r="C5" s="3"/>
      <c r="D5" s="3"/>
      <c r="E5" s="4"/>
      <c r="F5" s="4" t="s">
        <v>136</v>
      </c>
    </row>
    <row r="6" spans="1:11" ht="51">
      <c r="A6" s="6" t="s">
        <v>3</v>
      </c>
      <c r="B6" s="6" t="s">
        <v>4</v>
      </c>
      <c r="C6" s="6" t="s">
        <v>42</v>
      </c>
      <c r="D6" s="7" t="str">
        <f>+'Rate Impacts 10-4-2018'!C7</f>
        <v>Annual kWh Delivered Sales YE 9-2019 (F2018)</v>
      </c>
      <c r="E6" s="290" t="s">
        <v>307</v>
      </c>
      <c r="F6" s="7" t="s">
        <v>214</v>
      </c>
      <c r="H6" s="290" t="s">
        <v>307</v>
      </c>
      <c r="I6" s="290" t="s">
        <v>214</v>
      </c>
      <c r="K6" s="290" t="s">
        <v>308</v>
      </c>
    </row>
    <row r="7" spans="1:11">
      <c r="A7" s="3">
        <v>1</v>
      </c>
      <c r="B7" s="3">
        <v>7</v>
      </c>
      <c r="C7" s="4"/>
      <c r="D7" s="9">
        <f>+'Rate Impacts 10-4-2018'!C9</f>
        <v>10809562000</v>
      </c>
      <c r="E7" s="193">
        <f>+H7</f>
        <v>4.8599999999999997E-3</v>
      </c>
      <c r="F7" s="194">
        <f>ROUND(D7*E7,-3)</f>
        <v>52534000</v>
      </c>
      <c r="H7" s="193">
        <f>+'UE-180185 (Sch 120)'!G7</f>
        <v>4.8599999999999997E-3</v>
      </c>
      <c r="I7" s="314">
        <f>ROUND(D7*H7,0)</f>
        <v>52534471</v>
      </c>
      <c r="K7" s="314">
        <f>+I7-F7</f>
        <v>471</v>
      </c>
    </row>
    <row r="8" spans="1:11">
      <c r="A8" s="3">
        <f t="shared" ref="A8:A40" si="0">+A7+1</f>
        <v>2</v>
      </c>
      <c r="B8" s="2" t="s">
        <v>14</v>
      </c>
      <c r="C8" s="4"/>
      <c r="D8" s="9">
        <v>0</v>
      </c>
      <c r="E8" s="193">
        <f>+H8</f>
        <v>4.2570000000000004E-3</v>
      </c>
      <c r="F8" s="194">
        <f>ROUND(D8*E8,-3)</f>
        <v>0</v>
      </c>
      <c r="H8" s="193">
        <f>+'UE-180185 (Sch 120)'!G10</f>
        <v>4.2570000000000004E-3</v>
      </c>
      <c r="I8" s="314">
        <f>ROUND(D8*H8,0)</f>
        <v>0</v>
      </c>
      <c r="K8" s="314">
        <f>+I8-F8</f>
        <v>0</v>
      </c>
    </row>
    <row r="9" spans="1:11">
      <c r="A9" s="3">
        <f t="shared" si="0"/>
        <v>3</v>
      </c>
      <c r="B9" s="3"/>
      <c r="C9" s="4" t="s">
        <v>15</v>
      </c>
      <c r="D9" s="13">
        <f>SUM(D7:D8)</f>
        <v>10809562000</v>
      </c>
      <c r="E9" s="195"/>
      <c r="F9" s="196">
        <f t="shared" ref="F9" si="1">SUM(F7:F8)</f>
        <v>52534000</v>
      </c>
      <c r="H9" s="195"/>
      <c r="I9" s="315">
        <f t="shared" ref="I9:K9" si="2">SUM(I7:I8)</f>
        <v>52534471</v>
      </c>
      <c r="K9" s="315">
        <f t="shared" si="2"/>
        <v>471</v>
      </c>
    </row>
    <row r="10" spans="1:11">
      <c r="A10" s="3">
        <f t="shared" si="0"/>
        <v>4</v>
      </c>
      <c r="B10" s="3"/>
      <c r="C10" s="4"/>
      <c r="D10" s="9"/>
      <c r="E10" s="193"/>
      <c r="F10" s="194"/>
      <c r="H10" s="193"/>
      <c r="I10" s="314"/>
      <c r="K10" s="314"/>
    </row>
    <row r="11" spans="1:11">
      <c r="A11" s="3">
        <f t="shared" si="0"/>
        <v>5</v>
      </c>
      <c r="B11" s="3">
        <v>8</v>
      </c>
      <c r="C11" s="4"/>
      <c r="D11" s="9">
        <v>0</v>
      </c>
      <c r="E11" s="193">
        <f t="shared" ref="E11:E17" si="3">+H11</f>
        <v>4.2079999999999999E-3</v>
      </c>
      <c r="F11" s="194">
        <f t="shared" ref="F11:F17" si="4">ROUND(D11*E11,-3)</f>
        <v>0</v>
      </c>
      <c r="H11" s="193">
        <f>+'UE-180185 (Sch 120)'!G9</f>
        <v>4.2079999999999999E-3</v>
      </c>
      <c r="I11" s="314">
        <f t="shared" ref="I11:I17" si="5">ROUND(D11*H11,0)</f>
        <v>0</v>
      </c>
      <c r="K11" s="314">
        <f t="shared" ref="K11:K17" si="6">+I11-F11</f>
        <v>0</v>
      </c>
    </row>
    <row r="12" spans="1:11">
      <c r="A12" s="3">
        <f t="shared" si="0"/>
        <v>6</v>
      </c>
      <c r="B12" s="3">
        <v>24</v>
      </c>
      <c r="D12" s="9">
        <f>+'Rate Impacts 10-4-2018'!C12</f>
        <v>3049254000</v>
      </c>
      <c r="E12" s="193">
        <f t="shared" si="3"/>
        <v>4.2079999999999999E-3</v>
      </c>
      <c r="F12" s="194">
        <f t="shared" si="4"/>
        <v>12831000</v>
      </c>
      <c r="H12" s="197">
        <f>+H11</f>
        <v>4.2079999999999999E-3</v>
      </c>
      <c r="I12" s="314">
        <f t="shared" si="5"/>
        <v>12831261</v>
      </c>
      <c r="K12" s="314">
        <f t="shared" si="6"/>
        <v>261</v>
      </c>
    </row>
    <row r="13" spans="1:11">
      <c r="A13" s="3">
        <f t="shared" si="0"/>
        <v>7</v>
      </c>
      <c r="B13" s="2">
        <v>11</v>
      </c>
      <c r="C13" s="4"/>
      <c r="D13" s="9">
        <v>0</v>
      </c>
      <c r="E13" s="193">
        <f t="shared" si="3"/>
        <v>4.2570000000000004E-3</v>
      </c>
      <c r="F13" s="194">
        <f t="shared" si="4"/>
        <v>0</v>
      </c>
      <c r="H13" s="193">
        <f>+H8</f>
        <v>4.2570000000000004E-3</v>
      </c>
      <c r="I13" s="314">
        <f t="shared" si="5"/>
        <v>0</v>
      </c>
      <c r="K13" s="314">
        <f t="shared" si="6"/>
        <v>0</v>
      </c>
    </row>
    <row r="14" spans="1:11">
      <c r="A14" s="3">
        <f t="shared" si="0"/>
        <v>8</v>
      </c>
      <c r="B14" s="2">
        <v>25</v>
      </c>
      <c r="D14" s="9">
        <f>+'Rate Impacts 10-4-2018'!C13</f>
        <v>3208495000</v>
      </c>
      <c r="E14" s="193">
        <f t="shared" si="3"/>
        <v>4.2570000000000004E-3</v>
      </c>
      <c r="F14" s="194">
        <f t="shared" si="4"/>
        <v>13659000</v>
      </c>
      <c r="H14" s="197">
        <f>+H13</f>
        <v>4.2570000000000004E-3</v>
      </c>
      <c r="I14" s="314">
        <f t="shared" si="5"/>
        <v>13658563</v>
      </c>
      <c r="K14" s="314">
        <f t="shared" si="6"/>
        <v>-437</v>
      </c>
    </row>
    <row r="15" spans="1:11">
      <c r="A15" s="3">
        <f t="shared" si="0"/>
        <v>9</v>
      </c>
      <c r="B15" s="3">
        <v>12</v>
      </c>
      <c r="C15" s="4"/>
      <c r="D15" s="9">
        <v>0</v>
      </c>
      <c r="E15" s="193">
        <f t="shared" si="3"/>
        <v>4.3249999999999999E-3</v>
      </c>
      <c r="F15" s="194">
        <f t="shared" si="4"/>
        <v>0</v>
      </c>
      <c r="H15" s="193">
        <f>+'UE-180185 (Sch 120)'!G11</f>
        <v>4.3249999999999999E-3</v>
      </c>
      <c r="I15" s="314">
        <f t="shared" si="5"/>
        <v>0</v>
      </c>
      <c r="K15" s="314">
        <f t="shared" si="6"/>
        <v>0</v>
      </c>
    </row>
    <row r="16" spans="1:11">
      <c r="A16" s="3">
        <f t="shared" si="0"/>
        <v>10</v>
      </c>
      <c r="B16" s="3" t="s">
        <v>16</v>
      </c>
      <c r="D16" s="9">
        <f>+'Rate Impacts 10-4-2018'!C14</f>
        <v>1921550000</v>
      </c>
      <c r="E16" s="193">
        <f t="shared" si="3"/>
        <v>4.3249999999999999E-3</v>
      </c>
      <c r="F16" s="194">
        <f t="shared" si="4"/>
        <v>8311000</v>
      </c>
      <c r="H16" s="197">
        <f>+H15</f>
        <v>4.3249999999999999E-3</v>
      </c>
      <c r="I16" s="314">
        <f t="shared" si="5"/>
        <v>8310704</v>
      </c>
      <c r="K16" s="314">
        <f t="shared" si="6"/>
        <v>-296</v>
      </c>
    </row>
    <row r="17" spans="1:11">
      <c r="A17" s="3">
        <f t="shared" si="0"/>
        <v>11</v>
      </c>
      <c r="B17" s="3">
        <v>29</v>
      </c>
      <c r="C17" s="4"/>
      <c r="D17" s="9">
        <f>+'Rate Impacts 10-4-2018'!C15</f>
        <v>16140000</v>
      </c>
      <c r="E17" s="193">
        <f t="shared" si="3"/>
        <v>3.1960000000000001E-3</v>
      </c>
      <c r="F17" s="194">
        <f t="shared" si="4"/>
        <v>52000</v>
      </c>
      <c r="H17" s="193">
        <f>+'UE-180185 (Sch 120)'!G12</f>
        <v>3.1960000000000001E-3</v>
      </c>
      <c r="I17" s="314">
        <f t="shared" si="5"/>
        <v>51583</v>
      </c>
      <c r="K17" s="314">
        <f t="shared" si="6"/>
        <v>-417</v>
      </c>
    </row>
    <row r="18" spans="1:11">
      <c r="A18" s="3">
        <f t="shared" si="0"/>
        <v>12</v>
      </c>
      <c r="B18" s="3"/>
      <c r="C18" s="12" t="s">
        <v>17</v>
      </c>
      <c r="D18" s="13">
        <f>SUM(D11:D17)</f>
        <v>8195439000</v>
      </c>
      <c r="E18" s="195"/>
      <c r="F18" s="196">
        <f t="shared" ref="F18" si="7">SUM(F11:F17)</f>
        <v>34853000</v>
      </c>
      <c r="H18" s="195"/>
      <c r="I18" s="315">
        <f t="shared" ref="I18:K18" si="8">SUM(I11:I17)</f>
        <v>34852111</v>
      </c>
      <c r="K18" s="315">
        <f t="shared" si="8"/>
        <v>-889</v>
      </c>
    </row>
    <row r="19" spans="1:11">
      <c r="A19" s="3">
        <f t="shared" si="0"/>
        <v>13</v>
      </c>
      <c r="B19" s="3"/>
      <c r="C19" s="4"/>
      <c r="D19" s="9"/>
      <c r="E19" s="193"/>
      <c r="F19" s="194"/>
      <c r="H19" s="193"/>
      <c r="I19" s="314"/>
      <c r="K19" s="314"/>
    </row>
    <row r="20" spans="1:11">
      <c r="A20" s="3">
        <f t="shared" si="0"/>
        <v>14</v>
      </c>
      <c r="B20" s="3">
        <v>10</v>
      </c>
      <c r="D20" s="9">
        <v>0</v>
      </c>
      <c r="E20" s="193">
        <f t="shared" ref="E20:E23" si="9">+H20</f>
        <v>4.1520000000000003E-3</v>
      </c>
      <c r="F20" s="194">
        <f>ROUND(D20*E20,-3)</f>
        <v>0</v>
      </c>
      <c r="H20" s="193">
        <f>+'UE-180185 (Sch 120)'!G16</f>
        <v>4.1520000000000003E-3</v>
      </c>
      <c r="I20" s="314">
        <f t="shared" ref="I20:I23" si="10">ROUND(D20*H20,0)</f>
        <v>0</v>
      </c>
      <c r="K20" s="314">
        <f t="shared" ref="K20:K23" si="11">+I20-F20</f>
        <v>0</v>
      </c>
    </row>
    <row r="21" spans="1:11">
      <c r="A21" s="3">
        <f t="shared" si="0"/>
        <v>15</v>
      </c>
      <c r="B21" s="3">
        <v>31</v>
      </c>
      <c r="C21" s="4"/>
      <c r="D21" s="9">
        <f>+'Rate Impacts 10-4-2018'!C18</f>
        <v>1409546000</v>
      </c>
      <c r="E21" s="193">
        <f t="shared" si="9"/>
        <v>4.1520000000000003E-3</v>
      </c>
      <c r="F21" s="194">
        <f>ROUND(D21*E21,-3)</f>
        <v>5852000</v>
      </c>
      <c r="H21" s="197">
        <f>+H20</f>
        <v>4.1520000000000003E-3</v>
      </c>
      <c r="I21" s="314">
        <f t="shared" si="10"/>
        <v>5852435</v>
      </c>
      <c r="K21" s="314">
        <f t="shared" si="11"/>
        <v>435</v>
      </c>
    </row>
    <row r="22" spans="1:11">
      <c r="A22" s="3">
        <f t="shared" si="0"/>
        <v>16</v>
      </c>
      <c r="B22" s="3">
        <v>35</v>
      </c>
      <c r="C22" s="4"/>
      <c r="D22" s="9">
        <f>+'Rate Impacts 10-4-2018'!C19</f>
        <v>5150000</v>
      </c>
      <c r="E22" s="193">
        <f t="shared" si="9"/>
        <v>2.9009999999999999E-3</v>
      </c>
      <c r="F22" s="194">
        <f>ROUND(D22*E22,-3)</f>
        <v>15000</v>
      </c>
      <c r="H22" s="193">
        <f>+'UE-180185 (Sch 120)'!G17</f>
        <v>2.9009999999999999E-3</v>
      </c>
      <c r="I22" s="314">
        <f t="shared" si="10"/>
        <v>14940</v>
      </c>
      <c r="K22" s="314">
        <f t="shared" si="11"/>
        <v>-60</v>
      </c>
    </row>
    <row r="23" spans="1:11">
      <c r="A23" s="3">
        <f t="shared" si="0"/>
        <v>17</v>
      </c>
      <c r="B23" s="3">
        <v>43</v>
      </c>
      <c r="C23" s="4"/>
      <c r="D23" s="9">
        <f>+'Rate Impacts 10-4-2018'!C20</f>
        <v>123766000</v>
      </c>
      <c r="E23" s="193">
        <f t="shared" si="9"/>
        <v>3.2989999999999998E-3</v>
      </c>
      <c r="F23" s="194">
        <f>ROUND(D23*E23,-3)</f>
        <v>408000</v>
      </c>
      <c r="H23" s="193">
        <f>+'UE-180185 (Sch 120)'!G18</f>
        <v>3.2989999999999998E-3</v>
      </c>
      <c r="I23" s="314">
        <f t="shared" si="10"/>
        <v>408304</v>
      </c>
      <c r="K23" s="314">
        <f t="shared" si="11"/>
        <v>304</v>
      </c>
    </row>
    <row r="24" spans="1:11">
      <c r="A24" s="3">
        <f t="shared" si="0"/>
        <v>18</v>
      </c>
      <c r="B24" s="3"/>
      <c r="C24" s="4" t="s">
        <v>18</v>
      </c>
      <c r="D24" s="13">
        <f>SUM(D20:D23)</f>
        <v>1538462000</v>
      </c>
      <c r="E24" s="195"/>
      <c r="F24" s="196">
        <f t="shared" ref="F24" si="12">SUM(F20:F23)</f>
        <v>6275000</v>
      </c>
      <c r="H24" s="195"/>
      <c r="I24" s="315">
        <f t="shared" ref="I24:K24" si="13">SUM(I20:I23)</f>
        <v>6275679</v>
      </c>
      <c r="K24" s="315">
        <f t="shared" si="13"/>
        <v>679</v>
      </c>
    </row>
    <row r="25" spans="1:11">
      <c r="A25" s="3">
        <f t="shared" si="0"/>
        <v>19</v>
      </c>
      <c r="B25" s="3"/>
      <c r="C25" s="4"/>
      <c r="D25" s="9"/>
      <c r="E25" s="193"/>
      <c r="F25" s="194"/>
      <c r="H25" s="193"/>
      <c r="I25" s="314"/>
      <c r="K25" s="314"/>
    </row>
    <row r="26" spans="1:11">
      <c r="A26" s="3">
        <f t="shared" si="0"/>
        <v>20</v>
      </c>
      <c r="B26" s="3">
        <v>40</v>
      </c>
      <c r="C26" s="4"/>
      <c r="D26" s="13">
        <f>+'Rate Impacts 10-4-2018'!C23</f>
        <v>586365000</v>
      </c>
      <c r="E26" s="193">
        <f>+H26</f>
        <v>3.79E-3</v>
      </c>
      <c r="F26" s="196">
        <f>ROUND(D26*E26,-3)</f>
        <v>2222000</v>
      </c>
      <c r="H26" s="195">
        <f>+'UE-180185 (Sch 120)'!G22</f>
        <v>3.79E-3</v>
      </c>
      <c r="I26" s="315">
        <f>ROUND(D26*H26,0)</f>
        <v>2222323</v>
      </c>
      <c r="K26" s="315">
        <f>+I26-F26</f>
        <v>323</v>
      </c>
    </row>
    <row r="27" spans="1:11">
      <c r="A27" s="3">
        <f t="shared" si="0"/>
        <v>21</v>
      </c>
      <c r="B27" s="3"/>
      <c r="C27" s="4"/>
      <c r="D27" s="9"/>
      <c r="E27" s="193"/>
      <c r="F27" s="194"/>
      <c r="H27" s="193"/>
      <c r="I27" s="314"/>
      <c r="K27" s="314"/>
    </row>
    <row r="28" spans="1:11">
      <c r="A28" s="3">
        <f t="shared" si="0"/>
        <v>22</v>
      </c>
      <c r="B28" s="3">
        <v>46</v>
      </c>
      <c r="C28" s="4"/>
      <c r="D28" s="9">
        <f>+'Rate Impacts 10-4-2018'!C25</f>
        <v>79268000</v>
      </c>
      <c r="E28" s="193">
        <f t="shared" ref="E28:E29" si="14">+H28</f>
        <v>2.6159999999999998E-3</v>
      </c>
      <c r="F28" s="194">
        <f>ROUND(D28*E28,-3)</f>
        <v>207000</v>
      </c>
      <c r="H28" s="193">
        <f>+'UE-180185 (Sch 120)'!G24</f>
        <v>2.6159999999999998E-3</v>
      </c>
      <c r="I28" s="314">
        <f t="shared" ref="I28:I29" si="15">ROUND(D28*H28,0)</f>
        <v>207365</v>
      </c>
      <c r="K28" s="314">
        <f t="shared" ref="K28:K29" si="16">+I28-F28</f>
        <v>365</v>
      </c>
    </row>
    <row r="29" spans="1:11">
      <c r="A29" s="3">
        <f t="shared" si="0"/>
        <v>23</v>
      </c>
      <c r="B29" s="3">
        <v>49</v>
      </c>
      <c r="C29" s="4"/>
      <c r="D29" s="9">
        <f>+'Rate Impacts 10-4-2018'!C26</f>
        <v>597895000</v>
      </c>
      <c r="E29" s="193">
        <f t="shared" si="14"/>
        <v>3.9039999999999999E-3</v>
      </c>
      <c r="F29" s="194">
        <f>ROUND(D29*E29,-3)</f>
        <v>2334000</v>
      </c>
      <c r="H29" s="193">
        <f>+'UE-180185 (Sch 120)'!G25</f>
        <v>3.9039999999999999E-3</v>
      </c>
      <c r="I29" s="314">
        <f t="shared" si="15"/>
        <v>2334182</v>
      </c>
      <c r="K29" s="314">
        <f t="shared" si="16"/>
        <v>182</v>
      </c>
    </row>
    <row r="30" spans="1:11">
      <c r="A30" s="3">
        <f t="shared" si="0"/>
        <v>24</v>
      </c>
      <c r="B30" s="3"/>
      <c r="C30" s="4" t="s">
        <v>19</v>
      </c>
      <c r="D30" s="13">
        <f>SUM(D28:D29)</f>
        <v>677163000</v>
      </c>
      <c r="E30" s="195"/>
      <c r="F30" s="196">
        <f t="shared" ref="F30" si="17">SUM(F28:F29)</f>
        <v>2541000</v>
      </c>
      <c r="H30" s="195"/>
      <c r="I30" s="315">
        <f t="shared" ref="I30:K30" si="18">SUM(I28:I29)</f>
        <v>2541547</v>
      </c>
      <c r="K30" s="315">
        <f t="shared" si="18"/>
        <v>547</v>
      </c>
    </row>
    <row r="31" spans="1:11">
      <c r="A31" s="3">
        <f t="shared" si="0"/>
        <v>25</v>
      </c>
      <c r="B31" s="3"/>
      <c r="C31" s="4"/>
      <c r="D31" s="9"/>
      <c r="E31" s="193"/>
      <c r="F31" s="194"/>
      <c r="H31" s="193"/>
      <c r="I31" s="314"/>
      <c r="K31" s="314"/>
    </row>
    <row r="32" spans="1:11">
      <c r="A32" s="3">
        <f t="shared" si="0"/>
        <v>26</v>
      </c>
      <c r="B32" s="3" t="s">
        <v>20</v>
      </c>
      <c r="C32" s="4"/>
      <c r="D32" s="13">
        <f>+'Rate Impacts 10-4-2018'!C29</f>
        <v>70960000</v>
      </c>
      <c r="E32" s="193">
        <f>+H32</f>
        <v>4.5710000000000004E-3</v>
      </c>
      <c r="F32" s="196">
        <f>ROUND(D32*E32,-3)</f>
        <v>324000</v>
      </c>
      <c r="H32" s="195">
        <f>+'UE-180185 (Sch 120)'!G31</f>
        <v>4.5710000000000004E-3</v>
      </c>
      <c r="I32" s="315">
        <f>ROUND(D32*H32,0)</f>
        <v>324358</v>
      </c>
      <c r="K32" s="315">
        <f>+I32-F32</f>
        <v>358</v>
      </c>
    </row>
    <row r="33" spans="1:11">
      <c r="A33" s="3">
        <f t="shared" si="0"/>
        <v>27</v>
      </c>
      <c r="B33" s="3"/>
      <c r="C33" s="4"/>
      <c r="D33" s="9"/>
      <c r="E33" s="193"/>
      <c r="F33" s="194"/>
      <c r="H33" s="193"/>
      <c r="I33" s="314"/>
      <c r="K33" s="314"/>
    </row>
    <row r="34" spans="1:11">
      <c r="A34" s="3">
        <f t="shared" si="0"/>
        <v>28</v>
      </c>
      <c r="B34" s="3" t="s">
        <v>21</v>
      </c>
      <c r="C34" s="4"/>
      <c r="D34" s="13">
        <f>+'Rate Impacts 10-4-2018'!C31</f>
        <v>2030932000</v>
      </c>
      <c r="E34" s="193">
        <f>+H34</f>
        <v>1.0549999999999999E-3</v>
      </c>
      <c r="F34" s="196">
        <f>ROUND(D34*E34,-3)</f>
        <v>2143000</v>
      </c>
      <c r="H34" s="195">
        <f>+'UE-180185 (Sch 120)'!G29</f>
        <v>1.0549999999999999E-3</v>
      </c>
      <c r="I34" s="315">
        <f>ROUND(D34*H34,0)</f>
        <v>2142633</v>
      </c>
      <c r="K34" s="315">
        <f>+I34-F34</f>
        <v>-367</v>
      </c>
    </row>
    <row r="35" spans="1:11">
      <c r="A35" s="3">
        <f t="shared" si="0"/>
        <v>29</v>
      </c>
      <c r="B35" s="3"/>
      <c r="C35" s="4"/>
      <c r="D35" s="9"/>
      <c r="E35" s="193"/>
      <c r="F35" s="194"/>
      <c r="H35" s="193"/>
      <c r="I35" s="314"/>
      <c r="K35" s="314"/>
    </row>
    <row r="36" spans="1:11" ht="13.5" thickBot="1">
      <c r="A36" s="3">
        <f t="shared" si="0"/>
        <v>30</v>
      </c>
      <c r="B36" s="3"/>
      <c r="C36" s="12" t="s">
        <v>92</v>
      </c>
      <c r="D36" s="14">
        <f>SUM(D9,D18,D24,D26,D30,D32,D34)</f>
        <v>23908883000</v>
      </c>
      <c r="E36" s="198"/>
      <c r="F36" s="199">
        <f t="shared" ref="F36" si="19">SUM(F9,F18,F24,F26,F30,F32,F34)</f>
        <v>100892000</v>
      </c>
      <c r="H36" s="198"/>
      <c r="I36" s="199">
        <f t="shared" ref="I36:K36" si="20">SUM(I9,I18,I24,I26,I30,I32,I34)</f>
        <v>100893122</v>
      </c>
      <c r="K36" s="199">
        <f t="shared" si="20"/>
        <v>1122</v>
      </c>
    </row>
    <row r="37" spans="1:11" ht="13.5" thickTop="1">
      <c r="A37" s="3">
        <f t="shared" si="0"/>
        <v>31</v>
      </c>
      <c r="B37" s="3"/>
      <c r="F37" s="194"/>
      <c r="I37" s="314"/>
      <c r="K37" s="314"/>
    </row>
    <row r="38" spans="1:11">
      <c r="A38" s="3">
        <f t="shared" si="0"/>
        <v>32</v>
      </c>
      <c r="B38" s="3">
        <v>5</v>
      </c>
      <c r="C38" s="1" t="s">
        <v>93</v>
      </c>
      <c r="D38" s="9">
        <f>+'Rate Impacts 10-4-2018'!C35</f>
        <v>7036000</v>
      </c>
      <c r="E38" s="195">
        <v>0</v>
      </c>
      <c r="F38" s="196">
        <f>ROUND(D38*E38,-3)</f>
        <v>0</v>
      </c>
      <c r="H38" s="195">
        <v>0</v>
      </c>
      <c r="I38" s="315">
        <f>ROUND(D38*H38,0)</f>
        <v>0</v>
      </c>
      <c r="K38" s="315">
        <f>+I38-F38</f>
        <v>0</v>
      </c>
    </row>
    <row r="39" spans="1:11">
      <c r="A39" s="3">
        <f t="shared" si="0"/>
        <v>33</v>
      </c>
      <c r="B39" s="3"/>
      <c r="F39" s="194"/>
      <c r="I39" s="314"/>
      <c r="K39" s="314"/>
    </row>
    <row r="40" spans="1:11" ht="13.5" thickBot="1">
      <c r="A40" s="3">
        <f t="shared" si="0"/>
        <v>34</v>
      </c>
      <c r="B40" s="3"/>
      <c r="C40" s="12" t="s">
        <v>94</v>
      </c>
      <c r="D40" s="14">
        <f>SUM(D36,D38)</f>
        <v>23915919000</v>
      </c>
      <c r="E40" s="274">
        <f>+F40/D40</f>
        <v>4.2186127156560449E-3</v>
      </c>
      <c r="F40" s="199">
        <f t="shared" ref="F40" si="21">SUM(F36,F38)</f>
        <v>100892000</v>
      </c>
      <c r="H40" s="274">
        <f>+I40/D40</f>
        <v>4.2186596300146356E-3</v>
      </c>
      <c r="I40" s="199">
        <f t="shared" ref="I40:K40" si="22">SUM(I36,I38)</f>
        <v>100893122</v>
      </c>
      <c r="K40" s="199">
        <f t="shared" si="22"/>
        <v>1122</v>
      </c>
    </row>
    <row r="41" spans="1:11" ht="13.5" thickTop="1"/>
    <row r="42" spans="1:11">
      <c r="I42" s="333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81" header="0.3" footer="0.3"/>
  <pageSetup scale="93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41"/>
  <sheetViews>
    <sheetView workbookViewId="0">
      <selection activeCell="K36" sqref="K1:K36"/>
    </sheetView>
  </sheetViews>
  <sheetFormatPr defaultColWidth="8.85546875" defaultRowHeight="12.75"/>
  <cols>
    <col min="1" max="1" width="7.7109375" style="1" bestFit="1" customWidth="1"/>
    <col min="2" max="2" width="10.28515625" style="1" bestFit="1" customWidth="1"/>
    <col min="3" max="3" width="21" style="1" bestFit="1" customWidth="1"/>
    <col min="4" max="4" width="15.140625" style="1" bestFit="1" customWidth="1"/>
    <col min="5" max="5" width="11.7109375" style="1" customWidth="1"/>
    <col min="6" max="6" width="13.28515625" style="1" bestFit="1" customWidth="1"/>
    <col min="7" max="7" width="3.7109375" style="1" customWidth="1"/>
    <col min="8" max="8" width="14" style="1" bestFit="1" customWidth="1"/>
    <col min="9" max="9" width="12.42578125" style="1" bestFit="1" customWidth="1"/>
    <col min="10" max="10" width="8.85546875" style="1"/>
    <col min="11" max="11" width="10.5703125" style="1" bestFit="1" customWidth="1"/>
    <col min="12" max="16384" width="8.85546875" style="1"/>
  </cols>
  <sheetData>
    <row r="1" spans="1:11">
      <c r="A1" s="585" t="s">
        <v>0</v>
      </c>
      <c r="B1" s="585"/>
      <c r="C1" s="585"/>
      <c r="D1" s="585"/>
      <c r="E1" s="585"/>
      <c r="F1" s="585"/>
    </row>
    <row r="2" spans="1:11">
      <c r="A2" s="586" t="s">
        <v>218</v>
      </c>
      <c r="B2" s="585"/>
      <c r="C2" s="585"/>
      <c r="D2" s="585"/>
      <c r="E2" s="585"/>
      <c r="F2" s="585"/>
    </row>
    <row r="3" spans="1:11">
      <c r="A3" s="585" t="str">
        <f>+'Rate Impacts 10-4-2018'!A3</f>
        <v>Test Year ended September 2019</v>
      </c>
      <c r="B3" s="585"/>
      <c r="C3" s="585"/>
      <c r="D3" s="585"/>
      <c r="E3" s="585"/>
      <c r="F3" s="585"/>
    </row>
    <row r="4" spans="1:11">
      <c r="A4" s="585"/>
      <c r="B4" s="585"/>
      <c r="C4" s="585"/>
      <c r="D4" s="585"/>
      <c r="E4" s="585"/>
      <c r="F4" s="585"/>
    </row>
    <row r="5" spans="1:11">
      <c r="A5" s="2"/>
      <c r="B5" s="3"/>
      <c r="C5" s="3"/>
      <c r="D5" s="3"/>
      <c r="E5" s="4"/>
      <c r="F5" s="4" t="s">
        <v>136</v>
      </c>
    </row>
    <row r="6" spans="1:11" ht="51">
      <c r="A6" s="6" t="s">
        <v>3</v>
      </c>
      <c r="B6" s="6" t="s">
        <v>4</v>
      </c>
      <c r="C6" s="6" t="s">
        <v>42</v>
      </c>
      <c r="D6" s="7" t="str">
        <f>+'Rate Impacts 10-4-2018'!C7</f>
        <v>Annual kWh Delivered Sales YE 9-2019 (F2018)</v>
      </c>
      <c r="E6" s="290" t="s">
        <v>414</v>
      </c>
      <c r="F6" s="7" t="s">
        <v>217</v>
      </c>
      <c r="H6" s="290" t="s">
        <v>413</v>
      </c>
      <c r="I6" s="290" t="s">
        <v>217</v>
      </c>
    </row>
    <row r="7" spans="1:11">
      <c r="A7" s="3">
        <v>1</v>
      </c>
      <c r="B7" s="3">
        <v>7</v>
      </c>
      <c r="C7" s="4"/>
      <c r="D7" s="9">
        <f>+'Rate Impacts 10-4-2018'!C9</f>
        <v>10809562000</v>
      </c>
      <c r="E7" s="193">
        <f>+'Proposed Sch 129'!F9</f>
        <v>9.3700000000000001E-4</v>
      </c>
      <c r="F7" s="194">
        <f>ROUND(D7*E7,-3)</f>
        <v>10129000</v>
      </c>
      <c r="H7" s="193">
        <f>+'[1]2018 Proposed Impacts'!$G$9</f>
        <v>8.9499999999999996E-4</v>
      </c>
      <c r="I7" s="314">
        <f>ROUND(D7*H7,-3)</f>
        <v>9675000</v>
      </c>
      <c r="K7" s="333"/>
    </row>
    <row r="8" spans="1:11">
      <c r="A8" s="3">
        <f t="shared" ref="A8:A40" si="0">+A7+1</f>
        <v>2</v>
      </c>
      <c r="B8" s="2" t="s">
        <v>14</v>
      </c>
      <c r="C8" s="4"/>
      <c r="D8" s="9">
        <v>0</v>
      </c>
      <c r="E8" s="193">
        <f>+'Proposed Sch 129'!F12</f>
        <v>7.94E-4</v>
      </c>
      <c r="F8" s="194">
        <f>ROUND(D8*E8,-3)</f>
        <v>0</v>
      </c>
      <c r="H8" s="193">
        <f>+'[1]2018 Proposed Impacts'!$G$12</f>
        <v>7.9600000000000005E-4</v>
      </c>
      <c r="I8" s="314">
        <f>ROUND(D8*H8,-3)</f>
        <v>0</v>
      </c>
      <c r="K8" s="333"/>
    </row>
    <row r="9" spans="1:11">
      <c r="A9" s="3">
        <f t="shared" si="0"/>
        <v>3</v>
      </c>
      <c r="B9" s="3"/>
      <c r="C9" s="4" t="s">
        <v>15</v>
      </c>
      <c r="D9" s="13">
        <f>SUM(D7:D8)</f>
        <v>10809562000</v>
      </c>
      <c r="E9" s="195"/>
      <c r="F9" s="196">
        <f t="shared" ref="F9" si="1">SUM(F7:F8)</f>
        <v>10129000</v>
      </c>
      <c r="H9" s="195"/>
      <c r="I9" s="315">
        <f t="shared" ref="I9" si="2">SUM(I7:I8)</f>
        <v>9675000</v>
      </c>
      <c r="K9" s="333"/>
    </row>
    <row r="10" spans="1:11">
      <c r="A10" s="3">
        <f t="shared" si="0"/>
        <v>4</v>
      </c>
      <c r="B10" s="3"/>
      <c r="C10" s="4"/>
      <c r="D10" s="9"/>
      <c r="E10" s="193"/>
      <c r="F10" s="194"/>
      <c r="H10" s="193"/>
      <c r="I10" s="314"/>
      <c r="K10" s="333"/>
    </row>
    <row r="11" spans="1:11">
      <c r="A11" s="3">
        <f t="shared" si="0"/>
        <v>5</v>
      </c>
      <c r="B11" s="3">
        <v>8</v>
      </c>
      <c r="C11" s="4"/>
      <c r="D11" s="9">
        <v>0</v>
      </c>
      <c r="E11" s="193">
        <f>+'Proposed Sch 129'!F11</f>
        <v>8.5499999999999997E-4</v>
      </c>
      <c r="F11" s="194">
        <f t="shared" ref="F11:F17" si="3">ROUND(D11*E11,-3)</f>
        <v>0</v>
      </c>
      <c r="H11" s="193">
        <f>+'[1]2018 Proposed Impacts'!$G$11</f>
        <v>8.5700000000000001E-4</v>
      </c>
      <c r="I11" s="314">
        <f t="shared" ref="I11:I17" si="4">ROUND(D11*H11,-3)</f>
        <v>0</v>
      </c>
      <c r="K11" s="333"/>
    </row>
    <row r="12" spans="1:11">
      <c r="A12" s="3">
        <f t="shared" si="0"/>
        <v>6</v>
      </c>
      <c r="B12" s="3">
        <v>24</v>
      </c>
      <c r="D12" s="9">
        <f>+'Rate Impacts 10-4-2018'!C12</f>
        <v>3049254000</v>
      </c>
      <c r="E12" s="197">
        <f>+E11</f>
        <v>8.5499999999999997E-4</v>
      </c>
      <c r="F12" s="194">
        <f t="shared" si="3"/>
        <v>2607000</v>
      </c>
      <c r="H12" s="197">
        <f>+H11</f>
        <v>8.5700000000000001E-4</v>
      </c>
      <c r="I12" s="314">
        <f t="shared" si="4"/>
        <v>2613000</v>
      </c>
      <c r="K12" s="333"/>
    </row>
    <row r="13" spans="1:11">
      <c r="A13" s="3">
        <f t="shared" si="0"/>
        <v>7</v>
      </c>
      <c r="B13" s="2">
        <v>11</v>
      </c>
      <c r="C13" s="4"/>
      <c r="D13" s="9">
        <v>0</v>
      </c>
      <c r="E13" s="193">
        <f>+E8</f>
        <v>7.94E-4</v>
      </c>
      <c r="F13" s="194">
        <f t="shared" si="3"/>
        <v>0</v>
      </c>
      <c r="H13" s="193">
        <f>+H8</f>
        <v>7.9600000000000005E-4</v>
      </c>
      <c r="I13" s="314">
        <f t="shared" si="4"/>
        <v>0</v>
      </c>
      <c r="K13" s="333"/>
    </row>
    <row r="14" spans="1:11">
      <c r="A14" s="3">
        <f t="shared" si="0"/>
        <v>8</v>
      </c>
      <c r="B14" s="2">
        <v>25</v>
      </c>
      <c r="D14" s="9">
        <f>+'Rate Impacts 10-4-2018'!C13</f>
        <v>3208495000</v>
      </c>
      <c r="E14" s="197">
        <f>+E13</f>
        <v>7.94E-4</v>
      </c>
      <c r="F14" s="194">
        <f t="shared" si="3"/>
        <v>2548000</v>
      </c>
      <c r="H14" s="197">
        <f>+H13</f>
        <v>7.9600000000000005E-4</v>
      </c>
      <c r="I14" s="314">
        <f t="shared" si="4"/>
        <v>2554000</v>
      </c>
      <c r="K14" s="333"/>
    </row>
    <row r="15" spans="1:11">
      <c r="A15" s="3">
        <f t="shared" si="0"/>
        <v>9</v>
      </c>
      <c r="B15" s="3">
        <v>12</v>
      </c>
      <c r="C15" s="4"/>
      <c r="D15" s="9">
        <v>0</v>
      </c>
      <c r="E15" s="193">
        <f>+'Proposed Sch 129'!F13</f>
        <v>7.0699999999999995E-4</v>
      </c>
      <c r="F15" s="194">
        <f t="shared" si="3"/>
        <v>0</v>
      </c>
      <c r="H15" s="193">
        <f>+'[1]2018 Proposed Impacts'!$G$13</f>
        <v>7.1699999999999997E-4</v>
      </c>
      <c r="I15" s="314">
        <f t="shared" si="4"/>
        <v>0</v>
      </c>
      <c r="K15" s="333"/>
    </row>
    <row r="16" spans="1:11">
      <c r="A16" s="3">
        <f t="shared" si="0"/>
        <v>10</v>
      </c>
      <c r="B16" s="3" t="s">
        <v>16</v>
      </c>
      <c r="D16" s="9">
        <f>+'Rate Impacts 10-4-2018'!C14</f>
        <v>1921550000</v>
      </c>
      <c r="E16" s="197">
        <f>+E15</f>
        <v>7.0699999999999995E-4</v>
      </c>
      <c r="F16" s="194">
        <f t="shared" si="3"/>
        <v>1359000</v>
      </c>
      <c r="H16" s="197">
        <f>+H15</f>
        <v>7.1699999999999997E-4</v>
      </c>
      <c r="I16" s="314">
        <f t="shared" si="4"/>
        <v>1378000</v>
      </c>
      <c r="K16" s="333"/>
    </row>
    <row r="17" spans="1:11">
      <c r="A17" s="3">
        <f t="shared" si="0"/>
        <v>11</v>
      </c>
      <c r="B17" s="3">
        <v>29</v>
      </c>
      <c r="C17" s="4"/>
      <c r="D17" s="9">
        <f>+'Rate Impacts 10-4-2018'!C15</f>
        <v>16140000</v>
      </c>
      <c r="E17" s="193">
        <f>+'Proposed Sch 129'!F14</f>
        <v>7.1199999999999996E-4</v>
      </c>
      <c r="F17" s="194">
        <f t="shared" si="3"/>
        <v>11000</v>
      </c>
      <c r="H17" s="193">
        <f>+'[1]2018 Proposed Impacts'!$G$14</f>
        <v>7.1199999999999996E-4</v>
      </c>
      <c r="I17" s="314">
        <f t="shared" si="4"/>
        <v>11000</v>
      </c>
      <c r="K17" s="333"/>
    </row>
    <row r="18" spans="1:11">
      <c r="A18" s="3">
        <f t="shared" si="0"/>
        <v>12</v>
      </c>
      <c r="B18" s="3"/>
      <c r="C18" s="12" t="s">
        <v>17</v>
      </c>
      <c r="D18" s="13">
        <f>SUM(D11:D17)</f>
        <v>8195439000</v>
      </c>
      <c r="E18" s="195"/>
      <c r="F18" s="196">
        <f t="shared" ref="F18" si="5">SUM(F11:F17)</f>
        <v>6525000</v>
      </c>
      <c r="H18" s="195"/>
      <c r="I18" s="315">
        <f t="shared" ref="I18" si="6">SUM(I11:I17)</f>
        <v>6556000</v>
      </c>
      <c r="K18" s="333"/>
    </row>
    <row r="19" spans="1:11">
      <c r="A19" s="3">
        <f t="shared" si="0"/>
        <v>13</v>
      </c>
      <c r="B19" s="3"/>
      <c r="C19" s="4"/>
      <c r="D19" s="9"/>
      <c r="E19" s="193"/>
      <c r="F19" s="194"/>
      <c r="H19" s="193"/>
      <c r="I19" s="314"/>
      <c r="K19" s="333"/>
    </row>
    <row r="20" spans="1:11">
      <c r="A20" s="3">
        <f t="shared" si="0"/>
        <v>14</v>
      </c>
      <c r="B20" s="3">
        <v>10</v>
      </c>
      <c r="D20" s="9">
        <v>0</v>
      </c>
      <c r="E20" s="193">
        <f>+'Proposed Sch 129'!F18</f>
        <v>6.96E-4</v>
      </c>
      <c r="F20" s="194">
        <f>ROUND(D20*E20,-3)</f>
        <v>0</v>
      </c>
      <c r="H20" s="193">
        <f>+'[1]2018 Proposed Impacts'!$G$18</f>
        <v>7.0399999999999998E-4</v>
      </c>
      <c r="I20" s="314">
        <f>ROUND(D20*H20,-3)</f>
        <v>0</v>
      </c>
      <c r="K20" s="333"/>
    </row>
    <row r="21" spans="1:11">
      <c r="A21" s="3">
        <f t="shared" si="0"/>
        <v>15</v>
      </c>
      <c r="B21" s="3">
        <v>31</v>
      </c>
      <c r="C21" s="4"/>
      <c r="D21" s="9">
        <f>+'Rate Impacts 10-4-2018'!C18</f>
        <v>1409546000</v>
      </c>
      <c r="E21" s="197">
        <f>+E20</f>
        <v>6.96E-4</v>
      </c>
      <c r="F21" s="194">
        <f>ROUND(D21*E21,-3)</f>
        <v>981000</v>
      </c>
      <c r="H21" s="197">
        <f>+H20</f>
        <v>7.0399999999999998E-4</v>
      </c>
      <c r="I21" s="314">
        <f>ROUND(D21*H21,-3)</f>
        <v>992000</v>
      </c>
      <c r="K21" s="333"/>
    </row>
    <row r="22" spans="1:11">
      <c r="A22" s="3">
        <f t="shared" si="0"/>
        <v>16</v>
      </c>
      <c r="B22" s="3">
        <v>35</v>
      </c>
      <c r="C22" s="4"/>
      <c r="D22" s="9">
        <f>+'Rate Impacts 10-4-2018'!C19</f>
        <v>5150000</v>
      </c>
      <c r="E22" s="193">
        <f>+'Proposed Sch 129'!F19</f>
        <v>4.64E-4</v>
      </c>
      <c r="F22" s="194">
        <f>ROUND(D22*E22,-3)</f>
        <v>2000</v>
      </c>
      <c r="H22" s="193">
        <f>+'[1]2018 Proposed Impacts'!$G$19</f>
        <v>5.1199999999999998E-4</v>
      </c>
      <c r="I22" s="314">
        <f>ROUND(D22*H22,-3)</f>
        <v>3000</v>
      </c>
      <c r="K22" s="333"/>
    </row>
    <row r="23" spans="1:11">
      <c r="A23" s="3">
        <f t="shared" si="0"/>
        <v>17</v>
      </c>
      <c r="B23" s="3">
        <v>43</v>
      </c>
      <c r="C23" s="4"/>
      <c r="D23" s="9">
        <f>+'Rate Impacts 10-4-2018'!C20</f>
        <v>123766000</v>
      </c>
      <c r="E23" s="193">
        <f>+'Proposed Sch 129'!F20</f>
        <v>7.6999999999999996E-4</v>
      </c>
      <c r="F23" s="194">
        <f>ROUND(D23*E23,-3)</f>
        <v>95000</v>
      </c>
      <c r="H23" s="193">
        <f>+'[1]2018 Proposed Impacts'!$G$20</f>
        <v>7.7899999999999996E-4</v>
      </c>
      <c r="I23" s="314">
        <f>ROUND(D23*H23,-3)</f>
        <v>96000</v>
      </c>
      <c r="K23" s="333"/>
    </row>
    <row r="24" spans="1:11">
      <c r="A24" s="3">
        <f t="shared" si="0"/>
        <v>18</v>
      </c>
      <c r="B24" s="3"/>
      <c r="C24" s="4" t="s">
        <v>18</v>
      </c>
      <c r="D24" s="13">
        <f>SUM(D20:D23)</f>
        <v>1538462000</v>
      </c>
      <c r="E24" s="195"/>
      <c r="F24" s="196">
        <f t="shared" ref="F24" si="7">SUM(F20:F23)</f>
        <v>1078000</v>
      </c>
      <c r="H24" s="195"/>
      <c r="I24" s="315">
        <f t="shared" ref="I24" si="8">SUM(I20:I23)</f>
        <v>1091000</v>
      </c>
      <c r="K24" s="333"/>
    </row>
    <row r="25" spans="1:11">
      <c r="A25" s="3">
        <f t="shared" si="0"/>
        <v>19</v>
      </c>
      <c r="B25" s="3"/>
      <c r="C25" s="4"/>
      <c r="D25" s="9"/>
      <c r="E25" s="193"/>
      <c r="F25" s="194"/>
      <c r="H25" s="193"/>
      <c r="I25" s="314"/>
      <c r="K25" s="333"/>
    </row>
    <row r="26" spans="1:11">
      <c r="A26" s="3">
        <f t="shared" si="0"/>
        <v>20</v>
      </c>
      <c r="B26" s="3">
        <v>40</v>
      </c>
      <c r="C26" s="4"/>
      <c r="D26" s="13">
        <f>+'Rate Impacts 10-4-2018'!C23</f>
        <v>586365000</v>
      </c>
      <c r="E26" s="195">
        <f>+'Proposed Sch 129'!F24</f>
        <v>6.7000000000000002E-4</v>
      </c>
      <c r="F26" s="196">
        <f>ROUND(D26*E26,-3)</f>
        <v>393000</v>
      </c>
      <c r="H26" s="195">
        <f>+'[1]2018 Proposed Impacts'!$G$24</f>
        <v>6.4800000000000003E-4</v>
      </c>
      <c r="I26" s="314">
        <f>ROUND(D26*H26,-3)</f>
        <v>380000</v>
      </c>
      <c r="K26" s="333"/>
    </row>
    <row r="27" spans="1:11">
      <c r="A27" s="3">
        <f t="shared" si="0"/>
        <v>21</v>
      </c>
      <c r="B27" s="3"/>
      <c r="C27" s="4"/>
      <c r="D27" s="9"/>
      <c r="E27" s="193"/>
      <c r="F27" s="194"/>
      <c r="H27" s="193"/>
      <c r="I27" s="314"/>
      <c r="K27" s="333"/>
    </row>
    <row r="28" spans="1:11">
      <c r="A28" s="3">
        <f t="shared" si="0"/>
        <v>22</v>
      </c>
      <c r="B28" s="3">
        <v>46</v>
      </c>
      <c r="C28" s="4"/>
      <c r="D28" s="9">
        <f>+'Rate Impacts 10-4-2018'!C25</f>
        <v>79268000</v>
      </c>
      <c r="E28" s="193">
        <f>+'Proposed Sch 129'!F26</f>
        <v>5.9800000000000001E-4</v>
      </c>
      <c r="F28" s="194">
        <f>ROUND(D28*E28,-3)</f>
        <v>47000</v>
      </c>
      <c r="H28" s="193">
        <f>+'[1]2018 Proposed Impacts'!$G$26</f>
        <v>5.8799999999999998E-4</v>
      </c>
      <c r="I28" s="314">
        <f>ROUND(D28*H28,-3)</f>
        <v>47000</v>
      </c>
      <c r="K28" s="333"/>
    </row>
    <row r="29" spans="1:11">
      <c r="A29" s="3">
        <f t="shared" si="0"/>
        <v>23</v>
      </c>
      <c r="B29" s="3">
        <v>49</v>
      </c>
      <c r="C29" s="4"/>
      <c r="D29" s="9">
        <f>+'Rate Impacts 10-4-2018'!C26</f>
        <v>597895000</v>
      </c>
      <c r="E29" s="193">
        <f>+'Proposed Sch 129'!F27</f>
        <v>5.7600000000000001E-4</v>
      </c>
      <c r="F29" s="194">
        <f>ROUND(D29*E29,-3)</f>
        <v>344000</v>
      </c>
      <c r="H29" s="193">
        <f>+'[1]2018 Proposed Impacts'!$G$27</f>
        <v>5.7300000000000005E-4</v>
      </c>
      <c r="I29" s="314">
        <f>ROUND(D29*H29,-3)</f>
        <v>343000</v>
      </c>
      <c r="K29" s="333"/>
    </row>
    <row r="30" spans="1:11">
      <c r="A30" s="3">
        <f t="shared" si="0"/>
        <v>24</v>
      </c>
      <c r="B30" s="3"/>
      <c r="C30" s="4" t="s">
        <v>19</v>
      </c>
      <c r="D30" s="13">
        <f>SUM(D28:D29)</f>
        <v>677163000</v>
      </c>
      <c r="E30" s="195"/>
      <c r="F30" s="196">
        <f t="shared" ref="F30" si="9">SUM(F28:F29)</f>
        <v>391000</v>
      </c>
      <c r="H30" s="195"/>
      <c r="I30" s="315">
        <f t="shared" ref="I30" si="10">SUM(I28:I29)</f>
        <v>390000</v>
      </c>
      <c r="K30" s="333"/>
    </row>
    <row r="31" spans="1:11">
      <c r="A31" s="3">
        <f t="shared" si="0"/>
        <v>25</v>
      </c>
      <c r="B31" s="3"/>
      <c r="C31" s="4"/>
      <c r="D31" s="9"/>
      <c r="E31" s="193"/>
      <c r="F31" s="194"/>
      <c r="H31" s="193"/>
      <c r="I31" s="314"/>
      <c r="K31" s="333"/>
    </row>
    <row r="32" spans="1:11">
      <c r="A32" s="3">
        <f t="shared" si="0"/>
        <v>26</v>
      </c>
      <c r="B32" s="3" t="s">
        <v>20</v>
      </c>
      <c r="C32" s="4"/>
      <c r="D32" s="13">
        <f>+'Rate Impacts 10-4-2018'!C29</f>
        <v>70960000</v>
      </c>
      <c r="E32" s="195">
        <f>+'Proposed Sch 129'!F31</f>
        <v>2.1689999999999999E-3</v>
      </c>
      <c r="F32" s="196">
        <f>ROUND(D32*E32,-3)</f>
        <v>154000</v>
      </c>
      <c r="H32" s="195">
        <f>+'[1]2018 Proposed Impacts'!$G$31</f>
        <v>1.951E-3</v>
      </c>
      <c r="I32" s="314">
        <f>ROUND(D32*H32,-3)</f>
        <v>138000</v>
      </c>
      <c r="K32" s="333"/>
    </row>
    <row r="33" spans="1:11">
      <c r="A33" s="3">
        <f t="shared" si="0"/>
        <v>27</v>
      </c>
      <c r="B33" s="3"/>
      <c r="C33" s="4"/>
      <c r="D33" s="9"/>
      <c r="E33" s="193"/>
      <c r="F33" s="194"/>
      <c r="H33" s="193"/>
      <c r="I33" s="314"/>
      <c r="K33" s="333"/>
    </row>
    <row r="34" spans="1:11">
      <c r="A34" s="3">
        <f t="shared" si="0"/>
        <v>28</v>
      </c>
      <c r="B34" s="3" t="s">
        <v>21</v>
      </c>
      <c r="C34" s="4"/>
      <c r="D34" s="13">
        <f>+'Rate Impacts 10-4-2018'!C31</f>
        <v>2030932000</v>
      </c>
      <c r="E34" s="195">
        <f>+'Proposed Sch 129'!F33</f>
        <v>3.3000000000000003E-5</v>
      </c>
      <c r="F34" s="196">
        <f>ROUND(D34*E34,-3)</f>
        <v>67000</v>
      </c>
      <c r="H34" s="195">
        <f>+'[1]2018 Proposed Impacts'!$G$33</f>
        <v>3.3000000000000003E-5</v>
      </c>
      <c r="I34" s="314">
        <f>ROUND(D34*H34,-3)</f>
        <v>67000</v>
      </c>
      <c r="K34" s="333"/>
    </row>
    <row r="35" spans="1:11">
      <c r="A35" s="3">
        <f t="shared" si="0"/>
        <v>29</v>
      </c>
      <c r="B35" s="3"/>
      <c r="C35" s="4"/>
      <c r="D35" s="9"/>
      <c r="E35" s="193"/>
      <c r="F35" s="194"/>
      <c r="H35" s="193"/>
      <c r="I35" s="314"/>
      <c r="K35" s="333"/>
    </row>
    <row r="36" spans="1:11" ht="13.5" thickBot="1">
      <c r="A36" s="3">
        <f t="shared" si="0"/>
        <v>30</v>
      </c>
      <c r="B36" s="3"/>
      <c r="C36" s="12" t="s">
        <v>92</v>
      </c>
      <c r="D36" s="14">
        <f>SUM(D9,D18,D24,D26,D30,D32,D34)</f>
        <v>23908883000</v>
      </c>
      <c r="E36" s="198"/>
      <c r="F36" s="199">
        <f t="shared" ref="F36" si="11">SUM(F9,F18,F24,F26,F30,F32,F34)</f>
        <v>18737000</v>
      </c>
      <c r="H36" s="198"/>
      <c r="I36" s="199">
        <f t="shared" ref="I36" si="12">SUM(I9,I18,I24,I26,I30,I32,I34)</f>
        <v>18297000</v>
      </c>
      <c r="K36" s="333"/>
    </row>
    <row r="37" spans="1:11" ht="13.5" thickTop="1">
      <c r="A37" s="3">
        <f t="shared" si="0"/>
        <v>31</v>
      </c>
      <c r="B37" s="3"/>
      <c r="F37" s="194"/>
      <c r="I37" s="314"/>
    </row>
    <row r="38" spans="1:11">
      <c r="A38" s="3">
        <f t="shared" si="0"/>
        <v>32</v>
      </c>
      <c r="B38" s="3">
        <v>5</v>
      </c>
      <c r="C38" s="1" t="s">
        <v>93</v>
      </c>
      <c r="D38" s="9">
        <f>+'Rate Impacts 10-4-2018'!C35</f>
        <v>7036000</v>
      </c>
      <c r="E38" s="195">
        <v>0</v>
      </c>
      <c r="F38" s="196">
        <f>ROUND(D38*E38,0)</f>
        <v>0</v>
      </c>
      <c r="H38" s="195">
        <f>+'[1]2018 Proposed Impacts'!$G$38</f>
        <v>0</v>
      </c>
      <c r="I38" s="314">
        <f>ROUND(D38*H38,-3)</f>
        <v>0</v>
      </c>
    </row>
    <row r="39" spans="1:11">
      <c r="A39" s="3">
        <f t="shared" si="0"/>
        <v>33</v>
      </c>
      <c r="B39" s="3"/>
      <c r="F39" s="194"/>
      <c r="I39" s="314"/>
    </row>
    <row r="40" spans="1:11" ht="13.5" thickBot="1">
      <c r="A40" s="3">
        <f t="shared" si="0"/>
        <v>34</v>
      </c>
      <c r="B40" s="3"/>
      <c r="C40" s="12" t="s">
        <v>94</v>
      </c>
      <c r="D40" s="14">
        <f>SUM(D36,D38)</f>
        <v>23915919000</v>
      </c>
      <c r="F40" s="199">
        <f t="shared" ref="F40" si="13">SUM(F36,F38)</f>
        <v>18737000</v>
      </c>
      <c r="I40" s="199">
        <f t="shared" ref="I40" si="14">SUM(I36,I38)</f>
        <v>18297000</v>
      </c>
    </row>
    <row r="41" spans="1:11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6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CBFB54567FB0E48A78C0E33C9E9E710" ma:contentTypeVersion="76" ma:contentTypeDescription="" ma:contentTypeScope="" ma:versionID="2c287f5b2d8063116ed3324ceaef1be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2018-08-31T07:00:00+00:00</OpenedDate>
    <SignificantOrder xmlns="dc463f71-b30c-4ab2-9473-d307f9d35888">false</SignificantOrder>
    <Date1 xmlns="dc463f71-b30c-4ab2-9473-d307f9d35888">2018-08-31T07:00:00+00:00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180739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0769D96-F225-42C7-82EA-A794206E3482}"/>
</file>

<file path=customXml/itemProps2.xml><?xml version="1.0" encoding="utf-8"?>
<ds:datastoreItem xmlns:ds="http://schemas.openxmlformats.org/officeDocument/2006/customXml" ds:itemID="{DC277D33-451F-4699-A88C-3AD1F28C6F3E}"/>
</file>

<file path=customXml/itemProps3.xml><?xml version="1.0" encoding="utf-8"?>
<ds:datastoreItem xmlns:ds="http://schemas.openxmlformats.org/officeDocument/2006/customXml" ds:itemID="{D52F3895-3CD5-4334-98C2-F0643CC74C7E}"/>
</file>

<file path=customXml/itemProps4.xml><?xml version="1.0" encoding="utf-8"?>
<ds:datastoreItem xmlns:ds="http://schemas.openxmlformats.org/officeDocument/2006/customXml" ds:itemID="{9ABB30B6-975E-4372-BBCA-A19D1F0BAC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8</vt:i4>
      </vt:variant>
    </vt:vector>
  </HeadingPairs>
  <TitlesOfParts>
    <vt:vector size="34" baseType="lpstr">
      <vt:lpstr>Rate Impacts 10-4-2018</vt:lpstr>
      <vt:lpstr>F2018 Sch Level Delivered Load</vt:lpstr>
      <vt:lpstr>F2018 Demand</vt:lpstr>
      <vt:lpstr>Revenue Impacts</vt:lpstr>
      <vt:lpstr>UE-180282 Prof Prop Rev</vt:lpstr>
      <vt:lpstr>Sch 95</vt:lpstr>
      <vt:lpstr>Sch 95a</vt:lpstr>
      <vt:lpstr>Sch 120</vt:lpstr>
      <vt:lpstr>Sch 129</vt:lpstr>
      <vt:lpstr>Sch 132</vt:lpstr>
      <vt:lpstr>Sch 137</vt:lpstr>
      <vt:lpstr>Sch 140</vt:lpstr>
      <vt:lpstr>Sch 141</vt:lpstr>
      <vt:lpstr>Sch 142 Deferral</vt:lpstr>
      <vt:lpstr>Sch 194</vt:lpstr>
      <vt:lpstr>Proposed Filings 10-2018</vt:lpstr>
      <vt:lpstr>Proposed Sch 129</vt:lpstr>
      <vt:lpstr>Compliance Filings</vt:lpstr>
      <vt:lpstr>UE-170033 (Sch 95)</vt:lpstr>
      <vt:lpstr>UE-180284 (Sch 95A)</vt:lpstr>
      <vt:lpstr>UE-180185 (Sch 120)</vt:lpstr>
      <vt:lpstr>UE-171167 (Sch 132)</vt:lpstr>
      <vt:lpstr>UE-171169 (Sch 137)</vt:lpstr>
      <vt:lpstr>UE-180257 (Sch 140)</vt:lpstr>
      <vt:lpstr>UE-180289 (Sch 142)</vt:lpstr>
      <vt:lpstr>UE-170946 (Sch 194)</vt:lpstr>
      <vt:lpstr>'F2018 Demand'!Print_Area</vt:lpstr>
      <vt:lpstr>'F2018 Sch Level Delivered Load'!Print_Area</vt:lpstr>
      <vt:lpstr>'Rate Impacts 10-4-2018'!Print_Area</vt:lpstr>
      <vt:lpstr>'UE-180282 Prof Prop Rev'!Print_Area</vt:lpstr>
      <vt:lpstr>'F2018 Demand'!Print_Titles</vt:lpstr>
      <vt:lpstr>'F2018 Sch Level Delivered Load'!Print_Titles</vt:lpstr>
      <vt:lpstr>'Rate Impacts 10-4-2018'!Print_Titles</vt:lpstr>
      <vt:lpstr>'UE-180282 Prof Prop Rev'!TABLEA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Puget Sound Energy</cp:lastModifiedBy>
  <cp:lastPrinted>2018-08-27T18:32:09Z</cp:lastPrinted>
  <dcterms:created xsi:type="dcterms:W3CDTF">2016-12-27T22:31:24Z</dcterms:created>
  <dcterms:modified xsi:type="dcterms:W3CDTF">2018-08-31T21:57:39Z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0x0101006E56B4D1795A2E4DB2F0B01679ED314A00DCBFB54567FB0E48A78C0E33C9E9E710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