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firstSheet="1" activeTab="3"/>
  </bookViews>
  <sheets>
    <sheet name="Natural Gas Deferral" sheetId="1" r:id="rId1"/>
    <sheet name="UG-150205 Attachment 5, Page 1" sheetId="5" r:id="rId2"/>
    <sheet name="UG-150205 Attachment 5, Page 2" sheetId="6" r:id="rId3"/>
    <sheet name="UG-150205 Attachment 5, Page 3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Dec03">[2]BS!$T$7:$T$3582</definedName>
    <definedName name="__Dec04">[3]BS!$AC$7:$AC$3580</definedName>
    <definedName name="__Feb04">[4]BS!#REF!</definedName>
    <definedName name="__Jan04">[4]BS!#REF!</definedName>
    <definedName name="__Jul04">[3]BS!$X$7:$X$3582</definedName>
    <definedName name="__Jun04">[3]BS!$W$7:$W$3582</definedName>
    <definedName name="__Mar04">[4]BS!#REF!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_six6" hidden="1">{#N/A,#N/A,FALSE,"CRPT";#N/A,#N/A,FALSE,"TREND";#N/A,#N/A,FALSE,"%Curve"}</definedName>
    <definedName name="__www1" hidden="1">{#N/A,#N/A,FALSE,"schA"}</definedName>
    <definedName name="_1_94_12_94">[5]DT_A_DOL93!#REF!</definedName>
    <definedName name="_1_95_12_95">[5]DT_A_DOL93!#REF!</definedName>
    <definedName name="_1_96_12_96">[5]DT_A_DOL93!#REF!</definedName>
    <definedName name="_1_97_12_97">[5]DT_A_DOL93!#REF!</definedName>
    <definedName name="_1_98_12_98">[5]DT_A_DOL93!#REF!</definedName>
    <definedName name="_Apr04">[3]BS!$U$7:$U$3582</definedName>
    <definedName name="_Apr05">[6]BS!#REF!</definedName>
    <definedName name="_Aug04">[3]BS!$Y$7:$Y$3582</definedName>
    <definedName name="_Aug05">[6]BS!#REF!</definedName>
    <definedName name="_Dec03">[2]BS!$T$7:$T$3582</definedName>
    <definedName name="_Dec04">[3]BS!$AC$7:$AC$3580</definedName>
    <definedName name="_End">[6]BS!#REF!</definedName>
    <definedName name="_ex1" hidden="1">{#N/A,#N/A,FALSE,"Summ";#N/A,#N/A,FALSE,"General"}</definedName>
    <definedName name="_Feb04">[3]BS!$S$7:$S$3582</definedName>
    <definedName name="_Feb05">[6]BS!#REF!</definedName>
    <definedName name="_Fill">[7]model!#REF!</definedName>
    <definedName name="_Jan04">[3]BS!$R$7:$R$3582</definedName>
    <definedName name="_Jan05">[6]BS!#REF!</definedName>
    <definedName name="_Jul04">[3]BS!$X$7:$X$3582</definedName>
    <definedName name="_Jul05">[6]BS!#REF!</definedName>
    <definedName name="_Jun04">[3]BS!$W$7:$W$3582</definedName>
    <definedName name="_Jun05">[6]BS!#REF!</definedName>
    <definedName name="_Key1" hidden="1">#REF!</definedName>
    <definedName name="_Key2" hidden="1">#REF!</definedName>
    <definedName name="_Mar04">[3]BS!$T$7:$T$3582</definedName>
    <definedName name="_Mar05">[6]BS!#REF!</definedName>
    <definedName name="_May04">[3]BS!$V$7:$V$3582</definedName>
    <definedName name="_May05">[6]BS!#REF!</definedName>
    <definedName name="_new1" hidden="1">{#N/A,#N/A,FALSE,"Summ";#N/A,#N/A,FALSE,"General"}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 hidden="1">255</definedName>
    <definedName name="_Order2" hidden="1">255</definedName>
    <definedName name="_Regression_Int" hidden="1">1</definedName>
    <definedName name="_Sep03">[2]BS!$Q$7:$Q$3582</definedName>
    <definedName name="_Sep04">[3]BS!$Z$7:$Z$3582</definedName>
    <definedName name="_Sep05">[6]BS!#REF!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cq1Plant">'[8]Acquisition Inputs'!$C$8</definedName>
    <definedName name="Acq2Plant">'[8]Acquisition Inputs'!$C$70</definedName>
    <definedName name="apeek">#REF!</definedName>
    <definedName name="Apr03AMA">[4]BS!#REF!</definedName>
    <definedName name="Apr04AMA">[3]BS!$AG$7:$AG$3582</definedName>
    <definedName name="Apr05AMA">[6]BS!#REF!</definedName>
    <definedName name="AS2DocOpenMode" hidden="1">"AS2DocumentEdit"</definedName>
    <definedName name="Aug03AMA">[4]BS!#REF!</definedName>
    <definedName name="Aug04AMA">[3]BS!$AK$7:$AK$3582</definedName>
    <definedName name="Aug05AMA">[6]BS!#REF!</definedName>
    <definedName name="Aurora_Prices">"Monthly Price Summary'!$C$4:$H$63"</definedName>
    <definedName name="b" hidden="1">{#N/A,#N/A,FALSE,"Coversheet";#N/A,#N/A,FALSE,"QA"}</definedName>
    <definedName name="BADDEBT">[7]model!#REF!</definedName>
    <definedName name="Base1_Billing2">'[9]2013'!$N$8</definedName>
    <definedName name="BD">[10]model!#REF!</definedName>
    <definedName name="BEP">[7]model!#REF!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ttomRight">#REF!</definedName>
    <definedName name="Capacity">#REF!</definedName>
    <definedName name="CaseDescription">'[8]Dispatch Cases'!$C$11</definedName>
    <definedName name="CBWorkbookPriority" hidden="1">-2060790043</definedName>
    <definedName name="CCGT_HeatRate">[8]Assumptions!$H$23</definedName>
    <definedName name="CCGTPrice">[8]Assumptions!$H$22</definedName>
    <definedName name="CL_RT">#REF!</definedName>
    <definedName name="CL_RT2">'[11]Transp Data'!$A$6:$C$81</definedName>
    <definedName name="COLHOUSE">[7]model!#REF!</definedName>
    <definedName name="COLXFER">[7]model!#REF!</definedName>
    <definedName name="CombWC_LineItem">[6]BS!#REF!</definedName>
    <definedName name="COMMON_ADMIN_ALLOCATED">#REF!</definedName>
    <definedName name="COMPINSR">#REF!</definedName>
    <definedName name="CONSERV">#REF!</definedName>
    <definedName name="Consv_Rdr_Rt">[12]Sch_120!#REF!</definedName>
    <definedName name="ContractDate">'[13]Dispatch Cases'!#REF!</definedName>
    <definedName name="Conv_Factor">[12]Sch_120!#REF!</definedName>
    <definedName name="ConversionFactor">[8]Assumptions!$I$65</definedName>
    <definedName name="CONVFACT">#REF!</definedName>
    <definedName name="CurrQtr">'[14]Inc Stmt'!$AJ$222</definedName>
    <definedName name="cust">#REF!</definedName>
    <definedName name="CUSTDEP">#REF!</definedName>
    <definedName name="Data">#REF!</definedName>
    <definedName name="Data.Avg">'[14]Avg Amts'!$A$5:$BP$34</definedName>
    <definedName name="Data.Qtrs.Avg">'[14]Avg Amts'!$A$5:$IV$5</definedName>
    <definedName name="DebtPerc">[8]Assumptions!$I$58</definedName>
    <definedName name="Dec02AMA">[4]BS!#REF!</definedName>
    <definedName name="Dec03AMA">[2]BS!$AJ$7:$AJ$3582</definedName>
    <definedName name="Dec04AMA">[3]BS!$AO$7:$AO$3582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>#REF!</definedName>
    <definedName name="DF_HeatRate">[8]Assumptions!$L$23</definedName>
    <definedName name="DFIT" hidden="1">{#N/A,#N/A,FALSE,"Coversheet";#N/A,#N/A,FALSE,"QA"}</definedName>
    <definedName name="Disc">'[13]Debt Amortization'!#REF!</definedName>
    <definedName name="DOCKET">#REF!</definedName>
    <definedName name="ee" hidden="1">{#N/A,#N/A,FALSE,"Month ";#N/A,#N/A,FALSE,"YTD";#N/A,#N/A,FALSE,"12 mo ended"}</definedName>
    <definedName name="Electp1">#REF!</definedName>
    <definedName name="Electp2">#REF!</definedName>
    <definedName name="Electric_Prices">'[15]Monthly Price Summary'!$B$4:$E$27</definedName>
    <definedName name="ElecWC_LineItems">[6]BS!#REF!</definedName>
    <definedName name="ElRBLine">[3]BS!$AQ$7:$AQ$3303</definedName>
    <definedName name="EMPLBENE">#REF!</definedName>
    <definedName name="EndDate">[8]Assumptions!$C$11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ACTORS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[4]BS!#REF!</definedName>
    <definedName name="Feb04AMA">[3]BS!$AE$7:$AE$3582</definedName>
    <definedName name="Feb05AMA">[6]BS!#REF!</definedName>
    <definedName name="Fed_Cap_Tax">[16]Inputs!$E$112</definedName>
    <definedName name="FEDERAL_INCOME_TAX">#REF!</definedName>
    <definedName name="FedTaxRate">[8]Assumptions!$C$33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IELDCHRG">#REF!</definedName>
    <definedName name="Final">#REF!</definedName>
    <definedName name="FIT">'[17]2.29'!#REF!</definedName>
    <definedName name="Fuel">#REF!</definedName>
    <definedName name="GasRBLine">[3]BS!$AS$7:$AS$3631</definedName>
    <definedName name="GasWC_LineItem">[3]BS!$AR$7:$AR$3631</definedName>
    <definedName name="GeoDate">'[13]Dispatch Cases'!#REF!</definedName>
    <definedName name="graph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>#REF!</definedName>
    <definedName name="HydroGen">[13]Dispatch!#REF!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puts">'[18]Daily Calc'!#REF!</definedName>
    <definedName name="INTRESEXCH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[4]BS!#REF!</definedName>
    <definedName name="Jan04AMA">[3]BS!$AD$7:$AD$3582</definedName>
    <definedName name="Jan05AMA">[6]BS!#REF!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>[4]BS!#REF!</definedName>
    <definedName name="Jul04AMA">[3]BS!$AJ$7:$AJ$3582</definedName>
    <definedName name="Jul05AMA">[6]BS!#REF!</definedName>
    <definedName name="Jun03AMA">[4]BS!#REF!</definedName>
    <definedName name="Jun04AMA">[3]BS!$AI$7:$AI$3582</definedName>
    <definedName name="Jun05AMA">[6]BS!#REF!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>#REF!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oadArray">'[19]Load Source Data'!$C$78:$X$89</definedName>
    <definedName name="LoadGrowthAdder">#REF!</definedName>
    <definedName name="lookup" hidden="1">{#N/A,#N/A,FALSE,"Coversheet";#N/A,#N/A,FALSE,"QA"}</definedName>
    <definedName name="Mar03AMA">[4]BS!#REF!</definedName>
    <definedName name="Mar04AMA">[3]BS!$AF$7:$AF$3582</definedName>
    <definedName name="Mar05AMA">[6]BS!#REF!</definedName>
    <definedName name="May03AMA">[4]BS!#REF!</definedName>
    <definedName name="May04AMA">[3]BS!$AH$7:$AH$3582</definedName>
    <definedName name="May05AMA">[6]BS!#REF!</definedName>
    <definedName name="MERGER_COST">[20]Sheet1!$AF$3:$AJ$28</definedName>
    <definedName name="MERGERCOSTS">[21]model!#REF!</definedName>
    <definedName name="Miller" hidden="1">{#N/A,#N/A,FALSE,"Expenditures";#N/A,#N/A,FALSE,"Property Placed In-Service";#N/A,#N/A,FALSE,"CWIP Balances"}</definedName>
    <definedName name="MISCELLANEOUS">#REF!</definedName>
    <definedName name="MonTotalDispatch">[13]Dispatch!#REF!</definedName>
    <definedName name="MT">#REF!</definedName>
    <definedName name="MTD_Format">[22]Mthly!$B$11:$D$11,[22]Mthly!$B$32:$D$32</definedName>
    <definedName name="MustRunGen">[13]Dispatch!#REF!</definedName>
    <definedName name="new" hidden="1">{#N/A,#N/A,FALSE,"Summ";#N/A,#N/A,FALSE,"General"}</definedName>
    <definedName name="Nov03AMA">[2]BS!$AI$7:$AI$3582</definedName>
    <definedName name="Nov04AMA">[3]BS!$AN$7:$AN$3582</definedName>
    <definedName name="NWSales_MWH">[5]DT_A_AMW93!#REF!</definedName>
    <definedName name="OBCLEASE">#REF!</definedName>
    <definedName name="Oct03AMA">[2]BS!$AH$7:$AH$3582</definedName>
    <definedName name="Oct04AMA">[3]BS!$AM$7:$AM$3582</definedName>
    <definedName name="OPEXPPF">#REF!</definedName>
    <definedName name="OPEXPRS">#REF!</definedName>
    <definedName name="outlookdata">'[23]pivoted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EBBLE">#REF!</definedName>
    <definedName name="Percent_debt">[16]Inputs!$E$129</definedName>
    <definedName name="PERCENTAGES_CALCULATED">#REF!</definedName>
    <definedName name="PreTaxDebtCost">[8]Assumptions!$I$56</definedName>
    <definedName name="PreTaxWACC">[8]Assumptions!$I$62</definedName>
    <definedName name="PriceCaseTable">#REF!</definedName>
    <definedName name="Prices_Aurora">'[15]Monthly Price Summary'!$C$4:$H$63</definedName>
    <definedName name="_xlnm.Print_Area" localSheetId="1">'UG-150205 Attachment 5, Page 1'!$A$1:$I$29</definedName>
    <definedName name="_xlnm.Print_Area" localSheetId="2">'UG-150205 Attachment 5, Page 2'!$A$1:$E$17</definedName>
    <definedName name="PRO_FORMA">#REF!</definedName>
    <definedName name="PRODADJ">#REF!</definedName>
    <definedName name="Prodprop">#REF!</definedName>
    <definedName name="Production_Factor">#REF!</definedName>
    <definedName name="PROPSALES">#REF!</definedName>
    <definedName name="Prov_Cap_Tax">[16]Inputs!$E$111</definedName>
    <definedName name="PSPL">#REF!</definedName>
    <definedName name="PWRCSTPF">#REF!</definedName>
    <definedName name="PWRCSTRS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A">[24]IPOA2002!#REF!</definedName>
    <definedName name="qqq" hidden="1">{#N/A,#N/A,FALSE,"schA"}</definedName>
    <definedName name="RATE">#REF!</definedName>
    <definedName name="RATE2">'[11]Transp Data'!$A$8:$I$112</definedName>
    <definedName name="RATEBASE">#REF!</definedName>
    <definedName name="RATEBASE_U95">#REF!</definedName>
    <definedName name="RATECASE">#REF!</definedName>
    <definedName name="regasset">#REF!</definedName>
    <definedName name="resource_lookup">'[25]#REF'!$B$3:$C$112</definedName>
    <definedName name="RESTATING">#REF!</definedName>
    <definedName name="Results">#REF!</definedName>
    <definedName name="RETIREPLAN">#REF!</definedName>
    <definedName name="REV">#REF!</definedName>
    <definedName name="REVADJ">#REF!</definedName>
    <definedName name="REVREQ">#REF!</definedName>
    <definedName name="ROE">#REF!</definedName>
    <definedName name="ROR">#REF!</definedName>
    <definedName name="SALESRESALEP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cSSW_MWH">[5]DT_A_AMW93!#REF!</definedName>
    <definedName name="Sep03AMA">[2]BS!$AG$7:$AG$3582</definedName>
    <definedName name="Sep04AMA">[3]BS!$AL$7:$AL$3582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KAGIT">#REF!</definedName>
    <definedName name="SLFINSURANCE">#REF!</definedName>
    <definedName name="SolarDate">'[13]Dispatch Cases'!#REF!</definedName>
    <definedName name="STAFFREDUC">#REF!</definedName>
    <definedName name="StartDate">[8]Assumptions!$C$9</definedName>
    <definedName name="STORM">#REF!</definedName>
    <definedName name="SUMMARY">#REF!</definedName>
    <definedName name="SWSales_MWH">[5]DT_A_AMW93!#REF!</definedName>
    <definedName name="t" hidden="1">{#N/A,#N/A,FALSE,"CESTSUM";#N/A,#N/A,FALSE,"est sum A";#N/A,#N/A,FALSE,"est detail A"}</definedName>
    <definedName name="TAXCORPLIC">#REF!</definedName>
    <definedName name="TAXENERGYP">#REF!</definedName>
    <definedName name="TAXENERGYR">#REF!</definedName>
    <definedName name="TAXEXCISE">#REF!</definedName>
    <definedName name="TAXFICA">#REF!</definedName>
    <definedName name="TAXFUT">#REF!</definedName>
    <definedName name="TAXINCOME">#REF!</definedName>
    <definedName name="TAXMEDICARE">#REF!</definedName>
    <definedName name="TAXPFINT">#REF!</definedName>
    <definedName name="TAXPROPERTY">#REF!</definedName>
    <definedName name="TAXSUT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naskaShare">[13]Dispatch!#REF!</definedName>
    <definedName name="Test">[6]BS!#REF!</definedName>
    <definedName name="TESTYEAR">#REF!</definedName>
    <definedName name="Therm_upload">#REF!</definedName>
    <definedName name="ThermalBookLife">[8]Assumptions!$C$25</definedName>
    <definedName name="therms">#REF!</definedName>
    <definedName name="THM_ALL_YEARS">#REF!</definedName>
    <definedName name="Title">[8]Assumptions!$A$1</definedName>
    <definedName name="TopLeft">#REF!</definedName>
    <definedName name="tr" hidden="1">{#N/A,#N/A,FALSE,"CESTSUM";#N/A,#N/A,FALSE,"est sum A";#N/A,#N/A,FALSE,"est detail A"}</definedName>
    <definedName name="TRADING_NET">[5]DT_A_DOL93!#REF!</definedName>
    <definedName name="tran_revenue">#REF!</definedName>
    <definedName name="Transfer" hidden="1">#REF!</definedName>
    <definedName name="Transfers" hidden="1">#REF!</definedName>
    <definedName name="u" hidden="1">{#N/A,#N/A,FALSE,"Summ";#N/A,#N/A,FALSE,"General"}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" hidden="1">{#N/A,#N/A,FALSE,"Coversheet";#N/A,#N/A,FALSE,"QA"}</definedName>
    <definedName name="Value" hidden="1">{#N/A,#N/A,FALSE,"Summ";#N/A,#N/A,FALSE,"General"}</definedName>
    <definedName name="VOMEsc">[8]Assumptions!$C$21</definedName>
    <definedName name="w" hidden="1">{#N/A,#N/A,FALSE,"Schedule F";#N/A,#N/A,FALSE,"Schedule G"}</definedName>
    <definedName name="WACC">[8]Assumptions!$I$61</definedName>
    <definedName name="WAGES">[7]model!#REF!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indDate">'[26]Dispatch Cases'!#REF!</definedName>
    <definedName name="WRKCAP">[7]model!#REF!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'[27]Revison Inputs'!$B$6</definedName>
    <definedName name="yuf" hidden="1">{#N/A,#N/A,FALSE,"Summ";#N/A,#N/A,FALSE,"General"}</definedName>
    <definedName name="z" hidden="1">{#N/A,#N/A,FALSE,"Coversheet";#N/A,#N/A,FALSE,"QA"}</definedName>
  </definedNames>
  <calcPr calcId="152511" calcMode="manual"/>
</workbook>
</file>

<file path=xl/calcChain.xml><?xml version="1.0" encoding="utf-8"?>
<calcChain xmlns="http://schemas.openxmlformats.org/spreadsheetml/2006/main">
  <c r="D19" i="1" l="1"/>
  <c r="O16" i="7" l="1"/>
  <c r="N16" i="7"/>
  <c r="G16" i="7"/>
  <c r="F16" i="7"/>
  <c r="P15" i="7"/>
  <c r="M12" i="7"/>
  <c r="L12" i="7"/>
  <c r="I12" i="7"/>
  <c r="H12" i="7"/>
  <c r="E12" i="7"/>
  <c r="D12" i="7"/>
  <c r="P11" i="7"/>
  <c r="O12" i="7" s="1"/>
  <c r="A11" i="7"/>
  <c r="A12" i="7" s="1"/>
  <c r="A10" i="7"/>
  <c r="A9" i="7"/>
  <c r="A2" i="7"/>
  <c r="C13" i="6"/>
  <c r="D11" i="6"/>
  <c r="D28" i="5"/>
  <c r="D26" i="5"/>
  <c r="E25" i="5"/>
  <c r="D25" i="5"/>
  <c r="F20" i="5"/>
  <c r="E20" i="5"/>
  <c r="D20" i="5"/>
  <c r="L19" i="5"/>
  <c r="L20" i="5" s="1"/>
  <c r="K19" i="5"/>
  <c r="K20" i="5" s="1"/>
  <c r="I18" i="5"/>
  <c r="H18" i="5"/>
  <c r="G18" i="5"/>
  <c r="G19" i="5" s="1"/>
  <c r="F18" i="5"/>
  <c r="E18" i="5"/>
  <c r="G14" i="5"/>
  <c r="G16" i="5" s="1"/>
  <c r="D14" i="5"/>
  <c r="D21" i="6" s="1"/>
  <c r="M13" i="5"/>
  <c r="M14" i="5" s="1"/>
  <c r="M16" i="5" s="1"/>
  <c r="L13" i="5"/>
  <c r="L14" i="5" s="1"/>
  <c r="K13" i="5"/>
  <c r="K12" i="5"/>
  <c r="I12" i="5"/>
  <c r="G12" i="5"/>
  <c r="F12" i="5"/>
  <c r="F14" i="5" s="1"/>
  <c r="E12" i="5"/>
  <c r="M10" i="5"/>
  <c r="G10" i="5"/>
  <c r="D10" i="5"/>
  <c r="D16" i="5" s="1"/>
  <c r="D22" i="5" s="1"/>
  <c r="L9" i="5"/>
  <c r="H9" i="5" s="1"/>
  <c r="K9" i="5"/>
  <c r="G9" i="5"/>
  <c r="L8" i="5"/>
  <c r="K8" i="5"/>
  <c r="H8" i="5" s="1"/>
  <c r="H10" i="5" s="1"/>
  <c r="I8" i="5"/>
  <c r="I10" i="5" s="1"/>
  <c r="G8" i="5"/>
  <c r="F8" i="5"/>
  <c r="E8" i="5"/>
  <c r="D9" i="6" l="1"/>
  <c r="D13" i="6" s="1"/>
  <c r="D32" i="5"/>
  <c r="D33" i="5" s="1"/>
  <c r="E10" i="5"/>
  <c r="C8" i="5"/>
  <c r="E14" i="5"/>
  <c r="E26" i="5"/>
  <c r="H12" i="5"/>
  <c r="C12" i="5" s="1"/>
  <c r="K14" i="5"/>
  <c r="G20" i="5"/>
  <c r="E27" i="5" s="1"/>
  <c r="M19" i="5"/>
  <c r="M20" i="5" s="1"/>
  <c r="M22" i="5" s="1"/>
  <c r="A13" i="7"/>
  <c r="A14" i="7" s="1"/>
  <c r="A15" i="7" s="1"/>
  <c r="A16" i="7" s="1"/>
  <c r="F9" i="5"/>
  <c r="K10" i="5"/>
  <c r="K16" i="5" s="1"/>
  <c r="K22" i="5" s="1"/>
  <c r="C18" i="5"/>
  <c r="D27" i="5"/>
  <c r="M16" i="7"/>
  <c r="I16" i="7"/>
  <c r="E16" i="7"/>
  <c r="L16" i="7"/>
  <c r="H16" i="7"/>
  <c r="D16" i="7"/>
  <c r="J16" i="7"/>
  <c r="L10" i="5"/>
  <c r="L16" i="5" s="1"/>
  <c r="L22" i="5" s="1"/>
  <c r="E11" i="6"/>
  <c r="K16" i="7"/>
  <c r="E28" i="5"/>
  <c r="F12" i="7"/>
  <c r="J12" i="7"/>
  <c r="N12" i="7"/>
  <c r="G12" i="7"/>
  <c r="K12" i="7"/>
  <c r="C42" i="1"/>
  <c r="C40" i="1"/>
  <c r="J37" i="1"/>
  <c r="G37" i="1"/>
  <c r="D37" i="1"/>
  <c r="C35" i="1"/>
  <c r="O33" i="1"/>
  <c r="O34" i="1" s="1"/>
  <c r="N33" i="1"/>
  <c r="N34" i="1" s="1"/>
  <c r="M33" i="1"/>
  <c r="M34" i="1" s="1"/>
  <c r="L33" i="1"/>
  <c r="L34" i="1" s="1"/>
  <c r="K33" i="1"/>
  <c r="K34" i="1" s="1"/>
  <c r="J33" i="1"/>
  <c r="J34" i="1" s="1"/>
  <c r="I33" i="1"/>
  <c r="I34" i="1" s="1"/>
  <c r="H33" i="1"/>
  <c r="G33" i="1"/>
  <c r="G34" i="1" s="1"/>
  <c r="F33" i="1"/>
  <c r="F34" i="1" s="1"/>
  <c r="E33" i="1"/>
  <c r="E34" i="1" s="1"/>
  <c r="D33" i="1"/>
  <c r="C33" i="1"/>
  <c r="O28" i="1"/>
  <c r="N28" i="1"/>
  <c r="M28" i="1"/>
  <c r="L28" i="1"/>
  <c r="K28" i="1"/>
  <c r="J28" i="1"/>
  <c r="J35" i="1" s="1"/>
  <c r="I28" i="1"/>
  <c r="H28" i="1"/>
  <c r="H35" i="1" s="1"/>
  <c r="G28" i="1"/>
  <c r="F28" i="1"/>
  <c r="F35" i="1" s="1"/>
  <c r="F36" i="1" s="1"/>
  <c r="E28" i="1"/>
  <c r="C28" i="1"/>
  <c r="D28" i="1"/>
  <c r="T26" i="1"/>
  <c r="S26" i="1"/>
  <c r="R26" i="1"/>
  <c r="Q26" i="1"/>
  <c r="P26" i="1"/>
  <c r="C23" i="1"/>
  <c r="K20" i="1"/>
  <c r="K37" i="1" s="1"/>
  <c r="H20" i="1"/>
  <c r="H37" i="1" s="1"/>
  <c r="E20" i="1"/>
  <c r="F20" i="1" s="1"/>
  <c r="F37" i="1" s="1"/>
  <c r="G18" i="1"/>
  <c r="G19" i="1" s="1"/>
  <c r="K17" i="1"/>
  <c r="O16" i="1"/>
  <c r="N16" i="1"/>
  <c r="N17" i="1" s="1"/>
  <c r="M16" i="1"/>
  <c r="M17" i="1" s="1"/>
  <c r="L16" i="1"/>
  <c r="R16" i="1" s="1"/>
  <c r="K16" i="1"/>
  <c r="J16" i="1"/>
  <c r="J17" i="1" s="1"/>
  <c r="I16" i="1"/>
  <c r="I17" i="1" s="1"/>
  <c r="H16" i="1"/>
  <c r="H17" i="1" s="1"/>
  <c r="G16" i="1"/>
  <c r="F16" i="1"/>
  <c r="F17" i="1" s="1"/>
  <c r="E16" i="1"/>
  <c r="E17" i="1" s="1"/>
  <c r="D16" i="1"/>
  <c r="P16" i="1" s="1"/>
  <c r="P17" i="1" s="1"/>
  <c r="C16" i="1"/>
  <c r="O11" i="1"/>
  <c r="N11" i="1"/>
  <c r="N18" i="1" s="1"/>
  <c r="M11" i="1"/>
  <c r="L11" i="1"/>
  <c r="L18" i="1" s="1"/>
  <c r="K11" i="1"/>
  <c r="K18" i="1" s="1"/>
  <c r="K19" i="1" s="1"/>
  <c r="J11" i="1"/>
  <c r="J18" i="1" s="1"/>
  <c r="I11" i="1"/>
  <c r="I18" i="1" s="1"/>
  <c r="H11" i="1"/>
  <c r="H18" i="1" s="1"/>
  <c r="H19" i="1" s="1"/>
  <c r="G11" i="1"/>
  <c r="F11" i="1"/>
  <c r="F18" i="1" s="1"/>
  <c r="F19" i="1" s="1"/>
  <c r="E11" i="1"/>
  <c r="E18" i="1" s="1"/>
  <c r="D11" i="1"/>
  <c r="A10" i="1"/>
  <c r="A11" i="1" s="1"/>
  <c r="C18" i="1" s="1"/>
  <c r="T9" i="1"/>
  <c r="S9" i="1"/>
  <c r="R9" i="1"/>
  <c r="Q9" i="1"/>
  <c r="P9" i="1"/>
  <c r="E6" i="1"/>
  <c r="F6" i="1" s="1"/>
  <c r="G6" i="1" s="1"/>
  <c r="H6" i="1" s="1"/>
  <c r="I6" i="1" s="1"/>
  <c r="J6" i="1" s="1"/>
  <c r="K6" i="1" s="1"/>
  <c r="L6" i="1" s="1"/>
  <c r="M6" i="1" s="1"/>
  <c r="N6" i="1" s="1"/>
  <c r="O6" i="1" s="1"/>
  <c r="N35" i="1" l="1"/>
  <c r="N36" i="1" s="1"/>
  <c r="E35" i="1"/>
  <c r="I35" i="1"/>
  <c r="M35" i="1"/>
  <c r="I20" i="1"/>
  <c r="I37" i="1" s="1"/>
  <c r="C11" i="1"/>
  <c r="Q16" i="1"/>
  <c r="Q17" i="1" s="1"/>
  <c r="O18" i="1"/>
  <c r="O19" i="1" s="1"/>
  <c r="O17" i="1"/>
  <c r="G35" i="1"/>
  <c r="G36" i="1" s="1"/>
  <c r="K35" i="1"/>
  <c r="K36" i="1" s="1"/>
  <c r="O35" i="1"/>
  <c r="O36" i="1" s="1"/>
  <c r="D17" i="1"/>
  <c r="L17" i="1"/>
  <c r="T33" i="1"/>
  <c r="T34" i="1" s="1"/>
  <c r="Q33" i="1"/>
  <c r="Q34" i="1" s="1"/>
  <c r="E37" i="1"/>
  <c r="R28" i="1"/>
  <c r="R27" i="1" s="1"/>
  <c r="S33" i="1"/>
  <c r="S34" i="1" s="1"/>
  <c r="D29" i="5"/>
  <c r="D20" i="6"/>
  <c r="A17" i="7"/>
  <c r="A18" i="7" s="1"/>
  <c r="A19" i="7" s="1"/>
  <c r="A20" i="7" s="1"/>
  <c r="P16" i="7"/>
  <c r="E20" i="6"/>
  <c r="E29" i="5"/>
  <c r="E16" i="5"/>
  <c r="P20" i="7"/>
  <c r="D19" i="6"/>
  <c r="D22" i="6" s="1"/>
  <c r="P12" i="7"/>
  <c r="C20" i="5"/>
  <c r="C9" i="5"/>
  <c r="F10" i="5"/>
  <c r="F16" i="5" s="1"/>
  <c r="F22" i="5" s="1"/>
  <c r="F32" i="5" s="1"/>
  <c r="F33" i="5" s="1"/>
  <c r="E21" i="6"/>
  <c r="C14" i="5"/>
  <c r="G22" i="5"/>
  <c r="E19" i="1"/>
  <c r="I19" i="1"/>
  <c r="S11" i="1"/>
  <c r="S10" i="1" s="1"/>
  <c r="M18" i="1"/>
  <c r="D18" i="1"/>
  <c r="P11" i="1"/>
  <c r="P10" i="1" s="1"/>
  <c r="T11" i="1"/>
  <c r="T10" i="1" s="1"/>
  <c r="Q19" i="1"/>
  <c r="P28" i="1"/>
  <c r="P27" i="1" s="1"/>
  <c r="T28" i="1"/>
  <c r="T27" i="1" s="1"/>
  <c r="D35" i="1"/>
  <c r="D36" i="1" s="1"/>
  <c r="H36" i="1"/>
  <c r="Q11" i="1"/>
  <c r="Q10" i="1" s="1"/>
  <c r="R17" i="1"/>
  <c r="E36" i="1"/>
  <c r="I36" i="1"/>
  <c r="M36" i="1"/>
  <c r="Q28" i="1"/>
  <c r="Q27" i="1" s="1"/>
  <c r="P33" i="1"/>
  <c r="P34" i="1" s="1"/>
  <c r="H34" i="1"/>
  <c r="R18" i="1"/>
  <c r="R11" i="1"/>
  <c r="R10" i="1" s="1"/>
  <c r="S16" i="1"/>
  <c r="S17" i="1" s="1"/>
  <c r="Q18" i="1"/>
  <c r="N19" i="1"/>
  <c r="S28" i="1"/>
  <c r="S27" i="1" s="1"/>
  <c r="D34" i="1"/>
  <c r="T16" i="1"/>
  <c r="T17" i="1" s="1"/>
  <c r="G17" i="1"/>
  <c r="J19" i="1"/>
  <c r="R19" i="1" s="1"/>
  <c r="R33" i="1"/>
  <c r="R34" i="1" s="1"/>
  <c r="L35" i="1"/>
  <c r="R35" i="1" s="1"/>
  <c r="L19" i="1"/>
  <c r="L20" i="1"/>
  <c r="J36" i="1"/>
  <c r="S35" i="1" l="1"/>
  <c r="Q35" i="1"/>
  <c r="C16" i="5"/>
  <c r="E22" i="5"/>
  <c r="A21" i="7"/>
  <c r="A22" i="7" s="1"/>
  <c r="A23" i="7" s="1"/>
  <c r="A24" i="7" s="1"/>
  <c r="C21" i="7"/>
  <c r="M21" i="7"/>
  <c r="I21" i="7"/>
  <c r="E21" i="7"/>
  <c r="L21" i="7"/>
  <c r="H21" i="7"/>
  <c r="D21" i="7"/>
  <c r="O21" i="7"/>
  <c r="K21" i="7"/>
  <c r="G21" i="7"/>
  <c r="N21" i="7"/>
  <c r="J21" i="7"/>
  <c r="F21" i="7"/>
  <c r="C10" i="5"/>
  <c r="P35" i="1"/>
  <c r="T35" i="1"/>
  <c r="T18" i="1"/>
  <c r="P18" i="1"/>
  <c r="L37" i="1"/>
  <c r="S18" i="1"/>
  <c r="M19" i="1"/>
  <c r="S19" i="1" s="1"/>
  <c r="L36" i="1"/>
  <c r="R36" i="1" s="1"/>
  <c r="S36" i="1"/>
  <c r="Q36" i="1"/>
  <c r="A25" i="7" l="1"/>
  <c r="A26" i="7" s="1"/>
  <c r="A27" i="7" s="1"/>
  <c r="C25" i="7"/>
  <c r="P21" i="7"/>
  <c r="E32" i="5"/>
  <c r="E33" i="5" s="1"/>
  <c r="E9" i="6"/>
  <c r="E13" i="6" s="1"/>
  <c r="C22" i="5"/>
  <c r="M37" i="1"/>
  <c r="N20" i="1"/>
  <c r="T36" i="1"/>
  <c r="P36" i="1"/>
  <c r="D38" i="1"/>
  <c r="E19" i="6" l="1"/>
  <c r="E22" i="6" s="1"/>
  <c r="P24" i="7"/>
  <c r="P19" i="1"/>
  <c r="T19" i="1"/>
  <c r="D21" i="1"/>
  <c r="D23" i="1" s="1"/>
  <c r="D40" i="1"/>
  <c r="D39" i="1"/>
  <c r="O20" i="1"/>
  <c r="O37" i="1" s="1"/>
  <c r="N37" i="1"/>
  <c r="D22" i="1" l="1"/>
  <c r="N25" i="7"/>
  <c r="J25" i="7"/>
  <c r="F25" i="7"/>
  <c r="M25" i="7"/>
  <c r="I25" i="7"/>
  <c r="E25" i="7"/>
  <c r="L25" i="7"/>
  <c r="H25" i="7"/>
  <c r="D25" i="7"/>
  <c r="O25" i="7"/>
  <c r="K25" i="7"/>
  <c r="G25" i="7"/>
  <c r="E38" i="1"/>
  <c r="E21" i="1"/>
  <c r="E22" i="1" s="1"/>
  <c r="D42" i="1"/>
  <c r="E23" i="1" l="1"/>
  <c r="P25" i="7"/>
  <c r="E39" i="1"/>
  <c r="E40" i="1"/>
  <c r="F21" i="1" l="1"/>
  <c r="F23" i="1" s="1"/>
  <c r="G21" i="1" s="1"/>
  <c r="F38" i="1"/>
  <c r="E42" i="1"/>
  <c r="P21" i="1" l="1"/>
  <c r="P22" i="1" s="1"/>
  <c r="F22" i="1"/>
  <c r="F39" i="1"/>
  <c r="P38" i="1"/>
  <c r="P39" i="1" s="1"/>
  <c r="G22" i="1"/>
  <c r="G23" i="1"/>
  <c r="F40" i="1"/>
  <c r="G38" i="1" l="1"/>
  <c r="G40" i="1" s="1"/>
  <c r="G42" i="1" s="1"/>
  <c r="F42" i="1"/>
  <c r="H21" i="1"/>
  <c r="H22" i="1" l="1"/>
  <c r="H38" i="1"/>
  <c r="H39" i="1" s="1"/>
  <c r="H23" i="1"/>
  <c r="G39" i="1"/>
  <c r="H40" i="1" l="1"/>
  <c r="I38" i="1" s="1"/>
  <c r="I21" i="1"/>
  <c r="H42" i="1" l="1"/>
  <c r="I22" i="1"/>
  <c r="Q21" i="1"/>
  <c r="Q22" i="1" s="1"/>
  <c r="I39" i="1"/>
  <c r="Q38" i="1"/>
  <c r="Q39" i="1" s="1"/>
  <c r="I23" i="1"/>
  <c r="I40" i="1"/>
  <c r="J38" i="1" l="1"/>
  <c r="J21" i="1"/>
  <c r="I42" i="1"/>
  <c r="J22" i="1" l="1"/>
  <c r="J23" i="1"/>
  <c r="J39" i="1"/>
  <c r="J40" i="1"/>
  <c r="J42" i="1" l="1"/>
  <c r="K21" i="1"/>
  <c r="K23" i="1" s="1"/>
  <c r="K38" i="1"/>
  <c r="K39" i="1" l="1"/>
  <c r="L21" i="1"/>
  <c r="L22" i="1" s="1"/>
  <c r="K22" i="1"/>
  <c r="K40" i="1"/>
  <c r="R21" i="1" l="1"/>
  <c r="R22" i="1" s="1"/>
  <c r="L23" i="1"/>
  <c r="L38" i="1"/>
  <c r="K42" i="1"/>
  <c r="M21" i="1" l="1"/>
  <c r="M22" i="1" s="1"/>
  <c r="L39" i="1"/>
  <c r="R38" i="1"/>
  <c r="R39" i="1" s="1"/>
  <c r="L40" i="1"/>
  <c r="M23" i="1" l="1"/>
  <c r="N21" i="1" s="1"/>
  <c r="N22" i="1" s="1"/>
  <c r="M38" i="1"/>
  <c r="L42" i="1"/>
  <c r="N23" i="1" l="1"/>
  <c r="O21" i="1"/>
  <c r="O23" i="1" s="1"/>
  <c r="M39" i="1"/>
  <c r="M40" i="1"/>
  <c r="N38" i="1" l="1"/>
  <c r="N40" i="1" s="1"/>
  <c r="M42" i="1"/>
  <c r="O22" i="1"/>
  <c r="T21" i="1"/>
  <c r="T22" i="1" s="1"/>
  <c r="S21" i="1"/>
  <c r="S22" i="1" s="1"/>
  <c r="O38" i="1" l="1"/>
  <c r="O40" i="1" s="1"/>
  <c r="O42" i="1" s="1"/>
  <c r="N42" i="1"/>
  <c r="N39" i="1"/>
  <c r="S38" i="1" l="1"/>
  <c r="S39" i="1" s="1"/>
  <c r="O39" i="1"/>
  <c r="T38" i="1"/>
  <c r="T39" i="1" s="1"/>
</calcChain>
</file>

<file path=xl/sharedStrings.xml><?xml version="1.0" encoding="utf-8"?>
<sst xmlns="http://schemas.openxmlformats.org/spreadsheetml/2006/main" count="193" uniqueCount="122">
  <si>
    <t>Avista Utilities</t>
  </si>
  <si>
    <t>Natural Gas Decoupling Mechanism</t>
  </si>
  <si>
    <t>Line No.</t>
  </si>
  <si>
    <t>Source</t>
  </si>
  <si>
    <t>Total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</si>
  <si>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</si>
  <si>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</si>
  <si>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</si>
  <si>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</si>
  <si>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</si>
  <si>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</si>
  <si>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</si>
  <si>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</si>
  <si>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</si>
  <si>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</si>
  <si>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</si>
  <si>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</si>
  <si>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</si>
  <si>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</si>
  <si>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</si>
  <si>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Residential Group</t>
  </si>
  <si>
    <t>Actual Customers</t>
  </si>
  <si>
    <t>Revenue System</t>
  </si>
  <si>
    <t>Monthly Decoupled Revenue per Customer</t>
  </si>
  <si>
    <t>Decoupled Revenue</t>
  </si>
  <si>
    <t>Actual Fixed Charge Revenue</t>
  </si>
  <si>
    <t>Customer Decoupled Payments</t>
  </si>
  <si>
    <t>Residential Revenue Per Customer Received</t>
  </si>
  <si>
    <t>Deferral - Surcharge (Rebate)</t>
  </si>
  <si>
    <t>Deferral - Revenue Related Expenses</t>
  </si>
  <si>
    <t>Rev Conv Factor</t>
  </si>
  <si>
    <t>FERC Rate</t>
  </si>
  <si>
    <t>Interest on Deferral</t>
  </si>
  <si>
    <t>Avg Balance Calc</t>
  </si>
  <si>
    <t>Monthly Residential Deferral Totals</t>
  </si>
  <si>
    <t>Non-Residential Group</t>
  </si>
  <si>
    <t>Non-Residential Revenue Per Customer Received</t>
  </si>
  <si>
    <t>Monthly Non-Residential Deferral Totals</t>
  </si>
  <si>
    <t>Total Cumulative Natural Gas Deferral</t>
  </si>
  <si>
    <t>Development of Decoupled Revenue by Rate Schedule - Natural Gas</t>
  </si>
  <si>
    <t xml:space="preserve"> </t>
  </si>
  <si>
    <t>RESIDENTIAL</t>
  </si>
  <si>
    <t xml:space="preserve">GENERAL SVC. </t>
  </si>
  <si>
    <t>LG. GEN. SVC.</t>
  </si>
  <si>
    <t>INTERRUPTIBLE</t>
  </si>
  <si>
    <t>SCHEDULES</t>
  </si>
  <si>
    <t>Schedule</t>
  </si>
  <si>
    <t>TOTAL</t>
  </si>
  <si>
    <t>SCHEDULE 101</t>
  </si>
  <si>
    <t>SCH. 111</t>
  </si>
  <si>
    <t>SCH. 121</t>
  </si>
  <si>
    <t>SCH 131</t>
  </si>
  <si>
    <t>112, 122, 132</t>
  </si>
  <si>
    <t>146 &amp; 148</t>
  </si>
  <si>
    <t>Variable Gas Supply Revenue</t>
  </si>
  <si>
    <t>Delivery Revenue  (Ln 3 - Ln 6)</t>
  </si>
  <si>
    <t>Basic Charge Revenue (Ln 8 * Ln 9)</t>
  </si>
  <si>
    <t>Excluded From Decoupling</t>
  </si>
  <si>
    <t>Residential</t>
  </si>
  <si>
    <t>Average Number of Customers (Line 8 / 12)</t>
  </si>
  <si>
    <t>Annual Therms</t>
  </si>
  <si>
    <t>Basic Charge Revenues</t>
  </si>
  <si>
    <t>Customer Bills</t>
  </si>
  <si>
    <t>Average Basic Charge</t>
  </si>
  <si>
    <t>Development of Decoupled Revenue Per Customer - Natural Gas</t>
  </si>
  <si>
    <t>Non-Residential Schedules*</t>
  </si>
  <si>
    <t>Decoupled Revenues</t>
  </si>
  <si>
    <t>Revenue Data</t>
  </si>
  <si>
    <t>Decoupled Revenue Per Customer</t>
  </si>
  <si>
    <t xml:space="preserve">*Sales Schedules 111, 121, 131.  </t>
  </si>
  <si>
    <t>Revenues</t>
  </si>
  <si>
    <t>From Revenue Per Customer</t>
  </si>
  <si>
    <t>From Basic Charges</t>
  </si>
  <si>
    <t>From Gas Supply</t>
  </si>
  <si>
    <t>'Development of Monthly Decoupled Revenue Per Customer - Natural Gas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</si>
  <si>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</si>
  <si>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</si>
  <si>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</si>
  <si>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</si>
  <si>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</si>
  <si>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</si>
  <si>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</si>
  <si>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</si>
  <si>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</si>
  <si>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</si>
  <si>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</si>
  <si>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</si>
  <si>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Natural Gas Delivery Volume</t>
  </si>
  <si>
    <t xml:space="preserve"> - Weather-Normalized Therm Delivery Volume</t>
  </si>
  <si>
    <t>Monthly Rate Year</t>
  </si>
  <si>
    <t xml:space="preserve">  - % of Annual Total</t>
  </si>
  <si>
    <t>% of Total</t>
  </si>
  <si>
    <t>Non-Residential Sales*</t>
  </si>
  <si>
    <t>Monthly Decoupled Revenue Per Customer ("RPC")</t>
  </si>
  <si>
    <t>Decoupling Mechanism - UG-150205 Base effective 1/11/2016</t>
  </si>
  <si>
    <t>Pro Rated</t>
  </si>
  <si>
    <t>1st Quarter 2016</t>
  </si>
  <si>
    <t>2nd Quarter 2016</t>
  </si>
  <si>
    <t>3rd Quarter 2016</t>
  </si>
  <si>
    <t>4th Quarter 2016</t>
  </si>
  <si>
    <t>Attachment 5, Page 3</t>
  </si>
  <si>
    <t>Actual Usage (informational only)</t>
  </si>
  <si>
    <t>Actual Base Rate Revenue 
(Excludes Gas Costs)</t>
  </si>
  <si>
    <t>Cumulative Residential Deferral Surcharge/(Rebate) Balance</t>
  </si>
  <si>
    <t>Cumulative Non-Residential Deferral Surcharge/(Rebate) Balance</t>
  </si>
  <si>
    <t>Total Normalized 12 ME Sept 2014 Revenue</t>
  </si>
  <si>
    <t>Allowed Revenue Increase (Attachment 2)</t>
  </si>
  <si>
    <t>Total Rate Revenue (January 11, 2016)</t>
  </si>
  <si>
    <t>Normalized Therms (12ME Sept 2014 Test Year)</t>
  </si>
  <si>
    <t>11/1/2015 Schedule 150 PGA Rates</t>
  </si>
  <si>
    <t>Customer Bills (12ME Sept 2014 Test Year)</t>
  </si>
  <si>
    <t>Allowed Basic Charges</t>
  </si>
  <si>
    <t>check calculations - DO NOT PRINT</t>
  </si>
  <si>
    <t>avg decoupled rev/th</t>
  </si>
  <si>
    <t>check to avg rates</t>
  </si>
  <si>
    <t>Attachment 5, Page 1</t>
  </si>
  <si>
    <t>Test Year # of Customers 12 ME 09.2014</t>
  </si>
  <si>
    <t xml:space="preserve">  -UG-150205 Decoupled RPC</t>
  </si>
  <si>
    <t>Attachment 5, P. 2 L. 3</t>
  </si>
  <si>
    <t xml:space="preserve">  -Monthly Decoupled RPC</t>
  </si>
  <si>
    <t>Development of WA Natural Gas Deferrals (Calendar Year 2017)</t>
  </si>
  <si>
    <t>2017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</si>
</sst>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&quot;$&quot;#,##0.00"/>
    <numFmt numFmtId="167" formatCode="_(&quot;$&quot;* #,##0_);_(&quot;$&quot;* \(#,##0\);_(&quot;$&quot;* &quot;-&quot;??_);_(@_)"/>
    <numFmt numFmtId="168" formatCode="_(&quot;$&quot;* #,##0.00000_);_(&quot;$&quot;* \(#,##0.000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b/>
      <i/>
      <u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i/>
      <u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rgb="FF0070C0"/>
      <name val="Times New Roman"/>
      <family val="1"/>
    </font>
    <font>
      <sz val="10"/>
      <color rgb="FF3333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3" borderId="1" applyNumberFormat="0">
      <alignment horizontal="center" vertical="center" wrapText="1"/>
    </xf>
    <xf numFmtId="44" fontId="14" fillId="0" borderId="0" applyFont="0" applyFill="0" applyBorder="0" applyAlignment="0" applyProtection="0"/>
    <xf numFmtId="0" fontId="13" fillId="3" borderId="1" applyNumberFormat="0">
      <alignment horizontal="center" vertical="center" wrapText="1"/>
    </xf>
    <xf numFmtId="9" fontId="2" fillId="0" borderId="0" applyFont="0" applyFill="0" applyBorder="0" applyAlignment="0" applyProtection="0"/>
  </cellStyleXfs>
  <cellXfs count="131">
    <xf numFmtId="0" fontId="0" fillId="0" borderId="0" xfId="0"/>
    <xf numFmtId="0" fontId="3" fillId="2" borderId="0" xfId="4" quotePrefix="1" applyFont="1" applyFill="1" applyAlignment="1">
      <alignment horizontal="center"/>
    </xf>
    <xf numFmtId="0" fontId="3" fillId="2" borderId="0" xfId="4" applyFont="1" applyFill="1" applyAlignment="1">
      <alignment horizontal="center"/>
    </xf>
    <xf numFmtId="0" fontId="3" fillId="2" borderId="0" xfId="4" applyFont="1" applyFill="1" applyAlignment="1">
      <alignment horizontal="center" wrapText="1"/>
    </xf>
    <xf numFmtId="0" fontId="2" fillId="0" borderId="0" xfId="4"/>
    <xf numFmtId="0" fontId="5" fillId="2" borderId="0" xfId="4" applyFont="1" applyFill="1"/>
    <xf numFmtId="0" fontId="6" fillId="2" borderId="0" xfId="4" applyFont="1" applyFill="1" applyAlignment="1">
      <alignment horizontal="center"/>
    </xf>
    <xf numFmtId="0" fontId="7" fillId="0" borderId="0" xfId="4" applyFont="1" applyAlignment="1">
      <alignment horizontal="center" wrapText="1"/>
    </xf>
    <xf numFmtId="0" fontId="6" fillId="2" borderId="0" xfId="4" applyFont="1" applyFill="1" applyAlignment="1">
      <alignment horizont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vertical="center"/>
    </xf>
    <xf numFmtId="0" fontId="6" fillId="2" borderId="1" xfId="4" applyFont="1" applyFill="1" applyBorder="1" applyAlignment="1">
      <alignment horizontal="center" vertical="center"/>
    </xf>
    <xf numFmtId="164" fontId="6" fillId="2" borderId="1" xfId="4" applyNumberFormat="1" applyFont="1" applyFill="1" applyBorder="1" applyAlignment="1">
      <alignment horizontal="center" vertical="center"/>
    </xf>
    <xf numFmtId="0" fontId="5" fillId="2" borderId="0" xfId="4" applyFont="1" applyFill="1" applyAlignment="1">
      <alignment horizontal="center"/>
    </xf>
    <xf numFmtId="165" fontId="8" fillId="2" borderId="0" xfId="5" applyNumberFormat="1" applyFont="1" applyFill="1"/>
    <xf numFmtId="167" fontId="8" fillId="2" borderId="0" xfId="4" applyNumberFormat="1" applyFont="1" applyFill="1"/>
    <xf numFmtId="0" fontId="8" fillId="2" borderId="0" xfId="4" applyFont="1" applyFill="1"/>
    <xf numFmtId="0" fontId="5" fillId="2" borderId="0" xfId="4" applyFont="1" applyFill="1" applyAlignment="1">
      <alignment horizontal="left"/>
    </xf>
    <xf numFmtId="167" fontId="8" fillId="2" borderId="0" xfId="2" applyNumberFormat="1" applyFont="1" applyFill="1"/>
    <xf numFmtId="0" fontId="5" fillId="0" borderId="0" xfId="4" applyFont="1" applyFill="1" applyAlignment="1">
      <alignment horizontal="center"/>
    </xf>
    <xf numFmtId="10" fontId="8" fillId="2" borderId="0" xfId="3" applyNumberFormat="1" applyFont="1" applyFill="1"/>
    <xf numFmtId="167" fontId="8" fillId="2" borderId="0" xfId="6" applyNumberFormat="1" applyFont="1" applyFill="1"/>
    <xf numFmtId="0" fontId="6" fillId="2" borderId="0" xfId="4" applyFont="1" applyFill="1"/>
    <xf numFmtId="167" fontId="9" fillId="2" borderId="2" xfId="6" applyNumberFormat="1" applyFont="1" applyFill="1" applyBorder="1"/>
    <xf numFmtId="167" fontId="8" fillId="2" borderId="0" xfId="4" applyNumberFormat="1" applyFont="1" applyFill="1" applyBorder="1"/>
    <xf numFmtId="166" fontId="8" fillId="2" borderId="0" xfId="4" applyNumberFormat="1" applyFont="1" applyFill="1" applyAlignment="1">
      <alignment vertical="center"/>
    </xf>
    <xf numFmtId="167" fontId="9" fillId="2" borderId="2" xfId="4" applyNumberFormat="1" applyFont="1" applyFill="1" applyBorder="1"/>
    <xf numFmtId="0" fontId="11" fillId="2" borderId="0" xfId="0" applyFont="1" applyFill="1"/>
    <xf numFmtId="0" fontId="0" fillId="2" borderId="0" xfId="0" applyFill="1"/>
    <xf numFmtId="0" fontId="12" fillId="2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7" fontId="11" fillId="2" borderId="0" xfId="2" applyNumberFormat="1" applyFont="1" applyFill="1"/>
    <xf numFmtId="167" fontId="11" fillId="0" borderId="0" xfId="2" applyNumberFormat="1" applyFont="1" applyFill="1"/>
    <xf numFmtId="167" fontId="0" fillId="0" borderId="0" xfId="2" applyNumberFormat="1" applyFont="1"/>
    <xf numFmtId="167" fontId="11" fillId="2" borderId="0" xfId="0" applyNumberFormat="1" applyFont="1" applyFill="1"/>
    <xf numFmtId="165" fontId="11" fillId="2" borderId="0" xfId="0" applyNumberFormat="1" applyFont="1" applyFill="1"/>
    <xf numFmtId="165" fontId="11" fillId="2" borderId="0" xfId="1" applyNumberFormat="1" applyFont="1" applyFill="1"/>
    <xf numFmtId="165" fontId="0" fillId="0" borderId="0" xfId="1" applyNumberFormat="1" applyFont="1"/>
    <xf numFmtId="168" fontId="0" fillId="0" borderId="0" xfId="0" applyNumberFormat="1"/>
    <xf numFmtId="167" fontId="0" fillId="0" borderId="0" xfId="0" applyNumberFormat="1"/>
    <xf numFmtId="37" fontId="11" fillId="2" borderId="0" xfId="0" applyNumberFormat="1" applyFont="1" applyFill="1"/>
    <xf numFmtId="7" fontId="11" fillId="2" borderId="0" xfId="2" applyNumberFormat="1" applyFont="1" applyFill="1"/>
    <xf numFmtId="167" fontId="11" fillId="2" borderId="0" xfId="2" applyNumberFormat="1" applyFont="1" applyFill="1" applyAlignment="1">
      <alignment horizontal="center"/>
    </xf>
    <xf numFmtId="44" fontId="0" fillId="0" borderId="0" xfId="0" applyNumberFormat="1"/>
    <xf numFmtId="0" fontId="11" fillId="0" borderId="0" xfId="0" applyFont="1"/>
    <xf numFmtId="0" fontId="11" fillId="2" borderId="0" xfId="0" applyFont="1" applyFill="1" applyAlignment="1">
      <alignment horizontal="center"/>
    </xf>
    <xf numFmtId="0" fontId="10" fillId="2" borderId="0" xfId="4" applyFont="1" applyFill="1" applyAlignment="1"/>
    <xf numFmtId="0" fontId="10" fillId="2" borderId="0" xfId="4" quotePrefix="1" applyFont="1" applyFill="1" applyAlignment="1"/>
    <xf numFmtId="0" fontId="11" fillId="2" borderId="0" xfId="4" applyFont="1" applyFill="1"/>
    <xf numFmtId="41" fontId="10" fillId="2" borderId="1" xfId="7" applyNumberFormat="1" applyFont="1" applyFill="1" applyBorder="1">
      <alignment horizontal="center" vertical="center" wrapText="1"/>
    </xf>
    <xf numFmtId="0" fontId="11" fillId="2" borderId="1" xfId="4" applyFont="1" applyFill="1" applyBorder="1"/>
    <xf numFmtId="0" fontId="11" fillId="2" borderId="0" xfId="4" applyFont="1" applyFill="1" applyAlignment="1">
      <alignment horizontal="center"/>
    </xf>
    <xf numFmtId="0" fontId="11" fillId="2" borderId="0" xfId="4" applyFont="1" applyFill="1" applyAlignment="1">
      <alignment horizontal="left"/>
    </xf>
    <xf numFmtId="167" fontId="11" fillId="2" borderId="0" xfId="8" applyNumberFormat="1" applyFont="1" applyFill="1"/>
    <xf numFmtId="165" fontId="11" fillId="2" borderId="0" xfId="5" applyNumberFormat="1" applyFont="1" applyFill="1" applyBorder="1"/>
    <xf numFmtId="44" fontId="11" fillId="2" borderId="0" xfId="8" applyNumberFormat="1" applyFont="1" applyFill="1"/>
    <xf numFmtId="167" fontId="11" fillId="2" borderId="0" xfId="4" applyNumberFormat="1" applyFont="1" applyFill="1"/>
    <xf numFmtId="0" fontId="11" fillId="2" borderId="0" xfId="4" quotePrefix="1" applyFont="1" applyFill="1" applyAlignment="1">
      <alignment horizontal="left"/>
    </xf>
    <xf numFmtId="0" fontId="11" fillId="0" borderId="0" xfId="0" applyFont="1" applyAlignment="1">
      <alignment horizontal="right"/>
    </xf>
    <xf numFmtId="167" fontId="11" fillId="0" borderId="0" xfId="2" applyNumberFormat="1" applyFont="1"/>
    <xf numFmtId="167" fontId="11" fillId="0" borderId="2" xfId="2" applyNumberFormat="1" applyFont="1" applyBorder="1"/>
    <xf numFmtId="41" fontId="9" fillId="2" borderId="1" xfId="9" applyNumberFormat="1" applyFont="1" applyFill="1" applyBorder="1">
      <alignment horizontal="center" vertical="center" wrapText="1"/>
    </xf>
    <xf numFmtId="0" fontId="5" fillId="2" borderId="1" xfId="4" applyFont="1" applyFill="1" applyBorder="1"/>
    <xf numFmtId="41" fontId="9" fillId="2" borderId="1" xfId="9" applyNumberFormat="1" applyFont="1" applyFill="1" applyBorder="1" applyAlignment="1">
      <alignment horizontal="center" vertical="center" wrapText="1"/>
    </xf>
    <xf numFmtId="164" fontId="9" fillId="2" borderId="1" xfId="9" applyNumberFormat="1" applyFont="1" applyFill="1" applyBorder="1">
      <alignment horizontal="center" vertical="center" wrapText="1"/>
    </xf>
    <xf numFmtId="0" fontId="16" fillId="2" borderId="0" xfId="4" applyFont="1" applyFill="1" applyAlignment="1">
      <alignment horizontal="left"/>
    </xf>
    <xf numFmtId="0" fontId="17" fillId="2" borderId="0" xfId="4" applyFont="1" applyFill="1"/>
    <xf numFmtId="167" fontId="5" fillId="2" borderId="0" xfId="8" applyNumberFormat="1" applyFont="1" applyFill="1"/>
    <xf numFmtId="3" fontId="5" fillId="2" borderId="0" xfId="4" applyNumberFormat="1" applyFont="1" applyFill="1"/>
    <xf numFmtId="0" fontId="18" fillId="2" borderId="0" xfId="4" applyFont="1" applyFill="1"/>
    <xf numFmtId="0" fontId="5" fillId="2" borderId="0" xfId="4" quotePrefix="1" applyFont="1" applyFill="1" applyAlignment="1">
      <alignment horizontal="left"/>
    </xf>
    <xf numFmtId="165" fontId="19" fillId="0" borderId="0" xfId="0" applyNumberFormat="1" applyFont="1"/>
    <xf numFmtId="3" fontId="8" fillId="2" borderId="0" xfId="4" applyNumberFormat="1" applyFont="1" applyFill="1"/>
    <xf numFmtId="0" fontId="8" fillId="2" borderId="0" xfId="4" quotePrefix="1" applyFont="1" applyFill="1" applyAlignment="1">
      <alignment horizontal="center"/>
    </xf>
    <xf numFmtId="10" fontId="8" fillId="2" borderId="0" xfId="10" applyNumberFormat="1" applyFont="1" applyFill="1"/>
    <xf numFmtId="0" fontId="8" fillId="2" borderId="0" xfId="4" applyFont="1" applyFill="1" applyAlignment="1">
      <alignment horizontal="center"/>
    </xf>
    <xf numFmtId="10" fontId="5" fillId="2" borderId="0" xfId="10" applyNumberFormat="1" applyFont="1" applyFill="1"/>
    <xf numFmtId="44" fontId="5" fillId="2" borderId="0" xfId="6" applyFont="1" applyFill="1" applyAlignment="1">
      <alignment horizontal="center"/>
    </xf>
    <xf numFmtId="44" fontId="5" fillId="2" borderId="0" xfId="4" applyNumberFormat="1" applyFont="1" applyFill="1"/>
    <xf numFmtId="165" fontId="5" fillId="2" borderId="0" xfId="5" applyNumberFormat="1" applyFont="1" applyFill="1" applyAlignment="1">
      <alignment horizontal="center"/>
    </xf>
    <xf numFmtId="0" fontId="19" fillId="0" borderId="0" xfId="0" applyFont="1"/>
    <xf numFmtId="0" fontId="3" fillId="2" borderId="0" xfId="4" applyFont="1" applyFill="1" applyAlignment="1"/>
    <xf numFmtId="0" fontId="4" fillId="2" borderId="0" xfId="4" applyFont="1" applyFill="1" applyAlignment="1"/>
    <xf numFmtId="0" fontId="3" fillId="2" borderId="0" xfId="4" quotePrefix="1" applyFont="1" applyFill="1" applyAlignment="1"/>
    <xf numFmtId="164" fontId="20" fillId="2" borderId="1" xfId="4" applyNumberFormat="1" applyFont="1" applyFill="1" applyBorder="1" applyAlignment="1">
      <alignment horizontal="center" vertical="center"/>
    </xf>
    <xf numFmtId="165" fontId="21" fillId="2" borderId="0" xfId="5" applyNumberFormat="1" applyFont="1" applyFill="1"/>
    <xf numFmtId="0" fontId="5" fillId="0" borderId="0" xfId="4" applyFont="1" applyFill="1" applyAlignment="1">
      <alignment horizontal="center" vertical="center"/>
    </xf>
    <xf numFmtId="0" fontId="5" fillId="0" borderId="0" xfId="4" applyFont="1" applyFill="1" applyAlignment="1">
      <alignment horizontal="center" vertical="center" wrapText="1"/>
    </xf>
    <xf numFmtId="0" fontId="5" fillId="0" borderId="0" xfId="4" applyFont="1" applyFill="1" applyAlignment="1">
      <alignment horizontal="center" wrapText="1"/>
    </xf>
    <xf numFmtId="166" fontId="8" fillId="0" borderId="0" xfId="4" applyNumberFormat="1" applyFont="1" applyFill="1" applyAlignment="1">
      <alignment vertical="center"/>
    </xf>
    <xf numFmtId="166" fontId="5" fillId="2" borderId="0" xfId="4" applyNumberFormat="1" applyFont="1" applyFill="1" applyAlignment="1">
      <alignment vertical="center"/>
    </xf>
    <xf numFmtId="0" fontId="5" fillId="2" borderId="0" xfId="4" applyFont="1" applyFill="1" applyAlignment="1">
      <alignment horizontal="left" wrapText="1"/>
    </xf>
    <xf numFmtId="167" fontId="21" fillId="2" borderId="0" xfId="2" applyNumberFormat="1" applyFont="1" applyFill="1"/>
    <xf numFmtId="167" fontId="8" fillId="0" borderId="0" xfId="2" applyNumberFormat="1" applyFont="1" applyFill="1"/>
    <xf numFmtId="167" fontId="8" fillId="0" borderId="0" xfId="4" applyNumberFormat="1" applyFont="1" applyFill="1"/>
    <xf numFmtId="10" fontId="8" fillId="0" borderId="0" xfId="3" applyNumberFormat="1" applyFont="1" applyFill="1"/>
    <xf numFmtId="0" fontId="5" fillId="2" borderId="0" xfId="4" applyFont="1" applyFill="1" applyAlignment="1">
      <alignment horizontal="center" wrapText="1"/>
    </xf>
    <xf numFmtId="0" fontId="5" fillId="0" borderId="0" xfId="4" applyFont="1" applyFill="1"/>
    <xf numFmtId="0" fontId="5" fillId="0" borderId="0" xfId="4" applyFont="1"/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1" fillId="2" borderId="4" xfId="0" applyFont="1" applyFill="1" applyBorder="1"/>
    <xf numFmtId="0" fontId="0" fillId="2" borderId="0" xfId="0" applyFill="1" applyBorder="1"/>
    <xf numFmtId="167" fontId="11" fillId="0" borderId="4" xfId="2" applyNumberFormat="1" applyFont="1" applyFill="1" applyBorder="1"/>
    <xf numFmtId="167" fontId="11" fillId="0" borderId="0" xfId="2" applyNumberFormat="1" applyFont="1" applyFill="1" applyBorder="1"/>
    <xf numFmtId="167" fontId="11" fillId="2" borderId="4" xfId="0" applyNumberFormat="1" applyFont="1" applyFill="1" applyBorder="1"/>
    <xf numFmtId="167" fontId="11" fillId="2" borderId="0" xfId="0" applyNumberFormat="1" applyFont="1" applyFill="1" applyBorder="1"/>
    <xf numFmtId="165" fontId="11" fillId="2" borderId="4" xfId="1" applyNumberFormat="1" applyFont="1" applyFill="1" applyBorder="1"/>
    <xf numFmtId="165" fontId="11" fillId="2" borderId="0" xfId="1" applyNumberFormat="1" applyFont="1" applyFill="1" applyBorder="1"/>
    <xf numFmtId="0" fontId="11" fillId="0" borderId="0" xfId="0" applyFont="1" applyFill="1"/>
    <xf numFmtId="168" fontId="11" fillId="0" borderId="0" xfId="2" applyNumberFormat="1" applyFont="1" applyFill="1"/>
    <xf numFmtId="0" fontId="0" fillId="0" borderId="4" xfId="0" applyBorder="1"/>
    <xf numFmtId="0" fontId="0" fillId="0" borderId="0" xfId="0" applyBorder="1"/>
    <xf numFmtId="7" fontId="11" fillId="0" borderId="0" xfId="2" applyNumberFormat="1" applyFont="1" applyFill="1"/>
    <xf numFmtId="7" fontId="11" fillId="0" borderId="0" xfId="2" applyNumberFormat="1" applyFont="1" applyFill="1" applyAlignment="1">
      <alignment horizontal="center"/>
    </xf>
    <xf numFmtId="167" fontId="11" fillId="2" borderId="4" xfId="2" applyNumberFormat="1" applyFont="1" applyFill="1" applyBorder="1" applyAlignment="1">
      <alignment horizontal="center"/>
    </xf>
    <xf numFmtId="0" fontId="0" fillId="2" borderId="4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6" fillId="2" borderId="0" xfId="4" applyFont="1" applyFill="1" applyAlignment="1">
      <alignment horizontal="center" vertical="center"/>
    </xf>
    <xf numFmtId="0" fontId="5" fillId="2" borderId="0" xfId="4" applyFont="1" applyFill="1" applyAlignment="1">
      <alignment horizontal="center" vertical="center"/>
    </xf>
    <xf numFmtId="0" fontId="5" fillId="2" borderId="0" xfId="4" applyFont="1" applyFill="1" applyAlignment="1">
      <alignment horizontal="center" vertical="center" wrapText="1"/>
    </xf>
    <xf numFmtId="167" fontId="8" fillId="2" borderId="0" xfId="4" applyNumberFormat="1" applyFont="1" applyFill="1" applyAlignment="1">
      <alignment vertical="center"/>
    </xf>
    <xf numFmtId="167" fontId="9" fillId="2" borderId="3" xfId="4" applyNumberFormat="1" applyFont="1" applyFill="1" applyBorder="1" applyAlignment="1">
      <alignment vertical="center"/>
    </xf>
    <xf numFmtId="0" fontId="6" fillId="2" borderId="0" xfId="4" applyFont="1" applyFill="1" applyAlignment="1">
      <alignment vertical="center" wrapText="1"/>
    </xf>
    <xf numFmtId="0" fontId="2" fillId="0" borderId="0" xfId="4" applyAlignment="1">
      <alignment vertical="center"/>
    </xf>
    <xf numFmtId="0" fontId="10" fillId="2" borderId="0" xfId="4" applyFont="1" applyFill="1" applyAlignment="1">
      <alignment horizontal="center"/>
    </xf>
    <xf numFmtId="0" fontId="10" fillId="2" borderId="0" xfId="4" quotePrefix="1" applyFont="1" applyFill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5" fillId="2" borderId="0" xfId="4" applyFont="1" applyFill="1" applyAlignment="1">
      <alignment horizontal="center"/>
    </xf>
    <xf numFmtId="0" fontId="15" fillId="2" borderId="0" xfId="4" quotePrefix="1" applyFont="1" applyFill="1" applyAlignment="1">
      <alignment horizontal="center"/>
    </xf>
  </cellXfs>
  <cellStyles count="11">
    <cellStyle name="Comma" xfId="1" builtinId="3"/>
    <cellStyle name="Comma 2" xfId="5"/>
    <cellStyle name="Currency" xfId="2" builtinId="4"/>
    <cellStyle name="Currency 2" xfId="6"/>
    <cellStyle name="Currency 2 2" xfId="8"/>
    <cellStyle name="Normal" xfId="0" builtinId="0"/>
    <cellStyle name="Normal 2" xfId="4"/>
    <cellStyle name="Percent" xfId="3" builtinId="5"/>
    <cellStyle name="Percent 2" xfId="10"/>
    <cellStyle name="Report Heading 2" xfId="7"/>
    <cellStyle name="Report Heading 3 2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customXml" Target="../customXml/item4.xml"/><Relationship Id="rId21" Type="http://schemas.openxmlformats.org/officeDocument/2006/relationships/externalLink" Target="externalLinks/externalLink17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EL%201204%20(CB%20Report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c2777\AppData\Local\Microsoft\Windows\Temporary%20Internet%20Files\Content.Outlook\948CA9O2\Forecast%20Extract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GS%201204%20(CB%20Report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New%20Plant-093003\FredDispatch%209.3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My%20Documents\2006GRC\Incentive%20Pay\2.29E%20Incentive%20Pa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5\2.01E%20Temperature%20Normalization_12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Jun_30_01/Proforma%20Adj_not%20us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2\Gas\semi1202.rev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PCA\New%20Plant-093003\FredDispatch%209.3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ill Determinants"/>
      <sheetName val="2013"/>
      <sheetName val="201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abSelected="1" topLeftCell="A21" zoomScaleNormal="100" workbookViewId="0">
      <selection activeCell="D44" sqref="D44"/>
    </sheetView>
  </sheetViews>
  <sheetFormatPr defaultRowHeight="14.4" x14ac:dyDescent="0.3"/>
  <cols>
    <col min="1" max="1" width="7.33203125" customWidth="1"/>
    <col min="2" max="2" width="27.77734375" customWidth="1"/>
    <col min="3" max="3" width="15" customWidth="1"/>
    <col min="4" max="4" width="12.21875" customWidth="1"/>
    <col min="5" max="14" width="11.88671875" customWidth="1"/>
    <col min="15" max="15" width="12.21875" customWidth="1"/>
    <col min="16" max="16" width="12.21875" hidden="1" customWidth="1"/>
    <col min="17" max="18" width="11.21875" hidden="1" customWidth="1"/>
    <col min="19" max="19" width="1.6640625" hidden="1" customWidth="1"/>
    <col min="20" max="20" width="12.21875" customWidth="1"/>
  </cols>
  <sheetData>
    <row r="1" spans="1:20" ht="15.6" x14ac:dyDescent="0.3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0" ht="17.399999999999999" x14ac:dyDescent="0.3">
      <c r="A2" s="81" t="s">
        <v>94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2"/>
      <c r="Q2" s="82"/>
      <c r="R2" s="82"/>
      <c r="S2" s="82"/>
      <c r="T2" s="82"/>
    </row>
    <row r="3" spans="1:20" ht="15.6" x14ac:dyDescent="0.3">
      <c r="A3" s="83" t="s">
        <v>120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3"/>
      <c r="Q3" s="83"/>
      <c r="R3" s="83"/>
      <c r="S3" s="83"/>
      <c r="T3" s="83"/>
    </row>
    <row r="4" spans="1:20" ht="15.6" x14ac:dyDescent="0.3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2"/>
      <c r="S4" s="2"/>
      <c r="T4" s="4"/>
    </row>
    <row r="5" spans="1:20" ht="41.4" customHeight="1" x14ac:dyDescent="0.3">
      <c r="A5" s="5"/>
      <c r="B5" s="5"/>
      <c r="C5" s="5"/>
      <c r="D5" s="13" t="s">
        <v>95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7" t="s">
        <v>96</v>
      </c>
      <c r="Q5" s="7" t="s">
        <v>97</v>
      </c>
      <c r="R5" s="7" t="s">
        <v>98</v>
      </c>
      <c r="S5" s="7" t="s">
        <v>99</v>
      </c>
      <c r="T5" s="8" t="s">
        <v>121</v>
      </c>
    </row>
    <row r="6" spans="1:20" ht="26.4" x14ac:dyDescent="0.3">
      <c r="A6" s="9" t="s">
        <v>2</v>
      </c>
      <c r="B6" s="10"/>
      <c r="C6" s="11" t="s">
        <v>3</v>
      </c>
      <c r="D6" s="84">
        <v>42736</v>
      </c>
      <c r="E6" s="12">
        <f t="shared" ref="E6:O6" si="0">EDATE(D6,1)</f>
        <v>42767</v>
      </c>
      <c r="F6" s="12">
        <f t="shared" si="0"/>
        <v>42795</v>
      </c>
      <c r="G6" s="12">
        <f t="shared" si="0"/>
        <v>42826</v>
      </c>
      <c r="H6" s="12">
        <f t="shared" si="0"/>
        <v>42856</v>
      </c>
      <c r="I6" s="12">
        <f t="shared" si="0"/>
        <v>42887</v>
      </c>
      <c r="J6" s="12">
        <f t="shared" si="0"/>
        <v>42917</v>
      </c>
      <c r="K6" s="12">
        <f t="shared" si="0"/>
        <v>42948</v>
      </c>
      <c r="L6" s="12">
        <f t="shared" si="0"/>
        <v>42979</v>
      </c>
      <c r="M6" s="12">
        <f t="shared" si="0"/>
        <v>43009</v>
      </c>
      <c r="N6" s="12">
        <f t="shared" si="0"/>
        <v>43040</v>
      </c>
      <c r="O6" s="12">
        <f t="shared" si="0"/>
        <v>43070</v>
      </c>
      <c r="P6" s="12" t="s">
        <v>4</v>
      </c>
      <c r="Q6" s="12" t="s">
        <v>4</v>
      </c>
      <c r="R6" s="12" t="s">
        <v>4</v>
      </c>
      <c r="S6" s="12" t="s">
        <v>4</v>
      </c>
      <c r="T6" s="12" t="s">
        <v>4</v>
      </c>
    </row>
    <row r="7" spans="1:20" x14ac:dyDescent="0.3">
      <c r="A7" s="13"/>
      <c r="B7" s="13" t="s">
        <v>5</v>
      </c>
      <c r="C7" s="13" t="s">
        <v>6</v>
      </c>
      <c r="D7" s="13" t="s">
        <v>7</v>
      </c>
      <c r="E7" s="13" t="s">
        <v>8</v>
      </c>
      <c r="F7" s="13" t="s">
        <v>9</v>
      </c>
      <c r="G7" s="13" t="s">
        <v>10</v>
      </c>
      <c r="H7" s="13" t="s">
        <v>11</v>
      </c>
      <c r="I7" s="13" t="s">
        <v>12</v>
      </c>
      <c r="J7" s="13" t="s">
        <v>13</v>
      </c>
      <c r="K7" s="13" t="s">
        <v>14</v>
      </c>
      <c r="L7" s="13" t="s">
        <v>15</v>
      </c>
      <c r="M7" s="13" t="s">
        <v>16</v>
      </c>
      <c r="N7" s="13" t="s">
        <v>17</v>
      </c>
      <c r="O7" s="13" t="s">
        <v>18</v>
      </c>
      <c r="P7" s="13" t="s">
        <v>19</v>
      </c>
      <c r="Q7" s="13"/>
      <c r="R7" s="13"/>
      <c r="S7" s="13"/>
      <c r="T7" s="13" t="s">
        <v>19</v>
      </c>
    </row>
    <row r="8" spans="1:20" x14ac:dyDescent="0.3">
      <c r="A8" s="13"/>
      <c r="B8" s="6" t="s">
        <v>20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5"/>
      <c r="Q8" s="15"/>
      <c r="R8" s="15"/>
      <c r="S8" s="15"/>
      <c r="T8" s="15"/>
    </row>
    <row r="9" spans="1:20" x14ac:dyDescent="0.3">
      <c r="A9" s="13">
        <v>1</v>
      </c>
      <c r="B9" s="5" t="s">
        <v>21</v>
      </c>
      <c r="C9" s="13" t="s">
        <v>22</v>
      </c>
      <c r="D9" s="85">
        <v>156425</v>
      </c>
      <c r="E9" s="85">
        <v>156620</v>
      </c>
      <c r="F9" s="85">
        <v>156919</v>
      </c>
      <c r="G9" s="85">
        <v>156785</v>
      </c>
      <c r="H9" s="85">
        <v>156510</v>
      </c>
      <c r="I9" s="85">
        <v>157170</v>
      </c>
      <c r="J9" s="85">
        <v>157080</v>
      </c>
      <c r="K9" s="85">
        <v>157589</v>
      </c>
      <c r="L9" s="85">
        <v>157973</v>
      </c>
      <c r="M9" s="85">
        <v>158696</v>
      </c>
      <c r="N9" s="85">
        <v>159255</v>
      </c>
      <c r="O9" s="85">
        <v>159738</v>
      </c>
      <c r="P9" s="14">
        <f>SUM(D9:F9)</f>
        <v>469964</v>
      </c>
      <c r="Q9" s="14">
        <f>SUM(G9:I9)</f>
        <v>470465</v>
      </c>
      <c r="R9" s="14">
        <f>SUM(J9:L9)</f>
        <v>472642</v>
      </c>
      <c r="S9" s="14">
        <f>SUM(M9:O9)</f>
        <v>477689</v>
      </c>
      <c r="T9" s="14">
        <f>SUM(D9:O9)</f>
        <v>1890760</v>
      </c>
    </row>
    <row r="10" spans="1:20" ht="27" x14ac:dyDescent="0.3">
      <c r="A10" s="86">
        <f>A9+1</f>
        <v>2</v>
      </c>
      <c r="B10" s="87" t="s">
        <v>23</v>
      </c>
      <c r="C10" s="88" t="s">
        <v>100</v>
      </c>
      <c r="D10" s="89">
        <v>61.486922879017001</v>
      </c>
      <c r="E10" s="89">
        <v>50.866570431256761</v>
      </c>
      <c r="F10" s="89">
        <v>41.030399057560587</v>
      </c>
      <c r="G10" s="89">
        <v>22.870205136351437</v>
      </c>
      <c r="H10" s="89">
        <v>14.23092748790198</v>
      </c>
      <c r="I10" s="89">
        <v>8.7158034693822444</v>
      </c>
      <c r="J10" s="89">
        <v>6.0908076255147918</v>
      </c>
      <c r="K10" s="89">
        <v>5.9532658136335108</v>
      </c>
      <c r="L10" s="89">
        <v>7.9296716744335587</v>
      </c>
      <c r="M10" s="89">
        <v>25.196066218038329</v>
      </c>
      <c r="N10" s="89">
        <v>43.401260450086617</v>
      </c>
      <c r="O10" s="89">
        <v>63.188099756823149</v>
      </c>
      <c r="P10" s="90">
        <f>P11/P9</f>
        <v>51.117241665333985</v>
      </c>
      <c r="Q10" s="90">
        <f>Q11/Q9</f>
        <v>15.267555301068532</v>
      </c>
      <c r="R10" s="90">
        <f>R11/R9</f>
        <v>6.6595590141076064</v>
      </c>
      <c r="S10" s="90">
        <f>S11/S9</f>
        <v>43.969870221989147</v>
      </c>
      <c r="T10" s="90">
        <f>T11/T9</f>
        <v>29.277975202956402</v>
      </c>
    </row>
    <row r="11" spans="1:20" x14ac:dyDescent="0.3">
      <c r="A11" s="13">
        <f>A10+1</f>
        <v>3</v>
      </c>
      <c r="B11" s="5" t="s">
        <v>24</v>
      </c>
      <c r="C11" s="13" t="str">
        <f>"("&amp;A9&amp;") x ("&amp;A10&amp;")"</f>
        <v>(1) x (2)</v>
      </c>
      <c r="D11" s="15">
        <f t="shared" ref="D11:O11" si="1">D9*D10</f>
        <v>9618091.9113502353</v>
      </c>
      <c r="E11" s="15">
        <f t="shared" si="1"/>
        <v>7966722.2609434342</v>
      </c>
      <c r="F11" s="15">
        <f t="shared" si="1"/>
        <v>6438449.1897133496</v>
      </c>
      <c r="G11" s="15">
        <f t="shared" si="1"/>
        <v>3585705.1123028602</v>
      </c>
      <c r="H11" s="15">
        <f t="shared" si="1"/>
        <v>2227282.4611315387</v>
      </c>
      <c r="I11" s="15">
        <f t="shared" si="1"/>
        <v>1369862.8312828073</v>
      </c>
      <c r="J11" s="15">
        <f t="shared" si="1"/>
        <v>956744.06181586348</v>
      </c>
      <c r="K11" s="15">
        <f t="shared" si="1"/>
        <v>938169.20630469138</v>
      </c>
      <c r="L11" s="15">
        <f t="shared" si="1"/>
        <v>1252674.0234252925</v>
      </c>
      <c r="M11" s="15">
        <f t="shared" si="1"/>
        <v>3998514.9245378105</v>
      </c>
      <c r="N11" s="15">
        <f t="shared" si="1"/>
        <v>6911867.7329785442</v>
      </c>
      <c r="O11" s="15">
        <f t="shared" si="1"/>
        <v>10093540.678955417</v>
      </c>
      <c r="P11" s="15">
        <f>SUM(D11:F11)</f>
        <v>24023263.362007022</v>
      </c>
      <c r="Q11" s="15">
        <f>SUM(G11:I11)</f>
        <v>7182850.404717207</v>
      </c>
      <c r="R11" s="15">
        <f>SUM(J11:L11)</f>
        <v>3147587.2915458474</v>
      </c>
      <c r="S11" s="15">
        <f>SUM(M11:O11)</f>
        <v>21003923.336471774</v>
      </c>
      <c r="T11" s="15">
        <f>SUM(D11:O11)</f>
        <v>55357624.394741848</v>
      </c>
    </row>
    <row r="12" spans="1:20" x14ac:dyDescent="0.3">
      <c r="A12" s="13"/>
      <c r="B12" s="5"/>
      <c r="C12" s="13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6"/>
      <c r="Q12" s="16"/>
      <c r="R12" s="16"/>
      <c r="S12" s="16"/>
      <c r="T12" s="16"/>
    </row>
    <row r="13" spans="1:20" x14ac:dyDescent="0.3">
      <c r="A13" s="13"/>
      <c r="B13" s="96" t="s">
        <v>101</v>
      </c>
      <c r="C13" s="13" t="s">
        <v>22</v>
      </c>
      <c r="D13" s="85">
        <v>27300256</v>
      </c>
      <c r="E13" s="85">
        <v>19186623.677000001</v>
      </c>
      <c r="F13" s="85">
        <v>14338876</v>
      </c>
      <c r="G13" s="85">
        <v>9656822</v>
      </c>
      <c r="H13" s="85">
        <v>4949756.6459999997</v>
      </c>
      <c r="I13" s="85">
        <v>2545688.2180000003</v>
      </c>
      <c r="J13" s="85">
        <v>2072779</v>
      </c>
      <c r="K13" s="85">
        <v>2083099.9230000002</v>
      </c>
      <c r="L13" s="85">
        <v>3151156.0929999999</v>
      </c>
      <c r="M13" s="85">
        <v>8849788</v>
      </c>
      <c r="N13" s="85">
        <v>14859436.94905</v>
      </c>
      <c r="O13" s="85">
        <v>22788639.07818</v>
      </c>
      <c r="P13" s="16"/>
      <c r="Q13" s="16"/>
      <c r="R13" s="16"/>
      <c r="S13" s="16"/>
      <c r="T13" s="16"/>
    </row>
    <row r="14" spans="1:20" ht="27" x14ac:dyDescent="0.3">
      <c r="A14" s="13">
        <v>4</v>
      </c>
      <c r="B14" s="91" t="s">
        <v>102</v>
      </c>
      <c r="C14" s="13" t="s">
        <v>22</v>
      </c>
      <c r="D14" s="92">
        <v>14178143.092290001</v>
      </c>
      <c r="E14" s="92">
        <v>9916592.0782099981</v>
      </c>
      <c r="F14" s="92">
        <v>7596509.2164000003</v>
      </c>
      <c r="G14" s="92">
        <v>5392471.2814099994</v>
      </c>
      <c r="H14" s="92">
        <v>3376967.9497699998</v>
      </c>
      <c r="I14" s="92">
        <v>2365888.1774000037</v>
      </c>
      <c r="J14" s="92">
        <v>2319585.5716200015</v>
      </c>
      <c r="K14" s="92">
        <v>2360614.4435100043</v>
      </c>
      <c r="L14" s="92">
        <v>2703608.9931599996</v>
      </c>
      <c r="M14" s="92">
        <v>4991030.0316199977</v>
      </c>
      <c r="N14" s="92">
        <v>7735067.0971700028</v>
      </c>
      <c r="O14" s="92">
        <v>11662425.45919</v>
      </c>
      <c r="P14" s="18"/>
      <c r="Q14" s="18"/>
      <c r="R14" s="18"/>
      <c r="S14" s="18"/>
      <c r="T14" s="18"/>
    </row>
    <row r="15" spans="1:20" x14ac:dyDescent="0.3">
      <c r="A15" s="13">
        <v>5</v>
      </c>
      <c r="B15" s="5" t="s">
        <v>25</v>
      </c>
      <c r="C15" s="13" t="s">
        <v>22</v>
      </c>
      <c r="D15" s="92">
        <v>1422936</v>
      </c>
      <c r="E15" s="92">
        <v>1424844</v>
      </c>
      <c r="F15" s="92">
        <v>1431234</v>
      </c>
      <c r="G15" s="92">
        <v>1430091</v>
      </c>
      <c r="H15" s="92">
        <v>1435815</v>
      </c>
      <c r="I15" s="92">
        <v>1447083</v>
      </c>
      <c r="J15" s="92">
        <v>1441215</v>
      </c>
      <c r="K15" s="92">
        <v>1447191</v>
      </c>
      <c r="L15" s="92">
        <v>1446363</v>
      </c>
      <c r="M15" s="92">
        <v>1450971</v>
      </c>
      <c r="N15" s="92">
        <v>1453338</v>
      </c>
      <c r="O15" s="92">
        <v>1455831</v>
      </c>
      <c r="P15" s="18"/>
      <c r="Q15" s="18"/>
      <c r="R15" s="18"/>
      <c r="S15" s="18"/>
      <c r="T15" s="18"/>
    </row>
    <row r="16" spans="1:20" x14ac:dyDescent="0.3">
      <c r="A16" s="13">
        <v>6</v>
      </c>
      <c r="B16" s="5" t="s">
        <v>26</v>
      </c>
      <c r="C16" s="13" t="str">
        <f>"("&amp;A14&amp;") - ("&amp;A15&amp;")"</f>
        <v>(4) - (5)</v>
      </c>
      <c r="D16" s="15">
        <f>D14-D15</f>
        <v>12755207.092290001</v>
      </c>
      <c r="E16" s="15">
        <f t="shared" ref="E16:O16" si="2">E14-E15</f>
        <v>8491748.0782099981</v>
      </c>
      <c r="F16" s="15">
        <f t="shared" si="2"/>
        <v>6165275.2164000003</v>
      </c>
      <c r="G16" s="15">
        <f t="shared" si="2"/>
        <v>3962380.2814099994</v>
      </c>
      <c r="H16" s="15">
        <f t="shared" si="2"/>
        <v>1941152.9497699998</v>
      </c>
      <c r="I16" s="15">
        <f t="shared" si="2"/>
        <v>918805.17740000365</v>
      </c>
      <c r="J16" s="15">
        <f t="shared" si="2"/>
        <v>878370.57162000146</v>
      </c>
      <c r="K16" s="15">
        <f t="shared" si="2"/>
        <v>913423.44351000432</v>
      </c>
      <c r="L16" s="15">
        <f t="shared" si="2"/>
        <v>1257245.9931599996</v>
      </c>
      <c r="M16" s="15">
        <f t="shared" si="2"/>
        <v>3540059.0316199977</v>
      </c>
      <c r="N16" s="15">
        <f t="shared" si="2"/>
        <v>6281729.0971700028</v>
      </c>
      <c r="O16" s="15">
        <f t="shared" si="2"/>
        <v>10206594.45919</v>
      </c>
      <c r="P16" s="15">
        <f>SUM(D16:F16)</f>
        <v>27412230.3869</v>
      </c>
      <c r="Q16" s="15">
        <f>SUM(G16:I16)</f>
        <v>6822338.4085800033</v>
      </c>
      <c r="R16" s="15">
        <f>SUM(J16:L16)</f>
        <v>3049040.0082900054</v>
      </c>
      <c r="S16" s="15">
        <f>SUM(M16:O16)</f>
        <v>20028382.587980002</v>
      </c>
      <c r="T16" s="15">
        <f>SUM(D16:O16)</f>
        <v>57311991.391750008</v>
      </c>
    </row>
    <row r="17" spans="1:20" ht="27" x14ac:dyDescent="0.3">
      <c r="A17" s="13"/>
      <c r="B17" s="96" t="s">
        <v>27</v>
      </c>
      <c r="C17" s="13"/>
      <c r="D17" s="25">
        <f>D16/D9</f>
        <v>81.54199835250121</v>
      </c>
      <c r="E17" s="25">
        <f t="shared" ref="E17:O17" si="3">E16/E9</f>
        <v>54.218797587855946</v>
      </c>
      <c r="F17" s="25">
        <f t="shared" si="3"/>
        <v>39.28953929352086</v>
      </c>
      <c r="G17" s="25">
        <f t="shared" si="3"/>
        <v>25.272700075963897</v>
      </c>
      <c r="H17" s="25">
        <f t="shared" si="3"/>
        <v>12.402740717973291</v>
      </c>
      <c r="I17" s="25">
        <f t="shared" si="3"/>
        <v>5.8459322860597043</v>
      </c>
      <c r="J17" s="25">
        <f t="shared" si="3"/>
        <v>5.5918676573720489</v>
      </c>
      <c r="K17" s="25">
        <f t="shared" si="3"/>
        <v>5.7962385922241042</v>
      </c>
      <c r="L17" s="25">
        <f t="shared" si="3"/>
        <v>7.9586131374348756</v>
      </c>
      <c r="M17" s="25">
        <f t="shared" si="3"/>
        <v>22.307172402707049</v>
      </c>
      <c r="N17" s="25">
        <f t="shared" si="3"/>
        <v>39.444470171548794</v>
      </c>
      <c r="O17" s="25">
        <f t="shared" si="3"/>
        <v>63.895844815823409</v>
      </c>
      <c r="P17" s="90">
        <f>P16/P9</f>
        <v>58.328362144547242</v>
      </c>
      <c r="Q17" s="90">
        <f>Q16/Q9</f>
        <v>14.501266637433185</v>
      </c>
      <c r="R17" s="90">
        <f>R16/R9</f>
        <v>6.4510559964836078</v>
      </c>
      <c r="S17" s="90">
        <f>S16/S9</f>
        <v>41.927661277483892</v>
      </c>
      <c r="T17" s="90">
        <f>T16/T9</f>
        <v>30.311616171142823</v>
      </c>
    </row>
    <row r="18" spans="1:20" x14ac:dyDescent="0.3">
      <c r="A18" s="13">
        <v>7</v>
      </c>
      <c r="B18" s="5" t="s">
        <v>28</v>
      </c>
      <c r="C18" s="13" t="str">
        <f>"("&amp;A$11&amp;") - ("&amp;A16&amp;")"</f>
        <v>(3) - (6)</v>
      </c>
      <c r="D18" s="93">
        <f t="shared" ref="D18:O18" si="4">D11-D16</f>
        <v>-3137115.1809397656</v>
      </c>
      <c r="E18" s="93">
        <f t="shared" si="4"/>
        <v>-525025.81726656388</v>
      </c>
      <c r="F18" s="93">
        <f t="shared" si="4"/>
        <v>273173.9733133493</v>
      </c>
      <c r="G18" s="93">
        <f t="shared" si="4"/>
        <v>-376675.16910713911</v>
      </c>
      <c r="H18" s="93">
        <f t="shared" si="4"/>
        <v>286129.5113615389</v>
      </c>
      <c r="I18" s="93">
        <f t="shared" si="4"/>
        <v>451057.65388280363</v>
      </c>
      <c r="J18" s="93">
        <f t="shared" si="4"/>
        <v>78373.490195862018</v>
      </c>
      <c r="K18" s="93">
        <f t="shared" si="4"/>
        <v>24745.762794687063</v>
      </c>
      <c r="L18" s="93">
        <f t="shared" si="4"/>
        <v>-4571.9697347071487</v>
      </c>
      <c r="M18" s="93">
        <f>M11-M16</f>
        <v>458455.8929178128</v>
      </c>
      <c r="N18" s="93">
        <f t="shared" si="4"/>
        <v>630138.63580854144</v>
      </c>
      <c r="O18" s="93">
        <f t="shared" si="4"/>
        <v>-113053.78023458272</v>
      </c>
      <c r="P18" s="15">
        <f>SUM(D18:F18)</f>
        <v>-3388967.0248929802</v>
      </c>
      <c r="Q18" s="15">
        <f>SUM(G18:I18)</f>
        <v>360511.99613720342</v>
      </c>
      <c r="R18" s="15">
        <f>SUM(J18:L18)</f>
        <v>98547.283255841932</v>
      </c>
      <c r="S18" s="15">
        <f>SUM(M18:O18)</f>
        <v>975540.74849177152</v>
      </c>
      <c r="T18" s="15">
        <f>SUM(D18:O18)</f>
        <v>-1954366.9970081635</v>
      </c>
    </row>
    <row r="19" spans="1:20" x14ac:dyDescent="0.3">
      <c r="A19" s="13">
        <v>8</v>
      </c>
      <c r="B19" s="5" t="s">
        <v>29</v>
      </c>
      <c r="C19" s="13" t="s">
        <v>30</v>
      </c>
      <c r="D19" s="94">
        <f>D18*-0.045668</f>
        <v>143265.77608315722</v>
      </c>
      <c r="E19" s="94">
        <f>E18*-0.045668</f>
        <v>23976.879022929439</v>
      </c>
      <c r="F19" s="94">
        <f t="shared" ref="F19:O19" si="5">F18*-0.045668</f>
        <v>-12475.309013274036</v>
      </c>
      <c r="G19" s="94">
        <f t="shared" si="5"/>
        <v>17202.001622784828</v>
      </c>
      <c r="H19" s="94">
        <f t="shared" si="5"/>
        <v>-13066.962524858758</v>
      </c>
      <c r="I19" s="94">
        <f t="shared" si="5"/>
        <v>-20598.900937519877</v>
      </c>
      <c r="J19" s="94">
        <f t="shared" si="5"/>
        <v>-3579.1605502646266</v>
      </c>
      <c r="K19" s="94">
        <f t="shared" si="5"/>
        <v>-1130.0894953077689</v>
      </c>
      <c r="L19" s="94">
        <f t="shared" si="5"/>
        <v>208.79271384460608</v>
      </c>
      <c r="M19" s="94">
        <f t="shared" si="5"/>
        <v>-20936.763717770675</v>
      </c>
      <c r="N19" s="94">
        <f t="shared" si="5"/>
        <v>-28777.171220104472</v>
      </c>
      <c r="O19" s="94">
        <f t="shared" si="5"/>
        <v>5162.9400357529239</v>
      </c>
      <c r="P19" s="15">
        <f>SUM(D19:F19)</f>
        <v>154767.34609281263</v>
      </c>
      <c r="Q19" s="15">
        <f>SUM(G19:I19)</f>
        <v>-16463.861839593807</v>
      </c>
      <c r="R19" s="15">
        <f>SUM(J19:L19)</f>
        <v>-4500.45733172779</v>
      </c>
      <c r="S19" s="15">
        <f>SUM(M19:O19)</f>
        <v>-44550.994902122227</v>
      </c>
      <c r="T19" s="15">
        <f>SUM(D19:O19)</f>
        <v>89252.032019368795</v>
      </c>
    </row>
    <row r="20" spans="1:20" x14ac:dyDescent="0.3">
      <c r="A20" s="13"/>
      <c r="B20" s="5"/>
      <c r="C20" s="19" t="s">
        <v>31</v>
      </c>
      <c r="D20" s="95">
        <v>3.5000000000000003E-2</v>
      </c>
      <c r="E20" s="95">
        <f t="shared" ref="E20:I20" si="6">D20</f>
        <v>3.5000000000000003E-2</v>
      </c>
      <c r="F20" s="95">
        <f>E20</f>
        <v>3.5000000000000003E-2</v>
      </c>
      <c r="G20" s="95">
        <v>3.7100000000000001E-2</v>
      </c>
      <c r="H20" s="95">
        <f t="shared" si="6"/>
        <v>3.7100000000000001E-2</v>
      </c>
      <c r="I20" s="95">
        <f t="shared" si="6"/>
        <v>3.7100000000000001E-2</v>
      </c>
      <c r="J20" s="95">
        <v>3.9600000000000003E-2</v>
      </c>
      <c r="K20" s="95">
        <f t="shared" ref="K20:O20" si="7">J20</f>
        <v>3.9600000000000003E-2</v>
      </c>
      <c r="L20" s="95">
        <f t="shared" si="7"/>
        <v>3.9600000000000003E-2</v>
      </c>
      <c r="M20" s="95">
        <v>4.2099999999999999E-2</v>
      </c>
      <c r="N20" s="95">
        <f t="shared" si="7"/>
        <v>4.2099999999999999E-2</v>
      </c>
      <c r="O20" s="95">
        <f t="shared" si="7"/>
        <v>4.2099999999999999E-2</v>
      </c>
      <c r="P20" s="20"/>
      <c r="Q20" s="20"/>
      <c r="R20" s="20"/>
      <c r="S20" s="20"/>
      <c r="T20" s="20"/>
    </row>
    <row r="21" spans="1:20" x14ac:dyDescent="0.3">
      <c r="A21" s="13">
        <v>9</v>
      </c>
      <c r="B21" s="5" t="s">
        <v>32</v>
      </c>
      <c r="C21" s="19" t="s">
        <v>33</v>
      </c>
      <c r="D21" s="21">
        <f>(D18+D19)/2*D20/12</f>
        <v>-4366.0303820825538</v>
      </c>
      <c r="E21" s="21">
        <f>(D23+(E18+E19)/2)*E20/12</f>
        <v>-9475.491387718148</v>
      </c>
      <c r="F21" s="21">
        <f t="shared" ref="F21:O21" si="8">(E23+(F18+F19)/2)*F20/12</f>
        <v>-9853.6390537666848</v>
      </c>
      <c r="G21" s="21">
        <f t="shared" si="8"/>
        <v>-10628.010483906279</v>
      </c>
      <c r="H21" s="21">
        <f t="shared" si="8"/>
        <v>-10794.445164311885</v>
      </c>
      <c r="I21" s="21">
        <f t="shared" si="8"/>
        <v>-9740.2913116069285</v>
      </c>
      <c r="J21" s="21">
        <f t="shared" si="8"/>
        <v>-9595.1205486283998</v>
      </c>
      <c r="K21" s="21">
        <f t="shared" si="8"/>
        <v>-9464.4079415796605</v>
      </c>
      <c r="L21" s="21">
        <f t="shared" si="8"/>
        <v>-9463.8738689273232</v>
      </c>
      <c r="M21" s="21">
        <f t="shared" si="8"/>
        <v>-9334.7153449576672</v>
      </c>
      <c r="N21" s="21">
        <f t="shared" si="8"/>
        <v>-7545.0949296889366</v>
      </c>
      <c r="O21" s="21">
        <f t="shared" si="8"/>
        <v>-6705.9359174504925</v>
      </c>
      <c r="P21" s="15">
        <f>SUM(D21:F21)</f>
        <v>-23695.160823567385</v>
      </c>
      <c r="Q21" s="15">
        <f>SUM(G21:I21)</f>
        <v>-31162.746959825094</v>
      </c>
      <c r="R21" s="15">
        <f>SUM(J21:L21)</f>
        <v>-28523.402359135383</v>
      </c>
      <c r="S21" s="15">
        <f>SUM(M21:O21)</f>
        <v>-23585.746192097096</v>
      </c>
      <c r="T21" s="21">
        <f>SUM(D21:O21)</f>
        <v>-106967.05633462495</v>
      </c>
    </row>
    <row r="22" spans="1:20" ht="15" thickBot="1" x14ac:dyDescent="0.35">
      <c r="A22" s="13"/>
      <c r="B22" s="22" t="s">
        <v>34</v>
      </c>
      <c r="C22" s="13"/>
      <c r="D22" s="26">
        <f>D18+D19+D21</f>
        <v>-2998215.4352386906</v>
      </c>
      <c r="E22" s="26">
        <f t="shared" ref="E22:O22" si="9">E18+E19+E21</f>
        <v>-510524.42963135254</v>
      </c>
      <c r="F22" s="26">
        <f t="shared" si="9"/>
        <v>250845.02524630859</v>
      </c>
      <c r="G22" s="26">
        <f t="shared" si="9"/>
        <v>-370101.17796826054</v>
      </c>
      <c r="H22" s="26">
        <f t="shared" si="9"/>
        <v>262268.10367236822</v>
      </c>
      <c r="I22" s="26">
        <f t="shared" si="9"/>
        <v>420718.46163367684</v>
      </c>
      <c r="J22" s="26">
        <f t="shared" si="9"/>
        <v>65199.209096968989</v>
      </c>
      <c r="K22" s="26">
        <f t="shared" si="9"/>
        <v>14151.265357799633</v>
      </c>
      <c r="L22" s="26">
        <f t="shared" si="9"/>
        <v>-13827.050889789865</v>
      </c>
      <c r="M22" s="26">
        <f t="shared" si="9"/>
        <v>428184.41385508445</v>
      </c>
      <c r="N22" s="26">
        <f t="shared" si="9"/>
        <v>593816.36965874804</v>
      </c>
      <c r="O22" s="26">
        <f t="shared" si="9"/>
        <v>-114596.77611628029</v>
      </c>
      <c r="P22" s="23">
        <f>P18+P19+P21</f>
        <v>-3257894.8396237348</v>
      </c>
      <c r="Q22" s="23">
        <f>Q18+Q19+Q21</f>
        <v>312885.38733778452</v>
      </c>
      <c r="R22" s="23">
        <f>R18+R19+R21</f>
        <v>65523.423564978766</v>
      </c>
      <c r="S22" s="23">
        <f>S18+S19+S21</f>
        <v>907404.00739755225</v>
      </c>
      <c r="T22" s="23">
        <f>T18+T19+T21</f>
        <v>-1972082.0213234196</v>
      </c>
    </row>
    <row r="23" spans="1:20" ht="33" customHeight="1" thickBot="1" x14ac:dyDescent="0.35">
      <c r="A23" s="119">
        <v>10</v>
      </c>
      <c r="B23" s="120" t="s">
        <v>103</v>
      </c>
      <c r="C23" s="119" t="str">
        <f>"Σ(("&amp;A$18&amp;") ~ ("&amp;A21&amp;"))"</f>
        <v>Σ((7) ~ (9))</v>
      </c>
      <c r="D23" s="121">
        <f>D18+D19+D21</f>
        <v>-2998215.4352386906</v>
      </c>
      <c r="E23" s="121">
        <f>D23+E18+E19+E21</f>
        <v>-3508739.8648700435</v>
      </c>
      <c r="F23" s="121">
        <f t="shared" ref="F23:N23" si="10">E23+F18+F19+F21</f>
        <v>-3257894.8396237348</v>
      </c>
      <c r="G23" s="121">
        <f t="shared" si="10"/>
        <v>-3627996.0175919952</v>
      </c>
      <c r="H23" s="121">
        <f t="shared" si="10"/>
        <v>-3365727.9139196267</v>
      </c>
      <c r="I23" s="121">
        <f t="shared" si="10"/>
        <v>-2945009.4522859501</v>
      </c>
      <c r="J23" s="121">
        <f t="shared" si="10"/>
        <v>-2879810.243188981</v>
      </c>
      <c r="K23" s="121">
        <f t="shared" si="10"/>
        <v>-2865658.9778311816</v>
      </c>
      <c r="L23" s="121">
        <f t="shared" si="10"/>
        <v>-2879486.0287209717</v>
      </c>
      <c r="M23" s="121">
        <f t="shared" si="10"/>
        <v>-2451301.614865887</v>
      </c>
      <c r="N23" s="121">
        <f t="shared" si="10"/>
        <v>-1857485.2452071388</v>
      </c>
      <c r="O23" s="122">
        <f>N23+O18+O19+O21</f>
        <v>-1972082.0213234192</v>
      </c>
      <c r="P23" s="121"/>
      <c r="Q23" s="121"/>
      <c r="R23" s="121"/>
      <c r="S23" s="121"/>
      <c r="T23" s="124"/>
    </row>
    <row r="24" spans="1:20" x14ac:dyDescent="0.3">
      <c r="A24" s="13"/>
      <c r="B24" s="5"/>
      <c r="C24" s="13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5"/>
      <c r="Q24" s="15"/>
      <c r="R24" s="15"/>
      <c r="S24" s="15"/>
      <c r="T24" s="4"/>
    </row>
    <row r="25" spans="1:20" x14ac:dyDescent="0.3">
      <c r="A25" s="13"/>
      <c r="B25" s="6" t="s">
        <v>35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5"/>
      <c r="Q25" s="15"/>
      <c r="R25" s="15"/>
      <c r="S25" s="15"/>
      <c r="T25" s="15"/>
    </row>
    <row r="26" spans="1:20" x14ac:dyDescent="0.3">
      <c r="A26" s="13">
        <v>11</v>
      </c>
      <c r="B26" s="5" t="s">
        <v>21</v>
      </c>
      <c r="C26" s="13" t="s">
        <v>22</v>
      </c>
      <c r="D26" s="85">
        <v>2866</v>
      </c>
      <c r="E26" s="85">
        <v>2902</v>
      </c>
      <c r="F26" s="85">
        <v>2916</v>
      </c>
      <c r="G26" s="85">
        <v>2906</v>
      </c>
      <c r="H26" s="85">
        <v>2896</v>
      </c>
      <c r="I26" s="85">
        <v>2946</v>
      </c>
      <c r="J26" s="85">
        <v>2913</v>
      </c>
      <c r="K26" s="85">
        <v>2937</v>
      </c>
      <c r="L26" s="85">
        <v>2920</v>
      </c>
      <c r="M26" s="85">
        <v>2927</v>
      </c>
      <c r="N26" s="85">
        <v>2936</v>
      </c>
      <c r="O26" s="85">
        <v>2948</v>
      </c>
      <c r="P26" s="14">
        <f>SUM(D26:F26)</f>
        <v>8684</v>
      </c>
      <c r="Q26" s="14">
        <f>SUM(G26:I26)</f>
        <v>8748</v>
      </c>
      <c r="R26" s="14">
        <f>SUM(J26:L26)</f>
        <v>8770</v>
      </c>
      <c r="S26" s="14">
        <f>SUM(M26:O26)</f>
        <v>8811</v>
      </c>
      <c r="T26" s="14">
        <f>SUM(D26:O26)</f>
        <v>35013</v>
      </c>
    </row>
    <row r="27" spans="1:20" ht="27" x14ac:dyDescent="0.3">
      <c r="A27" s="86">
        <v>12</v>
      </c>
      <c r="B27" s="87" t="s">
        <v>23</v>
      </c>
      <c r="C27" s="88" t="s">
        <v>100</v>
      </c>
      <c r="D27" s="89">
        <v>753.64912048196356</v>
      </c>
      <c r="E27" s="89">
        <v>633.97166971988349</v>
      </c>
      <c r="F27" s="89">
        <v>560.24514123304027</v>
      </c>
      <c r="G27" s="89">
        <v>374.05059994815878</v>
      </c>
      <c r="H27" s="89">
        <v>292.93939800419764</v>
      </c>
      <c r="I27" s="89">
        <v>222.77670672231574</v>
      </c>
      <c r="J27" s="89">
        <v>168.5764467696693</v>
      </c>
      <c r="K27" s="89">
        <v>165.54758518193424</v>
      </c>
      <c r="L27" s="89">
        <v>202.0360835406639</v>
      </c>
      <c r="M27" s="89">
        <v>414.48355558896066</v>
      </c>
      <c r="N27" s="89">
        <v>584.57214026046665</v>
      </c>
      <c r="O27" s="89">
        <v>759.99155254874597</v>
      </c>
      <c r="P27" s="90">
        <f>P28/P26</f>
        <v>648.71245931183273</v>
      </c>
      <c r="Q27" s="90">
        <f>Q28/Q26</f>
        <v>296.25556905274897</v>
      </c>
      <c r="R27" s="90">
        <f>R28/R26</f>
        <v>178.70260103285361</v>
      </c>
      <c r="S27" s="90">
        <f>S28/S26</f>
        <v>586.76112449521293</v>
      </c>
      <c r="T27" s="90">
        <f>T28/T26</f>
        <v>427.3337558541927</v>
      </c>
    </row>
    <row r="28" spans="1:20" x14ac:dyDescent="0.3">
      <c r="A28" s="13">
        <v>13</v>
      </c>
      <c r="B28" s="5" t="s">
        <v>24</v>
      </c>
      <c r="C28" s="13" t="str">
        <f>"("&amp;A26&amp;") x ("&amp;A27&amp;")"</f>
        <v>(11) x (12)</v>
      </c>
      <c r="D28" s="15">
        <f t="shared" ref="D28:O28" si="11">D26*D27</f>
        <v>2159958.3793013077</v>
      </c>
      <c r="E28" s="15">
        <f t="shared" si="11"/>
        <v>1839785.785527102</v>
      </c>
      <c r="F28" s="15">
        <f t="shared" si="11"/>
        <v>1633674.8318355454</v>
      </c>
      <c r="G28" s="15">
        <f t="shared" si="11"/>
        <v>1086991.0434493495</v>
      </c>
      <c r="H28" s="15">
        <f t="shared" si="11"/>
        <v>848352.49662015634</v>
      </c>
      <c r="I28" s="15">
        <f t="shared" si="11"/>
        <v>656300.17800394213</v>
      </c>
      <c r="J28" s="15">
        <f t="shared" si="11"/>
        <v>491063.18944004667</v>
      </c>
      <c r="K28" s="15">
        <f t="shared" si="11"/>
        <v>486213.25767934084</v>
      </c>
      <c r="L28" s="15">
        <f t="shared" si="11"/>
        <v>589945.36393873859</v>
      </c>
      <c r="M28" s="15">
        <f t="shared" si="11"/>
        <v>1213193.3672088878</v>
      </c>
      <c r="N28" s="15">
        <f t="shared" si="11"/>
        <v>1716303.8038047301</v>
      </c>
      <c r="O28" s="15">
        <f t="shared" si="11"/>
        <v>2240455.0969137033</v>
      </c>
      <c r="P28" s="15">
        <f>SUM(D28:F28)</f>
        <v>5633418.996663955</v>
      </c>
      <c r="Q28" s="15">
        <f>SUM(G28:I28)</f>
        <v>2591643.7180734482</v>
      </c>
      <c r="R28" s="15">
        <f>SUM(J28:L28)</f>
        <v>1567221.8110581262</v>
      </c>
      <c r="S28" s="15">
        <f>SUM(M28:O28)</f>
        <v>5169952.2679273207</v>
      </c>
      <c r="T28" s="15">
        <f>SUM(D28:O28)</f>
        <v>14962236.793722849</v>
      </c>
    </row>
    <row r="29" spans="1:20" x14ac:dyDescent="0.3">
      <c r="A29" s="13"/>
      <c r="B29" s="5"/>
      <c r="C29" s="13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6"/>
      <c r="Q29" s="16"/>
      <c r="R29" s="16"/>
      <c r="S29" s="16"/>
      <c r="T29" s="16"/>
    </row>
    <row r="30" spans="1:20" x14ac:dyDescent="0.3">
      <c r="A30" s="13"/>
      <c r="B30" s="5" t="s">
        <v>101</v>
      </c>
      <c r="C30" s="13"/>
      <c r="D30" s="85">
        <v>9022828</v>
      </c>
      <c r="E30" s="85">
        <v>7657412.1239999998</v>
      </c>
      <c r="F30" s="85">
        <v>5938084</v>
      </c>
      <c r="G30" s="85">
        <v>4309520</v>
      </c>
      <c r="H30" s="85">
        <v>2727619.71</v>
      </c>
      <c r="I30" s="85">
        <v>2167430.5829999996</v>
      </c>
      <c r="J30" s="85">
        <v>1721383</v>
      </c>
      <c r="K30" s="85">
        <v>1755659.7629999998</v>
      </c>
      <c r="L30" s="85">
        <v>2513871.449</v>
      </c>
      <c r="M30" s="85">
        <v>3878272</v>
      </c>
      <c r="N30" s="85">
        <v>5784095.6610000003</v>
      </c>
      <c r="O30" s="85">
        <v>8208132.0184899997</v>
      </c>
      <c r="P30" s="16"/>
      <c r="Q30" s="16"/>
      <c r="R30" s="16"/>
      <c r="S30" s="16"/>
      <c r="T30" s="16"/>
    </row>
    <row r="31" spans="1:20" ht="27" x14ac:dyDescent="0.3">
      <c r="A31" s="13">
        <v>14</v>
      </c>
      <c r="B31" s="91" t="s">
        <v>102</v>
      </c>
      <c r="C31" s="13" t="s">
        <v>22</v>
      </c>
      <c r="D31" s="92">
        <v>2687108.7815199997</v>
      </c>
      <c r="E31" s="92">
        <v>2288756.8529699999</v>
      </c>
      <c r="F31" s="92">
        <v>1839235.89255</v>
      </c>
      <c r="G31" s="92">
        <v>1400402.15848</v>
      </c>
      <c r="H31" s="92">
        <v>968526.63595999987</v>
      </c>
      <c r="I31" s="92">
        <v>804792.16061000002</v>
      </c>
      <c r="J31" s="92">
        <v>687977.32058000006</v>
      </c>
      <c r="K31" s="92">
        <v>700179.61073000007</v>
      </c>
      <c r="L31" s="92">
        <v>887558.38398000004</v>
      </c>
      <c r="M31" s="92">
        <v>1254375.6238100003</v>
      </c>
      <c r="N31" s="92">
        <v>1801575.81538</v>
      </c>
      <c r="O31" s="92">
        <v>2405751.9009499997</v>
      </c>
      <c r="P31" s="18"/>
      <c r="Q31" s="18"/>
      <c r="R31" s="18"/>
      <c r="S31" s="18"/>
      <c r="T31" s="18"/>
    </row>
    <row r="32" spans="1:20" x14ac:dyDescent="0.3">
      <c r="A32" s="13">
        <v>15</v>
      </c>
      <c r="B32" s="5" t="s">
        <v>25</v>
      </c>
      <c r="C32" s="13" t="s">
        <v>22</v>
      </c>
      <c r="D32" s="92">
        <v>319691.34000000003</v>
      </c>
      <c r="E32" s="92">
        <v>298236.61</v>
      </c>
      <c r="F32" s="92">
        <v>299449.18000000005</v>
      </c>
      <c r="G32" s="92">
        <v>298623.51</v>
      </c>
      <c r="H32" s="92">
        <v>298968.03999999998</v>
      </c>
      <c r="I32" s="92">
        <v>304063.46000000002</v>
      </c>
      <c r="J32" s="92">
        <v>299901.18999999994</v>
      </c>
      <c r="K32" s="92">
        <v>302515.36000000004</v>
      </c>
      <c r="L32" s="92">
        <v>300448.04000000004</v>
      </c>
      <c r="M32" s="92">
        <v>300604.63</v>
      </c>
      <c r="N32" s="92">
        <v>332404</v>
      </c>
      <c r="O32" s="92">
        <v>284936.26</v>
      </c>
      <c r="P32" s="18"/>
      <c r="Q32" s="18"/>
      <c r="R32" s="18"/>
      <c r="S32" s="18"/>
      <c r="T32" s="18"/>
    </row>
    <row r="33" spans="1:20" x14ac:dyDescent="0.3">
      <c r="A33" s="13">
        <v>16</v>
      </c>
      <c r="B33" s="5" t="s">
        <v>26</v>
      </c>
      <c r="C33" s="13" t="str">
        <f>"("&amp;A31&amp;") - ("&amp;A32&amp;")"</f>
        <v>(14) - (15)</v>
      </c>
      <c r="D33" s="15">
        <f t="shared" ref="D33:O33" si="12">D31-D32</f>
        <v>2367417.4415199999</v>
      </c>
      <c r="E33" s="15">
        <f t="shared" si="12"/>
        <v>1990520.24297</v>
      </c>
      <c r="F33" s="15">
        <f t="shared" si="12"/>
        <v>1539786.7125499998</v>
      </c>
      <c r="G33" s="15">
        <f t="shared" si="12"/>
        <v>1101778.64848</v>
      </c>
      <c r="H33" s="15">
        <f t="shared" si="12"/>
        <v>669558.59595999983</v>
      </c>
      <c r="I33" s="15">
        <f t="shared" si="12"/>
        <v>500728.70061</v>
      </c>
      <c r="J33" s="15">
        <f t="shared" si="12"/>
        <v>388076.13058000011</v>
      </c>
      <c r="K33" s="15">
        <f t="shared" si="12"/>
        <v>397664.25073000003</v>
      </c>
      <c r="L33" s="15">
        <f t="shared" si="12"/>
        <v>587110.34398000001</v>
      </c>
      <c r="M33" s="15">
        <f t="shared" si="12"/>
        <v>953770.99381000025</v>
      </c>
      <c r="N33" s="15">
        <f t="shared" si="12"/>
        <v>1469171.81538</v>
      </c>
      <c r="O33" s="15">
        <f t="shared" si="12"/>
        <v>2120815.6409499999</v>
      </c>
      <c r="P33" s="15">
        <f>SUM(D33:F33)</f>
        <v>5897724.3970400002</v>
      </c>
      <c r="Q33" s="15">
        <f>SUM(G33:I33)</f>
        <v>2272065.9450499997</v>
      </c>
      <c r="R33" s="15">
        <f>SUM(J33:L33)</f>
        <v>1372850.72529</v>
      </c>
      <c r="S33" s="15">
        <f>SUM(M33:O33)</f>
        <v>4543758.4501400003</v>
      </c>
      <c r="T33" s="15">
        <f>SUM(D33:O33)</f>
        <v>14086399.517519999</v>
      </c>
    </row>
    <row r="34" spans="1:20" ht="27" x14ac:dyDescent="0.3">
      <c r="A34" s="17"/>
      <c r="B34" s="96" t="s">
        <v>36</v>
      </c>
      <c r="C34" s="13"/>
      <c r="D34" s="90">
        <f>D33/D26</f>
        <v>826.03539480809491</v>
      </c>
      <c r="E34" s="90">
        <f t="shared" ref="E34:O34" si="13">E33/E26</f>
        <v>685.91324706064779</v>
      </c>
      <c r="F34" s="90">
        <f t="shared" si="13"/>
        <v>528.04756946159114</v>
      </c>
      <c r="G34" s="90">
        <f t="shared" si="13"/>
        <v>379.1392458637302</v>
      </c>
      <c r="H34" s="90">
        <f t="shared" si="13"/>
        <v>231.20117263812148</v>
      </c>
      <c r="I34" s="90">
        <f t="shared" si="13"/>
        <v>169.96900903258657</v>
      </c>
      <c r="J34" s="90">
        <f t="shared" si="13"/>
        <v>133.22215261929287</v>
      </c>
      <c r="K34" s="90">
        <f t="shared" si="13"/>
        <v>135.39811056520259</v>
      </c>
      <c r="L34" s="90">
        <f t="shared" si="13"/>
        <v>201.06518629452054</v>
      </c>
      <c r="M34" s="90">
        <f t="shared" si="13"/>
        <v>325.85274814144185</v>
      </c>
      <c r="N34" s="90">
        <f t="shared" si="13"/>
        <v>500.39911967983653</v>
      </c>
      <c r="O34" s="90">
        <f t="shared" si="13"/>
        <v>719.40829068860239</v>
      </c>
      <c r="P34" s="90">
        <f>P33/P26</f>
        <v>679.14836446798711</v>
      </c>
      <c r="Q34" s="90">
        <f>Q33/Q26</f>
        <v>259.72404493026977</v>
      </c>
      <c r="R34" s="90">
        <f>R33/R26</f>
        <v>156.53942135575826</v>
      </c>
      <c r="S34" s="90">
        <f>S33/S26</f>
        <v>515.69157304959708</v>
      </c>
      <c r="T34" s="90">
        <f>T33/T26</f>
        <v>402.31912482563615</v>
      </c>
    </row>
    <row r="35" spans="1:20" x14ac:dyDescent="0.3">
      <c r="A35" s="13">
        <v>17</v>
      </c>
      <c r="B35" s="5" t="s">
        <v>28</v>
      </c>
      <c r="C35" s="13" t="str">
        <f>"("&amp;A28&amp;") - ("&amp;A33&amp;")"</f>
        <v>(13) - (16)</v>
      </c>
      <c r="D35" s="94">
        <f t="shared" ref="D35:O35" si="14">D28-D33</f>
        <v>-207459.06221869215</v>
      </c>
      <c r="E35" s="94">
        <f t="shared" si="14"/>
        <v>-150734.45744289807</v>
      </c>
      <c r="F35" s="94">
        <f t="shared" si="14"/>
        <v>93888.119285545545</v>
      </c>
      <c r="G35" s="94">
        <f t="shared" si="14"/>
        <v>-14787.605030650506</v>
      </c>
      <c r="H35" s="94">
        <f t="shared" si="14"/>
        <v>178793.90066015651</v>
      </c>
      <c r="I35" s="94">
        <f t="shared" si="14"/>
        <v>155571.47739394213</v>
      </c>
      <c r="J35" s="94">
        <f t="shared" si="14"/>
        <v>102987.05886004656</v>
      </c>
      <c r="K35" s="94">
        <f t="shared" si="14"/>
        <v>88549.006949340808</v>
      </c>
      <c r="L35" s="94">
        <f t="shared" si="14"/>
        <v>2835.0199587385869</v>
      </c>
      <c r="M35" s="94">
        <f t="shared" si="14"/>
        <v>259422.37339888758</v>
      </c>
      <c r="N35" s="94">
        <f t="shared" si="14"/>
        <v>247131.98842473002</v>
      </c>
      <c r="O35" s="94">
        <f t="shared" si="14"/>
        <v>119639.45596370334</v>
      </c>
      <c r="P35" s="15">
        <f>SUM(D35:F35)</f>
        <v>-264305.40037604468</v>
      </c>
      <c r="Q35" s="15">
        <f>SUM(G35:I35)</f>
        <v>319577.77302344813</v>
      </c>
      <c r="R35" s="15">
        <f>SUM(J35:L35)</f>
        <v>194371.08576812595</v>
      </c>
      <c r="S35" s="15">
        <f>SUM(M35:O35)</f>
        <v>626193.81778732094</v>
      </c>
      <c r="T35" s="15">
        <f>SUM(D35:O35)</f>
        <v>875837.27620285028</v>
      </c>
    </row>
    <row r="36" spans="1:20" x14ac:dyDescent="0.3">
      <c r="A36" s="13">
        <v>18</v>
      </c>
      <c r="B36" s="5" t="s">
        <v>29</v>
      </c>
      <c r="C36" s="13" t="s">
        <v>30</v>
      </c>
      <c r="D36" s="94">
        <f>D35*-0.045668</f>
        <v>9474.2404534032339</v>
      </c>
      <c r="E36" s="94">
        <f>E35*-0.045668</f>
        <v>6883.7412025022695</v>
      </c>
      <c r="F36" s="94">
        <f t="shared" ref="F36:O36" si="15">F35*-0.045668</f>
        <v>-4287.6826315322942</v>
      </c>
      <c r="G36" s="94">
        <f t="shared" si="15"/>
        <v>675.32034653974733</v>
      </c>
      <c r="H36" s="94">
        <f t="shared" si="15"/>
        <v>-8165.1598553480271</v>
      </c>
      <c r="I36" s="94">
        <f t="shared" si="15"/>
        <v>-7104.6382296265492</v>
      </c>
      <c r="J36" s="94">
        <f t="shared" si="15"/>
        <v>-4703.2130040206066</v>
      </c>
      <c r="K36" s="94">
        <f t="shared" si="15"/>
        <v>-4043.8560493624959</v>
      </c>
      <c r="L36" s="94">
        <f t="shared" si="15"/>
        <v>-129.46969147567378</v>
      </c>
      <c r="M36" s="94">
        <f t="shared" si="15"/>
        <v>-11847.300948380398</v>
      </c>
      <c r="N36" s="94">
        <f t="shared" si="15"/>
        <v>-11286.023647380571</v>
      </c>
      <c r="O36" s="94">
        <f t="shared" si="15"/>
        <v>-5463.6946749504041</v>
      </c>
      <c r="P36" s="15">
        <f>SUM(D36:F36)</f>
        <v>12070.299024373209</v>
      </c>
      <c r="Q36" s="15">
        <f>SUM(G36:I36)</f>
        <v>-14594.477738434829</v>
      </c>
      <c r="R36" s="15">
        <f>SUM(J36:L36)</f>
        <v>-8876.5387448587753</v>
      </c>
      <c r="S36" s="15">
        <f>SUM(M36:O36)</f>
        <v>-28597.019270711375</v>
      </c>
      <c r="T36" s="15">
        <f>SUM(D36:O36)</f>
        <v>-39997.736729631768</v>
      </c>
    </row>
    <row r="37" spans="1:20" x14ac:dyDescent="0.3">
      <c r="A37" s="19"/>
      <c r="B37" s="97"/>
      <c r="C37" s="13" t="s">
        <v>31</v>
      </c>
      <c r="D37" s="95">
        <f t="shared" ref="D37:O37" si="16">D20</f>
        <v>3.5000000000000003E-2</v>
      </c>
      <c r="E37" s="95">
        <f t="shared" si="16"/>
        <v>3.5000000000000003E-2</v>
      </c>
      <c r="F37" s="95">
        <f t="shared" si="16"/>
        <v>3.5000000000000003E-2</v>
      </c>
      <c r="G37" s="95">
        <f t="shared" si="16"/>
        <v>3.7100000000000001E-2</v>
      </c>
      <c r="H37" s="95">
        <f t="shared" si="16"/>
        <v>3.7100000000000001E-2</v>
      </c>
      <c r="I37" s="95">
        <f t="shared" si="16"/>
        <v>3.7100000000000001E-2</v>
      </c>
      <c r="J37" s="95">
        <f t="shared" si="16"/>
        <v>3.9600000000000003E-2</v>
      </c>
      <c r="K37" s="95">
        <f t="shared" si="16"/>
        <v>3.9600000000000003E-2</v>
      </c>
      <c r="L37" s="95">
        <f t="shared" si="16"/>
        <v>3.9600000000000003E-2</v>
      </c>
      <c r="M37" s="95">
        <f t="shared" si="16"/>
        <v>4.2099999999999999E-2</v>
      </c>
      <c r="N37" s="95">
        <f t="shared" si="16"/>
        <v>4.2099999999999999E-2</v>
      </c>
      <c r="O37" s="95">
        <f t="shared" si="16"/>
        <v>4.2099999999999999E-2</v>
      </c>
      <c r="P37" s="20"/>
      <c r="Q37" s="20"/>
      <c r="R37" s="20"/>
      <c r="S37" s="20"/>
      <c r="T37" s="20"/>
    </row>
    <row r="38" spans="1:20" x14ac:dyDescent="0.3">
      <c r="A38" s="13">
        <v>19</v>
      </c>
      <c r="B38" s="5" t="s">
        <v>32</v>
      </c>
      <c r="C38" s="13" t="s">
        <v>33</v>
      </c>
      <c r="D38" s="21">
        <f>(D35+D36)/2*D37/12</f>
        <v>-288.72786507437968</v>
      </c>
      <c r="E38" s="21">
        <f>(D40+(E35+E36)/2)*E37/12</f>
        <v>-788.08014760580352</v>
      </c>
      <c r="F38" s="21">
        <f t="shared" ref="F38:O38" si="17">(E40+(F35+F36)/2)*F37/12</f>
        <v>-869.49370576646163</v>
      </c>
      <c r="G38" s="21">
        <f t="shared" si="17"/>
        <v>-807.65941123263622</v>
      </c>
      <c r="H38" s="21">
        <f t="shared" si="17"/>
        <v>-568.20806982578529</v>
      </c>
      <c r="I38" s="21">
        <f t="shared" si="17"/>
        <v>-76.696195739392365</v>
      </c>
      <c r="J38" s="21">
        <f t="shared" si="17"/>
        <v>325.02112983816426</v>
      </c>
      <c r="K38" s="21">
        <f t="shared" si="17"/>
        <v>627.69554421403734</v>
      </c>
      <c r="L38" s="21">
        <f t="shared" si="17"/>
        <v>773.66459643589178</v>
      </c>
      <c r="M38" s="21">
        <f t="shared" si="17"/>
        <v>1264.2552573086812</v>
      </c>
      <c r="N38" s="21">
        <f t="shared" si="17"/>
        <v>2116.6917556402709</v>
      </c>
      <c r="O38" s="21">
        <f t="shared" si="17"/>
        <v>2738.1142603572644</v>
      </c>
      <c r="P38" s="15">
        <f>SUM(D38:F38)</f>
        <v>-1946.3017184466448</v>
      </c>
      <c r="Q38" s="15">
        <f>SUM(G38:I38)</f>
        <v>-1452.563676797814</v>
      </c>
      <c r="R38" s="15">
        <f>SUM(J38:L38)</f>
        <v>1726.3812704880934</v>
      </c>
      <c r="S38" s="15">
        <f>SUM(M38:O38)</f>
        <v>6119.0612733062162</v>
      </c>
      <c r="T38" s="21">
        <f>SUM(D38:O38)</f>
        <v>4446.5771485498517</v>
      </c>
    </row>
    <row r="39" spans="1:20" ht="15" thickBot="1" x14ac:dyDescent="0.35">
      <c r="A39" s="13"/>
      <c r="B39" s="22" t="s">
        <v>37</v>
      </c>
      <c r="C39" s="13"/>
      <c r="D39" s="26">
        <f>D35+D36+D38</f>
        <v>-198273.5496303633</v>
      </c>
      <c r="E39" s="26">
        <f t="shared" ref="E39:O39" si="18">E35+E36+E38</f>
        <v>-144638.79638800159</v>
      </c>
      <c r="F39" s="26">
        <f t="shared" si="18"/>
        <v>88730.942948246782</v>
      </c>
      <c r="G39" s="26">
        <f t="shared" si="18"/>
        <v>-14919.944095343395</v>
      </c>
      <c r="H39" s="26">
        <f t="shared" si="18"/>
        <v>170060.5327349827</v>
      </c>
      <c r="I39" s="26">
        <f t="shared" si="18"/>
        <v>148390.1429685762</v>
      </c>
      <c r="J39" s="26">
        <f t="shared" si="18"/>
        <v>98608.866985864108</v>
      </c>
      <c r="K39" s="26">
        <f t="shared" si="18"/>
        <v>85132.846444192342</v>
      </c>
      <c r="L39" s="26">
        <f t="shared" si="18"/>
        <v>3479.2148636988049</v>
      </c>
      <c r="M39" s="26">
        <f t="shared" si="18"/>
        <v>248839.32770781586</v>
      </c>
      <c r="N39" s="26">
        <f t="shared" si="18"/>
        <v>237962.6565329897</v>
      </c>
      <c r="O39" s="26">
        <f t="shared" si="18"/>
        <v>116913.87554911021</v>
      </c>
      <c r="P39" s="23">
        <f>P35+P36+P38</f>
        <v>-254181.40307011813</v>
      </c>
      <c r="Q39" s="23">
        <f>Q35+Q36+Q38</f>
        <v>303530.73160821549</v>
      </c>
      <c r="R39" s="23">
        <f>R35+R36+R38</f>
        <v>187220.92829375525</v>
      </c>
      <c r="S39" s="23">
        <f>S35+S36+S38</f>
        <v>603715.85978991585</v>
      </c>
      <c r="T39" s="23">
        <f>T35+T36+T38</f>
        <v>840286.11662176833</v>
      </c>
    </row>
    <row r="40" spans="1:20" ht="40.200000000000003" thickBot="1" x14ac:dyDescent="0.35">
      <c r="A40" s="119">
        <v>20</v>
      </c>
      <c r="B40" s="120" t="s">
        <v>104</v>
      </c>
      <c r="C40" s="119" t="str">
        <f>"Σ(("&amp;A35&amp;") ~ ("&amp;A38&amp;"))"</f>
        <v>Σ((17) ~ (19))</v>
      </c>
      <c r="D40" s="121">
        <f>D35+D36+D38</f>
        <v>-198273.5496303633</v>
      </c>
      <c r="E40" s="121">
        <f>D40+E35+E36+E38</f>
        <v>-342912.34601836489</v>
      </c>
      <c r="F40" s="121">
        <f t="shared" ref="F40:O40" si="19">E40+F35+F36+F38</f>
        <v>-254181.40307011807</v>
      </c>
      <c r="G40" s="121">
        <f t="shared" si="19"/>
        <v>-269101.34716546146</v>
      </c>
      <c r="H40" s="121">
        <f t="shared" si="19"/>
        <v>-99040.814430478771</v>
      </c>
      <c r="I40" s="121">
        <f t="shared" si="19"/>
        <v>49349.328538097412</v>
      </c>
      <c r="J40" s="121">
        <f t="shared" si="19"/>
        <v>147958.19552396153</v>
      </c>
      <c r="K40" s="121">
        <f t="shared" si="19"/>
        <v>233091.04196815391</v>
      </c>
      <c r="L40" s="121">
        <f t="shared" si="19"/>
        <v>236570.25683185272</v>
      </c>
      <c r="M40" s="121">
        <f t="shared" si="19"/>
        <v>485409.58453966858</v>
      </c>
      <c r="N40" s="121">
        <f t="shared" si="19"/>
        <v>723372.24107265845</v>
      </c>
      <c r="O40" s="122">
        <f t="shared" si="19"/>
        <v>840286.11662176857</v>
      </c>
      <c r="P40" s="24"/>
      <c r="Q40" s="24"/>
      <c r="R40" s="24"/>
      <c r="S40" s="24"/>
    </row>
    <row r="41" spans="1:20" ht="15" thickBot="1" x14ac:dyDescent="0.35">
      <c r="A41" s="13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98"/>
      <c r="Q41" s="98"/>
      <c r="R41" s="98"/>
      <c r="S41" s="98"/>
      <c r="T41" s="4"/>
    </row>
    <row r="42" spans="1:20" ht="27" thickBot="1" x14ac:dyDescent="0.35">
      <c r="A42" s="118">
        <v>21</v>
      </c>
      <c r="B42" s="123" t="s">
        <v>38</v>
      </c>
      <c r="C42" s="118" t="str">
        <f>"("&amp;A23&amp;") + ("&amp;A40&amp;")"</f>
        <v>(10) + (20)</v>
      </c>
      <c r="D42" s="121">
        <f t="shared" ref="D42:O42" si="20">D23+D40</f>
        <v>-3196488.9848690541</v>
      </c>
      <c r="E42" s="121">
        <f t="shared" si="20"/>
        <v>-3851652.2108884081</v>
      </c>
      <c r="F42" s="121">
        <f t="shared" si="20"/>
        <v>-3512076.2426938531</v>
      </c>
      <c r="G42" s="121">
        <f t="shared" si="20"/>
        <v>-3897097.3647574568</v>
      </c>
      <c r="H42" s="121">
        <f t="shared" si="20"/>
        <v>-3464768.7283501057</v>
      </c>
      <c r="I42" s="121">
        <f t="shared" si="20"/>
        <v>-2895660.1237478526</v>
      </c>
      <c r="J42" s="121">
        <f t="shared" si="20"/>
        <v>-2731852.0476650195</v>
      </c>
      <c r="K42" s="121">
        <f t="shared" si="20"/>
        <v>-2632567.9358630278</v>
      </c>
      <c r="L42" s="121">
        <f t="shared" si="20"/>
        <v>-2642915.7718891189</v>
      </c>
      <c r="M42" s="121">
        <f t="shared" si="20"/>
        <v>-1965892.0303262183</v>
      </c>
      <c r="N42" s="121">
        <f t="shared" si="20"/>
        <v>-1134113.0041344804</v>
      </c>
      <c r="O42" s="122">
        <f t="shared" si="20"/>
        <v>-1131795.9047016506</v>
      </c>
    </row>
  </sheetData>
  <printOptions horizontalCentered="1"/>
  <pageMargins left="0.2" right="0.2" top="0.75" bottom="0.75" header="0.5" footer="0.5"/>
  <pageSetup scale="58" orientation="landscape" r:id="rId1"/>
  <headerFooter scaleWithDoc="0">
    <oddHeader>&amp;C2017 NATURAL GAS DECOUPLING DEFERRAL CALCULATIONS</oddHeader>
    <oddFooter>&amp;CATTACHMENT B     Page 1 of 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38"/>
  <sheetViews>
    <sheetView tabSelected="1" view="pageLayout" zoomScaleNormal="100" zoomScaleSheetLayoutView="100" workbookViewId="0">
      <selection activeCell="D44" sqref="D44"/>
    </sheetView>
  </sheetViews>
  <sheetFormatPr defaultRowHeight="14.4" x14ac:dyDescent="0.3"/>
  <cols>
    <col min="1" max="1" width="4.5546875" customWidth="1"/>
    <col min="2" max="2" width="48.6640625" customWidth="1"/>
    <col min="3" max="3" width="19.44140625" customWidth="1"/>
    <col min="4" max="4" width="16.88671875" customWidth="1"/>
    <col min="5" max="5" width="19.44140625" customWidth="1"/>
    <col min="6" max="6" width="18.109375" customWidth="1"/>
    <col min="7" max="7" width="16.44140625" customWidth="1"/>
    <col min="8" max="9" width="17.33203125" customWidth="1"/>
    <col min="11" max="11" width="12.88671875" customWidth="1"/>
    <col min="12" max="12" width="13.33203125" customWidth="1"/>
    <col min="13" max="13" width="13.109375" customWidth="1"/>
  </cols>
  <sheetData>
    <row r="1" spans="1:13" ht="15.6" x14ac:dyDescent="0.3">
      <c r="A1" s="125" t="s">
        <v>0</v>
      </c>
      <c r="B1" s="125"/>
      <c r="C1" s="125"/>
      <c r="D1" s="125"/>
      <c r="E1" s="125"/>
      <c r="F1" s="125"/>
      <c r="G1" s="125"/>
      <c r="H1" s="125"/>
      <c r="I1" s="125"/>
    </row>
    <row r="2" spans="1:13" ht="15.6" x14ac:dyDescent="0.3">
      <c r="A2" s="125" t="s">
        <v>1</v>
      </c>
      <c r="B2" s="125"/>
      <c r="C2" s="125"/>
      <c r="D2" s="125"/>
      <c r="E2" s="125"/>
      <c r="F2" s="125"/>
      <c r="G2" s="125"/>
      <c r="H2" s="125"/>
      <c r="I2" s="125"/>
    </row>
    <row r="3" spans="1:13" ht="15.6" x14ac:dyDescent="0.3">
      <c r="A3" s="126" t="s">
        <v>39</v>
      </c>
      <c r="B3" s="126"/>
      <c r="C3" s="126"/>
      <c r="D3" s="126"/>
      <c r="E3" s="126"/>
      <c r="F3" s="126"/>
      <c r="G3" s="126"/>
      <c r="H3" s="126"/>
      <c r="I3" s="126"/>
    </row>
    <row r="4" spans="1:13" ht="15.6" x14ac:dyDescent="0.3">
      <c r="A4" s="27"/>
      <c r="B4" s="27"/>
      <c r="C4" s="27"/>
      <c r="D4" s="27"/>
      <c r="E4" s="27"/>
      <c r="F4" s="27"/>
      <c r="G4" s="27"/>
      <c r="H4" s="27"/>
      <c r="I4" s="28"/>
    </row>
    <row r="5" spans="1:13" ht="15.6" x14ac:dyDescent="0.3">
      <c r="A5" s="27"/>
      <c r="B5" s="27"/>
      <c r="C5" s="29" t="s">
        <v>40</v>
      </c>
      <c r="D5" s="29" t="s">
        <v>41</v>
      </c>
      <c r="E5" s="29" t="s">
        <v>42</v>
      </c>
      <c r="F5" s="29" t="s">
        <v>43</v>
      </c>
      <c r="G5" s="29" t="s">
        <v>44</v>
      </c>
      <c r="H5" s="99" t="s">
        <v>45</v>
      </c>
      <c r="I5" s="29" t="s">
        <v>45</v>
      </c>
      <c r="K5" s="29" t="s">
        <v>46</v>
      </c>
      <c r="L5" s="29" t="s">
        <v>46</v>
      </c>
      <c r="M5" s="29" t="s">
        <v>46</v>
      </c>
    </row>
    <row r="6" spans="1:13" ht="15.6" x14ac:dyDescent="0.3">
      <c r="A6" s="27"/>
      <c r="B6" s="27"/>
      <c r="C6" s="30" t="s">
        <v>47</v>
      </c>
      <c r="D6" s="30" t="s">
        <v>48</v>
      </c>
      <c r="E6" s="30" t="s">
        <v>49</v>
      </c>
      <c r="F6" s="30" t="s">
        <v>50</v>
      </c>
      <c r="G6" s="30" t="s">
        <v>51</v>
      </c>
      <c r="H6" s="100" t="s">
        <v>52</v>
      </c>
      <c r="I6" s="30" t="s">
        <v>53</v>
      </c>
      <c r="K6" s="29">
        <v>112</v>
      </c>
      <c r="L6" s="29">
        <v>122</v>
      </c>
      <c r="M6" s="29">
        <v>132</v>
      </c>
    </row>
    <row r="7" spans="1:13" ht="15.6" x14ac:dyDescent="0.3">
      <c r="A7" s="27"/>
      <c r="B7" s="27"/>
      <c r="C7" s="27"/>
      <c r="D7" s="27"/>
      <c r="E7" s="27"/>
      <c r="F7" s="27"/>
      <c r="G7" s="27"/>
      <c r="H7" s="101"/>
      <c r="I7" s="102"/>
    </row>
    <row r="8" spans="1:13" ht="15.6" x14ac:dyDescent="0.3">
      <c r="A8" s="27">
        <v>1</v>
      </c>
      <c r="B8" s="27" t="s">
        <v>105</v>
      </c>
      <c r="C8" s="31">
        <f>SUM(D8:I8)</f>
        <v>146557000</v>
      </c>
      <c r="D8" s="32">
        <v>106954000</v>
      </c>
      <c r="E8" s="32">
        <f>31478000-K8</f>
        <v>31478000</v>
      </c>
      <c r="F8" s="32">
        <f>3363000-L8</f>
        <v>2973000</v>
      </c>
      <c r="G8" s="32">
        <f>578000-M8</f>
        <v>0</v>
      </c>
      <c r="H8" s="103">
        <f>K8+L8+M8</f>
        <v>968000</v>
      </c>
      <c r="I8" s="104">
        <f>2577000+1607000</f>
        <v>4184000</v>
      </c>
      <c r="K8" s="33">
        <f>ROUND(38270/30697*K18,0)</f>
        <v>0</v>
      </c>
      <c r="L8" s="33">
        <f>ROUND(L12/5735037*3363000,-3)</f>
        <v>390000</v>
      </c>
      <c r="M8" s="33">
        <v>578000</v>
      </c>
    </row>
    <row r="9" spans="1:13" ht="15.6" x14ac:dyDescent="0.3">
      <c r="A9" s="27">
        <v>2</v>
      </c>
      <c r="B9" s="27" t="s">
        <v>106</v>
      </c>
      <c r="C9" s="31">
        <f>SUM(D9:I9)</f>
        <v>10824000</v>
      </c>
      <c r="D9" s="32">
        <v>8398000</v>
      </c>
      <c r="E9" s="32">
        <v>1867000</v>
      </c>
      <c r="F9" s="32">
        <f>173000-L9</f>
        <v>161000</v>
      </c>
      <c r="G9" s="32">
        <f>28000-M9</f>
        <v>0</v>
      </c>
      <c r="H9" s="103">
        <f>K9+L9+M9</f>
        <v>40000</v>
      </c>
      <c r="I9" s="104">
        <v>358000</v>
      </c>
      <c r="K9" s="33">
        <f>ROUND(0/30697*K18,0)</f>
        <v>0</v>
      </c>
      <c r="L9" s="33">
        <f>ROUND(173000/336*L18,-3)</f>
        <v>12000</v>
      </c>
      <c r="M9" s="33">
        <v>28000</v>
      </c>
    </row>
    <row r="10" spans="1:13" ht="15.6" x14ac:dyDescent="0.3">
      <c r="A10" s="27">
        <v>3</v>
      </c>
      <c r="B10" s="27" t="s">
        <v>107</v>
      </c>
      <c r="C10" s="31">
        <f>SUM(D10:I10)</f>
        <v>157381000</v>
      </c>
      <c r="D10" s="34">
        <f t="shared" ref="D10:I10" si="0">D8+D9</f>
        <v>115352000</v>
      </c>
      <c r="E10" s="34">
        <f t="shared" si="0"/>
        <v>33345000</v>
      </c>
      <c r="F10" s="34">
        <f t="shared" si="0"/>
        <v>3134000</v>
      </c>
      <c r="G10" s="34">
        <f t="shared" si="0"/>
        <v>0</v>
      </c>
      <c r="H10" s="105">
        <f t="shared" si="0"/>
        <v>1008000</v>
      </c>
      <c r="I10" s="106">
        <f t="shared" si="0"/>
        <v>4542000</v>
      </c>
      <c r="K10" s="33">
        <f>K8+K9</f>
        <v>0</v>
      </c>
      <c r="L10" s="33">
        <f>L8+L9</f>
        <v>402000</v>
      </c>
      <c r="M10" s="33">
        <f>M8+M9</f>
        <v>606000</v>
      </c>
    </row>
    <row r="11" spans="1:13" ht="15.6" x14ac:dyDescent="0.3">
      <c r="A11" s="27"/>
      <c r="B11" s="27"/>
      <c r="C11" s="27"/>
      <c r="D11" s="27"/>
      <c r="E11" s="27"/>
      <c r="F11" s="27"/>
      <c r="G11" s="27"/>
      <c r="H11" s="101"/>
      <c r="I11" s="102"/>
    </row>
    <row r="12" spans="1:13" ht="15.6" x14ac:dyDescent="0.3">
      <c r="A12" s="27">
        <v>4</v>
      </c>
      <c r="B12" s="27" t="s">
        <v>108</v>
      </c>
      <c r="C12" s="35">
        <f>SUM(D12:I12)</f>
        <v>255186931</v>
      </c>
      <c r="D12" s="36">
        <v>120721607</v>
      </c>
      <c r="E12" s="36">
        <f>47537282-K12</f>
        <v>47537282</v>
      </c>
      <c r="F12" s="36">
        <f>5735037-L12</f>
        <v>5069530</v>
      </c>
      <c r="G12" s="36">
        <f>1115704-M12</f>
        <v>0</v>
      </c>
      <c r="H12" s="107">
        <f>K12+L12+M12</f>
        <v>1781211</v>
      </c>
      <c r="I12" s="108">
        <f>30580202+39076638+10420461</f>
        <v>80077301</v>
      </c>
      <c r="K12" s="37">
        <f>ROUND(47537282/30697*K18,0)</f>
        <v>0</v>
      </c>
      <c r="L12" s="37">
        <v>665507</v>
      </c>
      <c r="M12" s="37">
        <v>1115704</v>
      </c>
    </row>
    <row r="13" spans="1:13" ht="15.6" x14ac:dyDescent="0.3">
      <c r="A13" s="27">
        <v>5</v>
      </c>
      <c r="B13" s="27" t="s">
        <v>109</v>
      </c>
      <c r="C13" s="109"/>
      <c r="D13" s="110">
        <v>0.38907000000000003</v>
      </c>
      <c r="E13" s="110">
        <v>0.38166</v>
      </c>
      <c r="F13" s="110">
        <v>0.37076999999999999</v>
      </c>
      <c r="G13" s="110">
        <v>0.33645000000000003</v>
      </c>
      <c r="H13" s="111"/>
      <c r="I13" s="112"/>
      <c r="K13" s="38">
        <f>E13</f>
        <v>0.38166</v>
      </c>
      <c r="L13" s="38">
        <f>F13</f>
        <v>0.37076999999999999</v>
      </c>
      <c r="M13" s="38">
        <f>G13</f>
        <v>0.33645000000000003</v>
      </c>
    </row>
    <row r="14" spans="1:13" ht="15.6" x14ac:dyDescent="0.3">
      <c r="A14" s="27">
        <v>6</v>
      </c>
      <c r="B14" s="27" t="s">
        <v>54</v>
      </c>
      <c r="C14" s="31">
        <f>SUM(D14:G14)</f>
        <v>66991864.321709998</v>
      </c>
      <c r="D14" s="31">
        <f>D12*D13</f>
        <v>46969155.63549</v>
      </c>
      <c r="E14" s="31">
        <f>E12*E13</f>
        <v>18143079.048119999</v>
      </c>
      <c r="F14" s="31">
        <f>F12*F13</f>
        <v>1879629.6380999999</v>
      </c>
      <c r="G14" s="31">
        <f>G12*G13</f>
        <v>0</v>
      </c>
      <c r="H14" s="111"/>
      <c r="I14" s="112"/>
      <c r="K14" s="33">
        <f>K12*K13</f>
        <v>0</v>
      </c>
      <c r="L14" s="33">
        <f>L12*L13</f>
        <v>246750.03039</v>
      </c>
      <c r="M14" s="33">
        <f>M12*M13</f>
        <v>375378.61080000002</v>
      </c>
    </row>
    <row r="15" spans="1:13" ht="15.6" x14ac:dyDescent="0.3">
      <c r="A15" s="27"/>
      <c r="B15" s="27"/>
      <c r="C15" s="27"/>
      <c r="D15" s="27"/>
      <c r="E15" s="27"/>
      <c r="F15" s="27"/>
      <c r="G15" s="27"/>
      <c r="H15" s="111"/>
      <c r="I15" s="112"/>
    </row>
    <row r="16" spans="1:13" ht="15.6" x14ac:dyDescent="0.3">
      <c r="A16" s="27">
        <v>7</v>
      </c>
      <c r="B16" s="27" t="s">
        <v>55</v>
      </c>
      <c r="C16" s="31">
        <f>SUM(D16:G16)</f>
        <v>84839135.678290009</v>
      </c>
      <c r="D16" s="34">
        <f>D10-D14</f>
        <v>68382844.36451</v>
      </c>
      <c r="E16" s="34">
        <f>E10-E14</f>
        <v>15201920.951880001</v>
      </c>
      <c r="F16" s="34">
        <f>F10-F14</f>
        <v>1254370.3619000001</v>
      </c>
      <c r="G16" s="34">
        <f>G10-G14</f>
        <v>0</v>
      </c>
      <c r="H16" s="105"/>
      <c r="I16" s="102"/>
      <c r="K16" s="39">
        <f>K10-K14</f>
        <v>0</v>
      </c>
      <c r="L16" s="39">
        <f>L10-L14</f>
        <v>155249.96961</v>
      </c>
      <c r="M16" s="39">
        <f>M10-M14</f>
        <v>230621.38919999998</v>
      </c>
    </row>
    <row r="17" spans="1:13" ht="15.6" x14ac:dyDescent="0.3">
      <c r="A17" s="27"/>
      <c r="B17" s="27"/>
      <c r="C17" s="27"/>
      <c r="D17" s="27"/>
      <c r="E17" s="27"/>
      <c r="F17" s="27"/>
      <c r="G17" s="27"/>
      <c r="H17" s="101"/>
      <c r="I17" s="102"/>
    </row>
    <row r="18" spans="1:13" ht="15.6" x14ac:dyDescent="0.3">
      <c r="A18" s="27">
        <v>8</v>
      </c>
      <c r="B18" s="27" t="s">
        <v>110</v>
      </c>
      <c r="C18" s="35">
        <f>SUM(D18:I18)</f>
        <v>1819516</v>
      </c>
      <c r="D18" s="40">
        <v>1787943</v>
      </c>
      <c r="E18" s="40">
        <f>30697-K18</f>
        <v>30697</v>
      </c>
      <c r="F18" s="40">
        <f>336-L18</f>
        <v>312</v>
      </c>
      <c r="G18" s="40">
        <f>24-M18</f>
        <v>0</v>
      </c>
      <c r="H18" s="107">
        <f>K18+L18+M18</f>
        <v>48</v>
      </c>
      <c r="I18" s="108">
        <f>456+48+12</f>
        <v>516</v>
      </c>
      <c r="K18">
        <v>0</v>
      </c>
      <c r="L18">
        <v>24</v>
      </c>
      <c r="M18">
        <v>24</v>
      </c>
    </row>
    <row r="19" spans="1:13" ht="15.6" x14ac:dyDescent="0.3">
      <c r="A19" s="27">
        <v>9</v>
      </c>
      <c r="B19" s="27" t="s">
        <v>111</v>
      </c>
      <c r="C19" s="31"/>
      <c r="D19" s="113">
        <v>9</v>
      </c>
      <c r="E19" s="113">
        <v>101.44</v>
      </c>
      <c r="F19" s="113">
        <v>252.28</v>
      </c>
      <c r="G19" s="114">
        <f>G18*G17</f>
        <v>0</v>
      </c>
      <c r="H19" s="115"/>
      <c r="I19" s="102"/>
      <c r="K19" s="43">
        <f>E19</f>
        <v>101.44</v>
      </c>
      <c r="L19" s="43">
        <f>F19</f>
        <v>252.28</v>
      </c>
      <c r="M19" s="43">
        <f>G19</f>
        <v>0</v>
      </c>
    </row>
    <row r="20" spans="1:13" ht="15.6" x14ac:dyDescent="0.3">
      <c r="A20" s="27">
        <v>10</v>
      </c>
      <c r="B20" s="27" t="s">
        <v>56</v>
      </c>
      <c r="C20" s="31">
        <f>SUM(D20:G20)</f>
        <v>19284102.039999999</v>
      </c>
      <c r="D20" s="42">
        <f>D19*D18</f>
        <v>16091487</v>
      </c>
      <c r="E20" s="42">
        <f>E19*E18</f>
        <v>3113903.6799999997</v>
      </c>
      <c r="F20" s="42">
        <f>F19*F18</f>
        <v>78711.360000000001</v>
      </c>
      <c r="G20" s="42">
        <f>G19*G18</f>
        <v>0</v>
      </c>
      <c r="H20" s="115"/>
      <c r="I20" s="102"/>
      <c r="K20" s="39">
        <f>K18*K19</f>
        <v>0</v>
      </c>
      <c r="L20" s="39">
        <f>L18*L19</f>
        <v>6054.72</v>
      </c>
      <c r="M20" s="39">
        <f>M18*M19</f>
        <v>0</v>
      </c>
    </row>
    <row r="21" spans="1:13" ht="15.6" x14ac:dyDescent="0.3">
      <c r="A21" s="27"/>
      <c r="B21" s="27"/>
      <c r="C21" s="31"/>
      <c r="D21" s="42"/>
      <c r="E21" s="42"/>
      <c r="F21" s="42"/>
      <c r="G21" s="42"/>
      <c r="H21" s="127" t="s">
        <v>57</v>
      </c>
      <c r="I21" s="128"/>
      <c r="K21" s="39"/>
      <c r="L21" s="39"/>
      <c r="M21" s="39"/>
    </row>
    <row r="22" spans="1:13" ht="15.6" x14ac:dyDescent="0.3">
      <c r="A22" s="27">
        <v>11</v>
      </c>
      <c r="B22" s="27" t="s">
        <v>24</v>
      </c>
      <c r="C22" s="31">
        <f>SUM(D22:G22)</f>
        <v>65555033.638290003</v>
      </c>
      <c r="D22" s="42">
        <f>D16-D20</f>
        <v>52291357.36451</v>
      </c>
      <c r="E22" s="42">
        <f>E16-E20</f>
        <v>12088017.271880001</v>
      </c>
      <c r="F22" s="42">
        <f>F16-F20</f>
        <v>1175659.0019</v>
      </c>
      <c r="G22" s="42">
        <f>G16-G20</f>
        <v>0</v>
      </c>
      <c r="H22" s="127"/>
      <c r="I22" s="128"/>
      <c r="K22" s="39">
        <f>K16-K20</f>
        <v>0</v>
      </c>
      <c r="L22" s="39">
        <f>L16-L20</f>
        <v>149195.24961</v>
      </c>
      <c r="M22" s="39">
        <f>M16-M20</f>
        <v>230621.38919999998</v>
      </c>
    </row>
    <row r="23" spans="1:13" ht="15.6" x14ac:dyDescent="0.3">
      <c r="A23" s="44"/>
      <c r="B23" s="44"/>
      <c r="C23" s="44"/>
      <c r="D23" s="44"/>
      <c r="E23" s="44"/>
      <c r="F23" s="44"/>
      <c r="G23" s="44"/>
      <c r="H23" s="116"/>
      <c r="I23" s="117"/>
    </row>
    <row r="24" spans="1:13" ht="15.6" x14ac:dyDescent="0.3">
      <c r="C24" s="27"/>
      <c r="D24" s="45" t="s">
        <v>58</v>
      </c>
      <c r="E24" s="27" t="s">
        <v>35</v>
      </c>
    </row>
    <row r="25" spans="1:13" ht="15.6" x14ac:dyDescent="0.3">
      <c r="A25" s="27">
        <v>12</v>
      </c>
      <c r="B25" s="27" t="s">
        <v>59</v>
      </c>
      <c r="C25" s="35"/>
      <c r="D25" s="35">
        <f>D18/12</f>
        <v>148995.25</v>
      </c>
      <c r="E25" s="35">
        <f>(E18+F18+G18)/12</f>
        <v>2584.0833333333335</v>
      </c>
    </row>
    <row r="26" spans="1:13" ht="15.6" x14ac:dyDescent="0.3">
      <c r="A26" s="27">
        <v>13</v>
      </c>
      <c r="B26" s="27" t="s">
        <v>60</v>
      </c>
      <c r="C26" s="35"/>
      <c r="D26" s="35">
        <f>D12</f>
        <v>120721607</v>
      </c>
      <c r="E26" s="35">
        <f>E12+F12+G12</f>
        <v>52606812</v>
      </c>
    </row>
    <row r="27" spans="1:13" ht="15.6" x14ac:dyDescent="0.3">
      <c r="A27" s="27">
        <v>14</v>
      </c>
      <c r="B27" s="27" t="s">
        <v>61</v>
      </c>
      <c r="C27" s="31"/>
      <c r="D27" s="31">
        <f>D20</f>
        <v>16091487</v>
      </c>
      <c r="E27" s="31">
        <f>E20+F20+G20</f>
        <v>3192615.0399999996</v>
      </c>
      <c r="F27" s="43"/>
    </row>
    <row r="28" spans="1:13" ht="15.6" x14ac:dyDescent="0.3">
      <c r="A28" s="27">
        <v>15</v>
      </c>
      <c r="B28" s="27" t="s">
        <v>62</v>
      </c>
      <c r="C28" s="35"/>
      <c r="D28" s="35">
        <f>D18</f>
        <v>1787943</v>
      </c>
      <c r="E28" s="35">
        <f>E18+F18+G18</f>
        <v>31009</v>
      </c>
      <c r="F28" s="43"/>
    </row>
    <row r="29" spans="1:13" ht="15.6" x14ac:dyDescent="0.3">
      <c r="A29" s="27">
        <v>16</v>
      </c>
      <c r="B29" s="27" t="s">
        <v>63</v>
      </c>
      <c r="C29" s="31"/>
      <c r="D29" s="41">
        <f>D27/D28</f>
        <v>9</v>
      </c>
      <c r="E29" s="41">
        <f>E27/E28</f>
        <v>102.95769099293751</v>
      </c>
      <c r="F29" s="43"/>
    </row>
    <row r="30" spans="1:13" x14ac:dyDescent="0.3">
      <c r="D30" s="43"/>
    </row>
    <row r="31" spans="1:13" x14ac:dyDescent="0.3">
      <c r="C31" t="s">
        <v>112</v>
      </c>
      <c r="D31" s="39"/>
      <c r="F31" s="39"/>
    </row>
    <row r="32" spans="1:13" x14ac:dyDescent="0.3">
      <c r="C32" t="s">
        <v>113</v>
      </c>
      <c r="D32" s="38">
        <f>D22/D12</f>
        <v>0.43315657125497015</v>
      </c>
      <c r="E32" s="38">
        <f t="shared" ref="E32:F32" si="1">E22/E12</f>
        <v>0.25428498987131826</v>
      </c>
      <c r="F32" s="38">
        <f t="shared" si="1"/>
        <v>0.23190690298706193</v>
      </c>
    </row>
    <row r="33" spans="3:6" x14ac:dyDescent="0.3">
      <c r="C33" t="s">
        <v>114</v>
      </c>
      <c r="D33" s="38">
        <f>D32+D13</f>
        <v>0.82222657125497012</v>
      </c>
      <c r="E33" s="38">
        <f t="shared" ref="E33:F33" si="2">E32+E13</f>
        <v>0.63594498987131831</v>
      </c>
      <c r="F33" s="38">
        <f t="shared" si="2"/>
        <v>0.60267690298706189</v>
      </c>
    </row>
    <row r="36" spans="3:6" x14ac:dyDescent="0.3">
      <c r="D36" s="43"/>
      <c r="F36" s="43"/>
    </row>
    <row r="37" spans="3:6" x14ac:dyDescent="0.3">
      <c r="D37" s="43"/>
      <c r="F37" s="43"/>
    </row>
    <row r="38" spans="3:6" x14ac:dyDescent="0.3">
      <c r="D38" s="43"/>
      <c r="F38" s="43"/>
    </row>
  </sheetData>
  <mergeCells count="4">
    <mergeCell ref="A1:I1"/>
    <mergeCell ref="A2:I2"/>
    <mergeCell ref="A3:I3"/>
    <mergeCell ref="H21:I22"/>
  </mergeCells>
  <pageMargins left="0.6" right="0.6" top="1" bottom="1" header="0.55000000000000004" footer="0.75"/>
  <pageSetup scale="70" orientation="landscape" r:id="rId1"/>
  <headerFooter scaleWithDoc="0">
    <oddHeader>&amp;CDocket No. UG-150205 Authorized Decoupling Baseline</oddHeader>
    <oddFooter>&amp;C&amp;14Attachment 5, Page 1 (UG-150205 Compliance Filing)
ATTACHMENT B  Page 2 of 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22"/>
  <sheetViews>
    <sheetView tabSelected="1" zoomScaleNormal="100" workbookViewId="0">
      <selection activeCell="D44" sqref="D44"/>
    </sheetView>
  </sheetViews>
  <sheetFormatPr defaultRowHeight="14.4" x14ac:dyDescent="0.3"/>
  <cols>
    <col min="1" max="1" width="6.44140625" customWidth="1"/>
    <col min="2" max="2" width="38.5546875" customWidth="1"/>
    <col min="3" max="3" width="22.6640625" customWidth="1"/>
    <col min="4" max="5" width="16.44140625" customWidth="1"/>
    <col min="7" max="7" width="13.109375" bestFit="1" customWidth="1"/>
    <col min="8" max="8" width="12" bestFit="1" customWidth="1"/>
  </cols>
  <sheetData>
    <row r="1" spans="1:6" ht="15.6" x14ac:dyDescent="0.3">
      <c r="A1" s="125" t="s">
        <v>0</v>
      </c>
      <c r="B1" s="125"/>
      <c r="C1" s="125"/>
      <c r="D1" s="125"/>
      <c r="E1" s="125"/>
      <c r="F1" s="46"/>
    </row>
    <row r="2" spans="1:6" ht="15.6" x14ac:dyDescent="0.3">
      <c r="A2" s="125" t="s">
        <v>1</v>
      </c>
      <c r="B2" s="125"/>
      <c r="C2" s="125"/>
      <c r="D2" s="125"/>
      <c r="E2" s="125"/>
      <c r="F2" s="46"/>
    </row>
    <row r="3" spans="1:6" ht="15.6" x14ac:dyDescent="0.3">
      <c r="A3" s="126" t="s">
        <v>64</v>
      </c>
      <c r="B3" s="126"/>
      <c r="C3" s="126"/>
      <c r="D3" s="126"/>
      <c r="E3" s="126"/>
      <c r="F3" s="47"/>
    </row>
    <row r="4" spans="1:6" ht="15.6" x14ac:dyDescent="0.3">
      <c r="A4" s="48"/>
      <c r="B4" s="48"/>
      <c r="C4" s="48"/>
      <c r="D4" s="48"/>
      <c r="E4" s="48"/>
    </row>
    <row r="5" spans="1:6" ht="15.6" x14ac:dyDescent="0.3">
      <c r="A5" s="48"/>
      <c r="B5" s="48"/>
      <c r="C5" s="48"/>
      <c r="D5" s="48"/>
      <c r="E5" s="48"/>
    </row>
    <row r="6" spans="1:6" ht="46.8" x14ac:dyDescent="0.3">
      <c r="A6" s="49" t="s">
        <v>2</v>
      </c>
      <c r="B6" s="50"/>
      <c r="C6" s="49" t="s">
        <v>3</v>
      </c>
      <c r="D6" s="49" t="s">
        <v>58</v>
      </c>
      <c r="E6" s="49" t="s">
        <v>65</v>
      </c>
    </row>
    <row r="7" spans="1:6" ht="15.6" x14ac:dyDescent="0.3">
      <c r="A7" s="48"/>
      <c r="B7" s="51" t="s">
        <v>5</v>
      </c>
      <c r="C7" s="51" t="s">
        <v>6</v>
      </c>
      <c r="D7" s="51" t="s">
        <v>7</v>
      </c>
      <c r="E7" s="51" t="s">
        <v>8</v>
      </c>
    </row>
    <row r="8" spans="1:6" ht="15.6" x14ac:dyDescent="0.3">
      <c r="A8" s="51"/>
      <c r="B8" s="52"/>
      <c r="C8" s="51"/>
      <c r="D8" s="51"/>
      <c r="E8" s="51"/>
    </row>
    <row r="9" spans="1:6" ht="15.6" x14ac:dyDescent="0.3">
      <c r="A9" s="51">
        <v>1</v>
      </c>
      <c r="B9" s="52" t="s">
        <v>66</v>
      </c>
      <c r="C9" s="51" t="s">
        <v>115</v>
      </c>
      <c r="D9" s="53">
        <f>'UG-150205 Attachment 5, Page 1'!D22</f>
        <v>52291357.36451</v>
      </c>
      <c r="E9" s="53">
        <f>'UG-150205 Attachment 5, Page 1'!E22+'UG-150205 Attachment 5, Page 1'!F22+'UG-150205 Attachment 5, Page 1'!G22</f>
        <v>13263676.273780001</v>
      </c>
    </row>
    <row r="10" spans="1:6" ht="15.6" x14ac:dyDescent="0.3">
      <c r="A10" s="51"/>
      <c r="B10" s="52"/>
      <c r="C10" s="51"/>
      <c r="D10" s="51"/>
      <c r="E10" s="51"/>
    </row>
    <row r="11" spans="1:6" ht="15.6" x14ac:dyDescent="0.3">
      <c r="A11" s="51">
        <v>2</v>
      </c>
      <c r="B11" s="48" t="s">
        <v>116</v>
      </c>
      <c r="C11" s="51" t="s">
        <v>67</v>
      </c>
      <c r="D11" s="54">
        <f>'UG-150205 Attachment 5, Page 1'!D18/12</f>
        <v>148995.25</v>
      </c>
      <c r="E11" s="54">
        <f>SUM('UG-150205 Attachment 5, Page 1'!E18:G18)/12</f>
        <v>2584.0833333333335</v>
      </c>
    </row>
    <row r="12" spans="1:6" ht="15.6" x14ac:dyDescent="0.3">
      <c r="A12" s="51"/>
      <c r="B12" s="52"/>
      <c r="C12" s="51"/>
      <c r="D12" s="51"/>
      <c r="E12" s="51"/>
    </row>
    <row r="13" spans="1:6" ht="15.6" x14ac:dyDescent="0.3">
      <c r="A13" s="51">
        <v>3</v>
      </c>
      <c r="B13" s="52" t="s">
        <v>68</v>
      </c>
      <c r="C13" s="51" t="str">
        <f>"("&amp;A9&amp;") / ("&amp;A$11&amp;")"</f>
        <v>(1) / (2)</v>
      </c>
      <c r="D13" s="55">
        <f>ROUND(D9/D11,2)</f>
        <v>350.96</v>
      </c>
      <c r="E13" s="55">
        <f>ROUND(E9/E11,2)</f>
        <v>5132.84</v>
      </c>
    </row>
    <row r="14" spans="1:6" ht="15.6" x14ac:dyDescent="0.3">
      <c r="A14" s="51"/>
      <c r="B14" s="52"/>
      <c r="C14" s="51"/>
      <c r="D14" s="51"/>
      <c r="E14" s="51"/>
    </row>
    <row r="15" spans="1:6" ht="15.6" x14ac:dyDescent="0.3">
      <c r="A15" s="51"/>
      <c r="B15" s="48"/>
      <c r="C15" s="48"/>
      <c r="D15" s="56"/>
      <c r="E15" s="56"/>
    </row>
    <row r="16" spans="1:6" ht="15.6" x14ac:dyDescent="0.3">
      <c r="A16" s="51"/>
      <c r="B16" s="57" t="s">
        <v>69</v>
      </c>
      <c r="C16" s="48"/>
      <c r="D16" s="48"/>
      <c r="E16" s="48"/>
    </row>
    <row r="17" spans="1:5" ht="15.6" x14ac:dyDescent="0.3">
      <c r="A17" s="44"/>
      <c r="B17" s="44"/>
      <c r="C17" s="44"/>
      <c r="D17" s="44"/>
      <c r="E17" s="44"/>
    </row>
    <row r="18" spans="1:5" ht="15.6" x14ac:dyDescent="0.3">
      <c r="A18" s="44"/>
      <c r="B18" s="44"/>
      <c r="C18" s="58" t="s">
        <v>70</v>
      </c>
      <c r="D18" s="44"/>
      <c r="E18" s="44"/>
    </row>
    <row r="19" spans="1:5" ht="15.6" x14ac:dyDescent="0.3">
      <c r="A19" s="44"/>
      <c r="B19" s="44"/>
      <c r="C19" s="58" t="s">
        <v>71</v>
      </c>
      <c r="D19" s="59">
        <f>D13*D11</f>
        <v>52291372.939999998</v>
      </c>
      <c r="E19" s="59">
        <f>E13*E11</f>
        <v>13263686.296666669</v>
      </c>
    </row>
    <row r="20" spans="1:5" ht="15.6" x14ac:dyDescent="0.3">
      <c r="A20" s="44"/>
      <c r="B20" s="44"/>
      <c r="C20" s="58" t="s">
        <v>72</v>
      </c>
      <c r="D20" s="59">
        <f>'UG-150205 Attachment 5, Page 1'!D27</f>
        <v>16091487</v>
      </c>
      <c r="E20" s="59">
        <f>'UG-150205 Attachment 5, Page 1'!E27</f>
        <v>3192615.0399999996</v>
      </c>
    </row>
    <row r="21" spans="1:5" ht="15.6" x14ac:dyDescent="0.3">
      <c r="A21" s="44"/>
      <c r="B21" s="44"/>
      <c r="C21" s="58" t="s">
        <v>73</v>
      </c>
      <c r="D21" s="59">
        <f>'UG-150205 Attachment 5, Page 1'!D14</f>
        <v>46969155.63549</v>
      </c>
      <c r="E21" s="59">
        <f>SUM('UG-150205 Attachment 5, Page 1'!E14:G14)</f>
        <v>20022708.686219998</v>
      </c>
    </row>
    <row r="22" spans="1:5" ht="15.6" x14ac:dyDescent="0.3">
      <c r="A22" s="44"/>
      <c r="B22" s="44"/>
      <c r="C22" s="58" t="s">
        <v>4</v>
      </c>
      <c r="D22" s="60">
        <f>SUM(D19:D21)</f>
        <v>115352015.57549</v>
      </c>
      <c r="E22" s="60">
        <f>SUM(E19:E21)</f>
        <v>36479010.022886664</v>
      </c>
    </row>
  </sheetData>
  <mergeCells count="3">
    <mergeCell ref="A1:E1"/>
    <mergeCell ref="A2:E2"/>
    <mergeCell ref="A3:E3"/>
  </mergeCells>
  <printOptions horizontalCentered="1"/>
  <pageMargins left="0.6" right="0.6" top="1" bottom="1" header="0.55000000000000004" footer="0.74"/>
  <pageSetup scale="87" orientation="landscape" r:id="rId1"/>
  <headerFooter scaleWithDoc="0">
    <oddHeader>&amp;CDocket No. UG-150205 Authorized Decoupling Baseline</oddHeader>
    <oddFooter>&amp;C&amp;14Attachment 5, Page 2 (UG-150205 Compliance Filing)
ATTACHMENT B  Page 3 of 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44"/>
  <sheetViews>
    <sheetView tabSelected="1" view="pageLayout" topLeftCell="A11" zoomScaleNormal="100" workbookViewId="0">
      <selection activeCell="D44" sqref="D44"/>
    </sheetView>
  </sheetViews>
  <sheetFormatPr defaultRowHeight="14.4" x14ac:dyDescent="0.3"/>
  <cols>
    <col min="2" max="2" width="35.109375" customWidth="1"/>
    <col min="3" max="3" width="17.33203125" customWidth="1"/>
    <col min="4" max="5" width="12.33203125" customWidth="1"/>
    <col min="6" max="6" width="12.44140625" customWidth="1"/>
    <col min="7" max="13" width="11.44140625" customWidth="1"/>
    <col min="14" max="14" width="12.88671875" customWidth="1"/>
    <col min="15" max="15" width="13" customWidth="1"/>
    <col min="16" max="16" width="13.88671875" bestFit="1" customWidth="1"/>
  </cols>
  <sheetData>
    <row r="1" spans="1:16" ht="17.399999999999999" x14ac:dyDescent="0.3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16" ht="17.399999999999999" x14ac:dyDescent="0.3">
      <c r="A2" s="129" t="str">
        <f>'UG-150205 Attachment 5, Page 2'!A2:E2</f>
        <v>Natural Gas Decoupling Mechanism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</row>
    <row r="3" spans="1:16" ht="17.399999999999999" x14ac:dyDescent="0.3">
      <c r="A3" s="130" t="s">
        <v>74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</row>
    <row r="4" spans="1:16" x14ac:dyDescent="0.3">
      <c r="A4" s="5"/>
      <c r="B4" s="5"/>
      <c r="C4" s="13"/>
      <c r="D4" s="13"/>
      <c r="E4" s="13"/>
      <c r="F4" s="13"/>
      <c r="G4" s="13"/>
      <c r="H4" s="5"/>
      <c r="I4" s="5"/>
      <c r="J4" s="5"/>
      <c r="K4" s="5"/>
      <c r="L4" s="5"/>
      <c r="M4" s="5"/>
      <c r="N4" s="5"/>
      <c r="O4" s="5"/>
      <c r="P4" s="5"/>
    </row>
    <row r="5" spans="1:16" x14ac:dyDescent="0.3">
      <c r="A5" s="5"/>
      <c r="B5" s="5"/>
      <c r="C5" s="13"/>
      <c r="D5" s="13"/>
      <c r="E5" s="13"/>
      <c r="F5" s="13"/>
      <c r="G5" s="13"/>
      <c r="H5" s="5"/>
      <c r="I5" s="5"/>
      <c r="J5" s="5"/>
      <c r="K5" s="5"/>
      <c r="L5" s="5"/>
      <c r="M5" s="5"/>
      <c r="N5" s="5"/>
      <c r="O5" s="5"/>
      <c r="P5" s="5"/>
    </row>
    <row r="6" spans="1:16" ht="26.4" customHeight="1" x14ac:dyDescent="0.3">
      <c r="A6" s="61" t="s">
        <v>2</v>
      </c>
      <c r="B6" s="62"/>
      <c r="C6" s="63" t="s">
        <v>3</v>
      </c>
      <c r="D6" s="64" t="s">
        <v>75</v>
      </c>
      <c r="E6" s="64" t="s">
        <v>76</v>
      </c>
      <c r="F6" s="64" t="s">
        <v>77</v>
      </c>
      <c r="G6" s="64" t="s">
        <v>78</v>
      </c>
      <c r="H6" s="64" t="s">
        <v>79</v>
      </c>
      <c r="I6" s="64" t="s">
        <v>80</v>
      </c>
      <c r="J6" s="64" t="s">
        <v>81</v>
      </c>
      <c r="K6" s="64" t="s">
        <v>82</v>
      </c>
      <c r="L6" s="64" t="s">
        <v>83</v>
      </c>
      <c r="M6" s="64" t="s">
        <v>84</v>
      </c>
      <c r="N6" s="64" t="s">
        <v>85</v>
      </c>
      <c r="O6" s="64" t="s">
        <v>86</v>
      </c>
      <c r="P6" s="61" t="s">
        <v>47</v>
      </c>
    </row>
    <row r="7" spans="1:16" ht="15" customHeight="1" x14ac:dyDescent="0.3">
      <c r="A7" s="5"/>
      <c r="B7" s="13" t="s">
        <v>5</v>
      </c>
      <c r="C7" s="13" t="s">
        <v>6</v>
      </c>
      <c r="D7" s="13" t="s">
        <v>7</v>
      </c>
      <c r="E7" s="13" t="s">
        <v>8</v>
      </c>
      <c r="F7" s="13" t="s">
        <v>9</v>
      </c>
      <c r="G7" s="13" t="s">
        <v>10</v>
      </c>
      <c r="H7" s="13" t="s">
        <v>11</v>
      </c>
      <c r="I7" s="13" t="s">
        <v>12</v>
      </c>
      <c r="J7" s="13" t="s">
        <v>13</v>
      </c>
      <c r="K7" s="13" t="s">
        <v>14</v>
      </c>
      <c r="L7" s="13" t="s">
        <v>15</v>
      </c>
      <c r="M7" s="13" t="s">
        <v>16</v>
      </c>
      <c r="N7" s="13" t="s">
        <v>17</v>
      </c>
      <c r="O7" s="13" t="s">
        <v>18</v>
      </c>
      <c r="P7" s="13" t="s">
        <v>19</v>
      </c>
    </row>
    <row r="8" spans="1:16" ht="15" customHeight="1" x14ac:dyDescent="0.3">
      <c r="A8" s="13">
        <v>1</v>
      </c>
      <c r="B8" s="65"/>
      <c r="C8" s="13"/>
      <c r="D8" s="13"/>
      <c r="E8" s="13"/>
      <c r="F8" s="13"/>
      <c r="G8" s="13"/>
      <c r="H8" s="13"/>
      <c r="I8" s="13"/>
      <c r="J8" s="5"/>
      <c r="K8" s="5"/>
      <c r="L8" s="5"/>
      <c r="M8" s="5"/>
      <c r="N8" s="5"/>
      <c r="O8" s="5"/>
      <c r="P8" s="5"/>
    </row>
    <row r="9" spans="1:16" ht="15" customHeight="1" x14ac:dyDescent="0.3">
      <c r="A9" s="13">
        <f t="shared" ref="A9:A27" si="0">A8+1</f>
        <v>2</v>
      </c>
      <c r="B9" s="66" t="s">
        <v>87</v>
      </c>
      <c r="C9" s="13"/>
      <c r="D9" s="5"/>
      <c r="E9" s="5"/>
      <c r="F9" s="5"/>
      <c r="G9" s="5"/>
      <c r="H9" s="67"/>
      <c r="I9" s="67"/>
      <c r="J9" s="5"/>
      <c r="K9" s="5"/>
      <c r="L9" s="5"/>
      <c r="M9" s="5"/>
      <c r="N9" s="5"/>
      <c r="O9" s="5"/>
      <c r="P9" s="68"/>
    </row>
    <row r="10" spans="1:16" ht="15" customHeight="1" x14ac:dyDescent="0.3">
      <c r="A10" s="13">
        <f t="shared" si="0"/>
        <v>3</v>
      </c>
      <c r="B10" s="69" t="s">
        <v>58</v>
      </c>
      <c r="C10" s="13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68"/>
    </row>
    <row r="11" spans="1:16" ht="15" customHeight="1" x14ac:dyDescent="0.3">
      <c r="A11" s="13">
        <f t="shared" si="0"/>
        <v>4</v>
      </c>
      <c r="B11" s="70" t="s">
        <v>88</v>
      </c>
      <c r="C11" s="13" t="s">
        <v>89</v>
      </c>
      <c r="D11" s="71">
        <v>21149989</v>
      </c>
      <c r="E11" s="71">
        <v>17496849</v>
      </c>
      <c r="F11" s="71">
        <v>14113448</v>
      </c>
      <c r="G11" s="71">
        <v>7866788</v>
      </c>
      <c r="H11" s="71">
        <v>4895089</v>
      </c>
      <c r="I11" s="71">
        <v>2998022</v>
      </c>
      <c r="J11" s="71">
        <v>2095088</v>
      </c>
      <c r="K11" s="71">
        <v>2047777</v>
      </c>
      <c r="L11" s="71">
        <v>2727612</v>
      </c>
      <c r="M11" s="71">
        <v>8666827</v>
      </c>
      <c r="N11" s="71">
        <v>14928966</v>
      </c>
      <c r="O11" s="71">
        <v>21735152</v>
      </c>
      <c r="P11" s="72">
        <f>SUM(D11:O11)</f>
        <v>120721607</v>
      </c>
    </row>
    <row r="12" spans="1:16" ht="15" customHeight="1" x14ac:dyDescent="0.3">
      <c r="A12" s="13">
        <f t="shared" si="0"/>
        <v>5</v>
      </c>
      <c r="B12" s="5" t="s">
        <v>90</v>
      </c>
      <c r="C12" s="73" t="s">
        <v>91</v>
      </c>
      <c r="D12" s="74">
        <f t="shared" ref="D12:O12" si="1">D11/$P11</f>
        <v>0.17519638385860783</v>
      </c>
      <c r="E12" s="74">
        <f t="shared" si="1"/>
        <v>0.14493552094613849</v>
      </c>
      <c r="F12" s="74">
        <f t="shared" si="1"/>
        <v>0.11690904677900783</v>
      </c>
      <c r="G12" s="74">
        <f t="shared" si="1"/>
        <v>6.5164705768040343E-2</v>
      </c>
      <c r="H12" s="74">
        <f t="shared" si="1"/>
        <v>4.0548573877085652E-2</v>
      </c>
      <c r="I12" s="74">
        <f t="shared" si="1"/>
        <v>2.4834179021490328E-2</v>
      </c>
      <c r="J12" s="74">
        <f t="shared" si="1"/>
        <v>1.7354706022095944E-2</v>
      </c>
      <c r="K12" s="74">
        <f t="shared" si="1"/>
        <v>1.6962804347029608E-2</v>
      </c>
      <c r="L12" s="74">
        <f t="shared" si="1"/>
        <v>2.2594232033375766E-2</v>
      </c>
      <c r="M12" s="74">
        <f t="shared" si="1"/>
        <v>7.179184584578964E-2</v>
      </c>
      <c r="N12" s="74">
        <f t="shared" si="1"/>
        <v>0.12366440748258098</v>
      </c>
      <c r="O12" s="74">
        <f t="shared" si="1"/>
        <v>0.18004359401875755</v>
      </c>
      <c r="P12" s="74">
        <f>SUM(D12:O12)</f>
        <v>1</v>
      </c>
    </row>
    <row r="13" spans="1:16" ht="15" customHeight="1" x14ac:dyDescent="0.3">
      <c r="A13" s="13">
        <f t="shared" si="0"/>
        <v>6</v>
      </c>
      <c r="B13" s="5"/>
      <c r="C13" s="7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6" ht="15" customHeight="1" x14ac:dyDescent="0.3">
      <c r="A14" s="13">
        <f t="shared" si="0"/>
        <v>7</v>
      </c>
      <c r="B14" s="69" t="s">
        <v>92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spans="1:16" ht="15" customHeight="1" x14ac:dyDescent="0.3">
      <c r="A15" s="13">
        <f t="shared" si="0"/>
        <v>8</v>
      </c>
      <c r="B15" s="70" t="s">
        <v>88</v>
      </c>
      <c r="C15" s="13" t="s">
        <v>89</v>
      </c>
      <c r="D15" s="71">
        <v>7724199</v>
      </c>
      <c r="E15" s="71">
        <v>6497617</v>
      </c>
      <c r="F15" s="71">
        <v>5741989</v>
      </c>
      <c r="G15" s="71">
        <v>3833669</v>
      </c>
      <c r="H15" s="71">
        <v>3002355</v>
      </c>
      <c r="I15" s="71">
        <v>2283253</v>
      </c>
      <c r="J15" s="71">
        <v>1727751</v>
      </c>
      <c r="K15" s="71">
        <v>1696708</v>
      </c>
      <c r="L15" s="71">
        <v>2070681</v>
      </c>
      <c r="M15" s="71">
        <v>4248069</v>
      </c>
      <c r="N15" s="71">
        <v>5991318</v>
      </c>
      <c r="O15" s="71">
        <v>7789203</v>
      </c>
      <c r="P15" s="72">
        <f>SUM(D15:O15)</f>
        <v>52606812</v>
      </c>
    </row>
    <row r="16" spans="1:16" ht="15" customHeight="1" x14ac:dyDescent="0.3">
      <c r="A16" s="13">
        <f t="shared" si="0"/>
        <v>9</v>
      </c>
      <c r="B16" s="5" t="s">
        <v>90</v>
      </c>
      <c r="C16" s="73" t="s">
        <v>91</v>
      </c>
      <c r="D16" s="76">
        <f t="shared" ref="D16:O16" si="2">D15/$P15</f>
        <v>0.14682887455715812</v>
      </c>
      <c r="E16" s="76">
        <f t="shared" si="2"/>
        <v>0.12351284468634975</v>
      </c>
      <c r="F16" s="76">
        <f t="shared" si="2"/>
        <v>0.10914915353547749</v>
      </c>
      <c r="G16" s="76">
        <f t="shared" si="2"/>
        <v>7.2874003465558793E-2</v>
      </c>
      <c r="H16" s="76">
        <f t="shared" si="2"/>
        <v>5.7071601297565798E-2</v>
      </c>
      <c r="I16" s="76">
        <f t="shared" si="2"/>
        <v>4.3402230874587118E-2</v>
      </c>
      <c r="J16" s="76">
        <f t="shared" si="2"/>
        <v>3.284272386625519E-2</v>
      </c>
      <c r="K16" s="76">
        <f t="shared" si="2"/>
        <v>3.2252629184220477E-2</v>
      </c>
      <c r="L16" s="76">
        <f t="shared" si="2"/>
        <v>3.9361461401614679E-2</v>
      </c>
      <c r="M16" s="76">
        <f t="shared" si="2"/>
        <v>8.0751310305593127E-2</v>
      </c>
      <c r="N16" s="76">
        <f t="shared" si="2"/>
        <v>0.11388863480265636</v>
      </c>
      <c r="O16" s="76">
        <f t="shared" si="2"/>
        <v>0.1480645320229631</v>
      </c>
      <c r="P16" s="76">
        <f>SUM(D16:O16)</f>
        <v>1</v>
      </c>
    </row>
    <row r="17" spans="1:16" ht="15" customHeight="1" x14ac:dyDescent="0.3">
      <c r="A17" s="13">
        <f t="shared" si="0"/>
        <v>10</v>
      </c>
      <c r="B17" s="5"/>
      <c r="C17" s="13"/>
      <c r="D17" s="76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1:16" ht="15" customHeight="1" x14ac:dyDescent="0.3">
      <c r="A18" s="13">
        <f t="shared" si="0"/>
        <v>11</v>
      </c>
      <c r="B18" s="66" t="s">
        <v>93</v>
      </c>
      <c r="C18" s="13"/>
      <c r="D18" s="76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1:16" ht="15" customHeight="1" x14ac:dyDescent="0.3">
      <c r="A19" s="13">
        <f t="shared" si="0"/>
        <v>12</v>
      </c>
      <c r="B19" s="69" t="s">
        <v>58</v>
      </c>
      <c r="C19" s="13"/>
      <c r="D19" s="76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15" customHeight="1" x14ac:dyDescent="0.3">
      <c r="A20" s="13">
        <f t="shared" si="0"/>
        <v>13</v>
      </c>
      <c r="B20" s="5" t="s">
        <v>117</v>
      </c>
      <c r="C20" s="13" t="s">
        <v>118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77">
        <f>'UG-150205 Attachment 5, Page 2'!D13</f>
        <v>350.96</v>
      </c>
    </row>
    <row r="21" spans="1:16" ht="15" customHeight="1" x14ac:dyDescent="0.3">
      <c r="A21" s="13">
        <f t="shared" si="0"/>
        <v>14</v>
      </c>
      <c r="B21" s="5" t="s">
        <v>119</v>
      </c>
      <c r="C21" s="13" t="str">
        <f>"("&amp;A$12&amp;") x ("&amp;A20&amp;")"</f>
        <v>(5) x (13)</v>
      </c>
      <c r="D21" s="78">
        <f t="shared" ref="D21:O21" si="3">$P20*D$12</f>
        <v>61.486922879017001</v>
      </c>
      <c r="E21" s="78">
        <f t="shared" si="3"/>
        <v>50.866570431256761</v>
      </c>
      <c r="F21" s="78">
        <f t="shared" si="3"/>
        <v>41.030399057560587</v>
      </c>
      <c r="G21" s="78">
        <f t="shared" si="3"/>
        <v>22.870205136351437</v>
      </c>
      <c r="H21" s="78">
        <f t="shared" si="3"/>
        <v>14.23092748790198</v>
      </c>
      <c r="I21" s="78">
        <f t="shared" si="3"/>
        <v>8.7158034693822444</v>
      </c>
      <c r="J21" s="78">
        <f t="shared" si="3"/>
        <v>6.0908076255147918</v>
      </c>
      <c r="K21" s="78">
        <f t="shared" si="3"/>
        <v>5.9532658136335108</v>
      </c>
      <c r="L21" s="78">
        <f t="shared" si="3"/>
        <v>7.9296716744335587</v>
      </c>
      <c r="M21" s="78">
        <f t="shared" si="3"/>
        <v>25.196066218038329</v>
      </c>
      <c r="N21" s="78">
        <f t="shared" si="3"/>
        <v>43.401260450086617</v>
      </c>
      <c r="O21" s="78">
        <f t="shared" si="3"/>
        <v>63.188099756823149</v>
      </c>
      <c r="P21" s="77">
        <f>SUM(D21:O21)</f>
        <v>350.96</v>
      </c>
    </row>
    <row r="22" spans="1:16" ht="15" customHeight="1" x14ac:dyDescent="0.3">
      <c r="A22" s="13">
        <f t="shared" si="0"/>
        <v>15</v>
      </c>
      <c r="B22" s="5"/>
      <c r="C22" s="79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77"/>
    </row>
    <row r="23" spans="1:16" ht="15" customHeight="1" x14ac:dyDescent="0.3">
      <c r="A23" s="13">
        <f t="shared" si="0"/>
        <v>16</v>
      </c>
      <c r="B23" s="69" t="s">
        <v>92</v>
      </c>
      <c r="C23" s="79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77"/>
    </row>
    <row r="24" spans="1:16" ht="15" customHeight="1" x14ac:dyDescent="0.3">
      <c r="A24" s="13">
        <f t="shared" si="0"/>
        <v>17</v>
      </c>
      <c r="B24" s="5" t="s">
        <v>117</v>
      </c>
      <c r="C24" s="13" t="s">
        <v>118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77">
        <f>'UG-150205 Attachment 5, Page 2'!E13</f>
        <v>5132.84</v>
      </c>
    </row>
    <row r="25" spans="1:16" ht="15" customHeight="1" x14ac:dyDescent="0.3">
      <c r="A25" s="13">
        <f t="shared" si="0"/>
        <v>18</v>
      </c>
      <c r="B25" s="5" t="s">
        <v>119</v>
      </c>
      <c r="C25" s="13" t="str">
        <f>"("&amp;A$16&amp;") x ("&amp;A24&amp;")"</f>
        <v>(9) x (17)</v>
      </c>
      <c r="D25" s="78">
        <f t="shared" ref="D25:O25" si="4">$P24*D$16</f>
        <v>753.64912048196356</v>
      </c>
      <c r="E25" s="78">
        <f t="shared" si="4"/>
        <v>633.97166971988349</v>
      </c>
      <c r="F25" s="78">
        <f t="shared" si="4"/>
        <v>560.24514123304027</v>
      </c>
      <c r="G25" s="78">
        <f t="shared" si="4"/>
        <v>374.05059994815878</v>
      </c>
      <c r="H25" s="78">
        <f t="shared" si="4"/>
        <v>292.93939800419764</v>
      </c>
      <c r="I25" s="78">
        <f t="shared" si="4"/>
        <v>222.77670672231574</v>
      </c>
      <c r="J25" s="78">
        <f t="shared" si="4"/>
        <v>168.5764467696693</v>
      </c>
      <c r="K25" s="78">
        <f t="shared" si="4"/>
        <v>165.54758518193424</v>
      </c>
      <c r="L25" s="78">
        <f t="shared" si="4"/>
        <v>202.0360835406639</v>
      </c>
      <c r="M25" s="78">
        <f t="shared" si="4"/>
        <v>414.48355558896066</v>
      </c>
      <c r="N25" s="78">
        <f t="shared" si="4"/>
        <v>584.57214026046665</v>
      </c>
      <c r="O25" s="78">
        <f t="shared" si="4"/>
        <v>759.99155254874597</v>
      </c>
      <c r="P25" s="77">
        <f>SUM(D25:O25)</f>
        <v>5132.8400000000011</v>
      </c>
    </row>
    <row r="26" spans="1:16" ht="15" customHeight="1" x14ac:dyDescent="0.3">
      <c r="A26" s="13">
        <f t="shared" si="0"/>
        <v>19</v>
      </c>
      <c r="B26" s="5"/>
      <c r="C26" s="79"/>
      <c r="D26" s="13"/>
      <c r="E26" s="13"/>
      <c r="F26" s="13"/>
      <c r="G26" s="13"/>
      <c r="H26" s="5"/>
      <c r="I26" s="5"/>
      <c r="J26" s="5"/>
      <c r="K26" s="5"/>
      <c r="L26" s="5"/>
      <c r="M26" s="5"/>
      <c r="N26" s="5"/>
      <c r="O26" s="5"/>
      <c r="P26" s="77"/>
    </row>
    <row r="27" spans="1:16" ht="15" customHeight="1" x14ac:dyDescent="0.3">
      <c r="A27" s="13">
        <f t="shared" si="0"/>
        <v>20</v>
      </c>
      <c r="B27" s="70" t="s">
        <v>69</v>
      </c>
      <c r="C27" s="13"/>
      <c r="D27" s="13"/>
      <c r="E27" s="13"/>
      <c r="F27" s="13"/>
      <c r="G27" s="13"/>
      <c r="H27" s="5"/>
      <c r="I27" s="5"/>
      <c r="J27" s="5"/>
      <c r="K27" s="5"/>
      <c r="L27" s="5"/>
      <c r="M27" s="5"/>
      <c r="N27" s="5"/>
      <c r="O27" s="5"/>
      <c r="P27" s="5"/>
    </row>
    <row r="28" spans="1:16" ht="15" customHeight="1" x14ac:dyDescent="0.3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</row>
    <row r="29" spans="1:16" ht="15" customHeight="1" x14ac:dyDescent="0.3"/>
    <row r="30" spans="1:16" ht="15" customHeight="1" x14ac:dyDescent="0.3"/>
    <row r="31" spans="1:16" ht="15" customHeight="1" x14ac:dyDescent="0.3"/>
    <row r="32" spans="1:16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</sheetData>
  <mergeCells count="3">
    <mergeCell ref="A1:P1"/>
    <mergeCell ref="A2:P2"/>
    <mergeCell ref="A3:P3"/>
  </mergeCells>
  <pageMargins left="0.18" right="0.19" top="1" bottom="1.05" header="0.55000000000000004" footer="0.75"/>
  <pageSetup scale="62" orientation="landscape" r:id="rId1"/>
  <headerFooter scaleWithDoc="0">
    <oddHeader>&amp;CDocket No. UG-150205 Authorized Decoupling Baseline</oddHeader>
    <oddFooter>&amp;C&amp;14Attachment 5, Page 3 (UG-150205 Compliance Filing)
ATTACHMENT B  Page 4 of 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CD604AEB00814281E7FB598C0D8A47" ma:contentTypeVersion="76" ma:contentTypeDescription="" ma:contentTypeScope="" ma:versionID="601264b78c22b054163984324390b44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2018-08-17T07:00:00+00:00</OpenedDate>
    <SignificantOrder xmlns="dc463f71-b30c-4ab2-9473-d307f9d35888">false</SignificantOrder>
    <Date1 xmlns="dc463f71-b30c-4ab2-9473-d307f9d35888">2018-08-17T07:00:00+00:00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180701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5BDD5C5-17DC-4DD2-BA56-A51D8041476A}"/>
</file>

<file path=customXml/itemProps2.xml><?xml version="1.0" encoding="utf-8"?>
<ds:datastoreItem xmlns:ds="http://schemas.openxmlformats.org/officeDocument/2006/customXml" ds:itemID="{2AD8718E-7679-4CD6-9DB6-F1BC75131B96}"/>
</file>

<file path=customXml/itemProps3.xml><?xml version="1.0" encoding="utf-8"?>
<ds:datastoreItem xmlns:ds="http://schemas.openxmlformats.org/officeDocument/2006/customXml" ds:itemID="{9DF82B66-D868-47C8-BDAD-2D55E8CC5EA0}"/>
</file>

<file path=customXml/itemProps4.xml><?xml version="1.0" encoding="utf-8"?>
<ds:datastoreItem xmlns:ds="http://schemas.openxmlformats.org/officeDocument/2006/customXml" ds:itemID="{A9511288-9D25-44F7-BD53-8A1E0B138B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Natural Gas Deferral</vt:lpstr>
      <vt:lpstr>UG-150205 Attachment 5, Page 1</vt:lpstr>
      <vt:lpstr>UG-150205 Attachment 5, Page 2</vt:lpstr>
      <vt:lpstr>UG-150205 Attachment 5, Page 3</vt:lpstr>
      <vt:lpstr>'UG-150205 Attachment 5, Page 1'!Print_Area</vt:lpstr>
      <vt:lpstr>'UG-150205 Attachment 5, Page 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2018-08-06T21:58:23Z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0x0101006E56B4D1795A2E4DB2F0B01679ED314A003ACD604AEB00814281E7FB598C0D8A47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