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0515" activeTab="5"/>
  </bookViews>
  <sheets>
    <sheet name="Instructions" sheetId="7" r:id="rId1"/>
    <sheet name="2188 Restating Expl" sheetId="2" r:id="rId2"/>
    <sheet name="Pro-forma Lewis,Joe's" sheetId="1" r:id="rId3"/>
    <sheet name="LG-Joe's T Recycl" sheetId="3" r:id="rId4"/>
    <sheet name="LG-Joe's T MF" sheetId="4" r:id="rId5"/>
    <sheet name="Joe's Priceout" sheetId="5" r:id="rId6"/>
    <sheet name="Settlement Rate Sheet" sheetId="6" r:id="rId7"/>
  </sheets>
  <externalReferences>
    <externalReference r:id="rId8"/>
    <externalReference r:id="rId9"/>
    <externalReference r:id="rId10"/>
  </externalReferences>
  <definedNames>
    <definedName name="BREMAIR_COST_of_SERVICE_STUDY">#REF!</definedName>
    <definedName name="CheckTotals">#REF!</definedName>
    <definedName name="_xlnm.Database">#REF!</definedName>
    <definedName name="Database1">#REF!</definedName>
    <definedName name="DistrictNum">#REF!</definedName>
    <definedName name="End">#REF!</definedName>
    <definedName name="INPUT">#REF!</definedName>
    <definedName name="master_def">#REF!</definedName>
    <definedName name="NewOnlyOrg">#N/A</definedName>
    <definedName name="NOTES">#REF!</definedName>
    <definedName name="OfficerSalary">#N/A</definedName>
    <definedName name="Org11_13">#N/A</definedName>
    <definedName name="Org7_10">#N/A</definedName>
    <definedName name="PAGE_1">#REF!</definedName>
    <definedName name="_xlnm.Print_Area" localSheetId="1">'2188 Restating Expl'!$A$1:$J$275</definedName>
    <definedName name="_xlnm.Print_Area" localSheetId="5">'Joe''s Priceout'!$A$1:$AA$165</definedName>
    <definedName name="_xlnm.Print_Area" localSheetId="4">'LG-Joe''s T MF'!$A$1:$K$46</definedName>
    <definedName name="_xlnm.Print_Area" localSheetId="3">'LG-Joe''s T Recycl'!$A$1:$K$39</definedName>
    <definedName name="_xlnm.Print_Area" localSheetId="2">'Pro-forma Lewis,Joe''s'!$A$1:$X$86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1">'2188 Restating Expl'!$1:$3</definedName>
    <definedName name="_xlnm.Print_Titles" localSheetId="5">'Joe''s Priceout'!$A:$A,'Joe''s Priceout'!$1:$6</definedName>
    <definedName name="_xlnm.Print_Titles" localSheetId="2">'Pro-forma Lewis,Joe''s'!$1:$8</definedName>
    <definedName name="_xlnm.Print_Titles" localSheetId="6">'Settlement Rate Sheet'!$1:$8</definedName>
    <definedName name="Print1">#REF!</definedName>
    <definedName name="Print2">#REF!</definedName>
    <definedName name="Print5">#REF!</definedName>
    <definedName name="RCW_81.04.080">#N/A</definedName>
    <definedName name="RecyDisposal">#N/A</definedName>
    <definedName name="RelatedSalary">#N/A</definedName>
    <definedName name="RevCust">[1]RevenuesCust!#REF!</definedName>
    <definedName name="sortcol">#REF!</definedName>
    <definedName name="SWDisposal">#N/A</definedName>
    <definedName name="xx">#REF!</definedName>
    <definedName name="YWMedWasteDisp">#N/A</definedName>
  </definedNames>
  <calcPr calcId="145621" iterate="1" iterateDelta="0" concurrentManualCount="4"/>
</workbook>
</file>

<file path=xl/calcChain.xml><?xml version="1.0" encoding="utf-8"?>
<calcChain xmlns="http://schemas.openxmlformats.org/spreadsheetml/2006/main">
  <c r="J10" i="1" l="1"/>
  <c r="I10" i="1"/>
  <c r="S12" i="1"/>
  <c r="H112" i="5"/>
  <c r="H111" i="5"/>
  <c r="D175" i="6" l="1"/>
  <c r="F175" i="6" s="1"/>
  <c r="I175" i="6" s="1"/>
  <c r="D173" i="6"/>
  <c r="F173" i="6" s="1"/>
  <c r="I173" i="6" s="1"/>
  <c r="D172" i="6"/>
  <c r="F172" i="6" s="1"/>
  <c r="I172" i="6" s="1"/>
  <c r="F171" i="6"/>
  <c r="I171" i="6" s="1"/>
  <c r="D171" i="6"/>
  <c r="F169" i="6"/>
  <c r="D169" i="6"/>
  <c r="I169" i="6" s="1"/>
  <c r="D167" i="6"/>
  <c r="I167" i="6" s="1"/>
  <c r="F166" i="6"/>
  <c r="D166" i="6"/>
  <c r="G166" i="6" s="1"/>
  <c r="D163" i="6"/>
  <c r="F163" i="6" s="1"/>
  <c r="I163" i="6" s="1"/>
  <c r="D162" i="6"/>
  <c r="F162" i="6" s="1"/>
  <c r="I162" i="6" s="1"/>
  <c r="D159" i="6"/>
  <c r="F159" i="6" s="1"/>
  <c r="I159" i="6" s="1"/>
  <c r="D158" i="6"/>
  <c r="F158" i="6" s="1"/>
  <c r="I158" i="6" s="1"/>
  <c r="D157" i="6"/>
  <c r="F157" i="6" s="1"/>
  <c r="I157" i="6" s="1"/>
  <c r="D155" i="6"/>
  <c r="F155" i="6" s="1"/>
  <c r="I155" i="6" s="1"/>
  <c r="D154" i="6"/>
  <c r="F154" i="6" s="1"/>
  <c r="I154" i="6" s="1"/>
  <c r="D153" i="6"/>
  <c r="F153" i="6" s="1"/>
  <c r="I153" i="6" s="1"/>
  <c r="D151" i="6"/>
  <c r="F151" i="6" s="1"/>
  <c r="I151" i="6" s="1"/>
  <c r="D150" i="6"/>
  <c r="F150" i="6" s="1"/>
  <c r="I150" i="6" s="1"/>
  <c r="D149" i="6"/>
  <c r="F149" i="6" s="1"/>
  <c r="I149" i="6" s="1"/>
  <c r="F145" i="6"/>
  <c r="D145" i="6"/>
  <c r="G145" i="6" s="1"/>
  <c r="F144" i="6"/>
  <c r="D144" i="6"/>
  <c r="G144" i="6" s="1"/>
  <c r="F142" i="6"/>
  <c r="D142" i="6"/>
  <c r="G142" i="6" s="1"/>
  <c r="F141" i="6"/>
  <c r="D141" i="6"/>
  <c r="G141" i="6" s="1"/>
  <c r="D140" i="6"/>
  <c r="F140" i="6" s="1"/>
  <c r="I140" i="6" s="1"/>
  <c r="D139" i="6"/>
  <c r="F139" i="6" s="1"/>
  <c r="I139" i="6" s="1"/>
  <c r="D138" i="6"/>
  <c r="F138" i="6" s="1"/>
  <c r="I138" i="6" s="1"/>
  <c r="D137" i="6"/>
  <c r="F137" i="6" s="1"/>
  <c r="I137" i="6" s="1"/>
  <c r="F134" i="6"/>
  <c r="I134" i="6" s="1"/>
  <c r="D134" i="6"/>
  <c r="F133" i="6"/>
  <c r="D133" i="6"/>
  <c r="G133" i="6" s="1"/>
  <c r="F132" i="6"/>
  <c r="I132" i="6" s="1"/>
  <c r="D132" i="6"/>
  <c r="D131" i="6"/>
  <c r="F128" i="6"/>
  <c r="D128" i="6"/>
  <c r="G128" i="6" s="1"/>
  <c r="F127" i="6"/>
  <c r="D127" i="6"/>
  <c r="G127" i="6" s="1"/>
  <c r="D126" i="6"/>
  <c r="I126" i="6" s="1"/>
  <c r="F125" i="6"/>
  <c r="I125" i="6" s="1"/>
  <c r="D125" i="6"/>
  <c r="G125" i="6" s="1"/>
  <c r="F122" i="6"/>
  <c r="I122" i="6" s="1"/>
  <c r="D122" i="6"/>
  <c r="F121" i="6"/>
  <c r="I121" i="6" s="1"/>
  <c r="D121" i="6"/>
  <c r="G121" i="6" s="1"/>
  <c r="D120" i="6"/>
  <c r="F120" i="6" s="1"/>
  <c r="I120" i="6" s="1"/>
  <c r="F119" i="6"/>
  <c r="I119" i="6" s="1"/>
  <c r="D119" i="6"/>
  <c r="F116" i="6"/>
  <c r="D116" i="6"/>
  <c r="I115" i="6"/>
  <c r="F115" i="6"/>
  <c r="D115" i="6"/>
  <c r="G115" i="6" s="1"/>
  <c r="F114" i="6"/>
  <c r="D114" i="6"/>
  <c r="F113" i="6"/>
  <c r="I113" i="6" s="1"/>
  <c r="D113" i="6"/>
  <c r="G113" i="6" s="1"/>
  <c r="F112" i="6"/>
  <c r="I112" i="6" s="1"/>
  <c r="D112" i="6"/>
  <c r="D111" i="6"/>
  <c r="F110" i="6"/>
  <c r="D110" i="6"/>
  <c r="F109" i="6"/>
  <c r="I109" i="6" s="1"/>
  <c r="D109" i="6"/>
  <c r="F105" i="6"/>
  <c r="D105" i="6"/>
  <c r="I104" i="6"/>
  <c r="F104" i="6"/>
  <c r="D104" i="6"/>
  <c r="G104" i="6" s="1"/>
  <c r="D103" i="6"/>
  <c r="F102" i="6"/>
  <c r="I102" i="6" s="1"/>
  <c r="D102" i="6"/>
  <c r="G102" i="6" s="1"/>
  <c r="F98" i="6"/>
  <c r="I98" i="6" s="1"/>
  <c r="D98" i="6"/>
  <c r="F97" i="6"/>
  <c r="I97" i="6" s="1"/>
  <c r="D97" i="6"/>
  <c r="G97" i="6" s="1"/>
  <c r="B96" i="6"/>
  <c r="D96" i="6" s="1"/>
  <c r="F95" i="6"/>
  <c r="G95" i="6" s="1"/>
  <c r="D95" i="6"/>
  <c r="F94" i="6"/>
  <c r="D94" i="6"/>
  <c r="G94" i="6" s="1"/>
  <c r="F93" i="6"/>
  <c r="D93" i="6"/>
  <c r="F92" i="6"/>
  <c r="D92" i="6"/>
  <c r="G92" i="6" s="1"/>
  <c r="B91" i="6"/>
  <c r="F91" i="6" s="1"/>
  <c r="F90" i="6"/>
  <c r="D90" i="6"/>
  <c r="F87" i="6"/>
  <c r="G87" i="6" s="1"/>
  <c r="D87" i="6"/>
  <c r="D86" i="6"/>
  <c r="F86" i="6" s="1"/>
  <c r="D85" i="6"/>
  <c r="D84" i="6"/>
  <c r="F83" i="6"/>
  <c r="I83" i="6" s="1"/>
  <c r="D83" i="6"/>
  <c r="G83" i="6" s="1"/>
  <c r="F82" i="6"/>
  <c r="I82" i="6" s="1"/>
  <c r="D82" i="6"/>
  <c r="G82" i="6" s="1"/>
  <c r="F81" i="6"/>
  <c r="F80" i="6"/>
  <c r="F78" i="6"/>
  <c r="F77" i="6"/>
  <c r="C77" i="6"/>
  <c r="D77" i="6" s="1"/>
  <c r="G77" i="6" s="1"/>
  <c r="F76" i="6"/>
  <c r="F75" i="6"/>
  <c r="F74" i="6"/>
  <c r="F73" i="6"/>
  <c r="F72" i="6"/>
  <c r="F69" i="6"/>
  <c r="D69" i="6"/>
  <c r="I69" i="6" s="1"/>
  <c r="F68" i="6"/>
  <c r="D68" i="6"/>
  <c r="I68" i="6" s="1"/>
  <c r="F67" i="6"/>
  <c r="D67" i="6"/>
  <c r="I67" i="6" s="1"/>
  <c r="F66" i="6"/>
  <c r="D66" i="6"/>
  <c r="I66" i="6" s="1"/>
  <c r="F65" i="6"/>
  <c r="D65" i="6"/>
  <c r="I65" i="6" s="1"/>
  <c r="F64" i="6"/>
  <c r="D64" i="6"/>
  <c r="I64" i="6" s="1"/>
  <c r="F63" i="6"/>
  <c r="D63" i="6"/>
  <c r="I63" i="6" s="1"/>
  <c r="F60" i="6"/>
  <c r="C60" i="6"/>
  <c r="C78" i="6" s="1"/>
  <c r="D78" i="6" s="1"/>
  <c r="F59" i="6"/>
  <c r="D59" i="6"/>
  <c r="G59" i="6" s="1"/>
  <c r="F58" i="6"/>
  <c r="C58" i="6"/>
  <c r="D58" i="6" s="1"/>
  <c r="F57" i="6"/>
  <c r="C57" i="6"/>
  <c r="C75" i="6" s="1"/>
  <c r="D75" i="6" s="1"/>
  <c r="F56" i="6"/>
  <c r="C56" i="6"/>
  <c r="D56" i="6" s="1"/>
  <c r="I56" i="6" s="1"/>
  <c r="F55" i="6"/>
  <c r="D55" i="6"/>
  <c r="I55" i="6" s="1"/>
  <c r="C55" i="6"/>
  <c r="C73" i="6" s="1"/>
  <c r="D73" i="6" s="1"/>
  <c r="F54" i="6"/>
  <c r="C54" i="6"/>
  <c r="C72" i="6" s="1"/>
  <c r="F51" i="6"/>
  <c r="D51" i="6"/>
  <c r="G51" i="6" s="1"/>
  <c r="F50" i="6"/>
  <c r="G50" i="6" s="1"/>
  <c r="D50" i="6"/>
  <c r="F49" i="6"/>
  <c r="D49" i="6"/>
  <c r="G49" i="6" s="1"/>
  <c r="F48" i="6"/>
  <c r="D48" i="6"/>
  <c r="G48" i="6" s="1"/>
  <c r="F47" i="6"/>
  <c r="D47" i="6"/>
  <c r="G47" i="6" s="1"/>
  <c r="F46" i="6"/>
  <c r="D46" i="6"/>
  <c r="G46" i="6" s="1"/>
  <c r="G45" i="6"/>
  <c r="F45" i="6"/>
  <c r="D45" i="6"/>
  <c r="F44" i="6"/>
  <c r="D44" i="6"/>
  <c r="G44" i="6" s="1"/>
  <c r="F43" i="6"/>
  <c r="D43" i="6"/>
  <c r="G43" i="6" s="1"/>
  <c r="F42" i="6"/>
  <c r="G42" i="6" s="1"/>
  <c r="D42" i="6"/>
  <c r="F41" i="6"/>
  <c r="D41" i="6"/>
  <c r="G41" i="6" s="1"/>
  <c r="F40" i="6"/>
  <c r="D40" i="6"/>
  <c r="G40" i="6" s="1"/>
  <c r="F39" i="6"/>
  <c r="D39" i="6"/>
  <c r="G39" i="6" s="1"/>
  <c r="F38" i="6"/>
  <c r="D38" i="6"/>
  <c r="G38" i="6" s="1"/>
  <c r="I34" i="6"/>
  <c r="F34" i="6"/>
  <c r="D34" i="6"/>
  <c r="G34" i="6" s="1"/>
  <c r="I33" i="6"/>
  <c r="F33" i="6"/>
  <c r="D33" i="6"/>
  <c r="G33" i="6" s="1"/>
  <c r="I32" i="6"/>
  <c r="F32" i="6"/>
  <c r="D32" i="6"/>
  <c r="G32" i="6" s="1"/>
  <c r="I31" i="6"/>
  <c r="F31" i="6"/>
  <c r="D31" i="6"/>
  <c r="G31" i="6" s="1"/>
  <c r="I30" i="6"/>
  <c r="F30" i="6"/>
  <c r="D30" i="6"/>
  <c r="G30" i="6" s="1"/>
  <c r="I28" i="6"/>
  <c r="F28" i="6"/>
  <c r="G28" i="6" s="1"/>
  <c r="C28" i="6"/>
  <c r="B28" i="6"/>
  <c r="F27" i="6"/>
  <c r="G27" i="6" s="1"/>
  <c r="C27" i="6"/>
  <c r="B27" i="6" s="1"/>
  <c r="F26" i="6"/>
  <c r="B26" i="6"/>
  <c r="D26" i="6" s="1"/>
  <c r="G26" i="6" s="1"/>
  <c r="F25" i="6"/>
  <c r="B25" i="6"/>
  <c r="D25" i="6" s="1"/>
  <c r="G25" i="6" s="1"/>
  <c r="F24" i="6"/>
  <c r="B24" i="6"/>
  <c r="D24" i="6" s="1"/>
  <c r="F23" i="6"/>
  <c r="B23" i="6"/>
  <c r="D23" i="6" s="1"/>
  <c r="F22" i="6"/>
  <c r="B22" i="6"/>
  <c r="D22" i="6" s="1"/>
  <c r="G22" i="6" s="1"/>
  <c r="F21" i="6"/>
  <c r="I21" i="6" s="1"/>
  <c r="B21" i="6"/>
  <c r="D21" i="6" s="1"/>
  <c r="F18" i="6"/>
  <c r="I18" i="6" s="1"/>
  <c r="D18" i="6"/>
  <c r="F17" i="6"/>
  <c r="I17" i="6" s="1"/>
  <c r="D17" i="6"/>
  <c r="F16" i="6"/>
  <c r="I16" i="6" s="1"/>
  <c r="D16" i="6"/>
  <c r="F15" i="6"/>
  <c r="I15" i="6" s="1"/>
  <c r="D15" i="6"/>
  <c r="F14" i="6"/>
  <c r="I14" i="6" s="1"/>
  <c r="D14" i="6"/>
  <c r="F13" i="6"/>
  <c r="I13" i="6" s="1"/>
  <c r="D13" i="6"/>
  <c r="F12" i="6"/>
  <c r="I12" i="6" s="1"/>
  <c r="D12" i="6"/>
  <c r="F11" i="6"/>
  <c r="I11" i="6" s="1"/>
  <c r="D11" i="6"/>
  <c r="F10" i="6"/>
  <c r="I10" i="6" s="1"/>
  <c r="D10" i="6"/>
  <c r="S162" i="5"/>
  <c r="S156" i="5"/>
  <c r="S154" i="5"/>
  <c r="H153" i="5"/>
  <c r="J146" i="5"/>
  <c r="L146" i="5" s="1"/>
  <c r="W145" i="5"/>
  <c r="V145" i="5"/>
  <c r="X145" i="5" s="1"/>
  <c r="O145" i="5"/>
  <c r="J145" i="5"/>
  <c r="P145" i="5" s="1"/>
  <c r="V144" i="5"/>
  <c r="X144" i="5" s="1"/>
  <c r="O144" i="5"/>
  <c r="W144" i="5" s="1"/>
  <c r="J144" i="5"/>
  <c r="P144" i="5" s="1"/>
  <c r="V143" i="5"/>
  <c r="O143" i="5"/>
  <c r="W143" i="5" s="1"/>
  <c r="X143" i="5" s="1"/>
  <c r="L143" i="5"/>
  <c r="J143" i="5"/>
  <c r="V142" i="5"/>
  <c r="O142" i="5"/>
  <c r="W142" i="5" s="1"/>
  <c r="J142" i="5"/>
  <c r="V141" i="5"/>
  <c r="P141" i="5"/>
  <c r="O141" i="5"/>
  <c r="W141" i="5" s="1"/>
  <c r="J141" i="5"/>
  <c r="L141" i="5" s="1"/>
  <c r="X140" i="5"/>
  <c r="V140" i="5"/>
  <c r="O140" i="5"/>
  <c r="W140" i="5" s="1"/>
  <c r="J140" i="5"/>
  <c r="P140" i="5" s="1"/>
  <c r="V139" i="5"/>
  <c r="O139" i="5"/>
  <c r="W139" i="5" s="1"/>
  <c r="J139" i="5"/>
  <c r="L139" i="5" s="1"/>
  <c r="V138" i="5"/>
  <c r="X138" i="5" s="1"/>
  <c r="O138" i="5"/>
  <c r="W138" i="5" s="1"/>
  <c r="J138" i="5"/>
  <c r="V137" i="5"/>
  <c r="O137" i="5"/>
  <c r="W137" i="5" s="1"/>
  <c r="J137" i="5"/>
  <c r="L137" i="5" s="1"/>
  <c r="V136" i="5"/>
  <c r="P136" i="5"/>
  <c r="O136" i="5"/>
  <c r="W136" i="5" s="1"/>
  <c r="X136" i="5" s="1"/>
  <c r="J136" i="5"/>
  <c r="L136" i="5" s="1"/>
  <c r="V135" i="5"/>
  <c r="O135" i="5"/>
  <c r="W135" i="5" s="1"/>
  <c r="J135" i="5"/>
  <c r="L135" i="5" s="1"/>
  <c r="W134" i="5"/>
  <c r="V134" i="5"/>
  <c r="O134" i="5"/>
  <c r="J134" i="5"/>
  <c r="V133" i="5"/>
  <c r="O133" i="5"/>
  <c r="W133" i="5" s="1"/>
  <c r="J133" i="5"/>
  <c r="L133" i="5" s="1"/>
  <c r="V132" i="5"/>
  <c r="P132" i="5"/>
  <c r="O132" i="5"/>
  <c r="W132" i="5" s="1"/>
  <c r="X132" i="5" s="1"/>
  <c r="J132" i="5"/>
  <c r="L132" i="5" s="1"/>
  <c r="V131" i="5"/>
  <c r="O131" i="5"/>
  <c r="W131" i="5" s="1"/>
  <c r="J131" i="5"/>
  <c r="L131" i="5" s="1"/>
  <c r="W130" i="5"/>
  <c r="V130" i="5"/>
  <c r="O130" i="5"/>
  <c r="J130" i="5"/>
  <c r="V129" i="5"/>
  <c r="O129" i="5"/>
  <c r="W129" i="5" s="1"/>
  <c r="H129" i="5"/>
  <c r="J129" i="5" s="1"/>
  <c r="L129" i="5" s="1"/>
  <c r="V128" i="5"/>
  <c r="X128" i="5" s="1"/>
  <c r="O128" i="5"/>
  <c r="W128" i="5" s="1"/>
  <c r="H128" i="5"/>
  <c r="J128" i="5" s="1"/>
  <c r="V127" i="5"/>
  <c r="P127" i="5"/>
  <c r="O127" i="5"/>
  <c r="W127" i="5" s="1"/>
  <c r="X127" i="5" s="1"/>
  <c r="J127" i="5"/>
  <c r="L127" i="5" s="1"/>
  <c r="X126" i="5"/>
  <c r="V126" i="5"/>
  <c r="O126" i="5"/>
  <c r="W126" i="5" s="1"/>
  <c r="J126" i="5"/>
  <c r="P126" i="5" s="1"/>
  <c r="W125" i="5"/>
  <c r="V125" i="5"/>
  <c r="O125" i="5"/>
  <c r="L125" i="5"/>
  <c r="J125" i="5"/>
  <c r="P125" i="5" s="1"/>
  <c r="H125" i="5"/>
  <c r="V124" i="5"/>
  <c r="O124" i="5"/>
  <c r="W124" i="5" s="1"/>
  <c r="H124" i="5"/>
  <c r="J124" i="5" s="1"/>
  <c r="W123" i="5"/>
  <c r="V123" i="5"/>
  <c r="O123" i="5"/>
  <c r="L123" i="5"/>
  <c r="J123" i="5"/>
  <c r="P123" i="5" s="1"/>
  <c r="V122" i="5"/>
  <c r="X122" i="5" s="1"/>
  <c r="O122" i="5"/>
  <c r="W122" i="5" s="1"/>
  <c r="J122" i="5"/>
  <c r="H122" i="5"/>
  <c r="V121" i="5"/>
  <c r="X121" i="5" s="1"/>
  <c r="O121" i="5"/>
  <c r="W121" i="5" s="1"/>
  <c r="J121" i="5"/>
  <c r="H121" i="5"/>
  <c r="V120" i="5"/>
  <c r="X120" i="5" s="1"/>
  <c r="O120" i="5"/>
  <c r="W120" i="5" s="1"/>
  <c r="J120" i="5"/>
  <c r="V119" i="5"/>
  <c r="O119" i="5"/>
  <c r="W119" i="5" s="1"/>
  <c r="L119" i="5"/>
  <c r="J119" i="5"/>
  <c r="P119" i="5" s="1"/>
  <c r="V118" i="5"/>
  <c r="O118" i="5"/>
  <c r="W118" i="5" s="1"/>
  <c r="L118" i="5"/>
  <c r="J118" i="5"/>
  <c r="V117" i="5"/>
  <c r="O117" i="5"/>
  <c r="W117" i="5" s="1"/>
  <c r="L117" i="5"/>
  <c r="J117" i="5"/>
  <c r="V116" i="5"/>
  <c r="O116" i="5"/>
  <c r="W116" i="5" s="1"/>
  <c r="J116" i="5"/>
  <c r="V115" i="5"/>
  <c r="O115" i="5"/>
  <c r="W115" i="5" s="1"/>
  <c r="X115" i="5" s="1"/>
  <c r="L115" i="5"/>
  <c r="J115" i="5"/>
  <c r="P115" i="5" s="1"/>
  <c r="V109" i="5"/>
  <c r="O109" i="5"/>
  <c r="W109" i="5" s="1"/>
  <c r="J109" i="5"/>
  <c r="P109" i="5" s="1"/>
  <c r="V108" i="5"/>
  <c r="O108" i="5"/>
  <c r="W108" i="5" s="1"/>
  <c r="L108" i="5"/>
  <c r="J108" i="5"/>
  <c r="T108" i="5" s="1"/>
  <c r="I108" i="5"/>
  <c r="V107" i="5"/>
  <c r="T107" i="5"/>
  <c r="O107" i="5"/>
  <c r="W107" i="5" s="1"/>
  <c r="X107" i="5" s="1"/>
  <c r="K107" i="5"/>
  <c r="J107" i="5"/>
  <c r="P107" i="5" s="1"/>
  <c r="I107" i="5"/>
  <c r="V106" i="5"/>
  <c r="X106" i="5" s="1"/>
  <c r="O106" i="5"/>
  <c r="W106" i="5" s="1"/>
  <c r="N106" i="5"/>
  <c r="N107" i="5" s="1"/>
  <c r="K106" i="5"/>
  <c r="J106" i="5"/>
  <c r="T106" i="5" s="1"/>
  <c r="I106" i="5"/>
  <c r="O105" i="5"/>
  <c r="W105" i="5" s="1"/>
  <c r="J105" i="5"/>
  <c r="I105" i="5"/>
  <c r="S104" i="5"/>
  <c r="S105" i="5" s="1"/>
  <c r="V105" i="5" s="1"/>
  <c r="O104" i="5"/>
  <c r="W104" i="5" s="1"/>
  <c r="N104" i="5"/>
  <c r="N105" i="5" s="1"/>
  <c r="J104" i="5"/>
  <c r="I104" i="5"/>
  <c r="G104" i="5"/>
  <c r="O103" i="5"/>
  <c r="W103" i="5" s="1"/>
  <c r="L103" i="5"/>
  <c r="J103" i="5"/>
  <c r="I103" i="5"/>
  <c r="W102" i="5"/>
  <c r="O102" i="5"/>
  <c r="J102" i="5"/>
  <c r="I102" i="5"/>
  <c r="O101" i="5"/>
  <c r="W101" i="5" s="1"/>
  <c r="L101" i="5"/>
  <c r="J101" i="5"/>
  <c r="I101" i="5"/>
  <c r="W100" i="5"/>
  <c r="O100" i="5"/>
  <c r="J100" i="5"/>
  <c r="I100" i="5"/>
  <c r="O99" i="5"/>
  <c r="W99" i="5" s="1"/>
  <c r="J99" i="5"/>
  <c r="I99" i="5"/>
  <c r="O98" i="5"/>
  <c r="W98" i="5" s="1"/>
  <c r="J98" i="5"/>
  <c r="I98" i="5"/>
  <c r="O97" i="5"/>
  <c r="W97" i="5" s="1"/>
  <c r="J97" i="5"/>
  <c r="I97" i="5"/>
  <c r="W96" i="5"/>
  <c r="V96" i="5"/>
  <c r="X96" i="5" s="1"/>
  <c r="L96" i="5"/>
  <c r="J96" i="5"/>
  <c r="T96" i="5" s="1"/>
  <c r="G96" i="5"/>
  <c r="I96" i="5" s="1"/>
  <c r="X95" i="5"/>
  <c r="V95" i="5"/>
  <c r="O95" i="5"/>
  <c r="W95" i="5" s="1"/>
  <c r="L95" i="5"/>
  <c r="J95" i="5"/>
  <c r="T95" i="5" s="1"/>
  <c r="I95" i="5"/>
  <c r="V94" i="5"/>
  <c r="T94" i="5"/>
  <c r="O94" i="5"/>
  <c r="W94" i="5" s="1"/>
  <c r="X94" i="5" s="1"/>
  <c r="J94" i="5"/>
  <c r="I94" i="5"/>
  <c r="W93" i="5"/>
  <c r="V93" i="5"/>
  <c r="O93" i="5"/>
  <c r="J93" i="5"/>
  <c r="L93" i="5" s="1"/>
  <c r="I93" i="5"/>
  <c r="V92" i="5"/>
  <c r="O92" i="5"/>
  <c r="W92" i="5" s="1"/>
  <c r="X92" i="5" s="1"/>
  <c r="L92" i="5"/>
  <c r="J92" i="5"/>
  <c r="T92" i="5" s="1"/>
  <c r="I92" i="5"/>
  <c r="V91" i="5"/>
  <c r="T91" i="5"/>
  <c r="O91" i="5"/>
  <c r="W91" i="5" s="1"/>
  <c r="J91" i="5"/>
  <c r="I91" i="5"/>
  <c r="W90" i="5"/>
  <c r="V90" i="5"/>
  <c r="J90" i="5"/>
  <c r="L90" i="5" s="1"/>
  <c r="I90" i="5"/>
  <c r="V89" i="5"/>
  <c r="T89" i="5"/>
  <c r="O89" i="5"/>
  <c r="W89" i="5" s="1"/>
  <c r="X89" i="5" s="1"/>
  <c r="J89" i="5"/>
  <c r="G89" i="5"/>
  <c r="I89" i="5" s="1"/>
  <c r="W88" i="5"/>
  <c r="P88" i="5"/>
  <c r="O88" i="5"/>
  <c r="J88" i="5"/>
  <c r="L88" i="5" s="1"/>
  <c r="I88" i="5"/>
  <c r="O87" i="5"/>
  <c r="W87" i="5" s="1"/>
  <c r="J87" i="5"/>
  <c r="P87" i="5" s="1"/>
  <c r="I87" i="5"/>
  <c r="O86" i="5"/>
  <c r="W86" i="5" s="1"/>
  <c r="J86" i="5"/>
  <c r="I86" i="5"/>
  <c r="O85" i="5"/>
  <c r="W85" i="5" s="1"/>
  <c r="J85" i="5"/>
  <c r="I85" i="5"/>
  <c r="O84" i="5"/>
  <c r="W84" i="5" s="1"/>
  <c r="H84" i="5"/>
  <c r="O83" i="5"/>
  <c r="W83" i="5" s="1"/>
  <c r="H83" i="5"/>
  <c r="I83" i="5" s="1"/>
  <c r="O82" i="5"/>
  <c r="W82" i="5" s="1"/>
  <c r="H82" i="5"/>
  <c r="J82" i="5" s="1"/>
  <c r="G82" i="5"/>
  <c r="J81" i="5"/>
  <c r="L81" i="5" s="1"/>
  <c r="I81" i="5"/>
  <c r="W80" i="5"/>
  <c r="S80" i="5"/>
  <c r="S88" i="5" s="1"/>
  <c r="O80" i="5"/>
  <c r="J80" i="5"/>
  <c r="P80" i="5" s="1"/>
  <c r="H80" i="5"/>
  <c r="G80" i="5"/>
  <c r="S79" i="5"/>
  <c r="O79" i="5"/>
  <c r="J79" i="5"/>
  <c r="I79" i="5"/>
  <c r="W78" i="5"/>
  <c r="S78" i="5"/>
  <c r="S86" i="5" s="1"/>
  <c r="S101" i="5" s="1"/>
  <c r="T101" i="5" s="1"/>
  <c r="O78" i="5"/>
  <c r="J78" i="5"/>
  <c r="K78" i="5" s="1"/>
  <c r="I78" i="5"/>
  <c r="S77" i="5"/>
  <c r="V77" i="5" s="1"/>
  <c r="X77" i="5" s="1"/>
  <c r="O77" i="5"/>
  <c r="W77" i="5" s="1"/>
  <c r="J77" i="5"/>
  <c r="L77" i="5" s="1"/>
  <c r="I77" i="5"/>
  <c r="S76" i="5"/>
  <c r="V76" i="5" s="1"/>
  <c r="X76" i="5" s="1"/>
  <c r="O76" i="5"/>
  <c r="W76" i="5" s="1"/>
  <c r="J76" i="5"/>
  <c r="K76" i="5" s="1"/>
  <c r="I76" i="5"/>
  <c r="G76" i="5"/>
  <c r="S75" i="5"/>
  <c r="O75" i="5"/>
  <c r="W75" i="5" s="1"/>
  <c r="L75" i="5"/>
  <c r="J75" i="5"/>
  <c r="K75" i="5" s="1"/>
  <c r="I75" i="5"/>
  <c r="S74" i="5"/>
  <c r="V74" i="5" s="1"/>
  <c r="O74" i="5"/>
  <c r="W74" i="5" s="1"/>
  <c r="J74" i="5"/>
  <c r="P74" i="5" s="1"/>
  <c r="I74" i="5"/>
  <c r="J73" i="5"/>
  <c r="T73" i="5" s="1"/>
  <c r="I73" i="5"/>
  <c r="P72" i="5"/>
  <c r="O72" i="5"/>
  <c r="J72" i="5"/>
  <c r="L72" i="5" s="1"/>
  <c r="I72" i="5"/>
  <c r="O71" i="5"/>
  <c r="J71" i="5"/>
  <c r="T71" i="5" s="1"/>
  <c r="G71" i="5"/>
  <c r="I71" i="5" s="1"/>
  <c r="T70" i="5"/>
  <c r="O70" i="5"/>
  <c r="J70" i="5"/>
  <c r="L70" i="5" s="1"/>
  <c r="I70" i="5"/>
  <c r="O69" i="5"/>
  <c r="J69" i="5"/>
  <c r="T69" i="5" s="1"/>
  <c r="G69" i="5"/>
  <c r="I69" i="5" s="1"/>
  <c r="X68" i="5"/>
  <c r="W68" i="5"/>
  <c r="V68" i="5"/>
  <c r="T68" i="5"/>
  <c r="R68" i="5"/>
  <c r="J68" i="5"/>
  <c r="L68" i="5" s="1"/>
  <c r="I68" i="5"/>
  <c r="V67" i="5"/>
  <c r="Q67" i="5"/>
  <c r="W67" i="5" s="1"/>
  <c r="J67" i="5"/>
  <c r="R67" i="5" s="1"/>
  <c r="R111" i="5" s="1"/>
  <c r="T160" i="5" s="1"/>
  <c r="V160" i="5" s="1"/>
  <c r="I67" i="5"/>
  <c r="O66" i="5"/>
  <c r="J66" i="5"/>
  <c r="T66" i="5" s="1"/>
  <c r="I66" i="5"/>
  <c r="O65" i="5"/>
  <c r="J65" i="5"/>
  <c r="T65" i="5" s="1"/>
  <c r="I65" i="5"/>
  <c r="S64" i="5"/>
  <c r="P64" i="5"/>
  <c r="O64" i="5"/>
  <c r="K64" i="5"/>
  <c r="J64" i="5"/>
  <c r="I64" i="5"/>
  <c r="S63" i="5"/>
  <c r="O63" i="5"/>
  <c r="J63" i="5"/>
  <c r="I63" i="5"/>
  <c r="O62" i="5"/>
  <c r="J62" i="5"/>
  <c r="I62" i="5"/>
  <c r="O61" i="5"/>
  <c r="J61" i="5"/>
  <c r="I61" i="5"/>
  <c r="O60" i="5"/>
  <c r="J60" i="5"/>
  <c r="I60" i="5"/>
  <c r="O59" i="5"/>
  <c r="J59" i="5"/>
  <c r="I59" i="5"/>
  <c r="O58" i="5"/>
  <c r="J58" i="5"/>
  <c r="I58" i="5"/>
  <c r="V57" i="5"/>
  <c r="O57" i="5"/>
  <c r="W57" i="5" s="1"/>
  <c r="I57" i="5"/>
  <c r="H57" i="5"/>
  <c r="J57" i="5" s="1"/>
  <c r="V56" i="5"/>
  <c r="O56" i="5"/>
  <c r="W56" i="5" s="1"/>
  <c r="N56" i="5"/>
  <c r="N57" i="5" s="1"/>
  <c r="H56" i="5"/>
  <c r="J56" i="5" s="1"/>
  <c r="G56" i="5"/>
  <c r="O55" i="5"/>
  <c r="J55" i="5"/>
  <c r="I55" i="5"/>
  <c r="V54" i="5"/>
  <c r="O54" i="5"/>
  <c r="W54" i="5" s="1"/>
  <c r="N54" i="5"/>
  <c r="T54" i="5" s="1"/>
  <c r="L54" i="5"/>
  <c r="J54" i="5"/>
  <c r="I54" i="5"/>
  <c r="O53" i="5"/>
  <c r="N53" i="5"/>
  <c r="T53" i="5" s="1"/>
  <c r="J53" i="5"/>
  <c r="K53" i="5" s="1"/>
  <c r="I53" i="5"/>
  <c r="V52" i="5"/>
  <c r="O52" i="5"/>
  <c r="W52" i="5" s="1"/>
  <c r="N52" i="5"/>
  <c r="K52" i="5"/>
  <c r="J52" i="5"/>
  <c r="I52" i="5"/>
  <c r="O51" i="5"/>
  <c r="J51" i="5"/>
  <c r="P51" i="5" s="1"/>
  <c r="I51" i="5"/>
  <c r="V50" i="5"/>
  <c r="O50" i="5"/>
  <c r="W50" i="5" s="1"/>
  <c r="N50" i="5"/>
  <c r="T50" i="5" s="1"/>
  <c r="K50" i="5"/>
  <c r="J50" i="5"/>
  <c r="L50" i="5" s="1"/>
  <c r="I50" i="5"/>
  <c r="V49" i="5"/>
  <c r="O49" i="5"/>
  <c r="W49" i="5" s="1"/>
  <c r="X49" i="5" s="1"/>
  <c r="H49" i="5"/>
  <c r="J49" i="5" s="1"/>
  <c r="V48" i="5"/>
  <c r="O48" i="5"/>
  <c r="W48" i="5" s="1"/>
  <c r="N48" i="5"/>
  <c r="N49" i="5" s="1"/>
  <c r="H48" i="5"/>
  <c r="J48" i="5" s="1"/>
  <c r="G48" i="5"/>
  <c r="O47" i="5"/>
  <c r="J47" i="5"/>
  <c r="I47" i="5"/>
  <c r="V46" i="5"/>
  <c r="O46" i="5"/>
  <c r="W46" i="5" s="1"/>
  <c r="X46" i="5" s="1"/>
  <c r="N46" i="5"/>
  <c r="N47" i="5" s="1"/>
  <c r="J46" i="5"/>
  <c r="K46" i="5" s="1"/>
  <c r="I46" i="5"/>
  <c r="V45" i="5"/>
  <c r="O45" i="5"/>
  <c r="W45" i="5" s="1"/>
  <c r="H45" i="5"/>
  <c r="J45" i="5" s="1"/>
  <c r="V44" i="5"/>
  <c r="O44" i="5"/>
  <c r="W44" i="5" s="1"/>
  <c r="N44" i="5"/>
  <c r="N45" i="5" s="1"/>
  <c r="J44" i="5"/>
  <c r="T44" i="5" s="1"/>
  <c r="H44" i="5"/>
  <c r="I44" i="5" s="1"/>
  <c r="G44" i="5"/>
  <c r="D42" i="5"/>
  <c r="W39" i="5"/>
  <c r="V39" i="5"/>
  <c r="X39" i="5" s="1"/>
  <c r="J39" i="5"/>
  <c r="R39" i="5" s="1"/>
  <c r="T162" i="5" s="1"/>
  <c r="V162" i="5" s="1"/>
  <c r="I39" i="5"/>
  <c r="V38" i="5"/>
  <c r="X38" i="5" s="1"/>
  <c r="V37" i="5"/>
  <c r="Q37" i="5"/>
  <c r="W37" i="5" s="1"/>
  <c r="J37" i="5"/>
  <c r="K37" i="5" s="1"/>
  <c r="K42" i="5" s="1"/>
  <c r="I37" i="5"/>
  <c r="W36" i="5"/>
  <c r="V36" i="5"/>
  <c r="Q36" i="5"/>
  <c r="L36" i="5"/>
  <c r="K36" i="5"/>
  <c r="J36" i="5"/>
  <c r="I36" i="5"/>
  <c r="W35" i="5"/>
  <c r="X35" i="5" s="1"/>
  <c r="V35" i="5"/>
  <c r="H35" i="5"/>
  <c r="J35" i="5" s="1"/>
  <c r="L35" i="5" s="1"/>
  <c r="W34" i="5"/>
  <c r="X34" i="5" s="1"/>
  <c r="J34" i="5"/>
  <c r="L34" i="5" s="1"/>
  <c r="I34" i="5"/>
  <c r="W33" i="5"/>
  <c r="X33" i="5" s="1"/>
  <c r="J33" i="5"/>
  <c r="T33" i="5" s="1"/>
  <c r="I33" i="5"/>
  <c r="W32" i="5"/>
  <c r="X32" i="5" s="1"/>
  <c r="T32" i="5"/>
  <c r="L32" i="5"/>
  <c r="J32" i="5"/>
  <c r="I32" i="5"/>
  <c r="F32" i="5"/>
  <c r="F41" i="5" s="1"/>
  <c r="V31" i="5"/>
  <c r="O31" i="5"/>
  <c r="W31" i="5" s="1"/>
  <c r="J31" i="5"/>
  <c r="T31" i="5" s="1"/>
  <c r="I31" i="5"/>
  <c r="V30" i="5"/>
  <c r="O30" i="5"/>
  <c r="W30" i="5" s="1"/>
  <c r="L30" i="5"/>
  <c r="J30" i="5"/>
  <c r="T30" i="5" s="1"/>
  <c r="I30" i="5"/>
  <c r="V29" i="5"/>
  <c r="X29" i="5" s="1"/>
  <c r="O29" i="5"/>
  <c r="W29" i="5" s="1"/>
  <c r="J29" i="5"/>
  <c r="T29" i="5" s="1"/>
  <c r="I29" i="5"/>
  <c r="W28" i="5"/>
  <c r="V28" i="5"/>
  <c r="X28" i="5" s="1"/>
  <c r="J28" i="5"/>
  <c r="L28" i="5" s="1"/>
  <c r="I28" i="5"/>
  <c r="V27" i="5"/>
  <c r="O27" i="5"/>
  <c r="J27" i="5"/>
  <c r="T27" i="5" s="1"/>
  <c r="I27" i="5"/>
  <c r="V26" i="5"/>
  <c r="O26" i="5"/>
  <c r="W26" i="5" s="1"/>
  <c r="J26" i="5"/>
  <c r="T26" i="5" s="1"/>
  <c r="I26" i="5"/>
  <c r="V25" i="5"/>
  <c r="O25" i="5"/>
  <c r="W25" i="5" s="1"/>
  <c r="J25" i="5"/>
  <c r="I25" i="5"/>
  <c r="V24" i="5"/>
  <c r="O24" i="5"/>
  <c r="W24" i="5" s="1"/>
  <c r="L24" i="5"/>
  <c r="J24" i="5"/>
  <c r="T24" i="5" s="1"/>
  <c r="I24" i="5"/>
  <c r="V23" i="5"/>
  <c r="X23" i="5" s="1"/>
  <c r="O23" i="5"/>
  <c r="W23" i="5" s="1"/>
  <c r="J23" i="5"/>
  <c r="I23" i="5"/>
  <c r="V22" i="5"/>
  <c r="T22" i="5"/>
  <c r="O22" i="5"/>
  <c r="W22" i="5" s="1"/>
  <c r="X22" i="5" s="1"/>
  <c r="J22" i="5"/>
  <c r="I22" i="5"/>
  <c r="V21" i="5"/>
  <c r="X21" i="5" s="1"/>
  <c r="O21" i="5"/>
  <c r="W21" i="5" s="1"/>
  <c r="J21" i="5"/>
  <c r="I21" i="5"/>
  <c r="V20" i="5"/>
  <c r="X20" i="5" s="1"/>
  <c r="P20" i="5"/>
  <c r="O20" i="5"/>
  <c r="W20" i="5" s="1"/>
  <c r="J20" i="5"/>
  <c r="I20" i="5"/>
  <c r="E20" i="5"/>
  <c r="E41" i="5" s="1"/>
  <c r="V19" i="5"/>
  <c r="O19" i="5"/>
  <c r="W19" i="5" s="1"/>
  <c r="H19" i="5"/>
  <c r="V18" i="5"/>
  <c r="T18" i="5"/>
  <c r="O18" i="5"/>
  <c r="W18" i="5" s="1"/>
  <c r="X18" i="5" s="1"/>
  <c r="K18" i="5"/>
  <c r="J18" i="5"/>
  <c r="I18" i="5"/>
  <c r="W17" i="5"/>
  <c r="V17" i="5"/>
  <c r="O17" i="5"/>
  <c r="J17" i="5"/>
  <c r="I17" i="5"/>
  <c r="V16" i="5"/>
  <c r="O16" i="5"/>
  <c r="W16" i="5" s="1"/>
  <c r="L16" i="5"/>
  <c r="J16" i="5"/>
  <c r="I16" i="5"/>
  <c r="V15" i="5"/>
  <c r="P15" i="5"/>
  <c r="O15" i="5"/>
  <c r="W15" i="5" s="1"/>
  <c r="X15" i="5" s="1"/>
  <c r="L15" i="5"/>
  <c r="J15" i="5"/>
  <c r="I15" i="5"/>
  <c r="V14" i="5"/>
  <c r="O14" i="5"/>
  <c r="W14" i="5" s="1"/>
  <c r="X14" i="5" s="1"/>
  <c r="N14" i="5"/>
  <c r="N15" i="5" s="1"/>
  <c r="N16" i="5" s="1"/>
  <c r="N17" i="5" s="1"/>
  <c r="J14" i="5"/>
  <c r="P14" i="5" s="1"/>
  <c r="I14" i="5"/>
  <c r="W13" i="5"/>
  <c r="V13" i="5"/>
  <c r="O13" i="5"/>
  <c r="L13" i="5"/>
  <c r="J13" i="5"/>
  <c r="T13" i="5" s="1"/>
  <c r="I13" i="5"/>
  <c r="V12" i="5"/>
  <c r="O12" i="5"/>
  <c r="W12" i="5" s="1"/>
  <c r="J12" i="5"/>
  <c r="I12" i="5"/>
  <c r="V11" i="5"/>
  <c r="O11" i="5"/>
  <c r="W11" i="5" s="1"/>
  <c r="J11" i="5"/>
  <c r="I11" i="5"/>
  <c r="V10" i="5"/>
  <c r="P10" i="5"/>
  <c r="O10" i="5"/>
  <c r="W10" i="5" s="1"/>
  <c r="J10" i="5"/>
  <c r="I10" i="5"/>
  <c r="V9" i="5"/>
  <c r="O9" i="5"/>
  <c r="W9" i="5" s="1"/>
  <c r="L9" i="5"/>
  <c r="J9" i="5"/>
  <c r="P9" i="5" s="1"/>
  <c r="I9" i="5"/>
  <c r="V8" i="5"/>
  <c r="O8" i="5"/>
  <c r="W8" i="5" s="1"/>
  <c r="X8" i="5" s="1"/>
  <c r="N8" i="5"/>
  <c r="N9" i="5" s="1"/>
  <c r="N10" i="5" s="1"/>
  <c r="N11" i="5" s="1"/>
  <c r="K8" i="5"/>
  <c r="J8" i="5"/>
  <c r="I8" i="5"/>
  <c r="G8" i="5"/>
  <c r="G41" i="5" s="1"/>
  <c r="Z56" i="4"/>
  <c r="Z55" i="4"/>
  <c r="Z54" i="4"/>
  <c r="Z53" i="4"/>
  <c r="Z50" i="4"/>
  <c r="Z49" i="4"/>
  <c r="Z48" i="4"/>
  <c r="Z47" i="4"/>
  <c r="Z44" i="4"/>
  <c r="Z43" i="4"/>
  <c r="Z42" i="4"/>
  <c r="Z41" i="4"/>
  <c r="Z38" i="4"/>
  <c r="Z37" i="4"/>
  <c r="Z36" i="4"/>
  <c r="Z35" i="4"/>
  <c r="Z32" i="4"/>
  <c r="Z31" i="4"/>
  <c r="Z30" i="4"/>
  <c r="Z29" i="4"/>
  <c r="Z26" i="4"/>
  <c r="Z25" i="4"/>
  <c r="Z24" i="4"/>
  <c r="Z23" i="4"/>
  <c r="H21" i="4"/>
  <c r="H23" i="4" s="1"/>
  <c r="Z20" i="4"/>
  <c r="Z19" i="4"/>
  <c r="Z18" i="4"/>
  <c r="Z17" i="4"/>
  <c r="Z14" i="4"/>
  <c r="Z13" i="4"/>
  <c r="Z12" i="4"/>
  <c r="Z11" i="4"/>
  <c r="E9" i="4"/>
  <c r="Z8" i="4"/>
  <c r="E8" i="4"/>
  <c r="U7" i="4" s="1"/>
  <c r="V7" i="4" s="1"/>
  <c r="Z7" i="4"/>
  <c r="E7" i="4"/>
  <c r="H7" i="4" s="1"/>
  <c r="Z6" i="4"/>
  <c r="Z5" i="4"/>
  <c r="U5" i="4"/>
  <c r="V5" i="4" s="1"/>
  <c r="E10" i="4" s="1"/>
  <c r="E12" i="4" s="1"/>
  <c r="Z56" i="3"/>
  <c r="Z55" i="3"/>
  <c r="Z54" i="3"/>
  <c r="Z53" i="3"/>
  <c r="Z50" i="3"/>
  <c r="Z49" i="3"/>
  <c r="Z48" i="3"/>
  <c r="Z47" i="3"/>
  <c r="Z44" i="3"/>
  <c r="Z43" i="3"/>
  <c r="Z42" i="3"/>
  <c r="Z41" i="3"/>
  <c r="Z38" i="3"/>
  <c r="Z37" i="3"/>
  <c r="Z36" i="3"/>
  <c r="Z35" i="3"/>
  <c r="Z32" i="3"/>
  <c r="Z31" i="3"/>
  <c r="Z30" i="3"/>
  <c r="Z29" i="3"/>
  <c r="Z26" i="3"/>
  <c r="Z25" i="3"/>
  <c r="Z24" i="3"/>
  <c r="Z23" i="3"/>
  <c r="H21" i="3"/>
  <c r="H23" i="3" s="1"/>
  <c r="Z20" i="3"/>
  <c r="Z19" i="3"/>
  <c r="Z18" i="3"/>
  <c r="Z17" i="3"/>
  <c r="Z14" i="3"/>
  <c r="Z13" i="3"/>
  <c r="Z12" i="3"/>
  <c r="Z11" i="3"/>
  <c r="E9" i="3"/>
  <c r="Z8" i="3"/>
  <c r="U8" i="3"/>
  <c r="V8" i="3" s="1"/>
  <c r="E8" i="3"/>
  <c r="U7" i="3" s="1"/>
  <c r="V7" i="3" s="1"/>
  <c r="W7" i="3" s="1"/>
  <c r="X7" i="3" s="1"/>
  <c r="Y7" i="3" s="1"/>
  <c r="AA7" i="3" s="1"/>
  <c r="AB7" i="3" s="1"/>
  <c r="AC7" i="3" s="1"/>
  <c r="AF7" i="3" s="1"/>
  <c r="AJ22" i="3" s="1"/>
  <c r="Z7" i="3"/>
  <c r="E7" i="3"/>
  <c r="H7" i="3" s="1"/>
  <c r="Z6" i="3"/>
  <c r="Z5" i="3"/>
  <c r="B270" i="2"/>
  <c r="C268" i="2" s="1"/>
  <c r="B266" i="2"/>
  <c r="B273" i="2" s="1"/>
  <c r="C273" i="2" s="1"/>
  <c r="D251" i="2"/>
  <c r="C250" i="2"/>
  <c r="D250" i="2" s="1"/>
  <c r="C249" i="2"/>
  <c r="D249" i="2" s="1"/>
  <c r="C248" i="2"/>
  <c r="D248" i="2" s="1"/>
  <c r="C247" i="2"/>
  <c r="D247" i="2" s="1"/>
  <c r="B247" i="2"/>
  <c r="C246" i="2"/>
  <c r="D246" i="2" s="1"/>
  <c r="B246" i="2"/>
  <c r="C245" i="2"/>
  <c r="D245" i="2" s="1"/>
  <c r="B245" i="2"/>
  <c r="B239" i="2"/>
  <c r="B237" i="2"/>
  <c r="B257" i="2" s="1"/>
  <c r="B235" i="2"/>
  <c r="B231" i="2"/>
  <c r="C216" i="2"/>
  <c r="B216" i="2"/>
  <c r="C215" i="2"/>
  <c r="B215" i="2"/>
  <c r="B208" i="2"/>
  <c r="B200" i="2"/>
  <c r="B210" i="2" s="1"/>
  <c r="D191" i="2"/>
  <c r="B189" i="2"/>
  <c r="C188" i="2" s="1"/>
  <c r="C186" i="2"/>
  <c r="C185" i="2"/>
  <c r="C183" i="2"/>
  <c r="C181" i="2"/>
  <c r="C179" i="2"/>
  <c r="D175" i="2"/>
  <c r="C172" i="2"/>
  <c r="C171" i="2"/>
  <c r="C170" i="2"/>
  <c r="C169" i="2"/>
  <c r="C168" i="2"/>
  <c r="C167" i="2"/>
  <c r="C166" i="2"/>
  <c r="C165" i="2"/>
  <c r="C164" i="2"/>
  <c r="C163" i="2"/>
  <c r="D159" i="2"/>
  <c r="B157" i="2"/>
  <c r="C156" i="2" s="1"/>
  <c r="C153" i="2"/>
  <c r="C150" i="2"/>
  <c r="C149" i="2"/>
  <c r="B140" i="2"/>
  <c r="C142" i="2" s="1"/>
  <c r="B139" i="2"/>
  <c r="C120" i="2"/>
  <c r="D120" i="2" s="1"/>
  <c r="C114" i="2"/>
  <c r="D105" i="2"/>
  <c r="C105" i="2"/>
  <c r="D97" i="2"/>
  <c r="C93" i="2"/>
  <c r="B86" i="2"/>
  <c r="C85" i="2"/>
  <c r="C86" i="2" s="1"/>
  <c r="E67" i="2"/>
  <c r="D67" i="2"/>
  <c r="C67" i="2"/>
  <c r="F67" i="2" s="1"/>
  <c r="B67" i="2"/>
  <c r="A67" i="2"/>
  <c r="D66" i="2"/>
  <c r="C66" i="2"/>
  <c r="B66" i="2"/>
  <c r="E65" i="2"/>
  <c r="E61" i="2"/>
  <c r="F61" i="2" s="1"/>
  <c r="B61" i="2"/>
  <c r="F60" i="2"/>
  <c r="E59" i="2"/>
  <c r="F59" i="2" s="1"/>
  <c r="E58" i="2"/>
  <c r="C57" i="2"/>
  <c r="F57" i="2" s="1"/>
  <c r="B57" i="2"/>
  <c r="D56" i="2"/>
  <c r="C56" i="2"/>
  <c r="B56" i="2"/>
  <c r="B74" i="2" s="1"/>
  <c r="B76" i="2" s="1"/>
  <c r="D76" i="2" s="1"/>
  <c r="D79" i="2" s="1"/>
  <c r="D55" i="2"/>
  <c r="D65" i="2" s="1"/>
  <c r="D68" i="2" s="1"/>
  <c r="C55" i="2"/>
  <c r="C65" i="2" s="1"/>
  <c r="B55" i="2"/>
  <c r="B65" i="2" s="1"/>
  <c r="B68" i="2" s="1"/>
  <c r="D47" i="2"/>
  <c r="B46" i="2"/>
  <c r="D45" i="2"/>
  <c r="D44" i="2"/>
  <c r="D40" i="2"/>
  <c r="D31" i="2"/>
  <c r="D29" i="2"/>
  <c r="D28" i="2"/>
  <c r="C27" i="2"/>
  <c r="D27" i="2" s="1"/>
  <c r="D26" i="2"/>
  <c r="H23" i="2"/>
  <c r="G23" i="2"/>
  <c r="F23" i="2"/>
  <c r="E23" i="2"/>
  <c r="I20" i="2"/>
  <c r="D20" i="2"/>
  <c r="F19" i="2"/>
  <c r="C129" i="2" s="1"/>
  <c r="E19" i="2"/>
  <c r="B129" i="2" s="1"/>
  <c r="C19" i="2"/>
  <c r="E18" i="2"/>
  <c r="B114" i="2" s="1"/>
  <c r="H16" i="2"/>
  <c r="G16" i="2"/>
  <c r="F16" i="2"/>
  <c r="E16" i="2"/>
  <c r="I16" i="2" s="1"/>
  <c r="D15" i="2"/>
  <c r="J15" i="2" s="1"/>
  <c r="G14" i="2"/>
  <c r="E14" i="2"/>
  <c r="C14" i="2"/>
  <c r="H13" i="2"/>
  <c r="H12" i="2" s="1"/>
  <c r="G13" i="2"/>
  <c r="E13" i="2"/>
  <c r="G12" i="2"/>
  <c r="E12" i="2"/>
  <c r="C11" i="2"/>
  <c r="H10" i="2"/>
  <c r="H11" i="2" s="1"/>
  <c r="G10" i="2"/>
  <c r="G11" i="2" s="1"/>
  <c r="E10" i="2"/>
  <c r="E11" i="2" s="1"/>
  <c r="I11" i="2" s="1"/>
  <c r="C10" i="2"/>
  <c r="D10" i="2" s="1"/>
  <c r="F9" i="2"/>
  <c r="E9" i="2"/>
  <c r="I9" i="2" s="1"/>
  <c r="G8" i="2"/>
  <c r="F8" i="2"/>
  <c r="E8" i="2"/>
  <c r="H7" i="2"/>
  <c r="G7" i="2"/>
  <c r="F7" i="2"/>
  <c r="F17" i="2" s="1"/>
  <c r="C7" i="2"/>
  <c r="N83" i="1"/>
  <c r="M83" i="1"/>
  <c r="L83" i="1"/>
  <c r="K83" i="1"/>
  <c r="J83" i="1"/>
  <c r="G83" i="1"/>
  <c r="C83" i="1"/>
  <c r="F83" i="1" s="1"/>
  <c r="C76" i="1"/>
  <c r="F76" i="1" s="1"/>
  <c r="F75" i="1"/>
  <c r="I75" i="1" s="1"/>
  <c r="P75" i="1" s="1"/>
  <c r="F74" i="1"/>
  <c r="E73" i="1"/>
  <c r="C73" i="1"/>
  <c r="F73" i="1" s="1"/>
  <c r="F72" i="1"/>
  <c r="C72" i="1"/>
  <c r="C71" i="1"/>
  <c r="F71" i="1" s="1"/>
  <c r="D70" i="1"/>
  <c r="F70" i="1" s="1"/>
  <c r="C70" i="1"/>
  <c r="D121" i="2" s="1"/>
  <c r="C69" i="1"/>
  <c r="F69" i="1" s="1"/>
  <c r="N68" i="1"/>
  <c r="M68" i="1"/>
  <c r="L68" i="1"/>
  <c r="K68" i="1"/>
  <c r="J68" i="1"/>
  <c r="G68" i="1"/>
  <c r="D68" i="1"/>
  <c r="F68" i="1" s="1"/>
  <c r="N67" i="1"/>
  <c r="M67" i="1"/>
  <c r="L67" i="1"/>
  <c r="K67" i="1"/>
  <c r="J67" i="1"/>
  <c r="G67" i="1"/>
  <c r="D67" i="1"/>
  <c r="F67" i="1" s="1"/>
  <c r="I67" i="1" s="1"/>
  <c r="P67" i="1" s="1"/>
  <c r="G66" i="1"/>
  <c r="D66" i="1"/>
  <c r="C66" i="1"/>
  <c r="F65" i="1"/>
  <c r="N64" i="1"/>
  <c r="M64" i="1"/>
  <c r="L64" i="1"/>
  <c r="K64" i="1"/>
  <c r="J64" i="1"/>
  <c r="G64" i="1"/>
  <c r="D64" i="1"/>
  <c r="C64" i="1"/>
  <c r="L63" i="1"/>
  <c r="K63" i="1"/>
  <c r="J63" i="1"/>
  <c r="G63" i="1"/>
  <c r="I63" i="1" s="1"/>
  <c r="D63" i="1"/>
  <c r="C63" i="1"/>
  <c r="F63" i="1" s="1"/>
  <c r="C62" i="1"/>
  <c r="F62" i="1" s="1"/>
  <c r="D61" i="1"/>
  <c r="C61" i="1"/>
  <c r="D60" i="1"/>
  <c r="C60" i="1"/>
  <c r="C59" i="1"/>
  <c r="F59" i="1" s="1"/>
  <c r="C58" i="1"/>
  <c r="F58" i="1" s="1"/>
  <c r="C57" i="1"/>
  <c r="F57" i="1" s="1"/>
  <c r="C56" i="1"/>
  <c r="F56" i="1" s="1"/>
  <c r="V55" i="1"/>
  <c r="T55" i="1"/>
  <c r="S55" i="1"/>
  <c r="C55" i="1"/>
  <c r="F55" i="1" s="1"/>
  <c r="V54" i="1"/>
  <c r="V56" i="1" s="1"/>
  <c r="T54" i="1"/>
  <c r="T56" i="1" s="1"/>
  <c r="S54" i="1"/>
  <c r="S56" i="1" s="1"/>
  <c r="F54" i="1"/>
  <c r="C54" i="1"/>
  <c r="D53" i="1"/>
  <c r="C53" i="1"/>
  <c r="F53" i="1" s="1"/>
  <c r="D52" i="1"/>
  <c r="C52" i="1"/>
  <c r="D133" i="2" s="1"/>
  <c r="V51" i="1"/>
  <c r="T51" i="1"/>
  <c r="S51" i="1"/>
  <c r="F51" i="1"/>
  <c r="V50" i="1"/>
  <c r="V52" i="1" s="1"/>
  <c r="T50" i="1"/>
  <c r="T52" i="1" s="1"/>
  <c r="S50" i="1"/>
  <c r="S52" i="1" s="1"/>
  <c r="E50" i="1"/>
  <c r="D50" i="1"/>
  <c r="C50" i="1"/>
  <c r="F50" i="1" s="1"/>
  <c r="C49" i="1"/>
  <c r="F49" i="1" s="1"/>
  <c r="C48" i="1"/>
  <c r="F48" i="1" s="1"/>
  <c r="C47" i="1"/>
  <c r="F47" i="1" s="1"/>
  <c r="V46" i="1"/>
  <c r="T46" i="1"/>
  <c r="S46" i="1"/>
  <c r="R46" i="1"/>
  <c r="D46" i="1"/>
  <c r="C46" i="1"/>
  <c r="D106" i="2" s="1"/>
  <c r="D45" i="1"/>
  <c r="F45" i="1" s="1"/>
  <c r="I45" i="1" s="1"/>
  <c r="T44" i="1"/>
  <c r="S44" i="1"/>
  <c r="R44" i="1"/>
  <c r="M44" i="1"/>
  <c r="L44" i="1"/>
  <c r="G44" i="1"/>
  <c r="D44" i="1"/>
  <c r="C44" i="1"/>
  <c r="D50" i="2" s="1"/>
  <c r="V43" i="1"/>
  <c r="U43" i="1"/>
  <c r="T43" i="1"/>
  <c r="S43" i="1"/>
  <c r="R43" i="1"/>
  <c r="G43" i="1"/>
  <c r="C43" i="1"/>
  <c r="F43" i="1" s="1"/>
  <c r="I43" i="1" s="1"/>
  <c r="V42" i="1"/>
  <c r="U42" i="1"/>
  <c r="T42" i="1"/>
  <c r="S42" i="1"/>
  <c r="R42" i="1"/>
  <c r="F42" i="1"/>
  <c r="I42" i="1" s="1"/>
  <c r="P42" i="1" s="1"/>
  <c r="V41" i="1"/>
  <c r="U41" i="1"/>
  <c r="T41" i="1"/>
  <c r="S41" i="1"/>
  <c r="S48" i="1" s="1"/>
  <c r="R41" i="1"/>
  <c r="G41" i="1"/>
  <c r="D41" i="1"/>
  <c r="C41" i="1"/>
  <c r="F41" i="1" s="1"/>
  <c r="I41" i="1" s="1"/>
  <c r="P40" i="1"/>
  <c r="K40" i="1"/>
  <c r="I39" i="1"/>
  <c r="J39" i="1" s="1"/>
  <c r="P39" i="1" s="1"/>
  <c r="D39" i="1"/>
  <c r="F38" i="1"/>
  <c r="C38" i="1"/>
  <c r="F37" i="1"/>
  <c r="I37" i="1" s="1"/>
  <c r="P37" i="1" s="1"/>
  <c r="D36" i="1"/>
  <c r="D77" i="1" s="1"/>
  <c r="C36" i="1"/>
  <c r="C35" i="1"/>
  <c r="F35" i="1" s="1"/>
  <c r="T34" i="1"/>
  <c r="S34" i="1"/>
  <c r="E34" i="1"/>
  <c r="C34" i="1"/>
  <c r="E33" i="1"/>
  <c r="C33" i="1"/>
  <c r="V32" i="1"/>
  <c r="M74" i="1" s="1"/>
  <c r="U32" i="1"/>
  <c r="C32" i="1"/>
  <c r="F32" i="1" s="1"/>
  <c r="V31" i="1"/>
  <c r="N74" i="1" s="1"/>
  <c r="U31" i="1"/>
  <c r="W31" i="1" s="1"/>
  <c r="C31" i="1"/>
  <c r="F31" i="1" s="1"/>
  <c r="V30" i="1"/>
  <c r="L74" i="1" s="1"/>
  <c r="U30" i="1"/>
  <c r="C30" i="1"/>
  <c r="F30" i="1" s="1"/>
  <c r="V29" i="1"/>
  <c r="K74" i="1" s="1"/>
  <c r="U29" i="1"/>
  <c r="W29" i="1" s="1"/>
  <c r="C29" i="1"/>
  <c r="F29" i="1" s="1"/>
  <c r="C28" i="1"/>
  <c r="F28" i="1" s="1"/>
  <c r="V27" i="1"/>
  <c r="J74" i="1" s="1"/>
  <c r="U27" i="1"/>
  <c r="U34" i="1" s="1"/>
  <c r="F27" i="1"/>
  <c r="E26" i="1"/>
  <c r="E77" i="1" s="1"/>
  <c r="C26" i="1"/>
  <c r="C25" i="1"/>
  <c r="F25" i="1" s="1"/>
  <c r="E22" i="1"/>
  <c r="I21" i="1"/>
  <c r="L21" i="1" s="1"/>
  <c r="G21" i="1"/>
  <c r="C21" i="1"/>
  <c r="B16" i="2" s="1"/>
  <c r="D16" i="2" s="1"/>
  <c r="G20" i="1"/>
  <c r="F20" i="1"/>
  <c r="P20" i="1" s="1"/>
  <c r="D19" i="1"/>
  <c r="C19" i="1"/>
  <c r="B19" i="2" s="1"/>
  <c r="D19" i="2" s="1"/>
  <c r="T18" i="1"/>
  <c r="U18" i="1" s="1"/>
  <c r="G18" i="1"/>
  <c r="D18" i="1"/>
  <c r="C18" i="1"/>
  <c r="B18" i="2" s="1"/>
  <c r="D18" i="2" s="1"/>
  <c r="T17" i="1"/>
  <c r="S17" i="1"/>
  <c r="I17" i="1"/>
  <c r="G17" i="1"/>
  <c r="D17" i="1"/>
  <c r="C17" i="1"/>
  <c r="B14" i="2" s="1"/>
  <c r="D14" i="2" s="1"/>
  <c r="T16" i="1"/>
  <c r="I16" i="1"/>
  <c r="G16" i="1"/>
  <c r="C16" i="1"/>
  <c r="T15" i="1"/>
  <c r="S15" i="1"/>
  <c r="I15" i="1"/>
  <c r="K15" i="1" s="1"/>
  <c r="C15" i="1"/>
  <c r="B12" i="2" s="1"/>
  <c r="D12" i="2" s="1"/>
  <c r="T14" i="1"/>
  <c r="S14" i="1"/>
  <c r="U14" i="1" s="1"/>
  <c r="I14" i="1"/>
  <c r="J14" i="1" s="1"/>
  <c r="G14" i="1"/>
  <c r="D14" i="1"/>
  <c r="C14" i="1"/>
  <c r="B11" i="2" s="1"/>
  <c r="D11" i="2" s="1"/>
  <c r="T13" i="1"/>
  <c r="I13" i="1"/>
  <c r="J13" i="1" s="1"/>
  <c r="G13" i="1"/>
  <c r="D13" i="1"/>
  <c r="F13" i="1" s="1"/>
  <c r="P13" i="1" s="1"/>
  <c r="T12" i="1"/>
  <c r="I12" i="1"/>
  <c r="N12" i="1" s="1"/>
  <c r="G12" i="1"/>
  <c r="D12" i="1"/>
  <c r="C12" i="1"/>
  <c r="B9" i="2" s="1"/>
  <c r="I11" i="1"/>
  <c r="G11" i="1"/>
  <c r="D11" i="1"/>
  <c r="C11" i="1"/>
  <c r="B8" i="2" s="1"/>
  <c r="D8" i="2" s="1"/>
  <c r="G10" i="1"/>
  <c r="D10" i="1"/>
  <c r="C10" i="1"/>
  <c r="B7" i="2" s="1"/>
  <c r="F5" i="1"/>
  <c r="G15" i="1" l="1"/>
  <c r="D216" i="2"/>
  <c r="F60" i="1"/>
  <c r="F34" i="1"/>
  <c r="U48" i="1"/>
  <c r="U60" i="1" s="1"/>
  <c r="F61" i="1"/>
  <c r="I83" i="1"/>
  <c r="E7" i="2"/>
  <c r="I8" i="2"/>
  <c r="I13" i="2"/>
  <c r="I14" i="2"/>
  <c r="J14" i="2" s="1"/>
  <c r="V48" i="1"/>
  <c r="V60" i="1" s="1"/>
  <c r="C217" i="2"/>
  <c r="D32" i="2"/>
  <c r="C9" i="2"/>
  <c r="D9" i="2" s="1"/>
  <c r="J9" i="2" s="1"/>
  <c r="AJ31" i="4"/>
  <c r="W7" i="4"/>
  <c r="X7" i="4" s="1"/>
  <c r="Y7" i="4" s="1"/>
  <c r="AA7" i="4" s="1"/>
  <c r="AB7" i="4" s="1"/>
  <c r="AC7" i="4" s="1"/>
  <c r="AF7" i="4" s="1"/>
  <c r="AJ22" i="4" s="1"/>
  <c r="T21" i="1"/>
  <c r="D22" i="1"/>
  <c r="F12" i="1"/>
  <c r="P12" i="1" s="1"/>
  <c r="F14" i="1"/>
  <c r="P14" i="1" s="1"/>
  <c r="F19" i="1"/>
  <c r="P19" i="1" s="1"/>
  <c r="X29" i="1"/>
  <c r="X31" i="1"/>
  <c r="F33" i="1"/>
  <c r="T48" i="1"/>
  <c r="T60" i="1" s="1"/>
  <c r="G17" i="2"/>
  <c r="G21" i="2" s="1"/>
  <c r="D129" i="2"/>
  <c r="D215" i="2"/>
  <c r="B252" i="2"/>
  <c r="U6" i="4"/>
  <c r="V6" i="4" s="1"/>
  <c r="AJ30" i="4" s="1"/>
  <c r="P21" i="5"/>
  <c r="L21" i="5"/>
  <c r="T25" i="5"/>
  <c r="L25" i="5"/>
  <c r="G22" i="1"/>
  <c r="U15" i="1"/>
  <c r="H17" i="2"/>
  <c r="H21" i="2" s="1"/>
  <c r="I12" i="2"/>
  <c r="D86" i="2"/>
  <c r="X9" i="5"/>
  <c r="T10" i="5"/>
  <c r="K10" i="5"/>
  <c r="T15" i="5"/>
  <c r="K15" i="5"/>
  <c r="K21" i="5"/>
  <c r="W27" i="5"/>
  <c r="P27" i="5"/>
  <c r="F15" i="1"/>
  <c r="P15" i="1" s="1"/>
  <c r="F26" i="1"/>
  <c r="F36" i="1"/>
  <c r="F64" i="1"/>
  <c r="I64" i="1" s="1"/>
  <c r="P64" i="1" s="1"/>
  <c r="I18" i="2"/>
  <c r="L10" i="5"/>
  <c r="T14" i="5"/>
  <c r="K14" i="5"/>
  <c r="X27" i="5"/>
  <c r="P124" i="5"/>
  <c r="L124" i="5"/>
  <c r="F66" i="1"/>
  <c r="D46" i="2"/>
  <c r="F56" i="2"/>
  <c r="S16" i="1" s="1"/>
  <c r="E62" i="2"/>
  <c r="C154" i="2"/>
  <c r="C182" i="2"/>
  <c r="C187" i="2"/>
  <c r="T9" i="5"/>
  <c r="K9" i="5"/>
  <c r="P13" i="5"/>
  <c r="K13" i="5"/>
  <c r="P16" i="5"/>
  <c r="T16" i="5"/>
  <c r="K16" i="5"/>
  <c r="T20" i="5"/>
  <c r="L20" i="5"/>
  <c r="T21" i="5"/>
  <c r="T23" i="5"/>
  <c r="L23" i="5"/>
  <c r="K23" i="5"/>
  <c r="G86" i="6"/>
  <c r="I86" i="6"/>
  <c r="X12" i="5"/>
  <c r="X13" i="5"/>
  <c r="P18" i="5"/>
  <c r="X25" i="5"/>
  <c r="L27" i="5"/>
  <c r="T28" i="5"/>
  <c r="P29" i="5"/>
  <c r="R36" i="5"/>
  <c r="X36" i="5"/>
  <c r="L39" i="5"/>
  <c r="X44" i="5"/>
  <c r="X48" i="5"/>
  <c r="T52" i="5"/>
  <c r="P52" i="5"/>
  <c r="P54" i="5"/>
  <c r="X54" i="5"/>
  <c r="L66" i="5"/>
  <c r="X67" i="5"/>
  <c r="L69" i="5"/>
  <c r="L71" i="5"/>
  <c r="L73" i="5"/>
  <c r="L76" i="5"/>
  <c r="J83" i="5"/>
  <c r="T86" i="5"/>
  <c r="T90" i="5"/>
  <c r="P92" i="5"/>
  <c r="P94" i="5"/>
  <c r="P103" i="5"/>
  <c r="V104" i="5"/>
  <c r="X104" i="5" s="1"/>
  <c r="P105" i="5"/>
  <c r="X124" i="5"/>
  <c r="I26" i="6"/>
  <c r="P66" i="5"/>
  <c r="P78" i="5"/>
  <c r="I80" i="5"/>
  <c r="V80" i="5"/>
  <c r="X90" i="5"/>
  <c r="X91" i="5"/>
  <c r="K94" i="5"/>
  <c r="P95" i="5"/>
  <c r="P102" i="5"/>
  <c r="L107" i="5"/>
  <c r="X108" i="5"/>
  <c r="L109" i="5"/>
  <c r="X116" i="5"/>
  <c r="X117" i="5"/>
  <c r="X118" i="5"/>
  <c r="X119" i="5"/>
  <c r="L126" i="5"/>
  <c r="L140" i="5"/>
  <c r="X141" i="5"/>
  <c r="X142" i="5"/>
  <c r="P143" i="5"/>
  <c r="L145" i="5"/>
  <c r="G10" i="6"/>
  <c r="G11" i="6"/>
  <c r="G12" i="6"/>
  <c r="G13" i="6"/>
  <c r="G14" i="6"/>
  <c r="G15" i="6"/>
  <c r="G16" i="6"/>
  <c r="G17" i="6"/>
  <c r="G18" i="6"/>
  <c r="I41" i="6"/>
  <c r="I44" i="6"/>
  <c r="I49" i="6"/>
  <c r="D54" i="6"/>
  <c r="G54" i="6" s="1"/>
  <c r="D57" i="6"/>
  <c r="G57" i="6" s="1"/>
  <c r="F84" i="6"/>
  <c r="I84" i="6" s="1"/>
  <c r="F85" i="6"/>
  <c r="I85" i="6" s="1"/>
  <c r="D91" i="6"/>
  <c r="G91" i="6" s="1"/>
  <c r="I92" i="6"/>
  <c r="F111" i="6"/>
  <c r="I114" i="6"/>
  <c r="G126" i="6"/>
  <c r="G134" i="6"/>
  <c r="I145" i="6"/>
  <c r="G154" i="6"/>
  <c r="G157" i="6"/>
  <c r="G159" i="6"/>
  <c r="G163" i="6"/>
  <c r="L29" i="5"/>
  <c r="K33" i="5"/>
  <c r="I35" i="5"/>
  <c r="I45" i="5"/>
  <c r="T47" i="5"/>
  <c r="P50" i="5"/>
  <c r="P55" i="5"/>
  <c r="I56" i="5"/>
  <c r="P63" i="5"/>
  <c r="S85" i="5"/>
  <c r="V85" i="5" s="1"/>
  <c r="X85" i="5" s="1"/>
  <c r="P108" i="5"/>
  <c r="X109" i="5"/>
  <c r="P117" i="5"/>
  <c r="X123" i="5"/>
  <c r="X125" i="5"/>
  <c r="I54" i="6"/>
  <c r="G90" i="6"/>
  <c r="I94" i="6"/>
  <c r="I105" i="6"/>
  <c r="I116" i="6"/>
  <c r="X26" i="5"/>
  <c r="L31" i="5"/>
  <c r="R37" i="5"/>
  <c r="T158" i="5" s="1"/>
  <c r="V158" i="5" s="1"/>
  <c r="K39" i="5"/>
  <c r="J111" i="5"/>
  <c r="T46" i="5"/>
  <c r="P46" i="5"/>
  <c r="X52" i="5"/>
  <c r="P53" i="5"/>
  <c r="K74" i="5"/>
  <c r="I82" i="5"/>
  <c r="P106" i="5"/>
  <c r="X129" i="5"/>
  <c r="X130" i="5"/>
  <c r="X131" i="5"/>
  <c r="X133" i="5"/>
  <c r="X134" i="5"/>
  <c r="X135" i="5"/>
  <c r="X137" i="5"/>
  <c r="G21" i="6"/>
  <c r="I22" i="6"/>
  <c r="I27" i="6"/>
  <c r="I40" i="6"/>
  <c r="I45" i="6"/>
  <c r="I48" i="6"/>
  <c r="G73" i="6"/>
  <c r="I59" i="6"/>
  <c r="I90" i="6"/>
  <c r="G93" i="6"/>
  <c r="F96" i="6"/>
  <c r="I96" i="6" s="1"/>
  <c r="G109" i="6"/>
  <c r="I110" i="6"/>
  <c r="G119" i="6"/>
  <c r="I127" i="6"/>
  <c r="G132" i="6"/>
  <c r="F131" i="6" s="1"/>
  <c r="G153" i="6"/>
  <c r="G155" i="6"/>
  <c r="G158" i="6"/>
  <c r="G162" i="6"/>
  <c r="I166" i="6"/>
  <c r="G171" i="6"/>
  <c r="AD7" i="3"/>
  <c r="AJ31" i="3"/>
  <c r="AJ29" i="4"/>
  <c r="W5" i="4"/>
  <c r="X5" i="4" s="1"/>
  <c r="Y5" i="4" s="1"/>
  <c r="AA5" i="4" s="1"/>
  <c r="AB5" i="4" s="1"/>
  <c r="AC5" i="4" s="1"/>
  <c r="W6" i="4"/>
  <c r="X6" i="4" s="1"/>
  <c r="Y6" i="4" s="1"/>
  <c r="AA6" i="4" s="1"/>
  <c r="AB6" i="4" s="1"/>
  <c r="AC6" i="4" s="1"/>
  <c r="AJ32" i="3"/>
  <c r="W8" i="3"/>
  <c r="X8" i="3" s="1"/>
  <c r="Y8" i="3" s="1"/>
  <c r="AA8" i="3" s="1"/>
  <c r="AB8" i="3" s="1"/>
  <c r="AC8" i="3" s="1"/>
  <c r="AF8" i="3" s="1"/>
  <c r="AJ23" i="3" s="1"/>
  <c r="R41" i="5"/>
  <c r="U6" i="3"/>
  <c r="V6" i="3" s="1"/>
  <c r="U8" i="4"/>
  <c r="V8" i="4" s="1"/>
  <c r="AD7" i="4"/>
  <c r="U5" i="3"/>
  <c r="V5" i="3" s="1"/>
  <c r="L12" i="5"/>
  <c r="P12" i="5"/>
  <c r="T12" i="5"/>
  <c r="K12" i="5"/>
  <c r="X31" i="5"/>
  <c r="X45" i="5"/>
  <c r="T56" i="5"/>
  <c r="L56" i="5"/>
  <c r="P56" i="5"/>
  <c r="K56" i="5"/>
  <c r="X56" i="5"/>
  <c r="X57" i="5"/>
  <c r="X74" i="5"/>
  <c r="X10" i="5"/>
  <c r="X11" i="5"/>
  <c r="T17" i="5"/>
  <c r="L17" i="5"/>
  <c r="P17" i="5"/>
  <c r="K17" i="5"/>
  <c r="T11" i="5"/>
  <c r="L11" i="5"/>
  <c r="P11" i="5"/>
  <c r="K11" i="5"/>
  <c r="X19" i="5"/>
  <c r="X24" i="5"/>
  <c r="P26" i="5"/>
  <c r="L26" i="5"/>
  <c r="X37" i="5"/>
  <c r="T48" i="5"/>
  <c r="L48" i="5"/>
  <c r="P48" i="5"/>
  <c r="K48" i="5"/>
  <c r="T49" i="5"/>
  <c r="L49" i="5"/>
  <c r="P49" i="5"/>
  <c r="K49" i="5"/>
  <c r="T57" i="5"/>
  <c r="L57" i="5"/>
  <c r="P57" i="5"/>
  <c r="K57" i="5"/>
  <c r="T8" i="5"/>
  <c r="L8" i="5"/>
  <c r="P8" i="5"/>
  <c r="X16" i="5"/>
  <c r="X17" i="5"/>
  <c r="H41" i="5"/>
  <c r="J19" i="5"/>
  <c r="I19" i="5"/>
  <c r="L22" i="5"/>
  <c r="K22" i="5"/>
  <c r="X30" i="5"/>
  <c r="T45" i="5"/>
  <c r="X50" i="5"/>
  <c r="L14" i="5"/>
  <c r="L18" i="5"/>
  <c r="P24" i="5"/>
  <c r="P30" i="5"/>
  <c r="L33" i="5"/>
  <c r="L37" i="5"/>
  <c r="K44" i="5"/>
  <c r="P44" i="5"/>
  <c r="K45" i="5"/>
  <c r="P45" i="5"/>
  <c r="L46" i="5"/>
  <c r="P47" i="5"/>
  <c r="I48" i="5"/>
  <c r="I49" i="5"/>
  <c r="K51" i="5"/>
  <c r="L52" i="5"/>
  <c r="K55" i="5"/>
  <c r="K58" i="5"/>
  <c r="P58" i="5"/>
  <c r="K59" i="5"/>
  <c r="P59" i="5"/>
  <c r="K60" i="5"/>
  <c r="P60" i="5"/>
  <c r="K61" i="5"/>
  <c r="P61" i="5"/>
  <c r="K62" i="5"/>
  <c r="P62" i="5"/>
  <c r="K63" i="5"/>
  <c r="T63" i="5"/>
  <c r="L64" i="5"/>
  <c r="L65" i="5"/>
  <c r="K67" i="5"/>
  <c r="T67" i="5"/>
  <c r="T72" i="5"/>
  <c r="L74" i="5"/>
  <c r="T74" i="5"/>
  <c r="P75" i="5"/>
  <c r="S83" i="5"/>
  <c r="T75" i="5"/>
  <c r="T79" i="5"/>
  <c r="V86" i="5"/>
  <c r="X86" i="5" s="1"/>
  <c r="P91" i="5"/>
  <c r="L91" i="5"/>
  <c r="S100" i="5"/>
  <c r="V100" i="5" s="1"/>
  <c r="X100" i="5" s="1"/>
  <c r="P101" i="5"/>
  <c r="X105" i="5"/>
  <c r="P116" i="5"/>
  <c r="L116" i="5"/>
  <c r="P118" i="5"/>
  <c r="L128" i="5"/>
  <c r="P128" i="5"/>
  <c r="I23" i="6"/>
  <c r="G23" i="6"/>
  <c r="D72" i="6"/>
  <c r="G72" i="6" s="1"/>
  <c r="C81" i="6"/>
  <c r="D81" i="6" s="1"/>
  <c r="C80" i="6"/>
  <c r="D80" i="6" s="1"/>
  <c r="G58" i="6"/>
  <c r="I58" i="6"/>
  <c r="G78" i="6"/>
  <c r="I78" i="6"/>
  <c r="P25" i="5"/>
  <c r="P31" i="5"/>
  <c r="L44" i="5"/>
  <c r="L45" i="5"/>
  <c r="N51" i="5"/>
  <c r="T51" i="5" s="1"/>
  <c r="K54" i="5"/>
  <c r="N55" i="5"/>
  <c r="T55" i="5" s="1"/>
  <c r="L58" i="5"/>
  <c r="L59" i="5"/>
  <c r="L60" i="5"/>
  <c r="L61" i="5"/>
  <c r="L62" i="5"/>
  <c r="L67" i="5"/>
  <c r="P69" i="5"/>
  <c r="P71" i="5"/>
  <c r="V75" i="5"/>
  <c r="X75" i="5" s="1"/>
  <c r="P76" i="5"/>
  <c r="T76" i="5"/>
  <c r="S84" i="5"/>
  <c r="T77" i="5"/>
  <c r="K77" i="5"/>
  <c r="L78" i="5"/>
  <c r="T78" i="5"/>
  <c r="W79" i="5"/>
  <c r="P79" i="5"/>
  <c r="V88" i="5"/>
  <c r="X88" i="5" s="1"/>
  <c r="T88" i="5"/>
  <c r="S103" i="5"/>
  <c r="P82" i="5"/>
  <c r="L82" i="5"/>
  <c r="J84" i="5"/>
  <c r="I84" i="5"/>
  <c r="P85" i="5"/>
  <c r="T85" i="5"/>
  <c r="L85" i="5"/>
  <c r="P89" i="5"/>
  <c r="L89" i="5"/>
  <c r="P98" i="5"/>
  <c r="L98" i="5"/>
  <c r="T104" i="5"/>
  <c r="L104" i="5"/>
  <c r="P104" i="5"/>
  <c r="K104" i="5"/>
  <c r="K112" i="5" s="1"/>
  <c r="X139" i="5"/>
  <c r="N58" i="5"/>
  <c r="N59" i="5" s="1"/>
  <c r="N60" i="5" s="1"/>
  <c r="N61" i="5" s="1"/>
  <c r="N62" i="5" s="1"/>
  <c r="N64" i="5" s="1"/>
  <c r="T64" i="5" s="1"/>
  <c r="P65" i="5"/>
  <c r="S87" i="5"/>
  <c r="V79" i="5"/>
  <c r="X79" i="5" s="1"/>
  <c r="T80" i="5"/>
  <c r="L80" i="5"/>
  <c r="K80" i="5"/>
  <c r="X80" i="5"/>
  <c r="X93" i="5"/>
  <c r="P100" i="5"/>
  <c r="L100" i="5"/>
  <c r="P120" i="5"/>
  <c r="L120" i="5"/>
  <c r="P121" i="5"/>
  <c r="L121" i="5"/>
  <c r="P122" i="5"/>
  <c r="L122" i="5"/>
  <c r="K111" i="5"/>
  <c r="S82" i="5"/>
  <c r="V101" i="5"/>
  <c r="X101" i="5" s="1"/>
  <c r="T105" i="5"/>
  <c r="L105" i="5"/>
  <c r="P130" i="5"/>
  <c r="L130" i="5"/>
  <c r="P134" i="5"/>
  <c r="L134" i="5"/>
  <c r="N138" i="5"/>
  <c r="P138" i="5"/>
  <c r="L138" i="5"/>
  <c r="V78" i="5"/>
  <c r="X78" i="5" s="1"/>
  <c r="P86" i="5"/>
  <c r="P93" i="5"/>
  <c r="L94" i="5"/>
  <c r="P97" i="5"/>
  <c r="P99" i="5"/>
  <c r="L106" i="5"/>
  <c r="P129" i="5"/>
  <c r="P133" i="5"/>
  <c r="P137" i="5"/>
  <c r="I25" i="6"/>
  <c r="T93" i="5"/>
  <c r="P131" i="5"/>
  <c r="P135" i="5"/>
  <c r="P139" i="5"/>
  <c r="L142" i="5"/>
  <c r="P142" i="5"/>
  <c r="I24" i="6"/>
  <c r="G24" i="6"/>
  <c r="L86" i="5"/>
  <c r="L97" i="5"/>
  <c r="L99" i="5"/>
  <c r="H148" i="5"/>
  <c r="I75" i="6"/>
  <c r="G75" i="6"/>
  <c r="I131" i="6"/>
  <c r="G131" i="6"/>
  <c r="N139" i="5"/>
  <c r="N140" i="5"/>
  <c r="L144" i="5"/>
  <c r="I38" i="6"/>
  <c r="I42" i="6"/>
  <c r="I46" i="6"/>
  <c r="I50" i="6"/>
  <c r="G55" i="6"/>
  <c r="G56" i="6"/>
  <c r="I57" i="6"/>
  <c r="G63" i="6"/>
  <c r="G64" i="6"/>
  <c r="G65" i="6"/>
  <c r="G66" i="6"/>
  <c r="G67" i="6"/>
  <c r="G68" i="6"/>
  <c r="G69" i="6"/>
  <c r="I77" i="6"/>
  <c r="I87" i="6"/>
  <c r="I93" i="6"/>
  <c r="G96" i="6"/>
  <c r="G110" i="6"/>
  <c r="G114" i="6"/>
  <c r="G120" i="6"/>
  <c r="G137" i="6"/>
  <c r="G139" i="6"/>
  <c r="I141" i="6"/>
  <c r="G149" i="6"/>
  <c r="G151" i="6"/>
  <c r="C74" i="6"/>
  <c r="D74" i="6" s="1"/>
  <c r="G74" i="6" s="1"/>
  <c r="G169" i="6"/>
  <c r="G173" i="6"/>
  <c r="D60" i="6"/>
  <c r="C76" i="6"/>
  <c r="D76" i="6" s="1"/>
  <c r="G76" i="6" s="1"/>
  <c r="I91" i="6"/>
  <c r="I95" i="6"/>
  <c r="G98" i="6"/>
  <c r="G105" i="6"/>
  <c r="G112" i="6"/>
  <c r="G116" i="6"/>
  <c r="G122" i="6"/>
  <c r="I128" i="6"/>
  <c r="I133" i="6"/>
  <c r="G138" i="6"/>
  <c r="G140" i="6"/>
  <c r="I144" i="6"/>
  <c r="G150" i="6"/>
  <c r="I39" i="6"/>
  <c r="I43" i="6"/>
  <c r="I47" i="6"/>
  <c r="I51" i="6"/>
  <c r="I73" i="6"/>
  <c r="I142" i="6"/>
  <c r="G172" i="6"/>
  <c r="G175" i="6"/>
  <c r="W12" i="1"/>
  <c r="W18" i="1"/>
  <c r="W15" i="1"/>
  <c r="W14" i="1"/>
  <c r="W13" i="1"/>
  <c r="W17" i="1"/>
  <c r="W16" i="1"/>
  <c r="M21" i="1"/>
  <c r="C22" i="1"/>
  <c r="D23" i="1"/>
  <c r="S60" i="1"/>
  <c r="D7" i="2"/>
  <c r="L11" i="1"/>
  <c r="L22" i="1" s="1"/>
  <c r="J21" i="1"/>
  <c r="N21" i="1"/>
  <c r="N22" i="1" s="1"/>
  <c r="I22" i="1"/>
  <c r="B259" i="2" s="1"/>
  <c r="C261" i="2" s="1"/>
  <c r="N41" i="1"/>
  <c r="P41" i="1" s="1"/>
  <c r="F11" i="1"/>
  <c r="P11" i="1" s="1"/>
  <c r="B13" i="2"/>
  <c r="D13" i="2" s="1"/>
  <c r="J13" i="2" s="1"/>
  <c r="C40" i="1"/>
  <c r="K16" i="1"/>
  <c r="K22" i="1" s="1"/>
  <c r="U16" i="1"/>
  <c r="M17" i="1"/>
  <c r="M22" i="1" s="1"/>
  <c r="U17" i="1"/>
  <c r="F21" i="1"/>
  <c r="P21" i="1" s="1"/>
  <c r="K21" i="1"/>
  <c r="W27" i="1"/>
  <c r="W30" i="1"/>
  <c r="X30" i="1"/>
  <c r="S36" i="1"/>
  <c r="G31" i="1" s="1"/>
  <c r="I31" i="1" s="1"/>
  <c r="N43" i="1"/>
  <c r="J43" i="1"/>
  <c r="M43" i="1"/>
  <c r="L43" i="1"/>
  <c r="K43" i="1"/>
  <c r="L45" i="1"/>
  <c r="P45" i="1" s="1"/>
  <c r="F10" i="1"/>
  <c r="P10" i="1" s="1"/>
  <c r="F16" i="1"/>
  <c r="P16" i="1" s="1"/>
  <c r="F17" i="1"/>
  <c r="P17" i="1" s="1"/>
  <c r="F18" i="1"/>
  <c r="P18" i="1" s="1"/>
  <c r="X27" i="1"/>
  <c r="W32" i="1"/>
  <c r="X32" i="1"/>
  <c r="T36" i="1"/>
  <c r="J8" i="2"/>
  <c r="P74" i="1"/>
  <c r="F44" i="1"/>
  <c r="F46" i="1"/>
  <c r="F52" i="1"/>
  <c r="G69" i="1"/>
  <c r="I69" i="1" s="1"/>
  <c r="I68" i="1"/>
  <c r="P68" i="1" s="1"/>
  <c r="I7" i="2"/>
  <c r="C68" i="2"/>
  <c r="F65" i="2"/>
  <c r="D217" i="2"/>
  <c r="D219" i="2" s="1"/>
  <c r="P63" i="1"/>
  <c r="C112" i="2"/>
  <c r="F21" i="2"/>
  <c r="C102" i="2" s="1"/>
  <c r="C104" i="2" s="1"/>
  <c r="G46" i="1" s="1"/>
  <c r="J11" i="2"/>
  <c r="J12" i="2"/>
  <c r="J16" i="2"/>
  <c r="D252" i="2"/>
  <c r="E218" i="2"/>
  <c r="D87" i="2"/>
  <c r="E88" i="2" s="1"/>
  <c r="I66" i="1"/>
  <c r="G72" i="1"/>
  <c r="I72" i="1" s="1"/>
  <c r="G86" i="1"/>
  <c r="I10" i="2"/>
  <c r="J10" i="2" s="1"/>
  <c r="F55" i="2"/>
  <c r="B62" i="2"/>
  <c r="E66" i="2"/>
  <c r="E68" i="2" s="1"/>
  <c r="B217" i="2"/>
  <c r="C252" i="2"/>
  <c r="F58" i="2"/>
  <c r="S13" i="1" s="1"/>
  <c r="C62" i="2"/>
  <c r="C147" i="2"/>
  <c r="C151" i="2"/>
  <c r="C155" i="2"/>
  <c r="C180" i="2"/>
  <c r="C184" i="2"/>
  <c r="C17" i="2"/>
  <c r="C21" i="2" s="1"/>
  <c r="D62" i="2"/>
  <c r="C148" i="2"/>
  <c r="C152" i="2"/>
  <c r="B241" i="2"/>
  <c r="C266" i="2"/>
  <c r="C270" i="2" s="1"/>
  <c r="I19" i="2"/>
  <c r="E17" i="2" l="1"/>
  <c r="G25" i="1"/>
  <c r="P148" i="5"/>
  <c r="T156" i="5" s="1"/>
  <c r="V156" i="5" s="1"/>
  <c r="P83" i="5"/>
  <c r="L83" i="5"/>
  <c r="G65" i="1"/>
  <c r="I65" i="1" s="1"/>
  <c r="G60" i="1"/>
  <c r="I60" i="1" s="1"/>
  <c r="G34" i="1"/>
  <c r="I34" i="1" s="1"/>
  <c r="G32" i="1"/>
  <c r="I32" i="1" s="1"/>
  <c r="I111" i="6"/>
  <c r="F103" i="6"/>
  <c r="G85" i="6"/>
  <c r="G33" i="1"/>
  <c r="I33" i="1" s="1"/>
  <c r="G59" i="1"/>
  <c r="I59" i="1" s="1"/>
  <c r="G111" i="6"/>
  <c r="G84" i="6"/>
  <c r="G48" i="1"/>
  <c r="I48" i="1" s="1"/>
  <c r="P43" i="1"/>
  <c r="C128" i="2"/>
  <c r="C130" i="2" s="1"/>
  <c r="C132" i="2" s="1"/>
  <c r="G52" i="1" s="1"/>
  <c r="G71" i="1"/>
  <c r="I71" i="1" s="1"/>
  <c r="G62" i="1"/>
  <c r="I62" i="1" s="1"/>
  <c r="G51" i="1"/>
  <c r="I51" i="1" s="1"/>
  <c r="G27" i="1"/>
  <c r="I27" i="1" s="1"/>
  <c r="G26" i="1"/>
  <c r="I26" i="1" s="1"/>
  <c r="G29" i="1"/>
  <c r="I29" i="1" s="1"/>
  <c r="D49" i="2"/>
  <c r="I44" i="1"/>
  <c r="P44" i="1" s="1"/>
  <c r="S99" i="5"/>
  <c r="V84" i="5"/>
  <c r="X84" i="5" s="1"/>
  <c r="I80" i="6"/>
  <c r="G80" i="6"/>
  <c r="T58" i="5"/>
  <c r="H151" i="5"/>
  <c r="H42" i="5"/>
  <c r="AJ32" i="4"/>
  <c r="W8" i="4"/>
  <c r="X8" i="4" s="1"/>
  <c r="Y8" i="4" s="1"/>
  <c r="AA8" i="4" s="1"/>
  <c r="AB8" i="4" s="1"/>
  <c r="AC8" i="4" s="1"/>
  <c r="W6" i="3"/>
  <c r="X6" i="3" s="1"/>
  <c r="Y6" i="3" s="1"/>
  <c r="AA6" i="3" s="1"/>
  <c r="AB6" i="3" s="1"/>
  <c r="AC6" i="3" s="1"/>
  <c r="AJ30" i="3"/>
  <c r="AF5" i="4"/>
  <c r="AJ20" i="4" s="1"/>
  <c r="AD5" i="4"/>
  <c r="H149" i="5"/>
  <c r="J148" i="5"/>
  <c r="I60" i="6"/>
  <c r="G60" i="6"/>
  <c r="I74" i="6"/>
  <c r="S97" i="5"/>
  <c r="V82" i="5"/>
  <c r="X82" i="5" s="1"/>
  <c r="S102" i="5"/>
  <c r="V87" i="5"/>
  <c r="X87" i="5" s="1"/>
  <c r="T82" i="5"/>
  <c r="I81" i="6"/>
  <c r="G81" i="6"/>
  <c r="T60" i="5"/>
  <c r="T61" i="5"/>
  <c r="I76" i="6"/>
  <c r="E10" i="3"/>
  <c r="E12" i="3" s="1"/>
  <c r="AJ29" i="3"/>
  <c r="W5" i="3"/>
  <c r="X5" i="3" s="1"/>
  <c r="Y5" i="3" s="1"/>
  <c r="AA5" i="3" s="1"/>
  <c r="AB5" i="3" s="1"/>
  <c r="AC5" i="3" s="1"/>
  <c r="AF6" i="4"/>
  <c r="AJ21" i="4" s="1"/>
  <c r="AD6" i="4"/>
  <c r="T100" i="5"/>
  <c r="T84" i="5"/>
  <c r="L84" i="5"/>
  <c r="P84" i="5"/>
  <c r="V103" i="5"/>
  <c r="X103" i="5" s="1"/>
  <c r="T103" i="5"/>
  <c r="I72" i="6"/>
  <c r="T87" i="5"/>
  <c r="V83" i="5"/>
  <c r="X83" i="5" s="1"/>
  <c r="S98" i="5"/>
  <c r="T83" i="5"/>
  <c r="P111" i="5"/>
  <c r="T153" i="5" s="1"/>
  <c r="T62" i="5"/>
  <c r="T19" i="5"/>
  <c r="T41" i="5" s="1"/>
  <c r="U152" i="5" s="1"/>
  <c r="K19" i="5"/>
  <c r="K41" i="5" s="1"/>
  <c r="P19" i="5"/>
  <c r="P41" i="5" s="1"/>
  <c r="L19" i="5"/>
  <c r="L41" i="5" s="1"/>
  <c r="T59" i="5"/>
  <c r="AJ40" i="4"/>
  <c r="V13" i="4"/>
  <c r="AE7" i="4"/>
  <c r="AJ16" i="4" s="1"/>
  <c r="AD8" i="3"/>
  <c r="V13" i="3"/>
  <c r="AJ40" i="3"/>
  <c r="AE7" i="3"/>
  <c r="AJ16" i="3" s="1"/>
  <c r="L31" i="1"/>
  <c r="M31" i="1"/>
  <c r="K31" i="1"/>
  <c r="P31" i="1" s="1"/>
  <c r="J31" i="1"/>
  <c r="N31" i="1"/>
  <c r="K62" i="1"/>
  <c r="N62" i="1"/>
  <c r="J62" i="1"/>
  <c r="M62" i="1"/>
  <c r="L62" i="1"/>
  <c r="M27" i="1"/>
  <c r="J27" i="1"/>
  <c r="N27" i="1"/>
  <c r="L27" i="1"/>
  <c r="K27" i="1"/>
  <c r="P27" i="1" s="1"/>
  <c r="L29" i="1"/>
  <c r="M29" i="1"/>
  <c r="J29" i="1"/>
  <c r="P29" i="1"/>
  <c r="N29" i="1"/>
  <c r="K29" i="1"/>
  <c r="L60" i="1"/>
  <c r="K60" i="1"/>
  <c r="N60" i="1"/>
  <c r="J60" i="1"/>
  <c r="M60" i="1"/>
  <c r="L51" i="1"/>
  <c r="K51" i="1"/>
  <c r="N51" i="1"/>
  <c r="J51" i="1"/>
  <c r="P51" i="1" s="1"/>
  <c r="M51" i="1"/>
  <c r="K26" i="1"/>
  <c r="N26" i="1"/>
  <c r="J26" i="1"/>
  <c r="M26" i="1"/>
  <c r="L26" i="1"/>
  <c r="G68" i="2"/>
  <c r="B69" i="2" s="1"/>
  <c r="N48" i="1"/>
  <c r="J48" i="1"/>
  <c r="M48" i="1"/>
  <c r="L48" i="1"/>
  <c r="K48" i="1"/>
  <c r="K33" i="1"/>
  <c r="M33" i="1"/>
  <c r="L33" i="1"/>
  <c r="J33" i="1"/>
  <c r="N33" i="1"/>
  <c r="N70" i="1"/>
  <c r="N52" i="1"/>
  <c r="N46" i="1"/>
  <c r="K59" i="1"/>
  <c r="N59" i="1"/>
  <c r="J59" i="1"/>
  <c r="M59" i="1"/>
  <c r="L59" i="1"/>
  <c r="L71" i="1"/>
  <c r="K71" i="1"/>
  <c r="N71" i="1"/>
  <c r="J71" i="1"/>
  <c r="M71" i="1"/>
  <c r="L34" i="1"/>
  <c r="N34" i="1"/>
  <c r="J34" i="1"/>
  <c r="M34" i="1"/>
  <c r="K34" i="1"/>
  <c r="M70" i="1"/>
  <c r="M52" i="1"/>
  <c r="M46" i="1"/>
  <c r="P22" i="1"/>
  <c r="K70" i="1"/>
  <c r="K52" i="1"/>
  <c r="K46" i="1"/>
  <c r="F22" i="1"/>
  <c r="L70" i="1"/>
  <c r="L52" i="1"/>
  <c r="L46" i="1"/>
  <c r="N32" i="1"/>
  <c r="J32" i="1"/>
  <c r="K32" i="1"/>
  <c r="M32" i="1"/>
  <c r="L32" i="1"/>
  <c r="W21" i="1"/>
  <c r="X14" i="1"/>
  <c r="U13" i="1"/>
  <c r="G62" i="2"/>
  <c r="B63" i="2" s="1"/>
  <c r="I17" i="2"/>
  <c r="I21" i="2" s="1"/>
  <c r="J7" i="2"/>
  <c r="J17" i="2" s="1"/>
  <c r="I52" i="1"/>
  <c r="G58" i="1"/>
  <c r="I58" i="1" s="1"/>
  <c r="G36" i="1"/>
  <c r="I36" i="1" s="1"/>
  <c r="G57" i="1"/>
  <c r="I57" i="1" s="1"/>
  <c r="G38" i="1"/>
  <c r="I38" i="1" s="1"/>
  <c r="J22" i="1"/>
  <c r="G49" i="1"/>
  <c r="I49" i="1" s="1"/>
  <c r="B17" i="2"/>
  <c r="B21" i="2" s="1"/>
  <c r="G35" i="1"/>
  <c r="I35" i="1" s="1"/>
  <c r="C117" i="2"/>
  <c r="C119" i="2"/>
  <c r="J69" i="1"/>
  <c r="P69" i="1" s="1"/>
  <c r="F66" i="2"/>
  <c r="F68" i="2" s="1"/>
  <c r="F69" i="2" s="1"/>
  <c r="K66" i="1"/>
  <c r="N66" i="1"/>
  <c r="J66" i="1"/>
  <c r="M66" i="1"/>
  <c r="L66" i="1"/>
  <c r="F62" i="2"/>
  <c r="N72" i="1"/>
  <c r="J72" i="1"/>
  <c r="M72" i="1"/>
  <c r="L72" i="1"/>
  <c r="K72" i="1"/>
  <c r="N65" i="1"/>
  <c r="N86" i="1" s="1"/>
  <c r="J65" i="1"/>
  <c r="M65" i="1"/>
  <c r="M86" i="1" s="1"/>
  <c r="L65" i="1"/>
  <c r="K65" i="1"/>
  <c r="I86" i="1"/>
  <c r="I46" i="1"/>
  <c r="U36" i="1"/>
  <c r="G76" i="1"/>
  <c r="I76" i="1" s="1"/>
  <c r="G73" i="1"/>
  <c r="I73" i="1" s="1"/>
  <c r="G30" i="1"/>
  <c r="I30" i="1" s="1"/>
  <c r="I25" i="1"/>
  <c r="E216" i="2"/>
  <c r="F40" i="1"/>
  <c r="C39" i="1"/>
  <c r="G56" i="1"/>
  <c r="I56" i="1" s="1"/>
  <c r="G28" i="1"/>
  <c r="I28" i="1" s="1"/>
  <c r="D17" i="2"/>
  <c r="G55" i="1"/>
  <c r="I55" i="1" s="1"/>
  <c r="L86" i="1" l="1"/>
  <c r="P72" i="1"/>
  <c r="P32" i="1"/>
  <c r="P33" i="1"/>
  <c r="E21" i="2"/>
  <c r="B112" i="2"/>
  <c r="P71" i="1"/>
  <c r="P48" i="1"/>
  <c r="P60" i="1"/>
  <c r="J86" i="1"/>
  <c r="G70" i="1"/>
  <c r="P34" i="1"/>
  <c r="P59" i="1"/>
  <c r="I103" i="6"/>
  <c r="G103" i="6"/>
  <c r="P66" i="1"/>
  <c r="P26" i="1"/>
  <c r="P62" i="1"/>
  <c r="E45" i="2"/>
  <c r="E47" i="2"/>
  <c r="E44" i="2"/>
  <c r="V98" i="5"/>
  <c r="X98" i="5" s="1"/>
  <c r="T98" i="5"/>
  <c r="V102" i="5"/>
  <c r="X102" i="5" s="1"/>
  <c r="T102" i="5"/>
  <c r="T111" i="5" s="1"/>
  <c r="U153" i="5" s="1"/>
  <c r="AJ38" i="4"/>
  <c r="AE5" i="4"/>
  <c r="AJ14" i="4" s="1"/>
  <c r="V11" i="4"/>
  <c r="AF8" i="4"/>
  <c r="AJ23" i="4" s="1"/>
  <c r="AD8" i="4"/>
  <c r="AF5" i="3"/>
  <c r="AJ20" i="3" s="1"/>
  <c r="AD5" i="3"/>
  <c r="V99" i="5"/>
  <c r="X99" i="5" s="1"/>
  <c r="T99" i="5"/>
  <c r="T152" i="5"/>
  <c r="P112" i="5"/>
  <c r="AK31" i="3"/>
  <c r="W13" i="3"/>
  <c r="X13" i="3" s="1"/>
  <c r="Y13" i="3" s="1"/>
  <c r="AA13" i="3" s="1"/>
  <c r="AB13" i="3" s="1"/>
  <c r="AC13" i="3" s="1"/>
  <c r="V97" i="5"/>
  <c r="X97" i="5" s="1"/>
  <c r="T97" i="5"/>
  <c r="AJ28" i="4"/>
  <c r="AJ37" i="4"/>
  <c r="AJ19" i="4"/>
  <c r="AK31" i="4"/>
  <c r="W13" i="4"/>
  <c r="X13" i="4" s="1"/>
  <c r="Y13" i="4" s="1"/>
  <c r="AA13" i="4" s="1"/>
  <c r="AB13" i="4" s="1"/>
  <c r="AC13" i="4" s="1"/>
  <c r="AE8" i="3"/>
  <c r="AJ17" i="3" s="1"/>
  <c r="V14" i="3"/>
  <c r="AJ41" i="3"/>
  <c r="AJ39" i="4"/>
  <c r="V12" i="4"/>
  <c r="AE6" i="4"/>
  <c r="AJ15" i="4" s="1"/>
  <c r="AJ37" i="3"/>
  <c r="AJ19" i="3"/>
  <c r="AJ28" i="3"/>
  <c r="AF6" i="3"/>
  <c r="AJ21" i="3" s="1"/>
  <c r="AD6" i="3"/>
  <c r="N28" i="1"/>
  <c r="J28" i="1"/>
  <c r="K28" i="1"/>
  <c r="L28" i="1"/>
  <c r="M28" i="1"/>
  <c r="N25" i="1"/>
  <c r="J25" i="1"/>
  <c r="M25" i="1"/>
  <c r="L25" i="1"/>
  <c r="K25" i="1"/>
  <c r="E215" i="2"/>
  <c r="F39" i="1"/>
  <c r="F77" i="1" s="1"/>
  <c r="F81" i="1" s="1"/>
  <c r="C77" i="1"/>
  <c r="K86" i="1"/>
  <c r="S21" i="1"/>
  <c r="V12" i="1" s="1"/>
  <c r="U12" i="1"/>
  <c r="U21" i="1" s="1"/>
  <c r="T23" i="1" s="1"/>
  <c r="J35" i="1"/>
  <c r="P35" i="1" s="1"/>
  <c r="I24" i="2"/>
  <c r="D21" i="2"/>
  <c r="K73" i="1"/>
  <c r="N73" i="1"/>
  <c r="J73" i="1"/>
  <c r="M73" i="1"/>
  <c r="L73" i="1"/>
  <c r="P65" i="1"/>
  <c r="F63" i="2"/>
  <c r="L38" i="1"/>
  <c r="K38" i="1"/>
  <c r="N38" i="1"/>
  <c r="J38" i="1"/>
  <c r="P38" i="1" s="1"/>
  <c r="M38" i="1"/>
  <c r="P76" i="1"/>
  <c r="K76" i="1"/>
  <c r="N76" i="1"/>
  <c r="J76" i="1"/>
  <c r="M76" i="1"/>
  <c r="L76" i="1"/>
  <c r="K57" i="1"/>
  <c r="N57" i="1"/>
  <c r="J57" i="1"/>
  <c r="M57" i="1"/>
  <c r="L57" i="1"/>
  <c r="L56" i="1"/>
  <c r="K56" i="1"/>
  <c r="N56" i="1"/>
  <c r="J56" i="1"/>
  <c r="M56" i="1"/>
  <c r="L49" i="1"/>
  <c r="K49" i="1"/>
  <c r="N49" i="1"/>
  <c r="J49" i="1"/>
  <c r="M49" i="1"/>
  <c r="L36" i="1"/>
  <c r="K36" i="1"/>
  <c r="N36" i="1"/>
  <c r="J36" i="1"/>
  <c r="M36" i="1"/>
  <c r="D222" i="2"/>
  <c r="F216" i="2"/>
  <c r="M55" i="1"/>
  <c r="L55" i="1"/>
  <c r="K55" i="1"/>
  <c r="N55" i="1"/>
  <c r="J55" i="1"/>
  <c r="J30" i="1"/>
  <c r="P30" i="1" s="1"/>
  <c r="J70" i="1"/>
  <c r="J52" i="1"/>
  <c r="P52" i="1" s="1"/>
  <c r="J46" i="1"/>
  <c r="P46" i="1" s="1"/>
  <c r="M58" i="1"/>
  <c r="L58" i="1"/>
  <c r="K58" i="1"/>
  <c r="N58" i="1"/>
  <c r="J58" i="1"/>
  <c r="B119" i="2" l="1"/>
  <c r="D119" i="2" s="1"/>
  <c r="B117" i="2"/>
  <c r="P55" i="1"/>
  <c r="P57" i="1"/>
  <c r="P73" i="1"/>
  <c r="B128" i="2"/>
  <c r="B102" i="2"/>
  <c r="P58" i="1"/>
  <c r="P49" i="1"/>
  <c r="P36" i="1"/>
  <c r="P56" i="1"/>
  <c r="F79" i="1"/>
  <c r="P28" i="1"/>
  <c r="U154" i="5"/>
  <c r="U164" i="5" s="1"/>
  <c r="V153" i="5"/>
  <c r="AJ39" i="3"/>
  <c r="V12" i="3"/>
  <c r="AE6" i="3"/>
  <c r="AJ15" i="3" s="1"/>
  <c r="AF13" i="4"/>
  <c r="AK22" i="4" s="1"/>
  <c r="AD13" i="4"/>
  <c r="AK30" i="4"/>
  <c r="W12" i="4"/>
  <c r="X12" i="4" s="1"/>
  <c r="Y12" i="4" s="1"/>
  <c r="AA12" i="4" s="1"/>
  <c r="AB12" i="4" s="1"/>
  <c r="AC12" i="4" s="1"/>
  <c r="V152" i="5"/>
  <c r="V154" i="5" s="1"/>
  <c r="V164" i="5" s="1"/>
  <c r="T154" i="5"/>
  <c r="T164" i="5" s="1"/>
  <c r="AF13" i="3"/>
  <c r="AK22" i="3" s="1"/>
  <c r="AD13" i="3"/>
  <c r="AJ41" i="4"/>
  <c r="AE8" i="4"/>
  <c r="AJ17" i="4" s="1"/>
  <c r="V14" i="4"/>
  <c r="W14" i="3"/>
  <c r="X14" i="3" s="1"/>
  <c r="Y14" i="3" s="1"/>
  <c r="AA14" i="3" s="1"/>
  <c r="AB14" i="3" s="1"/>
  <c r="AC14" i="3" s="1"/>
  <c r="AK32" i="3"/>
  <c r="AJ38" i="3"/>
  <c r="V11" i="3"/>
  <c r="AE5" i="3"/>
  <c r="AJ14" i="3" s="1"/>
  <c r="AK29" i="4"/>
  <c r="W11" i="4"/>
  <c r="X11" i="4" s="1"/>
  <c r="Y11" i="4" s="1"/>
  <c r="AA11" i="4" s="1"/>
  <c r="AB11" i="4" s="1"/>
  <c r="AC11" i="4" s="1"/>
  <c r="E217" i="2"/>
  <c r="E219" i="2" s="1"/>
  <c r="D221" i="2"/>
  <c r="D224" i="2" s="1"/>
  <c r="G39" i="1"/>
  <c r="G40" i="1"/>
  <c r="C81" i="1"/>
  <c r="C79" i="1"/>
  <c r="P25" i="1"/>
  <c r="S23" i="1"/>
  <c r="V18" i="1"/>
  <c r="V15" i="1"/>
  <c r="V14" i="1"/>
  <c r="V17" i="1"/>
  <c r="V16" i="1"/>
  <c r="V13" i="1"/>
  <c r="D102" i="2" l="1"/>
  <c r="B104" i="2"/>
  <c r="D104" i="2" s="1"/>
  <c r="E107" i="2" s="1"/>
  <c r="B130" i="2"/>
  <c r="B132" i="2" s="1"/>
  <c r="D132" i="2" s="1"/>
  <c r="E134" i="2" s="1"/>
  <c r="D128" i="2"/>
  <c r="D130" i="2" s="1"/>
  <c r="I70" i="1"/>
  <c r="P70" i="1" s="1"/>
  <c r="D117" i="2"/>
  <c r="E123" i="2" s="1"/>
  <c r="V21" i="1"/>
  <c r="AK29" i="3"/>
  <c r="W11" i="3"/>
  <c r="X11" i="3" s="1"/>
  <c r="Y11" i="3" s="1"/>
  <c r="AA11" i="3" s="1"/>
  <c r="AB11" i="3" s="1"/>
  <c r="AC11" i="3" s="1"/>
  <c r="AK32" i="4"/>
  <c r="W14" i="4"/>
  <c r="X14" i="4" s="1"/>
  <c r="Y14" i="4" s="1"/>
  <c r="AA14" i="4" s="1"/>
  <c r="AB14" i="4" s="1"/>
  <c r="AC14" i="4" s="1"/>
  <c r="AK30" i="3"/>
  <c r="W12" i="3"/>
  <c r="X12" i="3" s="1"/>
  <c r="Y12" i="3" s="1"/>
  <c r="AA12" i="3" s="1"/>
  <c r="AB12" i="3" s="1"/>
  <c r="AC12" i="3" s="1"/>
  <c r="AF11" i="4"/>
  <c r="AK20" i="4" s="1"/>
  <c r="AD11" i="4"/>
  <c r="AK40" i="4"/>
  <c r="V19" i="4"/>
  <c r="AE13" i="4"/>
  <c r="AK16" i="4" s="1"/>
  <c r="AF14" i="3"/>
  <c r="AK23" i="3" s="1"/>
  <c r="AD14" i="3"/>
  <c r="AK40" i="3"/>
  <c r="V19" i="3"/>
  <c r="AE13" i="3"/>
  <c r="AK16" i="3" s="1"/>
  <c r="AF12" i="4"/>
  <c r="AK21" i="4" s="1"/>
  <c r="AD12" i="4"/>
  <c r="G54" i="1"/>
  <c r="I54" i="1" s="1"/>
  <c r="G47" i="1"/>
  <c r="I47" i="1" s="1"/>
  <c r="G50" i="1"/>
  <c r="I50" i="1" s="1"/>
  <c r="G61" i="1"/>
  <c r="I61" i="1" s="1"/>
  <c r="G53" i="1"/>
  <c r="I53" i="1" s="1"/>
  <c r="AK37" i="3" l="1"/>
  <c r="AK28" i="3"/>
  <c r="AK19" i="3"/>
  <c r="AK37" i="4"/>
  <c r="AK28" i="4"/>
  <c r="AK19" i="4"/>
  <c r="AE14" i="3"/>
  <c r="AK17" i="3" s="1"/>
  <c r="AK41" i="3"/>
  <c r="V20" i="3"/>
  <c r="AK38" i="4"/>
  <c r="V17" i="4"/>
  <c r="AE11" i="4"/>
  <c r="AK14" i="4" s="1"/>
  <c r="AF14" i="4"/>
  <c r="AK23" i="4" s="1"/>
  <c r="AD14" i="4"/>
  <c r="AL31" i="3"/>
  <c r="W19" i="3"/>
  <c r="X19" i="3" s="1"/>
  <c r="Y19" i="3" s="1"/>
  <c r="AA19" i="3" s="1"/>
  <c r="AB19" i="3" s="1"/>
  <c r="AC19" i="3" s="1"/>
  <c r="AK39" i="4"/>
  <c r="V18" i="4"/>
  <c r="AE12" i="4"/>
  <c r="AK15" i="4" s="1"/>
  <c r="AL31" i="4"/>
  <c r="W19" i="4"/>
  <c r="X19" i="4" s="1"/>
  <c r="Y19" i="4" s="1"/>
  <c r="AA19" i="4" s="1"/>
  <c r="AB19" i="4" s="1"/>
  <c r="AC19" i="4" s="1"/>
  <c r="AF12" i="3"/>
  <c r="AK21" i="3" s="1"/>
  <c r="AD12" i="3"/>
  <c r="AF11" i="3"/>
  <c r="AK20" i="3" s="1"/>
  <c r="AD11" i="3"/>
  <c r="M61" i="1"/>
  <c r="K61" i="1"/>
  <c r="N61" i="1"/>
  <c r="L61" i="1"/>
  <c r="J61" i="1"/>
  <c r="L50" i="1"/>
  <c r="K50" i="1"/>
  <c r="N50" i="1"/>
  <c r="J50" i="1"/>
  <c r="M50" i="1"/>
  <c r="L47" i="1"/>
  <c r="K47" i="1"/>
  <c r="N47" i="1"/>
  <c r="J47" i="1"/>
  <c r="M47" i="1"/>
  <c r="I77" i="1"/>
  <c r="L53" i="1"/>
  <c r="K53" i="1"/>
  <c r="N53" i="1"/>
  <c r="J53" i="1"/>
  <c r="M53" i="1"/>
  <c r="N54" i="1"/>
  <c r="J54" i="1"/>
  <c r="P54" i="1" s="1"/>
  <c r="M54" i="1"/>
  <c r="L54" i="1"/>
  <c r="K54" i="1"/>
  <c r="G77" i="1"/>
  <c r="P50" i="1" l="1"/>
  <c r="N77" i="1"/>
  <c r="N79" i="1" s="1"/>
  <c r="P61" i="1"/>
  <c r="P53" i="1"/>
  <c r="AL29" i="4"/>
  <c r="W17" i="4"/>
  <c r="X17" i="4" s="1"/>
  <c r="Y17" i="4" s="1"/>
  <c r="AA17" i="4" s="1"/>
  <c r="AB17" i="4" s="1"/>
  <c r="AC17" i="4" s="1"/>
  <c r="W18" i="4"/>
  <c r="X18" i="4" s="1"/>
  <c r="Y18" i="4" s="1"/>
  <c r="AA18" i="4" s="1"/>
  <c r="AB18" i="4" s="1"/>
  <c r="AC18" i="4" s="1"/>
  <c r="AL30" i="4"/>
  <c r="V20" i="4"/>
  <c r="AE14" i="4"/>
  <c r="AK17" i="4" s="1"/>
  <c r="AK41" i="4"/>
  <c r="AF19" i="3"/>
  <c r="AL22" i="3" s="1"/>
  <c r="AD19" i="3"/>
  <c r="AK39" i="3"/>
  <c r="V18" i="3"/>
  <c r="AE12" i="3"/>
  <c r="AK15" i="3" s="1"/>
  <c r="AE11" i="3"/>
  <c r="AK14" i="3" s="1"/>
  <c r="AK38" i="3"/>
  <c r="V17" i="3"/>
  <c r="AF19" i="4"/>
  <c r="AL22" i="4" s="1"/>
  <c r="AD19" i="4"/>
  <c r="AL32" i="3"/>
  <c r="W20" i="3"/>
  <c r="X20" i="3" s="1"/>
  <c r="Y20" i="3" s="1"/>
  <c r="AA20" i="3" s="1"/>
  <c r="AB20" i="3" s="1"/>
  <c r="AC20" i="3" s="1"/>
  <c r="G81" i="1"/>
  <c r="G79" i="1"/>
  <c r="K77" i="1"/>
  <c r="P47" i="1"/>
  <c r="N81" i="1"/>
  <c r="I81" i="1"/>
  <c r="I79" i="1"/>
  <c r="M77" i="1"/>
  <c r="J77" i="1"/>
  <c r="L77" i="1"/>
  <c r="V25" i="4" l="1"/>
  <c r="AE19" i="4"/>
  <c r="AL16" i="4" s="1"/>
  <c r="AL40" i="4"/>
  <c r="AL32" i="4"/>
  <c r="W20" i="4"/>
  <c r="X20" i="4" s="1"/>
  <c r="Y20" i="4" s="1"/>
  <c r="AA20" i="4" s="1"/>
  <c r="AB20" i="4" s="1"/>
  <c r="AC20" i="4" s="1"/>
  <c r="AF18" i="4"/>
  <c r="AL21" i="4" s="1"/>
  <c r="AD18" i="4"/>
  <c r="AL40" i="3"/>
  <c r="V25" i="3"/>
  <c r="AE19" i="3"/>
  <c r="AL16" i="3" s="1"/>
  <c r="AF20" i="3"/>
  <c r="AL23" i="3" s="1"/>
  <c r="AD20" i="3"/>
  <c r="AL29" i="3"/>
  <c r="W17" i="3"/>
  <c r="X17" i="3" s="1"/>
  <c r="Y17" i="3" s="1"/>
  <c r="AA17" i="3" s="1"/>
  <c r="AB17" i="3" s="1"/>
  <c r="AC17" i="3" s="1"/>
  <c r="AL30" i="3"/>
  <c r="W18" i="3"/>
  <c r="X18" i="3" s="1"/>
  <c r="Y18" i="3" s="1"/>
  <c r="AA18" i="3" s="1"/>
  <c r="AB18" i="3" s="1"/>
  <c r="AC18" i="3" s="1"/>
  <c r="AF17" i="4"/>
  <c r="AL20" i="4" s="1"/>
  <c r="AD17" i="4"/>
  <c r="K81" i="1"/>
  <c r="K79" i="1"/>
  <c r="L81" i="1"/>
  <c r="L79" i="1"/>
  <c r="J81" i="1"/>
  <c r="J79" i="1"/>
  <c r="M81" i="1"/>
  <c r="M79" i="1"/>
  <c r="AF20" i="4" l="1"/>
  <c r="AL23" i="4" s="1"/>
  <c r="AD20" i="4"/>
  <c r="AM31" i="4"/>
  <c r="W25" i="4"/>
  <c r="X25" i="4" s="1"/>
  <c r="Y25" i="4" s="1"/>
  <c r="AA25" i="4" s="1"/>
  <c r="AB25" i="4" s="1"/>
  <c r="AC25" i="4" s="1"/>
  <c r="AF17" i="3"/>
  <c r="AL20" i="3" s="1"/>
  <c r="AD17" i="3"/>
  <c r="AM31" i="3"/>
  <c r="W25" i="3"/>
  <c r="X25" i="3" s="1"/>
  <c r="Y25" i="3" s="1"/>
  <c r="AA25" i="3" s="1"/>
  <c r="AB25" i="3" s="1"/>
  <c r="AC25" i="3" s="1"/>
  <c r="AF18" i="3"/>
  <c r="AL21" i="3" s="1"/>
  <c r="AD18" i="3"/>
  <c r="AL41" i="3"/>
  <c r="V26" i="3"/>
  <c r="AE20" i="3"/>
  <c r="AL17" i="3" s="1"/>
  <c r="AL39" i="4"/>
  <c r="V24" i="4"/>
  <c r="AE18" i="4"/>
  <c r="AL15" i="4" s="1"/>
  <c r="V23" i="4"/>
  <c r="AL38" i="4"/>
  <c r="AE17" i="4"/>
  <c r="AL14" i="4" s="1"/>
  <c r="AL37" i="3"/>
  <c r="AL19" i="3"/>
  <c r="AL28" i="3"/>
  <c r="AL28" i="4"/>
  <c r="AL19" i="4"/>
  <c r="AL37" i="4"/>
  <c r="AF25" i="3" l="1"/>
  <c r="AM22" i="3" s="1"/>
  <c r="AD25" i="3"/>
  <c r="AF25" i="4"/>
  <c r="AM22" i="4" s="1"/>
  <c r="AD25" i="4"/>
  <c r="W26" i="3"/>
  <c r="X26" i="3" s="1"/>
  <c r="Y26" i="3" s="1"/>
  <c r="AA26" i="3" s="1"/>
  <c r="AB26" i="3" s="1"/>
  <c r="AC26" i="3" s="1"/>
  <c r="AM32" i="3"/>
  <c r="W24" i="4"/>
  <c r="X24" i="4" s="1"/>
  <c r="Y24" i="4" s="1"/>
  <c r="AA24" i="4" s="1"/>
  <c r="AB24" i="4" s="1"/>
  <c r="AC24" i="4" s="1"/>
  <c r="AM30" i="4"/>
  <c r="V24" i="3"/>
  <c r="AE18" i="3"/>
  <c r="AL15" i="3" s="1"/>
  <c r="AL39" i="3"/>
  <c r="V23" i="3"/>
  <c r="AL38" i="3"/>
  <c r="AE17" i="3"/>
  <c r="AL14" i="3" s="1"/>
  <c r="AL41" i="4"/>
  <c r="V26" i="4"/>
  <c r="AE20" i="4"/>
  <c r="AL17" i="4" s="1"/>
  <c r="AM29" i="4"/>
  <c r="W23" i="4"/>
  <c r="X23" i="4" s="1"/>
  <c r="Y23" i="4" s="1"/>
  <c r="AA23" i="4" s="1"/>
  <c r="AB23" i="4" s="1"/>
  <c r="AC23" i="4" s="1"/>
  <c r="AF23" i="4" l="1"/>
  <c r="AM20" i="4" s="1"/>
  <c r="AD23" i="4"/>
  <c r="W26" i="4"/>
  <c r="X26" i="4" s="1"/>
  <c r="Y26" i="4" s="1"/>
  <c r="AA26" i="4" s="1"/>
  <c r="AB26" i="4" s="1"/>
  <c r="AC26" i="4" s="1"/>
  <c r="AM32" i="4"/>
  <c r="AM29" i="3"/>
  <c r="W23" i="3"/>
  <c r="X23" i="3" s="1"/>
  <c r="Y23" i="3" s="1"/>
  <c r="AA23" i="3" s="1"/>
  <c r="AB23" i="3" s="1"/>
  <c r="AC23" i="3" s="1"/>
  <c r="AM40" i="4"/>
  <c r="V31" i="4"/>
  <c r="AE25" i="4"/>
  <c r="AM16" i="4" s="1"/>
  <c r="AF24" i="4"/>
  <c r="AM21" i="4" s="1"/>
  <c r="AD24" i="4"/>
  <c r="V31" i="3"/>
  <c r="AE25" i="3"/>
  <c r="AM16" i="3" s="1"/>
  <c r="AM40" i="3"/>
  <c r="AM30" i="3"/>
  <c r="W24" i="3"/>
  <c r="X24" i="3" s="1"/>
  <c r="Y24" i="3" s="1"/>
  <c r="AA24" i="3" s="1"/>
  <c r="AB24" i="3" s="1"/>
  <c r="AC24" i="3" s="1"/>
  <c r="AF26" i="3"/>
  <c r="AM23" i="3" s="1"/>
  <c r="AD26" i="3"/>
  <c r="AF24" i="3" l="1"/>
  <c r="AM21" i="3" s="1"/>
  <c r="AD24" i="3"/>
  <c r="AN31" i="3"/>
  <c r="W31" i="3"/>
  <c r="X31" i="3" s="1"/>
  <c r="Y31" i="3" s="1"/>
  <c r="AA31" i="3" s="1"/>
  <c r="AB31" i="3" s="1"/>
  <c r="AC31" i="3" s="1"/>
  <c r="AN31" i="4"/>
  <c r="W31" i="4"/>
  <c r="X31" i="4" s="1"/>
  <c r="Y31" i="4" s="1"/>
  <c r="AA31" i="4" s="1"/>
  <c r="AB31" i="4" s="1"/>
  <c r="AC31" i="4" s="1"/>
  <c r="AE24" i="4"/>
  <c r="AM15" i="4" s="1"/>
  <c r="AM39" i="4"/>
  <c r="V30" i="4"/>
  <c r="AF26" i="4"/>
  <c r="AM23" i="4" s="1"/>
  <c r="AD26" i="4"/>
  <c r="AF23" i="3"/>
  <c r="AM20" i="3" s="1"/>
  <c r="AD23" i="3"/>
  <c r="V29" i="4"/>
  <c r="AM38" i="4"/>
  <c r="AE23" i="4"/>
  <c r="AM14" i="4" s="1"/>
  <c r="AE26" i="3"/>
  <c r="AM17" i="3" s="1"/>
  <c r="AM41" i="3"/>
  <c r="V32" i="3"/>
  <c r="AM19" i="3"/>
  <c r="AM28" i="3"/>
  <c r="AM37" i="3"/>
  <c r="AM37" i="4"/>
  <c r="AM28" i="4"/>
  <c r="AM19" i="4"/>
  <c r="AN32" i="3" l="1"/>
  <c r="W32" i="3"/>
  <c r="X32" i="3" s="1"/>
  <c r="Y32" i="3" s="1"/>
  <c r="AA32" i="3" s="1"/>
  <c r="AB32" i="3" s="1"/>
  <c r="AC32" i="3" s="1"/>
  <c r="AM41" i="4"/>
  <c r="AE26" i="4"/>
  <c r="AM17" i="4" s="1"/>
  <c r="V32" i="4"/>
  <c r="AF31" i="3"/>
  <c r="AN22" i="3" s="1"/>
  <c r="AD31" i="3"/>
  <c r="AN29" i="4"/>
  <c r="W29" i="4"/>
  <c r="X29" i="4" s="1"/>
  <c r="Y29" i="4" s="1"/>
  <c r="AA29" i="4" s="1"/>
  <c r="AB29" i="4" s="1"/>
  <c r="AC29" i="4" s="1"/>
  <c r="AF31" i="4"/>
  <c r="AN22" i="4" s="1"/>
  <c r="AD31" i="4"/>
  <c r="AM39" i="3"/>
  <c r="V30" i="3"/>
  <c r="AE24" i="3"/>
  <c r="AM15" i="3" s="1"/>
  <c r="V29" i="3"/>
  <c r="AM38" i="3"/>
  <c r="AE23" i="3"/>
  <c r="AM14" i="3" s="1"/>
  <c r="AN30" i="4"/>
  <c r="W30" i="4"/>
  <c r="X30" i="4" s="1"/>
  <c r="Y30" i="4" s="1"/>
  <c r="AA30" i="4" s="1"/>
  <c r="AB30" i="4" s="1"/>
  <c r="AC30" i="4" s="1"/>
  <c r="AF30" i="4" l="1"/>
  <c r="AN21" i="4" s="1"/>
  <c r="AD30" i="4"/>
  <c r="AN29" i="3"/>
  <c r="W29" i="3"/>
  <c r="X29" i="3" s="1"/>
  <c r="Y29" i="3" s="1"/>
  <c r="AA29" i="3" s="1"/>
  <c r="AB29" i="3" s="1"/>
  <c r="AC29" i="3" s="1"/>
  <c r="AN40" i="4"/>
  <c r="V37" i="4"/>
  <c r="AE31" i="4"/>
  <c r="AN16" i="4" s="1"/>
  <c r="AE31" i="3"/>
  <c r="AN16" i="3" s="1"/>
  <c r="AN40" i="3"/>
  <c r="V37" i="3"/>
  <c r="AF32" i="3"/>
  <c r="AN23" i="3" s="1"/>
  <c r="AD32" i="3"/>
  <c r="AN30" i="3"/>
  <c r="W30" i="3"/>
  <c r="X30" i="3" s="1"/>
  <c r="Y30" i="3" s="1"/>
  <c r="AA30" i="3" s="1"/>
  <c r="AB30" i="3" s="1"/>
  <c r="AC30" i="3" s="1"/>
  <c r="AF29" i="4"/>
  <c r="AN20" i="4" s="1"/>
  <c r="AD29" i="4"/>
  <c r="AN32" i="4"/>
  <c r="W32" i="4"/>
  <c r="X32" i="4" s="1"/>
  <c r="Y32" i="4" s="1"/>
  <c r="AA32" i="4" s="1"/>
  <c r="AB32" i="4" s="1"/>
  <c r="AC32" i="4" s="1"/>
  <c r="AF29" i="3" l="1"/>
  <c r="AN20" i="3" s="1"/>
  <c r="AD29" i="3"/>
  <c r="AN19" i="4"/>
  <c r="AN37" i="4"/>
  <c r="AN28" i="4"/>
  <c r="AN38" i="4"/>
  <c r="V35" i="4"/>
  <c r="AE29" i="4"/>
  <c r="AN14" i="4" s="1"/>
  <c r="AE32" i="3"/>
  <c r="AN17" i="3" s="1"/>
  <c r="AN41" i="3"/>
  <c r="V38" i="3"/>
  <c r="AF30" i="3"/>
  <c r="AN21" i="3" s="1"/>
  <c r="AD30" i="3"/>
  <c r="AO31" i="4"/>
  <c r="W37" i="4"/>
  <c r="X37" i="4" s="1"/>
  <c r="Y37" i="4" s="1"/>
  <c r="AA37" i="4" s="1"/>
  <c r="AB37" i="4" s="1"/>
  <c r="AC37" i="4" s="1"/>
  <c r="AN39" i="4"/>
  <c r="V36" i="4"/>
  <c r="AE30" i="4"/>
  <c r="AN15" i="4" s="1"/>
  <c r="AN19" i="3"/>
  <c r="AN28" i="3"/>
  <c r="AN37" i="3"/>
  <c r="AF32" i="4"/>
  <c r="AN23" i="4" s="1"/>
  <c r="AD32" i="4"/>
  <c r="AO31" i="3"/>
  <c r="W37" i="3"/>
  <c r="X37" i="3" s="1"/>
  <c r="Y37" i="3" s="1"/>
  <c r="AA37" i="3" s="1"/>
  <c r="AB37" i="3" s="1"/>
  <c r="AC37" i="3" s="1"/>
  <c r="AN41" i="4" l="1"/>
  <c r="V38" i="4"/>
  <c r="AE32" i="4"/>
  <c r="AN17" i="4" s="1"/>
  <c r="AF37" i="4"/>
  <c r="AO22" i="4" s="1"/>
  <c r="AD37" i="4"/>
  <c r="AO32" i="3"/>
  <c r="W38" i="3"/>
  <c r="X38" i="3" s="1"/>
  <c r="Y38" i="3" s="1"/>
  <c r="AA38" i="3" s="1"/>
  <c r="AB38" i="3" s="1"/>
  <c r="AC38" i="3" s="1"/>
  <c r="AO29" i="4"/>
  <c r="W35" i="4"/>
  <c r="X35" i="4" s="1"/>
  <c r="Y35" i="4" s="1"/>
  <c r="AA35" i="4" s="1"/>
  <c r="AB35" i="4" s="1"/>
  <c r="AC35" i="4" s="1"/>
  <c r="AN38" i="3"/>
  <c r="AE29" i="3"/>
  <c r="AN14" i="3" s="1"/>
  <c r="V35" i="3"/>
  <c r="AF37" i="3"/>
  <c r="AO22" i="3" s="1"/>
  <c r="AD37" i="3"/>
  <c r="AO30" i="4"/>
  <c r="W36" i="4"/>
  <c r="X36" i="4" s="1"/>
  <c r="Y36" i="4" s="1"/>
  <c r="AA36" i="4" s="1"/>
  <c r="AB36" i="4" s="1"/>
  <c r="AC36" i="4" s="1"/>
  <c r="AE30" i="3"/>
  <c r="AN15" i="3" s="1"/>
  <c r="AN39" i="3"/>
  <c r="V36" i="3"/>
  <c r="AF35" i="4" l="1"/>
  <c r="AO20" i="4" s="1"/>
  <c r="AD35" i="4"/>
  <c r="V43" i="4"/>
  <c r="AE37" i="4"/>
  <c r="AO16" i="4" s="1"/>
  <c r="AO40" i="4"/>
  <c r="AO30" i="3"/>
  <c r="W36" i="3"/>
  <c r="X36" i="3" s="1"/>
  <c r="Y36" i="3" s="1"/>
  <c r="AA36" i="3" s="1"/>
  <c r="AB36" i="3" s="1"/>
  <c r="AC36" i="3" s="1"/>
  <c r="AO29" i="3"/>
  <c r="W35" i="3"/>
  <c r="X35" i="3" s="1"/>
  <c r="Y35" i="3" s="1"/>
  <c r="AA35" i="3" s="1"/>
  <c r="AB35" i="3" s="1"/>
  <c r="AC35" i="3" s="1"/>
  <c r="AF36" i="4"/>
  <c r="AO21" i="4" s="1"/>
  <c r="AD36" i="4"/>
  <c r="AF38" i="3"/>
  <c r="AO23" i="3" s="1"/>
  <c r="AD38" i="3"/>
  <c r="AO40" i="3"/>
  <c r="V43" i="3"/>
  <c r="AE37" i="3"/>
  <c r="AO16" i="3" s="1"/>
  <c r="W38" i="4"/>
  <c r="X38" i="4" s="1"/>
  <c r="Y38" i="4" s="1"/>
  <c r="AA38" i="4" s="1"/>
  <c r="AB38" i="4" s="1"/>
  <c r="AC38" i="4" s="1"/>
  <c r="AO32" i="4"/>
  <c r="AF36" i="3" l="1"/>
  <c r="AO21" i="3" s="1"/>
  <c r="AD36" i="3"/>
  <c r="W43" i="4"/>
  <c r="X43" i="4" s="1"/>
  <c r="Y43" i="4" s="1"/>
  <c r="AA43" i="4" s="1"/>
  <c r="AB43" i="4" s="1"/>
  <c r="AC43" i="4" s="1"/>
  <c r="AP31" i="4"/>
  <c r="AO37" i="4"/>
  <c r="AO28" i="4"/>
  <c r="AO19" i="4"/>
  <c r="W43" i="3"/>
  <c r="X43" i="3" s="1"/>
  <c r="Y43" i="3" s="1"/>
  <c r="AA43" i="3" s="1"/>
  <c r="AB43" i="3" s="1"/>
  <c r="AC43" i="3" s="1"/>
  <c r="AP31" i="3"/>
  <c r="AO39" i="4"/>
  <c r="V42" i="4"/>
  <c r="AE36" i="4"/>
  <c r="AO15" i="4" s="1"/>
  <c r="AO38" i="4"/>
  <c r="V41" i="4"/>
  <c r="AE35" i="4"/>
  <c r="AO14" i="4" s="1"/>
  <c r="AO19" i="3"/>
  <c r="AO37" i="3"/>
  <c r="AO28" i="3"/>
  <c r="AF38" i="4"/>
  <c r="AO23" i="4" s="1"/>
  <c r="AD38" i="4"/>
  <c r="AE38" i="3"/>
  <c r="AO17" i="3" s="1"/>
  <c r="V44" i="3"/>
  <c r="AO41" i="3"/>
  <c r="AF35" i="3"/>
  <c r="AO20" i="3" s="1"/>
  <c r="AD35" i="3"/>
  <c r="V44" i="4" l="1"/>
  <c r="AO41" i="4"/>
  <c r="AE38" i="4"/>
  <c r="AO17" i="4" s="1"/>
  <c r="AF43" i="4"/>
  <c r="AP22" i="4" s="1"/>
  <c r="AD43" i="4"/>
  <c r="AP32" i="3"/>
  <c r="W44" i="3"/>
  <c r="X44" i="3" s="1"/>
  <c r="Y44" i="3" s="1"/>
  <c r="AA44" i="3" s="1"/>
  <c r="AB44" i="3" s="1"/>
  <c r="AC44" i="3" s="1"/>
  <c r="W41" i="4"/>
  <c r="X41" i="4" s="1"/>
  <c r="Y41" i="4" s="1"/>
  <c r="AA41" i="4" s="1"/>
  <c r="AB41" i="4" s="1"/>
  <c r="AC41" i="4" s="1"/>
  <c r="AP29" i="4"/>
  <c r="AO39" i="3"/>
  <c r="V42" i="3"/>
  <c r="AE36" i="3"/>
  <c r="AO15" i="3" s="1"/>
  <c r="AF43" i="3"/>
  <c r="AP22" i="3" s="1"/>
  <c r="AD43" i="3"/>
  <c r="AP30" i="4"/>
  <c r="W42" i="4"/>
  <c r="X42" i="4" s="1"/>
  <c r="Y42" i="4" s="1"/>
  <c r="AA42" i="4" s="1"/>
  <c r="AB42" i="4" s="1"/>
  <c r="AC42" i="4" s="1"/>
  <c r="AE35" i="3"/>
  <c r="AO14" i="3" s="1"/>
  <c r="AO38" i="3"/>
  <c r="V41" i="3"/>
  <c r="AF42" i="4" l="1"/>
  <c r="AP21" i="4" s="1"/>
  <c r="AD42" i="4"/>
  <c r="AF41" i="4"/>
  <c r="AP20" i="4" s="1"/>
  <c r="AD41" i="4"/>
  <c r="W42" i="3"/>
  <c r="X42" i="3" s="1"/>
  <c r="Y42" i="3" s="1"/>
  <c r="AA42" i="3" s="1"/>
  <c r="AB42" i="3" s="1"/>
  <c r="AC42" i="3" s="1"/>
  <c r="AP30" i="3"/>
  <c r="AP40" i="4"/>
  <c r="V49" i="4"/>
  <c r="AE43" i="4"/>
  <c r="AP16" i="4" s="1"/>
  <c r="W44" i="4"/>
  <c r="X44" i="4" s="1"/>
  <c r="Y44" i="4" s="1"/>
  <c r="AA44" i="4" s="1"/>
  <c r="AB44" i="4" s="1"/>
  <c r="AC44" i="4" s="1"/>
  <c r="AP32" i="4"/>
  <c r="W41" i="3"/>
  <c r="X41" i="3" s="1"/>
  <c r="Y41" i="3" s="1"/>
  <c r="AA41" i="3" s="1"/>
  <c r="AB41" i="3" s="1"/>
  <c r="AC41" i="3" s="1"/>
  <c r="AP29" i="3"/>
  <c r="AF44" i="3"/>
  <c r="AP23" i="3" s="1"/>
  <c r="AD44" i="3"/>
  <c r="AP40" i="3"/>
  <c r="V49" i="3"/>
  <c r="AE43" i="3"/>
  <c r="AP16" i="3" s="1"/>
  <c r="AF41" i="3" l="1"/>
  <c r="AP20" i="3" s="1"/>
  <c r="AD41" i="3"/>
  <c r="AQ31" i="4"/>
  <c r="W49" i="4"/>
  <c r="X49" i="4" s="1"/>
  <c r="Y49" i="4" s="1"/>
  <c r="AA49" i="4" s="1"/>
  <c r="AB49" i="4" s="1"/>
  <c r="AC49" i="4" s="1"/>
  <c r="V47" i="4"/>
  <c r="AE41" i="4"/>
  <c r="AP14" i="4" s="1"/>
  <c r="AP38" i="4"/>
  <c r="AP41" i="3"/>
  <c r="V50" i="3"/>
  <c r="AE44" i="3"/>
  <c r="AP17" i="3" s="1"/>
  <c r="AF44" i="4"/>
  <c r="AP23" i="4" s="1"/>
  <c r="AD44" i="4"/>
  <c r="V48" i="4"/>
  <c r="AE42" i="4"/>
  <c r="AP15" i="4" s="1"/>
  <c r="AP39" i="4"/>
  <c r="AP28" i="3"/>
  <c r="AP19" i="3"/>
  <c r="AP37" i="3"/>
  <c r="W49" i="3"/>
  <c r="X49" i="3" s="1"/>
  <c r="Y49" i="3" s="1"/>
  <c r="AA49" i="3" s="1"/>
  <c r="AB49" i="3" s="1"/>
  <c r="AC49" i="3" s="1"/>
  <c r="AQ31" i="3"/>
  <c r="AP37" i="4"/>
  <c r="AP28" i="4"/>
  <c r="AP19" i="4"/>
  <c r="AF42" i="3"/>
  <c r="AP21" i="3" s="1"/>
  <c r="AD42" i="3"/>
  <c r="V50" i="4" l="1"/>
  <c r="AE44" i="4"/>
  <c r="AP17" i="4" s="1"/>
  <c r="AP41" i="4"/>
  <c r="AF49" i="4"/>
  <c r="AQ22" i="4" s="1"/>
  <c r="AD49" i="4"/>
  <c r="AF49" i="3"/>
  <c r="AQ22" i="3" s="1"/>
  <c r="AD49" i="3"/>
  <c r="AE41" i="3"/>
  <c r="AP14" i="3" s="1"/>
  <c r="AP38" i="3"/>
  <c r="V47" i="3"/>
  <c r="V48" i="3"/>
  <c r="AE42" i="3"/>
  <c r="AP15" i="3" s="1"/>
  <c r="AP39" i="3"/>
  <c r="W48" i="4"/>
  <c r="X48" i="4" s="1"/>
  <c r="Y48" i="4" s="1"/>
  <c r="AA48" i="4" s="1"/>
  <c r="AB48" i="4" s="1"/>
  <c r="AC48" i="4" s="1"/>
  <c r="AQ30" i="4"/>
  <c r="AQ32" i="3"/>
  <c r="W50" i="3"/>
  <c r="X50" i="3" s="1"/>
  <c r="Y50" i="3" s="1"/>
  <c r="AA50" i="3" s="1"/>
  <c r="AB50" i="3" s="1"/>
  <c r="AC50" i="3" s="1"/>
  <c r="W47" i="4"/>
  <c r="X47" i="4" s="1"/>
  <c r="Y47" i="4" s="1"/>
  <c r="AA47" i="4" s="1"/>
  <c r="AB47" i="4" s="1"/>
  <c r="AC47" i="4" s="1"/>
  <c r="AQ29" i="4"/>
  <c r="AF47" i="4" l="1"/>
  <c r="AQ20" i="4" s="1"/>
  <c r="AD47" i="4"/>
  <c r="AF50" i="3"/>
  <c r="AQ23" i="3" s="1"/>
  <c r="AD50" i="3"/>
  <c r="AQ40" i="4"/>
  <c r="V55" i="4"/>
  <c r="AE49" i="4"/>
  <c r="AQ16" i="4" s="1"/>
  <c r="W50" i="4"/>
  <c r="X50" i="4" s="1"/>
  <c r="Y50" i="4" s="1"/>
  <c r="AA50" i="4" s="1"/>
  <c r="AB50" i="4" s="1"/>
  <c r="AC50" i="4" s="1"/>
  <c r="AQ32" i="4"/>
  <c r="AF48" i="4"/>
  <c r="AQ21" i="4" s="1"/>
  <c r="AD48" i="4"/>
  <c r="W48" i="3"/>
  <c r="X48" i="3" s="1"/>
  <c r="Y48" i="3" s="1"/>
  <c r="AA48" i="3" s="1"/>
  <c r="AB48" i="3" s="1"/>
  <c r="AC48" i="3" s="1"/>
  <c r="AQ30" i="3"/>
  <c r="W47" i="3"/>
  <c r="X47" i="3" s="1"/>
  <c r="Y47" i="3" s="1"/>
  <c r="AA47" i="3" s="1"/>
  <c r="AB47" i="3" s="1"/>
  <c r="AC47" i="3" s="1"/>
  <c r="AQ29" i="3"/>
  <c r="AE49" i="3"/>
  <c r="AQ16" i="3" s="1"/>
  <c r="AQ40" i="3"/>
  <c r="V55" i="3"/>
  <c r="AF48" i="3" l="1"/>
  <c r="AQ21" i="3" s="1"/>
  <c r="AD48" i="3"/>
  <c r="AF50" i="4"/>
  <c r="AQ23" i="4" s="1"/>
  <c r="AD50" i="4"/>
  <c r="AE50" i="3"/>
  <c r="AQ17" i="3" s="1"/>
  <c r="AQ41" i="3"/>
  <c r="V56" i="3"/>
  <c r="AE48" i="4"/>
  <c r="AQ15" i="4" s="1"/>
  <c r="V54" i="4"/>
  <c r="AQ39" i="4"/>
  <c r="AQ28" i="4"/>
  <c r="AQ19" i="4"/>
  <c r="AQ37" i="4"/>
  <c r="AQ37" i="3"/>
  <c r="AQ19" i="3"/>
  <c r="AQ28" i="3"/>
  <c r="W55" i="3"/>
  <c r="X55" i="3" s="1"/>
  <c r="Y55" i="3" s="1"/>
  <c r="AA55" i="3" s="1"/>
  <c r="AB55" i="3" s="1"/>
  <c r="AC55" i="3" s="1"/>
  <c r="AR31" i="3"/>
  <c r="AE47" i="4"/>
  <c r="AQ14" i="4" s="1"/>
  <c r="V53" i="4"/>
  <c r="AQ38" i="4"/>
  <c r="AF47" i="3"/>
  <c r="AQ20" i="3" s="1"/>
  <c r="AD47" i="3"/>
  <c r="W55" i="4"/>
  <c r="X55" i="4" s="1"/>
  <c r="Y55" i="4" s="1"/>
  <c r="AA55" i="4" s="1"/>
  <c r="AB55" i="4" s="1"/>
  <c r="AC55" i="4" s="1"/>
  <c r="AR31" i="4"/>
  <c r="V54" i="3" l="1"/>
  <c r="AQ39" i="3"/>
  <c r="AE48" i="3"/>
  <c r="AQ15" i="3" s="1"/>
  <c r="AF55" i="4"/>
  <c r="AR22" i="4" s="1"/>
  <c r="AD55" i="4"/>
  <c r="W53" i="4"/>
  <c r="X53" i="4" s="1"/>
  <c r="Y53" i="4" s="1"/>
  <c r="AA53" i="4" s="1"/>
  <c r="AB53" i="4" s="1"/>
  <c r="AC53" i="4" s="1"/>
  <c r="AR29" i="4"/>
  <c r="V56" i="4"/>
  <c r="AQ41" i="4"/>
  <c r="AE50" i="4"/>
  <c r="AQ17" i="4" s="1"/>
  <c r="V53" i="3"/>
  <c r="AQ38" i="3"/>
  <c r="AE47" i="3"/>
  <c r="AQ14" i="3" s="1"/>
  <c r="AR32" i="3"/>
  <c r="W56" i="3"/>
  <c r="X56" i="3" s="1"/>
  <c r="Y56" i="3" s="1"/>
  <c r="AA56" i="3" s="1"/>
  <c r="AB56" i="3" s="1"/>
  <c r="AC56" i="3" s="1"/>
  <c r="AF55" i="3"/>
  <c r="AR22" i="3" s="1"/>
  <c r="AD55" i="3"/>
  <c r="W54" i="4"/>
  <c r="X54" i="4" s="1"/>
  <c r="Y54" i="4" s="1"/>
  <c r="AA54" i="4" s="1"/>
  <c r="AB54" i="4" s="1"/>
  <c r="AC54" i="4" s="1"/>
  <c r="AR30" i="4"/>
  <c r="AF54" i="4" l="1"/>
  <c r="AR21" i="4" s="1"/>
  <c r="AD54" i="4"/>
  <c r="AF53" i="4"/>
  <c r="AR20" i="4" s="1"/>
  <c r="AD53" i="4"/>
  <c r="AE55" i="3"/>
  <c r="AR16" i="3" s="1"/>
  <c r="AR40" i="3"/>
  <c r="AR32" i="4"/>
  <c r="W56" i="4"/>
  <c r="X56" i="4" s="1"/>
  <c r="Y56" i="4" s="1"/>
  <c r="AA56" i="4" s="1"/>
  <c r="AB56" i="4" s="1"/>
  <c r="AC56" i="4" s="1"/>
  <c r="AF56" i="3"/>
  <c r="AR23" i="3" s="1"/>
  <c r="AD56" i="3"/>
  <c r="AR29" i="3"/>
  <c r="W53" i="3"/>
  <c r="X53" i="3" s="1"/>
  <c r="Y53" i="3" s="1"/>
  <c r="AA53" i="3" s="1"/>
  <c r="AB53" i="3" s="1"/>
  <c r="AC53" i="3" s="1"/>
  <c r="AR40" i="4"/>
  <c r="AE55" i="4"/>
  <c r="AR16" i="4" s="1"/>
  <c r="AR30" i="3"/>
  <c r="W54" i="3"/>
  <c r="X54" i="3" s="1"/>
  <c r="Y54" i="3" s="1"/>
  <c r="AA54" i="3" s="1"/>
  <c r="AB54" i="3" s="1"/>
  <c r="AC54" i="3" s="1"/>
  <c r="AF53" i="3" l="1"/>
  <c r="AR20" i="3" s="1"/>
  <c r="AD53" i="3"/>
  <c r="AE53" i="4"/>
  <c r="AR14" i="4" s="1"/>
  <c r="AR38" i="4"/>
  <c r="AF54" i="3"/>
  <c r="AR21" i="3" s="1"/>
  <c r="AD54" i="3"/>
  <c r="AR37" i="4"/>
  <c r="AR19" i="4"/>
  <c r="AR28" i="4"/>
  <c r="AR41" i="3"/>
  <c r="AE56" i="3"/>
  <c r="AR17" i="3" s="1"/>
  <c r="AE54" i="4"/>
  <c r="AR15" i="4" s="1"/>
  <c r="AR39" i="4"/>
  <c r="AF56" i="4"/>
  <c r="AR23" i="4" s="1"/>
  <c r="AD56" i="4"/>
  <c r="AR37" i="3"/>
  <c r="AR28" i="3"/>
  <c r="AR19" i="3"/>
  <c r="AJ26" i="4" l="1"/>
  <c r="H15" i="4"/>
  <c r="AJ44" i="3"/>
  <c r="AE54" i="3"/>
  <c r="AR15" i="3" s="1"/>
  <c r="AR39" i="3"/>
  <c r="AR38" i="3"/>
  <c r="AE53" i="3"/>
  <c r="AR14" i="3" s="1"/>
  <c r="AR41" i="4"/>
  <c r="AJ44" i="4" s="1"/>
  <c r="AE56" i="4"/>
  <c r="AR17" i="4" s="1"/>
  <c r="AJ26" i="3"/>
  <c r="H15" i="3"/>
  <c r="AJ35" i="3"/>
  <c r="E11" i="3"/>
  <c r="AJ35" i="4"/>
  <c r="E11" i="4"/>
  <c r="H25" i="3" l="1"/>
  <c r="E6" i="3"/>
  <c r="H25" i="4"/>
  <c r="E6" i="4" s="1"/>
  <c r="S160" i="5" l="1"/>
  <c r="E30" i="4"/>
  <c r="E32" i="4" s="1"/>
  <c r="K169" i="6" s="1"/>
  <c r="L169" i="6" s="1"/>
  <c r="I6" i="4"/>
  <c r="J6" i="4" s="1"/>
  <c r="E5" i="4"/>
  <c r="S158" i="5"/>
  <c r="S164" i="5" s="1"/>
  <c r="E32" i="3"/>
  <c r="E34" i="3" s="1"/>
  <c r="K166" i="6" s="1"/>
  <c r="E5" i="3"/>
  <c r="I6" i="3"/>
  <c r="J6" i="3" s="1"/>
  <c r="K167" i="6" l="1"/>
  <c r="L167" i="6" s="1"/>
  <c r="L166" i="6"/>
</calcChain>
</file>

<file path=xl/sharedStrings.xml><?xml version="1.0" encoding="utf-8"?>
<sst xmlns="http://schemas.openxmlformats.org/spreadsheetml/2006/main" count="1074" uniqueCount="550">
  <si>
    <t xml:space="preserve">City Sanitry, Joe's Refuse, White Pass Garbage </t>
  </si>
  <si>
    <t>2188 Lewis County, Thurston below 142nd Ave</t>
  </si>
  <si>
    <t>12 Months ended 12-31-09</t>
  </si>
  <si>
    <t>Lewis County</t>
  </si>
  <si>
    <t>Total</t>
  </si>
  <si>
    <t xml:space="preserve">Restating </t>
  </si>
  <si>
    <t>Pro-forma</t>
  </si>
  <si>
    <t>Adj</t>
  </si>
  <si>
    <t>Designaged RSA-1,</t>
  </si>
  <si>
    <t>Thurston</t>
  </si>
  <si>
    <t xml:space="preserve">Packer </t>
  </si>
  <si>
    <t>Roll-off</t>
  </si>
  <si>
    <t>Acct No.</t>
  </si>
  <si>
    <t>Description:</t>
  </si>
  <si>
    <t>Income Statement</t>
  </si>
  <si>
    <t>Book</t>
  </si>
  <si>
    <t>Exept RSA-1</t>
  </si>
  <si>
    <t>below 142nd</t>
  </si>
  <si>
    <t>Routes</t>
  </si>
  <si>
    <t>Recycling</t>
  </si>
  <si>
    <t>MF Recycl</t>
  </si>
  <si>
    <t>Yard Waste</t>
  </si>
  <si>
    <t>Revenue:</t>
  </si>
  <si>
    <t>Residential Cans</t>
  </si>
  <si>
    <t>Actual</t>
  </si>
  <si>
    <t>Lewis</t>
  </si>
  <si>
    <t>Joe's</t>
  </si>
  <si>
    <t>Customers:</t>
  </si>
  <si>
    <t xml:space="preserve"> </t>
  </si>
  <si>
    <t>Residential</t>
  </si>
  <si>
    <t>Commercial Cans</t>
  </si>
  <si>
    <t>Commercial cans</t>
  </si>
  <si>
    <t>Special Container Serv</t>
  </si>
  <si>
    <t>Commercial Cont</t>
  </si>
  <si>
    <t>Drop Boxes</t>
  </si>
  <si>
    <t>Drop Box</t>
  </si>
  <si>
    <t>Pass Through</t>
  </si>
  <si>
    <t>Multi-Family Recycl</t>
  </si>
  <si>
    <t>Recycling Material</t>
  </si>
  <si>
    <t>MF Recycling</t>
  </si>
  <si>
    <t>Recycling Credits</t>
  </si>
  <si>
    <t>Misc-Billing Adj</t>
  </si>
  <si>
    <t>Service Charges</t>
  </si>
  <si>
    <t>Total Revenue</t>
  </si>
  <si>
    <t>OK</t>
  </si>
  <si>
    <t>Expenses:</t>
  </si>
  <si>
    <t>Repair-Shop, Bldg</t>
  </si>
  <si>
    <t>Rt Hrs</t>
  </si>
  <si>
    <t>Route Study</t>
  </si>
  <si>
    <t>Wages-Mechanic</t>
  </si>
  <si>
    <t>Route Hrs</t>
  </si>
  <si>
    <t>Contract Labor</t>
  </si>
  <si>
    <t>Residential/Comm</t>
  </si>
  <si>
    <t>Parts &amp; Material</t>
  </si>
  <si>
    <t>Outside Repair</t>
  </si>
  <si>
    <t>Accident Repair</t>
  </si>
  <si>
    <t>Tires-Tubes</t>
  </si>
  <si>
    <t>Other Maintenance</t>
  </si>
  <si>
    <t>Wages-Supervisor</t>
  </si>
  <si>
    <t>Wages-Driver</t>
  </si>
  <si>
    <t>Total Hours</t>
  </si>
  <si>
    <t>Fuel &amp; Oil</t>
  </si>
  <si>
    <t>Leased Equipment</t>
  </si>
  <si>
    <t>Other Collection Expense</t>
  </si>
  <si>
    <t>Dump Fee &amp; Charges</t>
  </si>
  <si>
    <t xml:space="preserve">Total </t>
  </si>
  <si>
    <t>Non-Work</t>
  </si>
  <si>
    <t>Wage</t>
  </si>
  <si>
    <t>Pass Thru</t>
  </si>
  <si>
    <t>Hrs</t>
  </si>
  <si>
    <t>Wages</t>
  </si>
  <si>
    <t>Increase</t>
  </si>
  <si>
    <t>DF- Yard Waste</t>
  </si>
  <si>
    <t>DF- Demo</t>
  </si>
  <si>
    <t>Brokerage/Rebate</t>
  </si>
  <si>
    <t>Processing Fee</t>
  </si>
  <si>
    <t>Tons</t>
  </si>
  <si>
    <t>Revenue Sharing-Glass</t>
  </si>
  <si>
    <t>WUTC Fee</t>
  </si>
  <si>
    <t>Revenue</t>
  </si>
  <si>
    <t>Advertising</t>
  </si>
  <si>
    <t>Customers</t>
  </si>
  <si>
    <t>Public Liability</t>
  </si>
  <si>
    <t>Workmen's Comp</t>
  </si>
  <si>
    <t>Salaries - Office</t>
  </si>
  <si>
    <t>Mechanics</t>
  </si>
  <si>
    <t>Other Sales Exp</t>
  </si>
  <si>
    <t>Cont Repair</t>
  </si>
  <si>
    <t>Management Fee</t>
  </si>
  <si>
    <t>Office &amp; Other Expense</t>
  </si>
  <si>
    <t>Legal &amp; Accounting</t>
  </si>
  <si>
    <t>Office Mgr</t>
  </si>
  <si>
    <t>Communication Phone</t>
  </si>
  <si>
    <t>CSR</t>
  </si>
  <si>
    <t>Employee Welfare</t>
  </si>
  <si>
    <t>Pension</t>
  </si>
  <si>
    <t>Union Medical</t>
  </si>
  <si>
    <t>Distr Mgr</t>
  </si>
  <si>
    <t>Union Pension</t>
  </si>
  <si>
    <t>Bad Debts</t>
  </si>
  <si>
    <t>Other General Expense</t>
  </si>
  <si>
    <t>Utilities</t>
  </si>
  <si>
    <t>Depr-Collection Trucks</t>
  </si>
  <si>
    <t>Depr-Collection Cont, DB</t>
  </si>
  <si>
    <t>Unit Count</t>
  </si>
  <si>
    <t>Depr-Service Equipment</t>
  </si>
  <si>
    <t>Depr-Shop Equipment</t>
  </si>
  <si>
    <t>Depr-Office Equipment</t>
  </si>
  <si>
    <t>Depr-Bldg, Leasehold Impr</t>
  </si>
  <si>
    <t>Operating Tax &amp; License</t>
  </si>
  <si>
    <t>State Excise Tax</t>
  </si>
  <si>
    <t>Vehicle License</t>
  </si>
  <si>
    <t>Property Tax</t>
  </si>
  <si>
    <t>Unit Cnt</t>
  </si>
  <si>
    <t>Payroll Taxes</t>
  </si>
  <si>
    <t xml:space="preserve">Federal Unemployment </t>
  </si>
  <si>
    <t>State Unemployment</t>
  </si>
  <si>
    <t>Rent Land &amp; Structures</t>
  </si>
  <si>
    <t>Total Expenses</t>
  </si>
  <si>
    <t>Net Operating Income</t>
  </si>
  <si>
    <t>Operating Ratio</t>
  </si>
  <si>
    <t>Net Average Investment</t>
  </si>
  <si>
    <t>Restating Adjustment Explanations:</t>
  </si>
  <si>
    <t>Lewis County, Thurston County below 142nd Ave</t>
  </si>
  <si>
    <t xml:space="preserve">Income </t>
  </si>
  <si>
    <t>Adjusted</t>
  </si>
  <si>
    <t>Billing</t>
  </si>
  <si>
    <t>Statement</t>
  </si>
  <si>
    <t>IS</t>
  </si>
  <si>
    <t>RSA-1</t>
  </si>
  <si>
    <t>Except RSA-1</t>
  </si>
  <si>
    <t>Joe's Lewis</t>
  </si>
  <si>
    <t>Regulated</t>
  </si>
  <si>
    <t>Difference</t>
  </si>
  <si>
    <t>Multi-Family Recycling</t>
  </si>
  <si>
    <t xml:space="preserve">MRF Processing </t>
  </si>
  <si>
    <t>Restate Revenue</t>
  </si>
  <si>
    <t>Billing Difference</t>
  </si>
  <si>
    <t>Service Charges/Other</t>
  </si>
  <si>
    <t>Tonnage:</t>
  </si>
  <si>
    <t>Joe's Residential Recycl</t>
  </si>
  <si>
    <t>Joe's MF</t>
  </si>
  <si>
    <t>RSA-1 Residential</t>
  </si>
  <si>
    <t>Total Processing Cost</t>
  </si>
  <si>
    <t>Adjustment</t>
  </si>
  <si>
    <t>Customer Count:</t>
  </si>
  <si>
    <t>Total Lewis Cnty</t>
  </si>
  <si>
    <t>Cust Cnt for Billing:</t>
  </si>
  <si>
    <t xml:space="preserve">Residential </t>
  </si>
  <si>
    <t xml:space="preserve">Commercial </t>
  </si>
  <si>
    <t>Glass - Thurston County</t>
  </si>
  <si>
    <t>Recycling Customers</t>
  </si>
  <si>
    <t>Per Cust p/month $.10</t>
  </si>
  <si>
    <t>Yard Waste:</t>
  </si>
  <si>
    <t>Fee Average 23.72</t>
  </si>
  <si>
    <t>Expense</t>
  </si>
  <si>
    <t>Fuel:</t>
  </si>
  <si>
    <t>Fuel Schedule</t>
  </si>
  <si>
    <t>UTC Fee:</t>
  </si>
  <si>
    <t>Fee</t>
  </si>
  <si>
    <t>Billing Adj (8627*.004)</t>
  </si>
  <si>
    <t>State B &amp; O Tax:</t>
  </si>
  <si>
    <t>Tax Rate</t>
  </si>
  <si>
    <t>Commodities</t>
  </si>
  <si>
    <t>Tax Increase  .3%</t>
  </si>
  <si>
    <t>Billing Adj (8627*.018)</t>
  </si>
  <si>
    <t>Corporate OH</t>
  </si>
  <si>
    <t>Add back credit</t>
  </si>
  <si>
    <t>Adj Revenue</t>
  </si>
  <si>
    <t>Corp OH 3.5%</t>
  </si>
  <si>
    <t>WRRA Fee:</t>
  </si>
  <si>
    <t>Annual Fee</t>
  </si>
  <si>
    <t>Reduction 20%</t>
  </si>
  <si>
    <t>Credit and Collection Expenses</t>
  </si>
  <si>
    <t>Account 70320, (46200)</t>
  </si>
  <si>
    <t>Postage:</t>
  </si>
  <si>
    <t>Account 70185, (46200)</t>
  </si>
  <si>
    <t>Salary/Wages</t>
  </si>
  <si>
    <t>70010,70020, (461.30)</t>
  </si>
  <si>
    <t>Re-allocate Wages by hours worked, previously posted to district 2180, 2181 only.</t>
  </si>
  <si>
    <t>Information System:</t>
  </si>
  <si>
    <t>Rod Carter</t>
  </si>
  <si>
    <t>Cheri Grice</t>
  </si>
  <si>
    <t>Garret Frank</t>
  </si>
  <si>
    <t>Matthew Henish</t>
  </si>
  <si>
    <t>Accounting Services</t>
  </si>
  <si>
    <t>Donivan Taylor</t>
  </si>
  <si>
    <t>Debbie Nowak</t>
  </si>
  <si>
    <t>Tera Glenn</t>
  </si>
  <si>
    <t>Tammy Groves</t>
  </si>
  <si>
    <t>Anhthu Nguyen</t>
  </si>
  <si>
    <t>Dump Fee :</t>
  </si>
  <si>
    <t>Disposal Log</t>
  </si>
  <si>
    <t>2188 IS</t>
  </si>
  <si>
    <t>Packer Routes</t>
  </si>
  <si>
    <t>Dump Fee</t>
  </si>
  <si>
    <t>Dec 2008</t>
  </si>
  <si>
    <t>Diff Disp Log, IS</t>
  </si>
  <si>
    <t>Bad Debt:</t>
  </si>
  <si>
    <t>Beginning test period</t>
  </si>
  <si>
    <t>Ending test period</t>
  </si>
  <si>
    <t>Write-off</t>
  </si>
  <si>
    <t>Recovery</t>
  </si>
  <si>
    <t>Net recovery</t>
  </si>
  <si>
    <t>Actual write off expense</t>
  </si>
  <si>
    <t>Adjust to Actual Write-off, GL #46700, Column I</t>
  </si>
  <si>
    <t>Depreciation:</t>
  </si>
  <si>
    <t>WUTC</t>
  </si>
  <si>
    <t>GL Acct</t>
  </si>
  <si>
    <t>Collection equipment</t>
  </si>
  <si>
    <t>Containers</t>
  </si>
  <si>
    <t>Shop equipment</t>
  </si>
  <si>
    <t>Office equipment</t>
  </si>
  <si>
    <t>Bldg, leasehold impr</t>
  </si>
  <si>
    <t>Software, Comp Upgrades</t>
  </si>
  <si>
    <t>Amortization</t>
  </si>
  <si>
    <t xml:space="preserve">Restate Depreciation to UTC Methodology, Column </t>
  </si>
  <si>
    <t>Bad Debt</t>
  </si>
  <si>
    <t>Bad Debt Percent</t>
  </si>
  <si>
    <t>Current Portion of LT Debt</t>
  </si>
  <si>
    <t>Long Term Debt</t>
  </si>
  <si>
    <t>Interest Expense</t>
  </si>
  <si>
    <t>Debt</t>
  </si>
  <si>
    <t>!??!</t>
  </si>
  <si>
    <t>OP/RATIO</t>
  </si>
  <si>
    <t xml:space="preserve">      curve</t>
  </si>
  <si>
    <t>NEW IMPROVED LURITO - GALLAGHER FORMULA - Recycling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</si>
  <si>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</si>
  <si>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</si>
  <si>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</si>
  <si>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</si>
  <si>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</si>
  <si>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</si>
  <si>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</si>
  <si>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</si>
  <si>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</si>
  <si>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</si>
  <si>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</si>
  <si>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</si>
  <si>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</si>
  <si>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</si>
  <si>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</si>
  <si>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>Change in Rate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</si>
  <si>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</si>
  <si>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</si>
  <si>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</si>
  <si>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</si>
  <si>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</si>
  <si>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</si>
  <si>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</si>
  <si>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</si>
  <si>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</si>
  <si>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</si>
  <si>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</si>
  <si>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</si>
  <si>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</si>
  <si>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</si>
  <si>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</si>
  <si>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</si>
  <si>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</si>
  <si>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</si>
  <si>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</si>
  <si>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</si>
  <si>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</si>
  <si>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</si>
  <si>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</si>
  <si>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</si>
  <si>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</si>
  <si>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</si>
  <si>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</si>
  <si>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</si>
  <si>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</si>
  <si>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</si>
  <si>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>Basis Pts</t>
  </si>
  <si>
    <t>Corp OH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</si>
  <si>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</si>
  <si>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</si>
  <si>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</si>
  <si>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</si>
  <si>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</si>
  <si>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</si>
  <si>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LG Prior to Removal of Processing Fee</t>
  </si>
  <si>
    <t>Recycle Rate Reduction per Month</t>
  </si>
  <si>
    <t>6th Turnover</t>
  </si>
  <si>
    <t>7th turnover</t>
  </si>
  <si>
    <t>8th turnover</t>
  </si>
  <si>
    <t>9th turnover</t>
  </si>
  <si>
    <t>NEW IMPROVED LURITO - GALLAGHER FORMULA - MF</t>
  </si>
  <si>
    <t>Joes Below 142nd Price out</t>
  </si>
  <si>
    <t>Test Period 1/1/09- 12/31/09</t>
  </si>
  <si>
    <t>Rates</t>
  </si>
  <si>
    <t>12/31/08</t>
  </si>
  <si>
    <t>1/1/09</t>
  </si>
  <si>
    <t>HIDDEN CELLS B, E, F, G,I</t>
  </si>
  <si>
    <t>2009 Revenue Breakout Annual</t>
  </si>
  <si>
    <t>Proposed</t>
  </si>
  <si>
    <t>Prev.</t>
  </si>
  <si>
    <t>Curr</t>
  </si>
  <si>
    <t>1/1-9/30</t>
  </si>
  <si>
    <t>9/30-12/31</t>
  </si>
  <si>
    <t>Annual</t>
  </si>
  <si>
    <t>Average</t>
  </si>
  <si>
    <t>Pro Forma</t>
  </si>
  <si>
    <t>Lbs per</t>
  </si>
  <si>
    <t>Monthly</t>
  </si>
  <si>
    <t xml:space="preserve">Rates </t>
  </si>
  <si>
    <t>DF</t>
  </si>
  <si>
    <t>Tariff</t>
  </si>
  <si>
    <t>Svc</t>
  </si>
  <si>
    <t>Rate</t>
  </si>
  <si>
    <t>Rev</t>
  </si>
  <si>
    <t>Units</t>
  </si>
  <si>
    <t>Monthly Units</t>
  </si>
  <si>
    <t>Unit</t>
  </si>
  <si>
    <t>per Unit</t>
  </si>
  <si>
    <t>1-1-10</t>
  </si>
  <si>
    <t>New</t>
  </si>
  <si>
    <t>1-1-2010</t>
  </si>
  <si>
    <t>65 Gal Wkly</t>
  </si>
  <si>
    <t>65 Gal Wkly NR</t>
  </si>
  <si>
    <t>65 Gal EOW</t>
  </si>
  <si>
    <t>65 Gal EOW NR</t>
  </si>
  <si>
    <t>65 Gal Monthly</t>
  </si>
  <si>
    <t xml:space="preserve">                                                                          </t>
  </si>
  <si>
    <t>65 Gal Monthly NR</t>
  </si>
  <si>
    <t>95 Gal Wkly</t>
  </si>
  <si>
    <t>95 Gal Wkly NR</t>
  </si>
  <si>
    <t>95 Gal EOW</t>
  </si>
  <si>
    <t>95 Gal EOW NR</t>
  </si>
  <si>
    <t>95 Gal Monthly</t>
  </si>
  <si>
    <t>95 Gal Monthly NR</t>
  </si>
  <si>
    <t>Extra Unit</t>
  </si>
  <si>
    <t>65 Gal Spec PU</t>
  </si>
  <si>
    <t>95 Gal Spec PU</t>
  </si>
  <si>
    <t>Bag Charge</t>
  </si>
  <si>
    <t>Occasional Can</t>
  </si>
  <si>
    <t>Carry 6'-25'</t>
  </si>
  <si>
    <t>Drivein</t>
  </si>
  <si>
    <t>Can not Recovered</t>
  </si>
  <si>
    <t>Return Trip</t>
  </si>
  <si>
    <t>Return Check</t>
  </si>
  <si>
    <t>Reinstatement</t>
  </si>
  <si>
    <t>Bill Adj</t>
  </si>
  <si>
    <t>Rate Adj</t>
  </si>
  <si>
    <t>Commodity Credit</t>
  </si>
  <si>
    <t>Late Fee</t>
  </si>
  <si>
    <t>Non-Refuse Recycling Customer</t>
  </si>
  <si>
    <t>Updated on Settlement Rate Sheet</t>
  </si>
  <si>
    <t>Recycle Program adj</t>
  </si>
  <si>
    <t>Yardwaste</t>
  </si>
  <si>
    <t>Residential Total</t>
  </si>
  <si>
    <t>Commercial</t>
  </si>
  <si>
    <t>1 Yd Wkly</t>
  </si>
  <si>
    <t>1 Yd 2x/Wk</t>
  </si>
  <si>
    <t>1.5 Yd Wkly</t>
  </si>
  <si>
    <t>2 Yd Wkly</t>
  </si>
  <si>
    <t>2 Yd 2/Wk</t>
  </si>
  <si>
    <t>3 Yd Wkly</t>
  </si>
  <si>
    <t>4 Yd Wkly</t>
  </si>
  <si>
    <t>5 Yd Wkly</t>
  </si>
  <si>
    <t>6 Yd Wkly</t>
  </si>
  <si>
    <t>6 Yd 2x/Wk</t>
  </si>
  <si>
    <t>1 Yd EOW</t>
  </si>
  <si>
    <t>1.5 Yd EOW</t>
  </si>
  <si>
    <t>2 Yd EOW</t>
  </si>
  <si>
    <t>3 Yd EOW</t>
  </si>
  <si>
    <t>4 Yd EOW</t>
  </si>
  <si>
    <t>5 Yd EOW</t>
  </si>
  <si>
    <t>6 Yd EOW</t>
  </si>
  <si>
    <t>Drive-In</t>
  </si>
  <si>
    <t>Rollout</t>
  </si>
  <si>
    <t>MF Recycle</t>
  </si>
  <si>
    <t>Recycle Only</t>
  </si>
  <si>
    <t>Hourly</t>
  </si>
  <si>
    <t>Extra Yard</t>
  </si>
  <si>
    <t>95 Gal Spec</t>
  </si>
  <si>
    <t>Overweight DB</t>
  </si>
  <si>
    <t>1 Yd Temp</t>
  </si>
  <si>
    <t>1.5 Yd Temp</t>
  </si>
  <si>
    <t>2 Yd Temp</t>
  </si>
  <si>
    <t>3 Yd Temp</t>
  </si>
  <si>
    <t>4 Yd Temp</t>
  </si>
  <si>
    <t>5 Yd Temp</t>
  </si>
  <si>
    <t>6 Yd Temp</t>
  </si>
  <si>
    <t>Tire</t>
  </si>
  <si>
    <t>1 Yd Spec</t>
  </si>
  <si>
    <t>1.5 Yd Spec</t>
  </si>
  <si>
    <t>2 Yd Spec</t>
  </si>
  <si>
    <t>3 Yd Spec</t>
  </si>
  <si>
    <t>4 Yd Spec</t>
  </si>
  <si>
    <t>5 Yd Spec</t>
  </si>
  <si>
    <t>6 Yd Spec</t>
  </si>
  <si>
    <t>Delivery</t>
  </si>
  <si>
    <t>Appliance</t>
  </si>
  <si>
    <t>Returned Check</t>
  </si>
  <si>
    <t>Can Count</t>
  </si>
  <si>
    <t>Can Count 65 Gal</t>
  </si>
  <si>
    <t>Can Count 95 Gal</t>
  </si>
  <si>
    <t>1 Yd Temp Rent</t>
  </si>
  <si>
    <t>1.5 Yd Temp Rent</t>
  </si>
  <si>
    <t>2 Yd Temp Rent</t>
  </si>
  <si>
    <t>3 Yd Temp Rent</t>
  </si>
  <si>
    <t>4 Yd Temp Rent</t>
  </si>
  <si>
    <t>5 Yd Temp Rent</t>
  </si>
  <si>
    <t>6 Yd Temp Rent</t>
  </si>
  <si>
    <t>Clean Container</t>
  </si>
  <si>
    <t>Commercial Total</t>
  </si>
  <si>
    <t>*REMOVE 20 YD BOX</t>
  </si>
  <si>
    <t>*REMOVE 20 YD TEMPORARY BOX</t>
  </si>
  <si>
    <t>*REMOVE 30 YD BOX</t>
  </si>
  <si>
    <t>*REMOVE 30 YD TEMPORARY BOX</t>
  </si>
  <si>
    <t>*REMOVE 40 YD BOX</t>
  </si>
  <si>
    <t>*REMOVE 40 YD TEMPORARY BOX</t>
  </si>
  <si>
    <t>E &amp; R 20 YD BOX</t>
  </si>
  <si>
    <t>E &amp; R 20 YD BOX each add'l</t>
  </si>
  <si>
    <t>E &amp; R 20 YD TEMPORARY BOX</t>
  </si>
  <si>
    <t>E &amp; R 30 YD BOX</t>
  </si>
  <si>
    <t>E &amp; R 30 YD BOX each add'l</t>
  </si>
  <si>
    <t>E &amp; R 30 YD STATIONARY PACKER</t>
  </si>
  <si>
    <t>E &amp; R 30 YD TEMPORARY BOX</t>
  </si>
  <si>
    <t>E &amp; R 40 YARD BOX</t>
  </si>
  <si>
    <t>E &amp; R 40 YARD BOX  Each add'l</t>
  </si>
  <si>
    <t>E &amp; R 40 YARD TEMPORARY BOX</t>
  </si>
  <si>
    <t>E &amp; R 40 YD STATIONARY PACKER</t>
  </si>
  <si>
    <t>EXTRA MILE(S)</t>
  </si>
  <si>
    <t>EXTRA MILE(S) BEYOND 5</t>
  </si>
  <si>
    <t>PLACE 20 YD DROP TEMPORARY BOX</t>
  </si>
  <si>
    <t>PLACE 30 YD DROP TEMPORARY BOX</t>
  </si>
  <si>
    <t>PLACE 40 YD DROP TEMPORARY BOX</t>
  </si>
  <si>
    <t>ROLLOUT</t>
  </si>
  <si>
    <t>DEMURRAGE ON 20 YARD TEMP DROP BOX</t>
  </si>
  <si>
    <t>DEMURRAGE ON 30 YARD TEMP DROP BOX</t>
  </si>
  <si>
    <t>DEMURRAGE ON 40 YARD TEMP DROP BOX</t>
  </si>
  <si>
    <t>MONTHLY RENT 20 YD DROP BOX</t>
  </si>
  <si>
    <t>MONTHLY RENT 30 YD DROP BOX</t>
  </si>
  <si>
    <t>MONTHLY RENT 40 YD DROP BOX</t>
  </si>
  <si>
    <t>OVERWEIGHT CAN(S) ^</t>
  </si>
  <si>
    <t>RETURN TRIP DROPBOX</t>
  </si>
  <si>
    <t>DROP BOX DISPOSAL PASSTHRU</t>
  </si>
  <si>
    <t>Drop Box Total</t>
  </si>
  <si>
    <t>Grand Total</t>
  </si>
  <si>
    <t xml:space="preserve">Increase </t>
  </si>
  <si>
    <t>LG</t>
  </si>
  <si>
    <t>General</t>
  </si>
  <si>
    <t>Comm</t>
  </si>
  <si>
    <t>R-Recycl</t>
  </si>
  <si>
    <t>MF-Recycl</t>
  </si>
  <si>
    <t>Note:  This is the settlement of the rates for Joe's.  We used this to adjust the recycle rates as these are the tariffed rates.</t>
  </si>
  <si>
    <t>Rate Schedule:</t>
  </si>
  <si>
    <t>Joe's Refuse Service</t>
  </si>
  <si>
    <t>Percent</t>
  </si>
  <si>
    <t>Type of Service:</t>
  </si>
  <si>
    <t>Effective</t>
  </si>
  <si>
    <t>12-31-2009</t>
  </si>
  <si>
    <t>Residential:</t>
  </si>
  <si>
    <t xml:space="preserve"> Mini</t>
  </si>
  <si>
    <t xml:space="preserve"> 1 can</t>
  </si>
  <si>
    <t xml:space="preserve"> 2 can</t>
  </si>
  <si>
    <t xml:space="preserve"> 3 can</t>
  </si>
  <si>
    <t xml:space="preserve"> 1 can once-per-month</t>
  </si>
  <si>
    <t xml:space="preserve"> Occasional extra unit</t>
  </si>
  <si>
    <t xml:space="preserve"> Overweight/overfilled cans</t>
  </si>
  <si>
    <t xml:space="preserve"> Prepaid bags</t>
  </si>
  <si>
    <t xml:space="preserve"> On call</t>
  </si>
  <si>
    <t>Company Provided Tote:</t>
  </si>
  <si>
    <t>65-gal weekly</t>
  </si>
  <si>
    <t>65-gal every-other-week</t>
  </si>
  <si>
    <t>65-gallon once-per-month</t>
  </si>
  <si>
    <t>95-gal weekly</t>
  </si>
  <si>
    <t>95-gal every-other-week</t>
  </si>
  <si>
    <t>95-gallon once-per-month</t>
  </si>
  <si>
    <t>Occasional 65-gallon</t>
  </si>
  <si>
    <t>Occasional 95-gallon</t>
  </si>
  <si>
    <t>Drive-in</t>
  </si>
  <si>
    <t>Carry-out 6'-25'</t>
  </si>
  <si>
    <t>Commercial:</t>
  </si>
  <si>
    <t>Perm Containers p/PU:</t>
  </si>
  <si>
    <t>1 yard first pickup</t>
  </si>
  <si>
    <t>Each  additional pickup</t>
  </si>
  <si>
    <t>1.5 yard first pickup</t>
  </si>
  <si>
    <t>2 yard first pickup</t>
  </si>
  <si>
    <t>3 yard first pickup</t>
  </si>
  <si>
    <t>4 yard first pickup</t>
  </si>
  <si>
    <t>5 yard first pickup</t>
  </si>
  <si>
    <t>6 yard first pickup</t>
  </si>
  <si>
    <t>Temporary p/PU</t>
  </si>
  <si>
    <t>1 yard</t>
  </si>
  <si>
    <t>1.5 yard</t>
  </si>
  <si>
    <t>2 yard</t>
  </si>
  <si>
    <t>3 yard</t>
  </si>
  <si>
    <t>4 yard</t>
  </si>
  <si>
    <t>5 yard</t>
  </si>
  <si>
    <t>6 yard</t>
  </si>
  <si>
    <t>Rent per Day:</t>
  </si>
  <si>
    <t>Special Pickups:</t>
  </si>
  <si>
    <t>Extra yardage bulky</t>
  </si>
  <si>
    <t>Extra yardage loose</t>
  </si>
  <si>
    <t>Roll-out</t>
  </si>
  <si>
    <t>Roll-out, carts, toters</t>
  </si>
  <si>
    <t>Return Trip Charge</t>
  </si>
  <si>
    <t>Locking, unlocking</t>
  </si>
  <si>
    <t>Washing or sanatizing</t>
  </si>
  <si>
    <t>Can Service:</t>
  </si>
  <si>
    <t>1 can first 5 grouped together</t>
  </si>
  <si>
    <t>1 can over 5 grouped together</t>
  </si>
  <si>
    <t>65-gallon</t>
  </si>
  <si>
    <t>95-gallon</t>
  </si>
  <si>
    <t>Special pickup 1 unit</t>
  </si>
  <si>
    <t>Each additional</t>
  </si>
  <si>
    <t>Extra regular pu day 32-gal</t>
  </si>
  <si>
    <t xml:space="preserve">MH 5 or more units 65-gal </t>
  </si>
  <si>
    <t xml:space="preserve">MH 5 or more units 95-gal </t>
  </si>
  <si>
    <t xml:space="preserve">Roll-Off: </t>
  </si>
  <si>
    <t>Permanent Rent</t>
  </si>
  <si>
    <t>20 yard</t>
  </si>
  <si>
    <t>25 yard</t>
  </si>
  <si>
    <t>30 yard</t>
  </si>
  <si>
    <t>40 yard</t>
  </si>
  <si>
    <t>Note: This rent is only charged if there are no hauls during the month.</t>
  </si>
  <si>
    <t>Permanent per Haul</t>
  </si>
  <si>
    <t>Each additional haul</t>
  </si>
  <si>
    <t>Temporary per Haul</t>
  </si>
  <si>
    <t>Temporary Rent per Day</t>
  </si>
  <si>
    <t>Delivery Charge</t>
  </si>
  <si>
    <t>Customer Owned Comp</t>
  </si>
  <si>
    <t>10 yard</t>
  </si>
  <si>
    <t>15 yard</t>
  </si>
  <si>
    <t>Excss miles</t>
  </si>
  <si>
    <t xml:space="preserve">Hourly Rate:  </t>
  </si>
  <si>
    <t>Single Rear Drive Axle:</t>
  </si>
  <si>
    <t xml:space="preserve">  Non-packer Truck</t>
  </si>
  <si>
    <t xml:space="preserve">  Packer Truck</t>
  </si>
  <si>
    <t xml:space="preserve">  Drop Box Truck</t>
  </si>
  <si>
    <t>Extra Person:</t>
  </si>
  <si>
    <t>Tandem Rear Drive Axle:</t>
  </si>
  <si>
    <t>Overtime:</t>
  </si>
  <si>
    <t xml:space="preserve">  Charge per Hour</t>
  </si>
  <si>
    <t xml:space="preserve">  Minimum Charge</t>
  </si>
  <si>
    <t>Removal of Processing Fee</t>
  </si>
  <si>
    <t>Recycling Services:</t>
  </si>
  <si>
    <t>New Rate</t>
  </si>
  <si>
    <t>Curbside recycling</t>
  </si>
  <si>
    <t>Recycling only</t>
  </si>
  <si>
    <t>Multi-Family</t>
  </si>
  <si>
    <t>Additional monthly</t>
  </si>
  <si>
    <t>Special pickup</t>
  </si>
  <si>
    <t>Return Trip, Carts, Toters</t>
  </si>
  <si>
    <t xml:space="preserve">  Recycling, MF, YW</t>
  </si>
  <si>
    <t>LeMay Joe's Reduction of Recycling Rate</t>
  </si>
  <si>
    <t xml:space="preserve">The tabs in this workbook came from the final approved/audited Pro Forma under TG-091769.  Only the cells highlighted in blue have been modified to reduce the recycling rate.  To trace the changes through the workbook: the $45/ton processing fee expense was removed from cell C44 &amp; C45 of the "2188 Restating Expl" tab.  This change flows through the model and reduces the SF &amp; MF recycling rates on the Rate Schedule tab.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</si>
</sst>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%"/>
    <numFmt numFmtId="166" formatCode="#,##0.0"/>
    <numFmt numFmtId="167" formatCode="0.0"/>
    <numFmt numFmtId="168" formatCode="0.000%"/>
    <numFmt numFmtId="169" formatCode="#,##0.000"/>
    <numFmt numFmtId="170" formatCode="#,##0.00000"/>
    <numFmt numFmtId="171" formatCode="0.0%"/>
    <numFmt numFmtId="172" formatCode="&quot;$&quot;#,##0"/>
    <numFmt numFmtId="173" formatCode="#,##0.0000"/>
    <numFmt numFmtId="174" formatCode="#,##0.000000"/>
    <numFmt numFmtId="175" formatCode="_(* #,##0_);_(* \(#,##0\);_(* &quot;-&quot;??_);_(@_)"/>
    <numFmt numFmtId="176" formatCode="0.0000000000000000%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Helv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46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/>
    <xf numFmtId="164" fontId="2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41" fontId="4" fillId="0" borderId="0"/>
    <xf numFmtId="0" fontId="12" fillId="14" borderId="0" applyNumberFormat="0" applyBorder="0" applyAlignment="0" applyProtection="0"/>
    <xf numFmtId="3" fontId="4" fillId="0" borderId="0"/>
    <xf numFmtId="0" fontId="13" fillId="15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4" fillId="0" borderId="0"/>
    <xf numFmtId="0" fontId="15" fillId="0" borderId="0"/>
    <xf numFmtId="0" fontId="15" fillId="0" borderId="0"/>
    <xf numFmtId="0" fontId="16" fillId="16" borderId="14" applyAlignment="0">
      <alignment horizontal="right"/>
      <protection locked="0"/>
    </xf>
    <xf numFmtId="4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17" borderId="0">
      <alignment horizontal="right"/>
      <protection locked="0"/>
    </xf>
    <xf numFmtId="2" fontId="9" fillId="17" borderId="0">
      <alignment horizontal="right"/>
      <protection locked="0"/>
    </xf>
    <xf numFmtId="0" fontId="19" fillId="18" borderId="0" applyNumberFormat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2" borderId="0">
      <protection locked="0"/>
    </xf>
    <xf numFmtId="4" fontId="25" fillId="2" borderId="0">
      <protection locked="0"/>
    </xf>
    <xf numFmtId="0" fontId="26" fillId="0" borderId="18" applyNumberFormat="0" applyFill="0" applyAlignment="0" applyProtection="0"/>
    <xf numFmtId="0" fontId="27" fillId="8" borderId="0" applyNumberFormat="0" applyBorder="0" applyAlignment="0" applyProtection="0"/>
    <xf numFmtId="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" fillId="0" borderId="0"/>
    <xf numFmtId="0" fontId="10" fillId="19" borderId="19" applyNumberFormat="0" applyFont="0" applyAlignment="0" applyProtection="0"/>
    <xf numFmtId="171" fontId="28" fillId="0" borderId="0" applyNumberFormat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29" fillId="0" borderId="0" applyNumberFormat="0" applyFont="0" applyFill="0" applyBorder="0" applyAlignment="0" applyProtection="0">
      <alignment horizontal="left"/>
    </xf>
    <xf numFmtId="0" fontId="30" fillId="0" borderId="20">
      <alignment horizontal="center"/>
    </xf>
    <xf numFmtId="0" fontId="14" fillId="0" borderId="0">
      <alignment vertical="top"/>
    </xf>
    <xf numFmtId="0" fontId="14" fillId="0" borderId="0" applyNumberFormat="0" applyBorder="0" applyAlignment="0"/>
    <xf numFmtId="0" fontId="31" fillId="0" borderId="21" applyNumberFormat="0" applyFill="0" applyAlignment="0" applyProtection="0"/>
  </cellStyleXfs>
  <cellXfs count="299">
    <xf numFmtId="0" fontId="0" fillId="0" borderId="0" xfId="0"/>
    <xf numFmtId="3" fontId="3" fillId="0" borderId="1" xfId="4" applyNumberFormat="1" applyFont="1" applyFill="1" applyBorder="1"/>
    <xf numFmtId="3" fontId="5" fillId="0" borderId="1" xfId="4" applyNumberFormat="1" applyFont="1" applyBorder="1"/>
    <xf numFmtId="164" fontId="5" fillId="0" borderId="1" xfId="4" applyFont="1" applyBorder="1"/>
    <xf numFmtId="164" fontId="5" fillId="0" borderId="1" xfId="4" applyFont="1" applyFill="1" applyBorder="1"/>
    <xf numFmtId="3" fontId="3" fillId="0" borderId="1" xfId="4" applyNumberFormat="1" applyFont="1" applyBorder="1" applyAlignment="1">
      <alignment horizontal="right"/>
    </xf>
    <xf numFmtId="164" fontId="5" fillId="0" borderId="1" xfId="4" applyFont="1" applyBorder="1" applyAlignment="1">
      <alignment horizontal="center"/>
    </xf>
    <xf numFmtId="164" fontId="3" fillId="0" borderId="1" xfId="4" applyFont="1" applyBorder="1"/>
    <xf numFmtId="0" fontId="5" fillId="0" borderId="1" xfId="4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4" applyNumberFormat="1" applyFont="1" applyBorder="1" applyAlignment="1">
      <alignment horizontal="center"/>
    </xf>
    <xf numFmtId="0" fontId="6" fillId="0" borderId="6" xfId="5" applyFont="1" applyFill="1" applyBorder="1"/>
    <xf numFmtId="2" fontId="6" fillId="0" borderId="1" xfId="5" applyNumberFormat="1" applyFont="1" applyFill="1" applyBorder="1" applyAlignment="1">
      <alignment horizontal="center"/>
    </xf>
    <xf numFmtId="0" fontId="6" fillId="0" borderId="1" xfId="5" applyFont="1" applyFill="1" applyBorder="1"/>
    <xf numFmtId="2" fontId="6" fillId="0" borderId="1" xfId="5" applyNumberFormat="1" applyFont="1" applyFill="1" applyBorder="1"/>
    <xf numFmtId="0" fontId="6" fillId="0" borderId="1" xfId="5" applyFont="1" applyBorder="1"/>
    <xf numFmtId="0" fontId="4" fillId="0" borderId="6" xfId="5" applyFont="1" applyFill="1" applyBorder="1"/>
    <xf numFmtId="2" fontId="7" fillId="0" borderId="1" xfId="5" applyNumberFormat="1" applyFont="1" applyFill="1" applyBorder="1"/>
    <xf numFmtId="0" fontId="4" fillId="0" borderId="1" xfId="5" applyFont="1" applyFill="1" applyBorder="1"/>
    <xf numFmtId="0" fontId="4" fillId="0" borderId="1" xfId="5" applyFont="1" applyBorder="1"/>
    <xf numFmtId="2" fontId="4" fillId="0" borderId="1" xfId="5" applyNumberFormat="1" applyFont="1" applyFill="1" applyBorder="1"/>
    <xf numFmtId="2" fontId="8" fillId="0" borderId="1" xfId="5" applyNumberFormat="1" applyFont="1" applyFill="1" applyBorder="1" applyAlignment="1">
      <alignment horizontal="center"/>
    </xf>
    <xf numFmtId="0" fontId="8" fillId="0" borderId="6" xfId="5" applyFont="1" applyFill="1" applyBorder="1"/>
    <xf numFmtId="2" fontId="8" fillId="0" borderId="1" xfId="5" applyNumberFormat="1" applyFont="1" applyFill="1" applyBorder="1"/>
    <xf numFmtId="0" fontId="8" fillId="0" borderId="1" xfId="5" applyFont="1" applyFill="1" applyBorder="1"/>
    <xf numFmtId="10" fontId="9" fillId="0" borderId="1" xfId="5" applyNumberFormat="1" applyFont="1" applyFill="1" applyBorder="1"/>
    <xf numFmtId="4" fontId="8" fillId="0" borderId="1" xfId="5" applyNumberFormat="1" applyFont="1" applyFill="1" applyBorder="1"/>
    <xf numFmtId="2" fontId="8" fillId="0" borderId="1" xfId="5" applyNumberFormat="1" applyFont="1" applyBorder="1"/>
    <xf numFmtId="10" fontId="4" fillId="0" borderId="1" xfId="5" applyNumberFormat="1" applyFont="1" applyFill="1" applyBorder="1"/>
    <xf numFmtId="10" fontId="8" fillId="0" borderId="1" xfId="5" applyNumberFormat="1" applyFont="1" applyFill="1" applyBorder="1"/>
    <xf numFmtId="10" fontId="8" fillId="5" borderId="1" xfId="5" applyNumberFormat="1" applyFont="1" applyFill="1" applyBorder="1"/>
    <xf numFmtId="0" fontId="6" fillId="0" borderId="1" xfId="5" applyFont="1" applyFill="1" applyBorder="1" applyAlignment="1">
      <alignment horizontal="center"/>
    </xf>
    <xf numFmtId="0" fontId="4" fillId="3" borderId="1" xfId="5" applyFont="1" applyFill="1" applyBorder="1"/>
    <xf numFmtId="0" fontId="8" fillId="3" borderId="1" xfId="5" applyFont="1" applyFill="1" applyBorder="1"/>
    <xf numFmtId="2" fontId="8" fillId="3" borderId="1" xfId="5" applyNumberFormat="1" applyFont="1" applyFill="1" applyBorder="1" applyAlignment="1">
      <alignment horizontal="center"/>
    </xf>
    <xf numFmtId="167" fontId="8" fillId="3" borderId="1" xfId="5" applyNumberFormat="1" applyFont="1" applyFill="1" applyBorder="1"/>
    <xf numFmtId="10" fontId="8" fillId="3" borderId="1" xfId="5" applyNumberFormat="1" applyFont="1" applyFill="1" applyBorder="1"/>
    <xf numFmtId="4" fontId="8" fillId="3" borderId="1" xfId="5" applyNumberFormat="1" applyFont="1" applyFill="1" applyBorder="1"/>
    <xf numFmtId="2" fontId="8" fillId="3" borderId="1" xfId="5" applyNumberFormat="1" applyFont="1" applyFill="1" applyBorder="1"/>
    <xf numFmtId="0" fontId="4" fillId="0" borderId="1" xfId="0" applyFont="1" applyBorder="1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3" fontId="5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2" xfId="0" applyNumberFormat="1" applyFont="1" applyBorder="1"/>
    <xf numFmtId="0" fontId="4" fillId="0" borderId="0" xfId="0" applyFont="1" applyBorder="1"/>
    <xf numFmtId="3" fontId="4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/>
    <xf numFmtId="3" fontId="3" fillId="0" borderId="12" xfId="0" applyNumberFormat="1" applyFont="1" applyBorder="1"/>
    <xf numFmtId="3" fontId="3" fillId="0" borderId="0" xfId="0" applyNumberFormat="1" applyFont="1" applyBorder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/>
    <xf numFmtId="0" fontId="5" fillId="2" borderId="0" xfId="0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3" fontId="5" fillId="4" borderId="0" xfId="0" applyNumberFormat="1" applyFont="1" applyFill="1"/>
    <xf numFmtId="10" fontId="5" fillId="0" borderId="0" xfId="0" applyNumberFormat="1" applyFont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0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3" fillId="0" borderId="0" xfId="0" applyFont="1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3" fontId="3" fillId="0" borderId="0" xfId="0" applyNumberFormat="1" applyFont="1" applyFill="1"/>
    <xf numFmtId="0" fontId="4" fillId="0" borderId="0" xfId="0" applyFont="1" applyFill="1"/>
    <xf numFmtId="4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5" fillId="0" borderId="0" xfId="1" applyNumberFormat="1" applyFont="1" applyFill="1"/>
    <xf numFmtId="3" fontId="5" fillId="0" borderId="0" xfId="2" applyNumberFormat="1" applyFont="1" applyFill="1"/>
    <xf numFmtId="3" fontId="5" fillId="0" borderId="0" xfId="0" applyNumberFormat="1" applyFont="1" applyFill="1" applyBorder="1"/>
    <xf numFmtId="0" fontId="5" fillId="0" borderId="0" xfId="0" applyNumberFormat="1" applyFont="1"/>
    <xf numFmtId="3" fontId="5" fillId="0" borderId="0" xfId="0" quotePrefix="1" applyNumberFormat="1" applyFont="1" applyAlignment="1">
      <alignment horizontal="right"/>
    </xf>
    <xf numFmtId="0" fontId="3" fillId="0" borderId="0" xfId="6" applyFont="1"/>
    <xf numFmtId="3" fontId="5" fillId="0" borderId="0" xfId="6" applyNumberFormat="1" applyFont="1"/>
    <xf numFmtId="0" fontId="5" fillId="0" borderId="0" xfId="6" applyFont="1"/>
    <xf numFmtId="3" fontId="3" fillId="0" borderId="0" xfId="6" applyNumberFormat="1" applyFont="1"/>
    <xf numFmtId="3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3" fontId="5" fillId="0" borderId="0" xfId="6" applyNumberFormat="1" applyFont="1" applyFill="1"/>
    <xf numFmtId="0" fontId="5" fillId="0" borderId="0" xfId="6" applyNumberFormat="1" applyFont="1"/>
    <xf numFmtId="0" fontId="5" fillId="2" borderId="0" xfId="6" applyFont="1" applyFill="1"/>
    <xf numFmtId="3" fontId="5" fillId="2" borderId="0" xfId="6" applyNumberFormat="1" applyFont="1" applyFill="1"/>
    <xf numFmtId="10" fontId="5" fillId="0" borderId="0" xfId="6" applyNumberFormat="1" applyFont="1"/>
    <xf numFmtId="9" fontId="5" fillId="0" borderId="0" xfId="6" applyNumberFormat="1" applyFont="1"/>
    <xf numFmtId="164" fontId="32" fillId="0" borderId="0" xfId="128" applyFont="1"/>
    <xf numFmtId="164" fontId="32" fillId="0" borderId="0" xfId="128" applyFont="1" applyAlignment="1"/>
    <xf numFmtId="164" fontId="32" fillId="0" borderId="0" xfId="128" applyFont="1" applyAlignment="1">
      <alignment horizontal="center"/>
    </xf>
    <xf numFmtId="0" fontId="32" fillId="0" borderId="0" xfId="128" applyNumberFormat="1" applyFont="1"/>
    <xf numFmtId="172" fontId="32" fillId="0" borderId="0" xfId="128" applyNumberFormat="1" applyFont="1" applyAlignment="1"/>
    <xf numFmtId="0" fontId="32" fillId="0" borderId="0" xfId="128" applyNumberFormat="1" applyFont="1" applyAlignment="1"/>
    <xf numFmtId="0" fontId="32" fillId="20" borderId="0" xfId="128" applyNumberFormat="1" applyFont="1" applyFill="1" applyAlignment="1"/>
    <xf numFmtId="10" fontId="32" fillId="0" borderId="0" xfId="128" applyNumberFormat="1" applyFont="1"/>
    <xf numFmtId="3" fontId="32" fillId="0" borderId="0" xfId="128" applyNumberFormat="1" applyFont="1"/>
    <xf numFmtId="4" fontId="32" fillId="0" borderId="0" xfId="128" applyNumberFormat="1" applyFont="1"/>
    <xf numFmtId="173" fontId="32" fillId="0" borderId="0" xfId="128" applyNumberFormat="1" applyFont="1"/>
    <xf numFmtId="1" fontId="32" fillId="0" borderId="0" xfId="128" applyNumberFormat="1" applyFont="1" applyAlignment="1"/>
    <xf numFmtId="10" fontId="32" fillId="4" borderId="0" xfId="128" applyNumberFormat="1" applyFont="1" applyFill="1" applyAlignment="1"/>
    <xf numFmtId="9" fontId="32" fillId="0" borderId="0" xfId="2" applyFont="1" applyAlignment="1"/>
    <xf numFmtId="0" fontId="32" fillId="0" borderId="0" xfId="128" applyNumberFormat="1" applyFont="1" applyAlignment="1">
      <alignment horizontal="right"/>
    </xf>
    <xf numFmtId="0" fontId="32" fillId="0" borderId="0" xfId="128" applyNumberFormat="1" applyFont="1" applyAlignment="1">
      <alignment horizontal="center"/>
    </xf>
    <xf numFmtId="169" fontId="32" fillId="0" borderId="0" xfId="128" applyNumberFormat="1" applyFont="1"/>
    <xf numFmtId="165" fontId="32" fillId="0" borderId="0" xfId="128" applyNumberFormat="1" applyFont="1"/>
    <xf numFmtId="0" fontId="32" fillId="0" borderId="0" xfId="128" applyNumberFormat="1" applyFont="1" applyAlignment="1">
      <alignment horizontal="fill"/>
    </xf>
    <xf numFmtId="174" fontId="32" fillId="0" borderId="0" xfId="128" applyNumberFormat="1" applyFont="1"/>
    <xf numFmtId="168" fontId="32" fillId="0" borderId="0" xfId="128" applyNumberFormat="1" applyFont="1"/>
    <xf numFmtId="9" fontId="32" fillId="0" borderId="0" xfId="128" applyNumberFormat="1" applyFont="1"/>
    <xf numFmtId="10" fontId="32" fillId="0" borderId="0" xfId="128" applyNumberFormat="1" applyFont="1" applyFill="1"/>
    <xf numFmtId="164" fontId="32" fillId="20" borderId="0" xfId="128" applyFont="1" applyFill="1" applyAlignment="1"/>
    <xf numFmtId="3" fontId="32" fillId="20" borderId="0" xfId="128" applyNumberFormat="1" applyFont="1" applyFill="1"/>
    <xf numFmtId="171" fontId="32" fillId="20" borderId="0" xfId="2" applyNumberFormat="1" applyFont="1" applyFill="1" applyAlignment="1"/>
    <xf numFmtId="164" fontId="32" fillId="20" borderId="0" xfId="128" applyFont="1" applyFill="1" applyAlignment="1">
      <alignment horizontal="right"/>
    </xf>
    <xf numFmtId="43" fontId="32" fillId="20" borderId="0" xfId="26" applyFont="1" applyFill="1" applyAlignment="1"/>
    <xf numFmtId="0" fontId="32" fillId="20" borderId="0" xfId="128" applyNumberFormat="1" applyFont="1" applyFill="1"/>
    <xf numFmtId="172" fontId="32" fillId="20" borderId="0" xfId="128" applyNumberFormat="1" applyFont="1" applyFill="1" applyAlignment="1"/>
    <xf numFmtId="10" fontId="32" fillId="20" borderId="0" xfId="2" applyNumberFormat="1" applyFont="1" applyFill="1" applyAlignment="1"/>
    <xf numFmtId="0" fontId="0" fillId="20" borderId="0" xfId="0" applyFill="1"/>
    <xf numFmtId="0" fontId="8" fillId="0" borderId="0" xfId="0" applyFont="1" applyBorder="1"/>
    <xf numFmtId="43" fontId="4" fillId="5" borderId="0" xfId="26" applyFont="1" applyFill="1" applyBorder="1"/>
    <xf numFmtId="43" fontId="4" fillId="0" borderId="0" xfId="26" applyFont="1" applyFill="1" applyBorder="1"/>
    <xf numFmtId="43" fontId="4" fillId="0" borderId="0" xfId="26" applyFont="1" applyBorder="1"/>
    <xf numFmtId="175" fontId="25" fillId="0" borderId="0" xfId="26" applyNumberFormat="1" applyFont="1" applyBorder="1"/>
    <xf numFmtId="175" fontId="7" fillId="0" borderId="0" xfId="26" applyNumberFormat="1" applyFont="1" applyBorder="1"/>
    <xf numFmtId="175" fontId="4" fillId="0" borderId="0" xfId="26" applyNumberFormat="1" applyFont="1" applyFill="1" applyBorder="1"/>
    <xf numFmtId="0" fontId="0" fillId="0" borderId="0" xfId="0" applyBorder="1"/>
    <xf numFmtId="175" fontId="0" fillId="0" borderId="0" xfId="0" applyNumberFormat="1" applyBorder="1"/>
    <xf numFmtId="3" fontId="0" fillId="0" borderId="0" xfId="0" applyNumberFormat="1" applyBorder="1"/>
    <xf numFmtId="0" fontId="0" fillId="0" borderId="0" xfId="0" applyBorder="1" applyAlignment="1">
      <alignment horizontal="center" vertical="top"/>
    </xf>
    <xf numFmtId="43" fontId="4" fillId="21" borderId="0" xfId="26" applyFont="1" applyFill="1" applyBorder="1" applyAlignment="1">
      <alignment horizontal="center" vertical="top"/>
    </xf>
    <xf numFmtId="43" fontId="4" fillId="0" borderId="0" xfId="26" applyFont="1" applyFill="1" applyBorder="1" applyAlignment="1">
      <alignment horizontal="center" vertical="top"/>
    </xf>
    <xf numFmtId="43" fontId="4" fillId="0" borderId="0" xfId="26" applyFont="1" applyBorder="1" applyAlignment="1">
      <alignment horizontal="center" vertical="top"/>
    </xf>
    <xf numFmtId="43" fontId="25" fillId="0" borderId="0" xfId="26" applyFont="1" applyBorder="1" applyAlignment="1">
      <alignment horizontal="center" vertical="top"/>
    </xf>
    <xf numFmtId="175" fontId="7" fillId="0" borderId="0" xfId="26" applyNumberFormat="1" applyFont="1" applyBorder="1" applyAlignment="1">
      <alignment horizontal="center" vertical="top"/>
    </xf>
    <xf numFmtId="175" fontId="4" fillId="0" borderId="0" xfId="26" applyNumberFormat="1" applyFont="1" applyFill="1" applyBorder="1" applyAlignment="1">
      <alignment horizontal="center" vertical="top"/>
    </xf>
    <xf numFmtId="175" fontId="4" fillId="0" borderId="0" xfId="26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3" fontId="4" fillId="0" borderId="0" xfId="26" applyFont="1" applyAlignment="1">
      <alignment horizontal="center" vertical="top"/>
    </xf>
    <xf numFmtId="175" fontId="0" fillId="0" borderId="0" xfId="0" applyNumberFormat="1" applyAlignment="1">
      <alignment horizontal="center" vertical="top"/>
    </xf>
    <xf numFmtId="43" fontId="4" fillId="21" borderId="0" xfId="26" quotePrefix="1" applyFont="1" applyFill="1" applyBorder="1" applyAlignment="1">
      <alignment horizontal="center" vertical="top"/>
    </xf>
    <xf numFmtId="43" fontId="4" fillId="0" borderId="0" xfId="26" quotePrefix="1" applyFont="1" applyFill="1" applyBorder="1" applyAlignment="1">
      <alignment horizontal="center" vertical="top"/>
    </xf>
    <xf numFmtId="43" fontId="4" fillId="22" borderId="0" xfId="26" applyFont="1" applyFill="1" applyBorder="1" applyAlignment="1">
      <alignment horizontal="left" vertical="top"/>
    </xf>
    <xf numFmtId="43" fontId="25" fillId="22" borderId="0" xfId="26" applyFont="1" applyFill="1" applyBorder="1" applyAlignment="1">
      <alignment horizontal="center" vertical="top"/>
    </xf>
    <xf numFmtId="175" fontId="7" fillId="22" borderId="0" xfId="26" applyNumberFormat="1" applyFont="1" applyFill="1" applyBorder="1" applyAlignment="1">
      <alignment horizontal="center" vertical="top"/>
    </xf>
    <xf numFmtId="175" fontId="34" fillId="23" borderId="0" xfId="26" applyNumberFormat="1" applyFont="1" applyFill="1" applyBorder="1" applyAlignment="1">
      <alignment horizontal="centerContinuous" vertical="top"/>
    </xf>
    <xf numFmtId="175" fontId="4" fillId="0" borderId="0" xfId="26" applyNumberFormat="1" applyFont="1" applyFill="1" applyBorder="1" applyAlignment="1">
      <alignment horizontal="centerContinuous" vertical="top"/>
    </xf>
    <xf numFmtId="175" fontId="4" fillId="22" borderId="0" xfId="26" applyNumberFormat="1" applyFont="1" applyFill="1" applyBorder="1" applyAlignment="1">
      <alignment horizontal="center" vertical="top"/>
    </xf>
    <xf numFmtId="43" fontId="4" fillId="0" borderId="0" xfId="2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/>
    <xf numFmtId="175" fontId="25" fillId="0" borderId="0" xfId="26" applyNumberFormat="1" applyFont="1" applyBorder="1" applyAlignment="1">
      <alignment horizontal="center" vertical="top"/>
    </xf>
    <xf numFmtId="1" fontId="8" fillId="0" borderId="0" xfId="26" applyNumberFormat="1" applyFont="1" applyFill="1" applyBorder="1" applyAlignment="1">
      <alignment horizontal="center" vertical="top"/>
    </xf>
    <xf numFmtId="175" fontId="4" fillId="0" borderId="0" xfId="26" applyNumberFormat="1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43" fontId="4" fillId="21" borderId="20" xfId="26" applyFont="1" applyFill="1" applyBorder="1" applyAlignment="1">
      <alignment horizontal="center" vertical="top"/>
    </xf>
    <xf numFmtId="43" fontId="4" fillId="0" borderId="20" xfId="26" applyFont="1" applyFill="1" applyBorder="1" applyAlignment="1">
      <alignment horizontal="center" vertical="top"/>
    </xf>
    <xf numFmtId="43" fontId="4" fillId="0" borderId="20" xfId="26" applyFont="1" applyBorder="1" applyAlignment="1">
      <alignment horizontal="center" vertical="top"/>
    </xf>
    <xf numFmtId="175" fontId="25" fillId="0" borderId="20" xfId="26" applyNumberFormat="1" applyFont="1" applyBorder="1" applyAlignment="1">
      <alignment horizontal="center" vertical="top"/>
    </xf>
    <xf numFmtId="175" fontId="7" fillId="0" borderId="20" xfId="26" applyNumberFormat="1" applyFont="1" applyBorder="1" applyAlignment="1">
      <alignment horizontal="center" vertical="top"/>
    </xf>
    <xf numFmtId="175" fontId="8" fillId="0" borderId="20" xfId="26" applyNumberFormat="1" applyFont="1" applyFill="1" applyBorder="1" applyAlignment="1">
      <alignment horizontal="center" vertical="top"/>
    </xf>
    <xf numFmtId="43" fontId="4" fillId="0" borderId="20" xfId="26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quotePrefix="1" applyBorder="1" applyAlignment="1">
      <alignment horizontal="center"/>
    </xf>
    <xf numFmtId="175" fontId="4" fillId="0" borderId="20" xfId="26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0" borderId="0" xfId="0" quotePrefix="1" applyAlignment="1">
      <alignment horizontal="center" vertical="top"/>
    </xf>
    <xf numFmtId="175" fontId="35" fillId="0" borderId="0" xfId="26" applyNumberFormat="1" applyFont="1" applyBorder="1"/>
    <xf numFmtId="175" fontId="4" fillId="0" borderId="0" xfId="26" applyNumberFormat="1" applyFont="1" applyBorder="1"/>
    <xf numFmtId="43" fontId="0" fillId="0" borderId="0" xfId="0" applyNumberFormat="1" applyBorder="1"/>
    <xf numFmtId="0" fontId="0" fillId="0" borderId="0" xfId="0" applyFill="1" applyBorder="1"/>
    <xf numFmtId="43" fontId="25" fillId="0" borderId="0" xfId="26" applyFont="1" applyBorder="1"/>
    <xf numFmtId="175" fontId="36" fillId="0" borderId="0" xfId="26" applyNumberFormat="1" applyFont="1" applyFill="1" applyBorder="1"/>
    <xf numFmtId="0" fontId="25" fillId="0" borderId="0" xfId="0" applyFont="1" applyBorder="1"/>
    <xf numFmtId="175" fontId="36" fillId="0" borderId="0" xfId="26" applyNumberFormat="1" applyFont="1" applyBorder="1"/>
    <xf numFmtId="175" fontId="25" fillId="0" borderId="0" xfId="26" applyNumberFormat="1" applyFont="1" applyFill="1" applyBorder="1"/>
    <xf numFmtId="175" fontId="7" fillId="0" borderId="0" xfId="26" applyNumberFormat="1" applyFont="1" applyFill="1" applyBorder="1"/>
    <xf numFmtId="43" fontId="0" fillId="0" borderId="0" xfId="0" applyNumberFormat="1" applyFill="1" applyBorder="1"/>
    <xf numFmtId="3" fontId="0" fillId="0" borderId="0" xfId="0" applyNumberFormat="1" applyFill="1" applyBorder="1"/>
    <xf numFmtId="0" fontId="0" fillId="20" borderId="0" xfId="0" applyFill="1" applyBorder="1"/>
    <xf numFmtId="43" fontId="0" fillId="20" borderId="0" xfId="0" applyNumberFormat="1" applyFill="1" applyBorder="1"/>
    <xf numFmtId="175" fontId="37" fillId="0" borderId="0" xfId="26" applyNumberFormat="1" applyFont="1" applyFill="1" applyBorder="1"/>
    <xf numFmtId="4" fontId="0" fillId="0" borderId="0" xfId="0" applyNumberFormat="1" applyBorder="1"/>
    <xf numFmtId="0" fontId="8" fillId="0" borderId="0" xfId="0" applyFont="1" applyFill="1" applyBorder="1"/>
    <xf numFmtId="175" fontId="8" fillId="0" borderId="0" xfId="26" applyNumberFormat="1" applyFont="1" applyFill="1" applyBorder="1"/>
    <xf numFmtId="175" fontId="9" fillId="0" borderId="0" xfId="26" applyNumberFormat="1" applyFont="1" applyBorder="1"/>
    <xf numFmtId="43" fontId="0" fillId="0" borderId="0" xfId="0" applyNumberFormat="1"/>
    <xf numFmtId="4" fontId="0" fillId="0" borderId="0" xfId="0" applyNumberFormat="1" applyFill="1" applyBorder="1"/>
    <xf numFmtId="175" fontId="9" fillId="0" borderId="0" xfId="0" applyNumberFormat="1" applyFont="1" applyBorder="1"/>
    <xf numFmtId="175" fontId="38" fillId="0" borderId="0" xfId="26" applyNumberFormat="1" applyFont="1" applyFill="1" applyBorder="1"/>
    <xf numFmtId="0" fontId="0" fillId="0" borderId="0" xfId="0" quotePrefix="1" applyBorder="1" applyAlignment="1">
      <alignment horizontal="center"/>
    </xf>
    <xf numFmtId="43" fontId="4" fillId="0" borderId="0" xfId="26" applyFont="1" applyBorder="1" applyAlignment="1">
      <alignment horizontal="right"/>
    </xf>
    <xf numFmtId="175" fontId="0" fillId="0" borderId="0" xfId="0" applyNumberFormat="1" applyBorder="1" applyAlignment="1">
      <alignment horizontal="center"/>
    </xf>
    <xf numFmtId="175" fontId="8" fillId="0" borderId="0" xfId="0" applyNumberFormat="1" applyFont="1" applyBorder="1"/>
    <xf numFmtId="0" fontId="8" fillId="0" borderId="0" xfId="0" applyFont="1"/>
    <xf numFmtId="43" fontId="0" fillId="0" borderId="0" xfId="26" applyFont="1"/>
    <xf numFmtId="9" fontId="0" fillId="0" borderId="0" xfId="2" applyFont="1"/>
    <xf numFmtId="43" fontId="8" fillId="0" borderId="0" xfId="26" applyFont="1"/>
    <xf numFmtId="9" fontId="8" fillId="0" borderId="0" xfId="2" applyFont="1"/>
    <xf numFmtId="0" fontId="8" fillId="20" borderId="0" xfId="0" applyFont="1" applyFill="1" applyAlignment="1">
      <alignment horizontal="center" wrapText="1"/>
    </xf>
    <xf numFmtId="0" fontId="8" fillId="20" borderId="0" xfId="0" applyFont="1" applyFill="1" applyAlignment="1">
      <alignment horizontal="center"/>
    </xf>
    <xf numFmtId="176" fontId="0" fillId="0" borderId="0" xfId="0" applyNumberFormat="1"/>
    <xf numFmtId="43" fontId="0" fillId="20" borderId="0" xfId="26" applyFont="1" applyFill="1"/>
    <xf numFmtId="43" fontId="0" fillId="20" borderId="0" xfId="0" applyNumberFormat="1" applyFill="1"/>
    <xf numFmtId="0" fontId="39" fillId="0" borderId="0" xfId="92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3" fillId="0" borderId="1" xfId="4" applyFont="1" applyBorder="1" applyAlignment="1">
      <alignment horizontal="left"/>
    </xf>
    <xf numFmtId="3" fontId="33" fillId="20" borderId="0" xfId="128" applyNumberFormat="1" applyFont="1" applyFill="1" applyAlignment="1">
      <alignment horizontal="center"/>
    </xf>
    <xf numFmtId="0" fontId="8" fillId="20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3" fontId="8" fillId="0" borderId="0" xfId="26" applyFont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2" applyFont="1" applyAlignment="1">
      <alignment horizontal="center"/>
    </xf>
    <xf numFmtId="0" fontId="0" fillId="0" borderId="0" xfId="0" applyFont="1"/>
    <xf numFmtId="164" fontId="3" fillId="0" borderId="1" xfId="3" applyFont="1" applyBorder="1"/>
    <xf numFmtId="164" fontId="5" fillId="0" borderId="1" xfId="3" applyFont="1" applyBorder="1"/>
    <xf numFmtId="3" fontId="5" fillId="0" borderId="1" xfId="3" applyNumberFormat="1" applyFont="1" applyBorder="1"/>
    <xf numFmtId="164" fontId="5" fillId="2" borderId="1" xfId="3" applyFont="1" applyFill="1" applyBorder="1"/>
    <xf numFmtId="3" fontId="3" fillId="0" borderId="1" xfId="3" applyNumberFormat="1" applyFont="1" applyBorder="1" applyAlignment="1">
      <alignment horizontal="right"/>
    </xf>
    <xf numFmtId="164" fontId="5" fillId="0" borderId="1" xfId="3" applyFont="1" applyBorder="1" applyAlignment="1">
      <alignment horizontal="center"/>
    </xf>
    <xf numFmtId="3" fontId="5" fillId="0" borderId="1" xfId="3" applyNumberFormat="1" applyFont="1" applyBorder="1" applyAlignment="1">
      <alignment horizontal="right"/>
    </xf>
    <xf numFmtId="10" fontId="3" fillId="0" borderId="1" xfId="3" applyNumberFormat="1" applyFont="1" applyBorder="1"/>
    <xf numFmtId="3" fontId="3" fillId="0" borderId="1" xfId="3" applyNumberFormat="1" applyFont="1" applyBorder="1"/>
    <xf numFmtId="164" fontId="5" fillId="0" borderId="1" xfId="3" applyFont="1" applyBorder="1" applyAlignment="1">
      <alignment horizontal="left"/>
    </xf>
    <xf numFmtId="164" fontId="3" fillId="0" borderId="1" xfId="3" applyFont="1" applyBorder="1" applyAlignment="1">
      <alignment horizontal="center"/>
    </xf>
    <xf numFmtId="3" fontId="5" fillId="0" borderId="1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10" fontId="5" fillId="0" borderId="1" xfId="3" applyNumberFormat="1" applyFont="1" applyBorder="1"/>
    <xf numFmtId="164" fontId="5" fillId="3" borderId="1" xfId="3" applyFont="1" applyFill="1" applyBorder="1"/>
    <xf numFmtId="165" fontId="5" fillId="3" borderId="1" xfId="3" applyNumberFormat="1" applyFont="1" applyFill="1" applyBorder="1"/>
    <xf numFmtId="10" fontId="5" fillId="3" borderId="1" xfId="3" applyNumberFormat="1" applyFont="1" applyFill="1" applyBorder="1"/>
    <xf numFmtId="164" fontId="5" fillId="3" borderId="1" xfId="3" applyFont="1" applyFill="1" applyBorder="1" applyAlignment="1">
      <alignment horizontal="center"/>
    </xf>
    <xf numFmtId="164" fontId="5" fillId="0" borderId="1" xfId="3" applyFont="1" applyBorder="1" applyAlignment="1">
      <alignment horizontal="right"/>
    </xf>
    <xf numFmtId="165" fontId="5" fillId="2" borderId="1" xfId="3" applyNumberFormat="1" applyFont="1" applyFill="1" applyBorder="1"/>
    <xf numFmtId="10" fontId="5" fillId="2" borderId="1" xfId="3" applyNumberFormat="1" applyFont="1" applyFill="1" applyBorder="1"/>
    <xf numFmtId="164" fontId="5" fillId="2" borderId="1" xfId="3" applyFont="1" applyFill="1" applyBorder="1" applyAlignment="1">
      <alignment horizontal="center"/>
    </xf>
    <xf numFmtId="3" fontId="40" fillId="0" borderId="1" xfId="3" applyNumberFormat="1" applyFont="1" applyBorder="1"/>
    <xf numFmtId="3" fontId="5" fillId="2" borderId="1" xfId="3" applyNumberFormat="1" applyFont="1" applyFill="1" applyBorder="1"/>
    <xf numFmtId="4" fontId="3" fillId="0" borderId="1" xfId="3" applyNumberFormat="1" applyFont="1" applyBorder="1" applyAlignment="1">
      <alignment horizontal="center"/>
    </xf>
    <xf numFmtId="10" fontId="5" fillId="0" borderId="1" xfId="3" applyNumberFormat="1" applyFont="1" applyBorder="1" applyAlignment="1">
      <alignment horizontal="right"/>
    </xf>
    <xf numFmtId="3" fontId="41" fillId="0" borderId="1" xfId="3" applyNumberFormat="1" applyFont="1" applyBorder="1"/>
    <xf numFmtId="4" fontId="5" fillId="0" borderId="1" xfId="3" applyNumberFormat="1" applyFont="1" applyBorder="1"/>
    <xf numFmtId="3" fontId="5" fillId="0" borderId="1" xfId="3" applyNumberFormat="1" applyFont="1" applyFill="1" applyBorder="1"/>
    <xf numFmtId="4" fontId="5" fillId="0" borderId="1" xfId="3" applyNumberFormat="1" applyFont="1" applyBorder="1" applyAlignment="1">
      <alignment horizontal="center"/>
    </xf>
    <xf numFmtId="3" fontId="5" fillId="0" borderId="1" xfId="3" applyNumberFormat="1" applyFont="1" applyFill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3" fontId="3" fillId="2" borderId="1" xfId="3" applyNumberFormat="1" applyFont="1" applyFill="1" applyBorder="1"/>
    <xf numFmtId="3" fontId="5" fillId="2" borderId="2" xfId="3" applyNumberFormat="1" applyFont="1" applyFill="1" applyBorder="1"/>
    <xf numFmtId="4" fontId="3" fillId="0" borderId="3" xfId="3" applyNumberFormat="1" applyFont="1" applyBorder="1" applyAlignment="1">
      <alignment horizontal="center"/>
    </xf>
    <xf numFmtId="10" fontId="3" fillId="0" borderId="4" xfId="3" applyNumberFormat="1" applyFont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164" fontId="5" fillId="0" borderId="6" xfId="3" applyFont="1" applyBorder="1" applyAlignment="1">
      <alignment horizontal="center"/>
    </xf>
    <xf numFmtId="10" fontId="3" fillId="0" borderId="7" xfId="3" applyNumberFormat="1" applyFont="1" applyBorder="1" applyAlignment="1">
      <alignment horizontal="center"/>
    </xf>
    <xf numFmtId="3" fontId="5" fillId="0" borderId="8" xfId="3" applyNumberFormat="1" applyFont="1" applyBorder="1" applyAlignment="1">
      <alignment horizontal="center"/>
    </xf>
    <xf numFmtId="166" fontId="5" fillId="0" borderId="1" xfId="3" applyNumberFormat="1" applyFont="1" applyBorder="1"/>
    <xf numFmtId="10" fontId="5" fillId="0" borderId="3" xfId="3" applyNumberFormat="1" applyFont="1" applyBorder="1"/>
    <xf numFmtId="10" fontId="5" fillId="0" borderId="7" xfId="3" applyNumberFormat="1" applyFont="1" applyBorder="1"/>
    <xf numFmtId="10" fontId="5" fillId="0" borderId="8" xfId="3" applyNumberFormat="1" applyFont="1" applyBorder="1"/>
    <xf numFmtId="4" fontId="5" fillId="0" borderId="3" xfId="3" applyNumberFormat="1" applyFont="1" applyBorder="1"/>
    <xf numFmtId="2" fontId="4" fillId="0" borderId="1" xfId="5" applyNumberFormat="1" applyFont="1" applyFill="1" applyBorder="1" applyAlignment="1">
      <alignment horizontal="center"/>
    </xf>
    <xf numFmtId="2" fontId="4" fillId="0" borderId="1" xfId="5" applyNumberFormat="1" applyFont="1" applyBorder="1"/>
    <xf numFmtId="10" fontId="5" fillId="0" borderId="9" xfId="3" applyNumberFormat="1" applyFont="1" applyBorder="1"/>
    <xf numFmtId="10" fontId="5" fillId="0" borderId="10" xfId="3" applyNumberFormat="1" applyFont="1" applyBorder="1"/>
    <xf numFmtId="166" fontId="3" fillId="0" borderId="1" xfId="3" applyNumberFormat="1" applyFont="1" applyBorder="1"/>
    <xf numFmtId="10" fontId="5" fillId="0" borderId="11" xfId="3" applyNumberFormat="1" applyFont="1" applyBorder="1"/>
    <xf numFmtId="167" fontId="5" fillId="0" borderId="1" xfId="3" applyNumberFormat="1" applyFont="1" applyBorder="1"/>
    <xf numFmtId="3" fontId="5" fillId="2" borderId="1" xfId="3" applyNumberFormat="1" applyFont="1" applyFill="1" applyBorder="1" applyAlignment="1">
      <alignment horizontal="right"/>
    </xf>
    <xf numFmtId="3" fontId="5" fillId="2" borderId="1" xfId="3" quotePrefix="1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>
      <alignment horizontal="left"/>
    </xf>
    <xf numFmtId="3" fontId="5" fillId="0" borderId="1" xfId="3" applyNumberFormat="1" applyFont="1" applyBorder="1" applyAlignment="1">
      <alignment horizontal="left"/>
    </xf>
    <xf numFmtId="3" fontId="42" fillId="0" borderId="1" xfId="3" applyNumberFormat="1" applyFont="1" applyBorder="1"/>
    <xf numFmtId="4" fontId="4" fillId="0" borderId="1" xfId="5" applyNumberFormat="1" applyFont="1" applyFill="1" applyBorder="1"/>
    <xf numFmtId="164" fontId="5" fillId="3" borderId="1" xfId="4" applyFont="1" applyFill="1" applyBorder="1"/>
    <xf numFmtId="3" fontId="5" fillId="3" borderId="1" xfId="3" applyNumberFormat="1" applyFont="1" applyFill="1" applyBorder="1"/>
    <xf numFmtId="3" fontId="5" fillId="4" borderId="1" xfId="3" applyNumberFormat="1" applyFont="1" applyFill="1" applyBorder="1"/>
    <xf numFmtId="37" fontId="5" fillId="0" borderId="1" xfId="4" applyNumberFormat="1" applyFont="1" applyBorder="1"/>
    <xf numFmtId="2" fontId="4" fillId="3" borderId="1" xfId="5" applyNumberFormat="1" applyFont="1" applyFill="1" applyBorder="1" applyAlignment="1">
      <alignment horizontal="center"/>
    </xf>
    <xf numFmtId="167" fontId="4" fillId="3" borderId="1" xfId="5" applyNumberFormat="1" applyFont="1" applyFill="1" applyBorder="1"/>
    <xf numFmtId="2" fontId="4" fillId="3" borderId="1" xfId="5" applyNumberFormat="1" applyFont="1" applyFill="1" applyBorder="1"/>
    <xf numFmtId="10" fontId="4" fillId="3" borderId="1" xfId="5" applyNumberFormat="1" applyFont="1" applyFill="1" applyBorder="1"/>
    <xf numFmtId="3" fontId="43" fillId="0" borderId="1" xfId="3" applyNumberFormat="1" applyFont="1" applyBorder="1"/>
    <xf numFmtId="3" fontId="5" fillId="0" borderId="1" xfId="3" quotePrefix="1" applyNumberFormat="1" applyFont="1" applyBorder="1" applyAlignment="1">
      <alignment horizontal="right"/>
    </xf>
    <xf numFmtId="3" fontId="3" fillId="4" borderId="1" xfId="3" applyNumberFormat="1" applyFont="1" applyFill="1" applyBorder="1"/>
    <xf numFmtId="3" fontId="4" fillId="0" borderId="1" xfId="0" applyNumberFormat="1" applyFont="1" applyBorder="1"/>
    <xf numFmtId="168" fontId="5" fillId="0" borderId="1" xfId="3" applyNumberFormat="1" applyFont="1" applyBorder="1"/>
    <xf numFmtId="0" fontId="44" fillId="0" borderId="0" xfId="0" applyFont="1" applyBorder="1"/>
    <xf numFmtId="0" fontId="44" fillId="0" borderId="0" xfId="0" applyFont="1" applyAlignment="1">
      <alignment horizontal="center" vertical="top"/>
    </xf>
    <xf numFmtId="0" fontId="44" fillId="20" borderId="0" xfId="0" applyFont="1" applyFill="1" applyBorder="1"/>
    <xf numFmtId="0" fontId="44" fillId="0" borderId="0" xfId="0" applyFont="1" applyFill="1" applyBorder="1"/>
  </cellXfs>
  <cellStyles count="146">
    <cellStyle name="20% - Accent1 2" xfId="7"/>
    <cellStyle name="20% - Accent4 2" xfId="8"/>
    <cellStyle name="40% - Accent1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Accent1 2" xfId="18"/>
    <cellStyle name="Accent2 2" xfId="19"/>
    <cellStyle name="Accent3 2" xfId="20"/>
    <cellStyle name="Accent6 2" xfId="21"/>
    <cellStyle name="Accounting" xfId="22"/>
    <cellStyle name="Bad 2" xfId="23"/>
    <cellStyle name="Budget" xfId="24"/>
    <cellStyle name="Calculation 2" xfId="25"/>
    <cellStyle name="Comma 10" xfId="26"/>
    <cellStyle name="Comma 11" xfId="27"/>
    <cellStyle name="Comma 12" xfId="28"/>
    <cellStyle name="Comma 12 2" xfId="29"/>
    <cellStyle name="Comma 13" xfId="30"/>
    <cellStyle name="Comma 13 2" xfId="31"/>
    <cellStyle name="Comma 14" xfId="32"/>
    <cellStyle name="Comma 14 2" xfId="33"/>
    <cellStyle name="Comma 15" xfId="34"/>
    <cellStyle name="Comma 15 2" xfId="35"/>
    <cellStyle name="Comma 16" xfId="36"/>
    <cellStyle name="Comma 17" xfId="37"/>
    <cellStyle name="Comma 2" xfId="38"/>
    <cellStyle name="Comma 2 2" xfId="39"/>
    <cellStyle name="Comma 2 2 2" xfId="40"/>
    <cellStyle name="Comma 2 3" xfId="41"/>
    <cellStyle name="Comma 2 3 2" xfId="42"/>
    <cellStyle name="Comma 3" xfId="43"/>
    <cellStyle name="Comma 3 2" xfId="44"/>
    <cellStyle name="Comma 3 2 2" xfId="45"/>
    <cellStyle name="Comma 3 3" xfId="46"/>
    <cellStyle name="Comma 4" xfId="47"/>
    <cellStyle name="Comma 4 2" xfId="48"/>
    <cellStyle name="Comma 4 3" xfId="49"/>
    <cellStyle name="Comma 4 4" xfId="50"/>
    <cellStyle name="Comma 4 5" xfId="51"/>
    <cellStyle name="Comma 5" xfId="52"/>
    <cellStyle name="Comma 6" xfId="53"/>
    <cellStyle name="Comma 7" xfId="54"/>
    <cellStyle name="Comma 8" xfId="55"/>
    <cellStyle name="Comma 9" xfId="56"/>
    <cellStyle name="Comma(2)" xfId="57"/>
    <cellStyle name="Comma0 - Style2" xfId="58"/>
    <cellStyle name="Comma1 - Style1" xfId="59"/>
    <cellStyle name="Comments" xfId="60"/>
    <cellStyle name="Currency" xfId="1" builtinId="4"/>
    <cellStyle name="Currency 2" xfId="61"/>
    <cellStyle name="Currency 2 2" xfId="62"/>
    <cellStyle name="Currency 3" xfId="63"/>
    <cellStyle name="Currency 4" xfId="64"/>
    <cellStyle name="Currency 4 2" xfId="65"/>
    <cellStyle name="Currency 5" xfId="66"/>
    <cellStyle name="Currency 5 2" xfId="67"/>
    <cellStyle name="Currency 6" xfId="68"/>
    <cellStyle name="Currency 6 2" xfId="69"/>
    <cellStyle name="Currency 7" xfId="70"/>
    <cellStyle name="Currency 7 2" xfId="71"/>
    <cellStyle name="Currency 8" xfId="72"/>
    <cellStyle name="Currency 9" xfId="73"/>
    <cellStyle name="Data Enter" xfId="74"/>
    <cellStyle name="FactSheet" xfId="75"/>
    <cellStyle name="Good 2" xfId="76"/>
    <cellStyle name="Heading 1 2" xfId="77"/>
    <cellStyle name="Heading 2 2" xfId="78"/>
    <cellStyle name="Heading 3 2" xfId="79"/>
    <cellStyle name="Hyperlink 2" xfId="80"/>
    <cellStyle name="Hyperlink 3" xfId="81"/>
    <cellStyle name="input(0)" xfId="82"/>
    <cellStyle name="Input(2)" xfId="83"/>
    <cellStyle name="Linked Cell 2" xfId="84"/>
    <cellStyle name="Neutral 2" xfId="85"/>
    <cellStyle name="New_normal" xfId="86"/>
    <cellStyle name="Normal" xfId="0" builtinId="0"/>
    <cellStyle name="Normal - Style1" xfId="87"/>
    <cellStyle name="Normal - Style2" xfId="88"/>
    <cellStyle name="Normal - Style3" xfId="89"/>
    <cellStyle name="Normal - Style4" xfId="90"/>
    <cellStyle name="Normal - Style5" xfId="91"/>
    <cellStyle name="Normal 10" xfId="92"/>
    <cellStyle name="Normal 10 2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6"/>
    <cellStyle name="Normal 2 2" xfId="103"/>
    <cellStyle name="Normal 2 2 2" xfId="104"/>
    <cellStyle name="Normal 2 2 3" xfId="105"/>
    <cellStyle name="Normal 2 2_IS210PL" xfId="106"/>
    <cellStyle name="Normal 2 3" xfId="107"/>
    <cellStyle name="Normal 2 3 2" xfId="108"/>
    <cellStyle name="Normal 2 3 3" xfId="109"/>
    <cellStyle name="Normal 2 4" xfId="110"/>
    <cellStyle name="Normal 2 5" xfId="111"/>
    <cellStyle name="Normal 2_2180 Payroll Schedule 8-22-2011" xfId="112"/>
    <cellStyle name="Normal 20" xfId="113"/>
    <cellStyle name="Normal 21" xfId="114"/>
    <cellStyle name="Normal 22" xfId="115"/>
    <cellStyle name="Normal 23" xfId="116"/>
    <cellStyle name="Normal 3" xfId="117"/>
    <cellStyle name="Normal 3 2" xfId="118"/>
    <cellStyle name="Normal 3_70148 Region Allocation" xfId="119"/>
    <cellStyle name="Normal 4" xfId="120"/>
    <cellStyle name="Normal 5" xfId="121"/>
    <cellStyle name="Normal 5 2" xfId="122"/>
    <cellStyle name="Normal 5_2183 UTC Depreciation 3 31 2012 Heather 6-6-2012" xfId="123"/>
    <cellStyle name="Normal 6" xfId="124"/>
    <cellStyle name="Normal 7" xfId="125"/>
    <cellStyle name="Normal 8" xfId="126"/>
    <cellStyle name="Normal 9" xfId="127"/>
    <cellStyle name="Normal_Proforma 3-10" xfId="128"/>
    <cellStyle name="Normal_Proforma 3-10 Revised" xfId="4"/>
    <cellStyle name="Normal_Proforma Yakima" xfId="3"/>
    <cellStyle name="Normal_Route Time By Route Area Pckr, RO Dave 2-19-10" xfId="5"/>
    <cellStyle name="Note 2" xfId="129"/>
    <cellStyle name="Notes" xfId="130"/>
    <cellStyle name="Percent" xfId="2" builtinId="5"/>
    <cellStyle name="Percent 2" xfId="131"/>
    <cellStyle name="Percent 2 2" xfId="132"/>
    <cellStyle name="Percent 3" xfId="133"/>
    <cellStyle name="Percent 4" xfId="134"/>
    <cellStyle name="Percent 4 2" xfId="135"/>
    <cellStyle name="Percent 5" xfId="136"/>
    <cellStyle name="Percent 7" xfId="137"/>
    <cellStyle name="Percent(1)" xfId="138"/>
    <cellStyle name="Percent(2)" xfId="139"/>
    <cellStyle name="PRM" xfId="140"/>
    <cellStyle name="PSChar" xfId="141"/>
    <cellStyle name="PSHeading" xfId="142"/>
    <cellStyle name="Style 1" xfId="143"/>
    <cellStyle name="STYLE1" xfId="144"/>
    <cellStyle name="Total 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oe's/Pro%20Forma%20Lemay%20Thurston%20below%20142nd%20-%20Reduce%20Recycle%207-1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Filing%20Joe's/Joe%20Final%208-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8"/>
      <sheetName val="Pro-forma Lewis,Joe's"/>
      <sheetName val="2188 Restating Adj"/>
      <sheetName val="2188 Restating Expl"/>
      <sheetName val="Pro-forma Adj"/>
      <sheetName val="2188 Depr Summary"/>
      <sheetName val="2188 Unit Cnt"/>
      <sheetName val="Prof-Joe's T-Pckr"/>
      <sheetName val="LG-Joe's T before DF Pckr"/>
      <sheetName val="LG-Joe's T after DF"/>
      <sheetName val="Prof-Joe's T RO"/>
      <sheetName val="LG-Joe's T RO"/>
      <sheetName val="Prof-Joe's T Recycl"/>
      <sheetName val="LG-Joe's T Recycl"/>
      <sheetName val="Prof-Joe's T MF"/>
      <sheetName val="LG-Joe's T MF"/>
      <sheetName val="Prof-Joe's T YW"/>
      <sheetName val="LG-Joe's T YW"/>
      <sheetName val="Joe's Priceout"/>
      <sheetName val="Settlement Rate Sheet"/>
      <sheetName val="Joe's Disposal Fees"/>
      <sheetName val="RSA-1 Priceout"/>
      <sheetName val="RSA-1 Disposal Fees"/>
      <sheetName val="Except RSA-1 Priceout"/>
      <sheetName val="Disposal Fees"/>
      <sheetName val="Joe's Lewis Cnty"/>
      <sheetName val="Joe's Lewis-Disposal Fees "/>
      <sheetName val="2188-PR Summary"/>
      <sheetName val="2188-Fuel"/>
    </sheetNames>
    <sheetDataSet>
      <sheetData sheetId="0"/>
      <sheetData sheetId="1">
        <row r="10">
          <cell r="S10">
            <v>385100.19999999995</v>
          </cell>
        </row>
        <row r="12">
          <cell r="S12">
            <v>61838.35</v>
          </cell>
        </row>
        <row r="13">
          <cell r="S13">
            <v>668449.22</v>
          </cell>
        </row>
        <row r="14">
          <cell r="S14">
            <v>3456</v>
          </cell>
        </row>
        <row r="15">
          <cell r="S15">
            <v>2200834.6700000004</v>
          </cell>
        </row>
        <row r="16">
          <cell r="S16">
            <v>18359.870000000003</v>
          </cell>
        </row>
        <row r="18">
          <cell r="S18">
            <v>832459.83</v>
          </cell>
        </row>
        <row r="19">
          <cell r="S19">
            <v>290221.53999999998</v>
          </cell>
        </row>
        <row r="20">
          <cell r="S20">
            <v>1890750.69</v>
          </cell>
        </row>
        <row r="22">
          <cell r="S22">
            <v>127.25</v>
          </cell>
        </row>
        <row r="23">
          <cell r="S23">
            <v>24805.950000000004</v>
          </cell>
        </row>
        <row r="24">
          <cell r="S24">
            <v>15250.659999999998</v>
          </cell>
        </row>
        <row r="36">
          <cell r="S36">
            <v>21372.2</v>
          </cell>
        </row>
        <row r="37">
          <cell r="U37">
            <v>-227895.16</v>
          </cell>
        </row>
        <row r="52">
          <cell r="S52">
            <v>40382.58</v>
          </cell>
        </row>
        <row r="59">
          <cell r="S59">
            <v>2422327.79</v>
          </cell>
        </row>
        <row r="60">
          <cell r="S60">
            <v>1139.06</v>
          </cell>
        </row>
        <row r="69">
          <cell r="S69">
            <v>191.09</v>
          </cell>
        </row>
        <row r="70">
          <cell r="S70">
            <v>83702.810000000012</v>
          </cell>
        </row>
        <row r="71">
          <cell r="S71">
            <v>24236.039999999997</v>
          </cell>
        </row>
        <row r="77">
          <cell r="S77">
            <v>93396.50999999998</v>
          </cell>
        </row>
        <row r="92">
          <cell r="U92">
            <v>679259.64</v>
          </cell>
        </row>
        <row r="94">
          <cell r="U94">
            <v>22227.680000000004</v>
          </cell>
        </row>
        <row r="95">
          <cell r="U95">
            <v>54868.020000000004</v>
          </cell>
        </row>
        <row r="96">
          <cell r="U96">
            <v>218114.38</v>
          </cell>
        </row>
        <row r="99">
          <cell r="U99">
            <v>9808.07</v>
          </cell>
        </row>
        <row r="102">
          <cell r="U102">
            <v>90743.62999999999</v>
          </cell>
        </row>
        <row r="103">
          <cell r="U103">
            <v>12869.550000000003</v>
          </cell>
        </row>
        <row r="104">
          <cell r="U104">
            <v>4813.46</v>
          </cell>
        </row>
        <row r="110">
          <cell r="U110">
            <v>61368.089999999989</v>
          </cell>
        </row>
        <row r="117">
          <cell r="U117">
            <v>245426.46999999994</v>
          </cell>
        </row>
        <row r="121">
          <cell r="U121">
            <v>21967.72</v>
          </cell>
        </row>
        <row r="122">
          <cell r="U122">
            <v>-4845.5</v>
          </cell>
        </row>
        <row r="125">
          <cell r="U125">
            <v>8387.4399999999987</v>
          </cell>
        </row>
        <row r="128">
          <cell r="U128">
            <v>9566.9399999999987</v>
          </cell>
        </row>
        <row r="130">
          <cell r="U130">
            <v>157238.07999999996</v>
          </cell>
        </row>
        <row r="132">
          <cell r="U132">
            <v>62983.49</v>
          </cell>
        </row>
        <row r="134">
          <cell r="U134">
            <v>625892.29999999993</v>
          </cell>
        </row>
        <row r="135">
          <cell r="U135">
            <v>17683.93</v>
          </cell>
        </row>
        <row r="138">
          <cell r="U138">
            <v>372.9</v>
          </cell>
        </row>
        <row r="143">
          <cell r="U143">
            <v>621.08000000000004</v>
          </cell>
        </row>
        <row r="151">
          <cell r="U151">
            <v>31469.22</v>
          </cell>
        </row>
        <row r="154">
          <cell r="U154">
            <v>2518.1499999999996</v>
          </cell>
        </row>
        <row r="155">
          <cell r="U155">
            <v>-1188</v>
          </cell>
        </row>
        <row r="159">
          <cell r="U159">
            <v>5730.4800000000005</v>
          </cell>
        </row>
        <row r="160">
          <cell r="U160">
            <v>920.25000000000011</v>
          </cell>
        </row>
        <row r="161">
          <cell r="U161">
            <v>1697.74</v>
          </cell>
        </row>
        <row r="162">
          <cell r="U162">
            <v>858.88</v>
          </cell>
        </row>
        <row r="164">
          <cell r="U164">
            <v>3788.5</v>
          </cell>
        </row>
        <row r="173">
          <cell r="U173">
            <v>71118.45</v>
          </cell>
        </row>
        <row r="174">
          <cell r="U174">
            <v>6034.5199999999986</v>
          </cell>
        </row>
        <row r="175">
          <cell r="U175">
            <v>-1059</v>
          </cell>
        </row>
        <row r="177">
          <cell r="U177">
            <v>6412.2600000000011</v>
          </cell>
        </row>
        <row r="180">
          <cell r="U180">
            <v>3020.5299999999997</v>
          </cell>
        </row>
        <row r="181">
          <cell r="U181">
            <v>372.14</v>
          </cell>
        </row>
        <row r="189">
          <cell r="U189">
            <v>11413</v>
          </cell>
        </row>
        <row r="191">
          <cell r="U191">
            <v>2136.33</v>
          </cell>
        </row>
        <row r="192">
          <cell r="U192">
            <v>2750.8199999999997</v>
          </cell>
        </row>
        <row r="193">
          <cell r="U193">
            <v>589.5</v>
          </cell>
        </row>
        <row r="196">
          <cell r="U196">
            <v>9322.2699999999986</v>
          </cell>
        </row>
        <row r="198">
          <cell r="U198">
            <v>7526.8099999999995</v>
          </cell>
        </row>
        <row r="199">
          <cell r="U199">
            <v>1010.9</v>
          </cell>
        </row>
        <row r="202">
          <cell r="U202">
            <v>1447.88</v>
          </cell>
        </row>
        <row r="214">
          <cell r="U214">
            <v>49198.75</v>
          </cell>
        </row>
        <row r="216">
          <cell r="U216">
            <v>17653.060000000001</v>
          </cell>
        </row>
        <row r="218">
          <cell r="U218">
            <v>29105.090000000004</v>
          </cell>
        </row>
        <row r="233">
          <cell r="U233">
            <v>17073.699999999997</v>
          </cell>
        </row>
        <row r="234">
          <cell r="U234">
            <v>21.619999999999997</v>
          </cell>
        </row>
        <row r="240">
          <cell r="U240">
            <v>129303.76999999999</v>
          </cell>
        </row>
        <row r="244">
          <cell r="U244">
            <v>10085.130000000001</v>
          </cell>
        </row>
        <row r="245">
          <cell r="U245">
            <v>-1617.72</v>
          </cell>
        </row>
        <row r="248">
          <cell r="U248">
            <v>40675.230000000003</v>
          </cell>
        </row>
        <row r="253">
          <cell r="U253">
            <v>2638.54</v>
          </cell>
        </row>
        <row r="254">
          <cell r="U254">
            <v>1903.8199999999997</v>
          </cell>
        </row>
        <row r="256">
          <cell r="U256">
            <v>9692.260000000002</v>
          </cell>
        </row>
        <row r="257">
          <cell r="U257">
            <v>22080.149999999998</v>
          </cell>
        </row>
        <row r="261">
          <cell r="U261">
            <v>45786.13</v>
          </cell>
        </row>
        <row r="274">
          <cell r="U274">
            <v>7956.7300000000005</v>
          </cell>
        </row>
        <row r="279">
          <cell r="U279">
            <v>55564.229999999996</v>
          </cell>
        </row>
        <row r="289">
          <cell r="S289">
            <v>232079.41000000006</v>
          </cell>
        </row>
        <row r="296">
          <cell r="S296">
            <v>531835.18999999994</v>
          </cell>
        </row>
        <row r="297">
          <cell r="S297">
            <v>152968.65000000002</v>
          </cell>
        </row>
        <row r="298">
          <cell r="S298">
            <v>38671.440000000002</v>
          </cell>
        </row>
      </sheetData>
      <sheetData sheetId="2">
        <row r="22">
          <cell r="L22">
            <v>258403.73120000001</v>
          </cell>
        </row>
        <row r="77">
          <cell r="L77">
            <v>237514.63472770824</v>
          </cell>
        </row>
        <row r="83">
          <cell r="L83">
            <v>176865.8286251548</v>
          </cell>
        </row>
      </sheetData>
      <sheetData sheetId="3">
        <row r="10">
          <cell r="K10">
            <v>271219</v>
          </cell>
        </row>
        <row r="11">
          <cell r="K11">
            <v>0</v>
          </cell>
        </row>
        <row r="12">
          <cell r="K12">
            <v>-271219</v>
          </cell>
        </row>
        <row r="13">
          <cell r="K13">
            <v>160916</v>
          </cell>
        </row>
        <row r="14">
          <cell r="K14">
            <v>-161952</v>
          </cell>
        </row>
        <row r="17">
          <cell r="K17">
            <v>1036</v>
          </cell>
        </row>
        <row r="18">
          <cell r="K18">
            <v>-21372.2</v>
          </cell>
        </row>
        <row r="19">
          <cell r="D19">
            <v>227895.16</v>
          </cell>
        </row>
        <row r="37">
          <cell r="I37">
            <v>-156000</v>
          </cell>
        </row>
        <row r="40">
          <cell r="I40">
            <v>-66109.390000000363</v>
          </cell>
        </row>
        <row r="42">
          <cell r="I42">
            <v>1683.6200000000003</v>
          </cell>
        </row>
        <row r="45">
          <cell r="I45">
            <v>0</v>
          </cell>
        </row>
        <row r="46">
          <cell r="I46">
            <v>4122.6110928022372</v>
          </cell>
        </row>
        <row r="47">
          <cell r="I47">
            <v>1696.9721200000058</v>
          </cell>
        </row>
        <row r="51">
          <cell r="I51">
            <v>29487.895449999996</v>
          </cell>
        </row>
        <row r="53">
          <cell r="I53">
            <v>-2438.6539000000048</v>
          </cell>
        </row>
        <row r="54">
          <cell r="I54">
            <v>19860.330600000001</v>
          </cell>
        </row>
        <row r="61">
          <cell r="I61">
            <v>212.77000000000407</v>
          </cell>
        </row>
        <row r="62">
          <cell r="I62">
            <v>-4065.6000000000004</v>
          </cell>
        </row>
        <row r="66">
          <cell r="J66">
            <v>-160005.37826555577</v>
          </cell>
        </row>
        <row r="67">
          <cell r="J67">
            <v>109190.34999999998</v>
          </cell>
        </row>
        <row r="69">
          <cell r="J69">
            <v>-35645.67833574336</v>
          </cell>
        </row>
        <row r="70">
          <cell r="J70">
            <v>12052.573014298418</v>
          </cell>
        </row>
        <row r="71">
          <cell r="J71">
            <v>14794.211413543746</v>
          </cell>
        </row>
        <row r="73">
          <cell r="I73">
            <v>32739.202929999999</v>
          </cell>
        </row>
      </sheetData>
      <sheetData sheetId="4">
        <row r="19">
          <cell r="E19">
            <v>-81026</v>
          </cell>
        </row>
        <row r="261">
          <cell r="C261">
            <v>8.6717475952765195E-3</v>
          </cell>
        </row>
      </sheetData>
      <sheetData sheetId="5">
        <row r="27">
          <cell r="E27">
            <v>15788.205184999999</v>
          </cell>
        </row>
        <row r="34">
          <cell r="E34">
            <v>0</v>
          </cell>
        </row>
        <row r="35">
          <cell r="E35">
            <v>14376.682225</v>
          </cell>
        </row>
        <row r="51">
          <cell r="E51">
            <v>4886.3014000000003</v>
          </cell>
        </row>
        <row r="75">
          <cell r="E75">
            <v>2681.4159439649998</v>
          </cell>
        </row>
      </sheetData>
      <sheetData sheetId="6">
        <row r="7">
          <cell r="T7">
            <v>66375.250108336943</v>
          </cell>
        </row>
        <row r="9">
          <cell r="U9">
            <v>28618.024936782229</v>
          </cell>
        </row>
        <row r="11">
          <cell r="V11">
            <v>9703.1631356959988</v>
          </cell>
        </row>
        <row r="17">
          <cell r="E17">
            <v>371829.81173444417</v>
          </cell>
          <cell r="R17">
            <v>267133.37355362898</v>
          </cell>
        </row>
        <row r="20">
          <cell r="T20">
            <v>36903.619878930433</v>
          </cell>
        </row>
        <row r="22">
          <cell r="U22">
            <v>20657.196261682242</v>
          </cell>
        </row>
        <row r="24">
          <cell r="V24">
            <v>6115.6553880000001</v>
          </cell>
        </row>
        <row r="26">
          <cell r="W26">
            <v>606.05114996270686</v>
          </cell>
          <cell r="X26">
            <v>606.05114996270686</v>
          </cell>
        </row>
        <row r="28">
          <cell r="E28">
            <v>262159</v>
          </cell>
          <cell r="R28">
            <v>197269.69306746195</v>
          </cell>
        </row>
        <row r="32">
          <cell r="E32">
            <v>3025.7616642566436</v>
          </cell>
          <cell r="R32">
            <v>2148.9585823589887</v>
          </cell>
        </row>
        <row r="34">
          <cell r="E34">
            <v>9822.6524103192678</v>
          </cell>
          <cell r="R34">
            <v>7026.088051092318</v>
          </cell>
          <cell r="T34">
            <v>1509.2403377102353</v>
          </cell>
          <cell r="U34">
            <v>4.75261683653566</v>
          </cell>
          <cell r="V34">
            <v>1166.2613625083684</v>
          </cell>
          <cell r="W34">
            <v>109.10567855452184</v>
          </cell>
          <cell r="X34">
            <v>7.2043636172881831</v>
          </cell>
        </row>
        <row r="36">
          <cell r="E36">
            <v>2229.9206039791497</v>
          </cell>
          <cell r="R36">
            <v>1595.049672534755</v>
          </cell>
          <cell r="T36">
            <v>342.62498405022097</v>
          </cell>
          <cell r="U36">
            <v>1.0789303910902215</v>
          </cell>
          <cell r="V36">
            <v>264.76252373035737</v>
          </cell>
          <cell r="W36">
            <v>24.768971806867221</v>
          </cell>
          <cell r="X36">
            <v>1.6355214658589865</v>
          </cell>
        </row>
        <row r="38">
          <cell r="E38">
            <v>6274.9643701939731</v>
          </cell>
          <cell r="R38">
            <v>4456.6096188670081</v>
          </cell>
          <cell r="T38">
            <v>1124.2020278857135</v>
          </cell>
          <cell r="U38">
            <v>252.85055258162754</v>
          </cell>
          <cell r="V38">
            <v>411.4752960242572</v>
          </cell>
          <cell r="W38">
            <v>21.692272607539095</v>
          </cell>
          <cell r="X38">
            <v>8.134602227827159</v>
          </cell>
        </row>
        <row r="40">
          <cell r="E40">
            <v>8519.2470433497729</v>
          </cell>
          <cell r="R40">
            <v>6050.5456412214298</v>
          </cell>
          <cell r="T40">
            <v>1526.2803479308243</v>
          </cell>
          <cell r="U40">
            <v>343.28423165593188</v>
          </cell>
          <cell r="V40">
            <v>558.64216786903671</v>
          </cell>
          <cell r="W40">
            <v>29.450657943672446</v>
          </cell>
          <cell r="X40">
            <v>11.043996728877167</v>
          </cell>
        </row>
        <row r="47">
          <cell r="H47">
            <v>4369133.5276905466</v>
          </cell>
          <cell r="J47">
            <v>3154821.4912591865</v>
          </cell>
          <cell r="L47">
            <v>679427.44056232041</v>
          </cell>
          <cell r="M47">
            <v>346243.24064474774</v>
          </cell>
          <cell r="N47">
            <v>176865.8286251548</v>
          </cell>
          <cell r="O47">
            <v>5257.2113900670065</v>
          </cell>
          <cell r="P47">
            <v>6518.4380370703293</v>
          </cell>
        </row>
      </sheetData>
      <sheetData sheetId="7">
        <row r="17">
          <cell r="C17">
            <v>0.5056438220633076</v>
          </cell>
        </row>
        <row r="20">
          <cell r="C20">
            <v>0.41674629779197991</v>
          </cell>
        </row>
        <row r="21">
          <cell r="C21">
            <v>3.8987305133631682E-2</v>
          </cell>
        </row>
        <row r="27">
          <cell r="C27">
            <v>2.5743730882026397E-3</v>
          </cell>
        </row>
        <row r="37">
          <cell r="C37">
            <v>3.1195980395375768E-2</v>
          </cell>
        </row>
        <row r="48">
          <cell r="C48">
            <v>4.8522215275023581E-3</v>
          </cell>
        </row>
        <row r="51">
          <cell r="D51">
            <v>0.71506540528552731</v>
          </cell>
        </row>
      </sheetData>
      <sheetData sheetId="8"/>
      <sheetData sheetId="9"/>
      <sheetData sheetId="10">
        <row r="6">
          <cell r="E6">
            <v>321954.02367441094</v>
          </cell>
        </row>
      </sheetData>
      <sheetData sheetId="11"/>
      <sheetData sheetId="12">
        <row r="6">
          <cell r="E6">
            <v>107683.66242328926</v>
          </cell>
        </row>
      </sheetData>
      <sheetData sheetId="13"/>
      <sheetData sheetId="14"/>
      <sheetData sheetId="15">
        <row r="22">
          <cell r="E22">
            <v>14901.801600000001</v>
          </cell>
        </row>
        <row r="77">
          <cell r="E77">
            <v>13887.679020543172</v>
          </cell>
        </row>
        <row r="83">
          <cell r="E83">
            <v>5257.2113900670065</v>
          </cell>
        </row>
      </sheetData>
      <sheetData sheetId="16"/>
      <sheetData sheetId="17"/>
      <sheetData sheetId="18">
        <row r="6">
          <cell r="E6">
            <v>3828.9110199539441</v>
          </cell>
        </row>
      </sheetData>
      <sheetData sheetId="19">
        <row r="8">
          <cell r="K8">
            <v>1190.9746086292478</v>
          </cell>
        </row>
        <row r="9">
          <cell r="K9">
            <v>127.37686139747996</v>
          </cell>
        </row>
        <row r="10">
          <cell r="K10">
            <v>1284.1140214699551</v>
          </cell>
        </row>
        <row r="11">
          <cell r="K11">
            <v>180.55442268619126</v>
          </cell>
        </row>
        <row r="12">
          <cell r="K12">
            <v>252.4211768153225</v>
          </cell>
        </row>
        <row r="13">
          <cell r="K13">
            <v>17.489014460367343</v>
          </cell>
        </row>
        <row r="14">
          <cell r="K14">
            <v>227.48357130516845</v>
          </cell>
        </row>
        <row r="15">
          <cell r="K15">
            <v>13.822821647052315</v>
          </cell>
        </row>
        <row r="16">
          <cell r="K16">
            <v>99.324426406073073</v>
          </cell>
        </row>
        <row r="17">
          <cell r="K17">
            <v>2.5429305201743793</v>
          </cell>
        </row>
        <row r="18">
          <cell r="K18">
            <v>60.703951479791307</v>
          </cell>
        </row>
        <row r="19">
          <cell r="K19">
            <v>0.99961596748159343</v>
          </cell>
        </row>
        <row r="21">
          <cell r="K21">
            <v>16.030618589378616</v>
          </cell>
        </row>
        <row r="30">
          <cell r="H30">
            <v>900</v>
          </cell>
        </row>
        <row r="31">
          <cell r="H31">
            <v>3972</v>
          </cell>
        </row>
        <row r="34">
          <cell r="H34">
            <v>-81026</v>
          </cell>
        </row>
        <row r="35">
          <cell r="H35">
            <v>5560</v>
          </cell>
        </row>
        <row r="36">
          <cell r="H36">
            <v>2293</v>
          </cell>
          <cell r="K36">
            <v>26.465835641735922</v>
          </cell>
        </row>
        <row r="37">
          <cell r="H37">
            <v>254451</v>
          </cell>
          <cell r="K37">
            <v>3409.0434083601285</v>
          </cell>
        </row>
        <row r="39">
          <cell r="H39">
            <v>1910</v>
          </cell>
          <cell r="K39">
            <v>21.222222222222221</v>
          </cell>
        </row>
        <row r="42">
          <cell r="H42">
            <v>874454</v>
          </cell>
        </row>
        <row r="65">
          <cell r="H65">
            <v>1344</v>
          </cell>
        </row>
        <row r="67">
          <cell r="H67">
            <v>14810</v>
          </cell>
          <cell r="K67">
            <v>321.39756944444446</v>
          </cell>
        </row>
        <row r="69">
          <cell r="H69">
            <v>1112</v>
          </cell>
        </row>
        <row r="72">
          <cell r="H72">
            <v>6.92</v>
          </cell>
        </row>
        <row r="94">
          <cell r="H94">
            <v>34265</v>
          </cell>
        </row>
        <row r="96">
          <cell r="H96">
            <v>-47</v>
          </cell>
        </row>
        <row r="104">
          <cell r="H104">
            <v>9859</v>
          </cell>
        </row>
        <row r="106">
          <cell r="H106">
            <v>13459</v>
          </cell>
        </row>
        <row r="107">
          <cell r="H107">
            <v>3822</v>
          </cell>
        </row>
        <row r="109">
          <cell r="H109">
            <v>10</v>
          </cell>
        </row>
        <row r="111">
          <cell r="H111">
            <v>487636.76</v>
          </cell>
        </row>
        <row r="146">
          <cell r="H146">
            <v>195259</v>
          </cell>
        </row>
        <row r="148">
          <cell r="H148">
            <v>327690</v>
          </cell>
        </row>
        <row r="151">
          <cell r="H151">
            <v>1608754.76</v>
          </cell>
        </row>
      </sheetData>
      <sheetData sheetId="20"/>
      <sheetData sheetId="21">
        <row r="11">
          <cell r="O11">
            <v>195618.38</v>
          </cell>
        </row>
        <row r="15">
          <cell r="P15">
            <v>418834.62</v>
          </cell>
        </row>
      </sheetData>
      <sheetData sheetId="22">
        <row r="8">
          <cell r="H8">
            <v>642592.03</v>
          </cell>
          <cell r="K8">
            <v>2739.0964620630862</v>
          </cell>
        </row>
        <row r="10">
          <cell r="H10">
            <v>661320.29</v>
          </cell>
          <cell r="K10">
            <v>4197.2600279258695</v>
          </cell>
        </row>
        <row r="12">
          <cell r="H12">
            <v>107995.7</v>
          </cell>
          <cell r="K12">
            <v>1058.7813725490196</v>
          </cell>
        </row>
        <row r="13">
          <cell r="H13">
            <v>1562.3</v>
          </cell>
          <cell r="K13">
            <v>15.316666666666665</v>
          </cell>
        </row>
        <row r="14">
          <cell r="H14">
            <v>136079.35999999999</v>
          </cell>
          <cell r="K14">
            <v>444.70379084967317</v>
          </cell>
        </row>
        <row r="16">
          <cell r="H16">
            <v>47821.84</v>
          </cell>
          <cell r="K16">
            <v>197.28481848184819</v>
          </cell>
        </row>
        <row r="18">
          <cell r="H18">
            <v>15288</v>
          </cell>
          <cell r="K18">
            <v>121.33333333333333</v>
          </cell>
        </row>
        <row r="19">
          <cell r="H19">
            <v>220.5</v>
          </cell>
          <cell r="K19">
            <v>1.75</v>
          </cell>
        </row>
        <row r="20">
          <cell r="H20">
            <v>7909.47</v>
          </cell>
        </row>
        <row r="21">
          <cell r="H21">
            <v>3333.95</v>
          </cell>
        </row>
        <row r="24">
          <cell r="H24">
            <v>105</v>
          </cell>
        </row>
        <row r="25">
          <cell r="H25">
            <v>4.87</v>
          </cell>
        </row>
        <row r="26">
          <cell r="H26">
            <v>12.4</v>
          </cell>
        </row>
        <row r="27">
          <cell r="H27">
            <v>12</v>
          </cell>
        </row>
        <row r="28">
          <cell r="H28">
            <v>147.99</v>
          </cell>
        </row>
        <row r="30">
          <cell r="H30">
            <v>106.8</v>
          </cell>
        </row>
        <row r="31">
          <cell r="H31">
            <v>17.25</v>
          </cell>
        </row>
        <row r="32">
          <cell r="H32">
            <v>2895.63</v>
          </cell>
        </row>
        <row r="33">
          <cell r="H33">
            <v>810</v>
          </cell>
        </row>
        <row r="34">
          <cell r="H34">
            <v>140</v>
          </cell>
        </row>
        <row r="35">
          <cell r="H35">
            <v>1340</v>
          </cell>
        </row>
        <row r="36">
          <cell r="H36">
            <v>9465</v>
          </cell>
        </row>
        <row r="37">
          <cell r="H37">
            <v>-5512.43</v>
          </cell>
        </row>
        <row r="39">
          <cell r="H39">
            <v>-5512.43</v>
          </cell>
        </row>
        <row r="40">
          <cell r="H40">
            <v>7913.89</v>
          </cell>
        </row>
        <row r="41">
          <cell r="H41">
            <v>5238.76</v>
          </cell>
          <cell r="K41">
            <v>67.57946336429309</v>
          </cell>
        </row>
        <row r="42">
          <cell r="H42">
            <v>568902.26</v>
          </cell>
          <cell r="K42">
            <v>8682.8794261294261</v>
          </cell>
        </row>
        <row r="43">
          <cell r="H43">
            <v>12462.64</v>
          </cell>
          <cell r="K43">
            <v>138.47377777777777</v>
          </cell>
        </row>
        <row r="45">
          <cell r="H45">
            <v>2222673.0700000003</v>
          </cell>
        </row>
      </sheetData>
      <sheetData sheetId="23">
        <row r="15">
          <cell r="N15">
            <v>622242.09</v>
          </cell>
        </row>
      </sheetData>
      <sheetData sheetId="24">
        <row r="8">
          <cell r="K8">
            <v>363.20520034100599</v>
          </cell>
        </row>
        <row r="10">
          <cell r="K10">
            <v>802.18208936278234</v>
          </cell>
        </row>
        <row r="12">
          <cell r="K12">
            <v>154.49607843137255</v>
          </cell>
        </row>
        <row r="14">
          <cell r="K14">
            <v>62.537549019607845</v>
          </cell>
        </row>
        <row r="16">
          <cell r="K16">
            <v>28.604372937293729</v>
          </cell>
        </row>
        <row r="18">
          <cell r="K18">
            <v>14.583333333333334</v>
          </cell>
        </row>
        <row r="31">
          <cell r="H31">
            <v>380</v>
          </cell>
        </row>
        <row r="32">
          <cell r="H32">
            <v>2490</v>
          </cell>
        </row>
        <row r="36">
          <cell r="H36">
            <v>5938.09</v>
          </cell>
        </row>
        <row r="37">
          <cell r="H37">
            <v>155.04</v>
          </cell>
          <cell r="K37">
            <v>2</v>
          </cell>
        </row>
        <row r="41">
          <cell r="H41">
            <v>266422.24999999994</v>
          </cell>
        </row>
        <row r="68">
          <cell r="H68">
            <v>97.5</v>
          </cell>
        </row>
        <row r="69">
          <cell r="H69">
            <v>1260</v>
          </cell>
        </row>
        <row r="114">
          <cell r="H114">
            <v>118.87</v>
          </cell>
        </row>
        <row r="116">
          <cell r="H116">
            <v>1168402.2200000007</v>
          </cell>
        </row>
        <row r="117">
          <cell r="H117">
            <v>58942.090000000004</v>
          </cell>
        </row>
        <row r="153">
          <cell r="H153">
            <v>265315.84000000003</v>
          </cell>
        </row>
        <row r="155">
          <cell r="H155">
            <v>459197.51</v>
          </cell>
        </row>
        <row r="156">
          <cell r="H156">
            <v>1894021.9800000007</v>
          </cell>
        </row>
      </sheetData>
      <sheetData sheetId="25">
        <row r="11">
          <cell r="N11">
            <v>265970.27999999997</v>
          </cell>
        </row>
        <row r="15">
          <cell r="N15">
            <v>543563.46</v>
          </cell>
        </row>
      </sheetData>
      <sheetData sheetId="26">
        <row r="31">
          <cell r="J31">
            <v>6</v>
          </cell>
        </row>
        <row r="32">
          <cell r="J32">
            <v>17</v>
          </cell>
        </row>
        <row r="36">
          <cell r="J36">
            <v>1170.1099999999999</v>
          </cell>
        </row>
        <row r="41">
          <cell r="H41">
            <v>5916.16</v>
          </cell>
        </row>
        <row r="116">
          <cell r="H116">
            <v>273787.06000000006</v>
          </cell>
        </row>
        <row r="117">
          <cell r="H117">
            <v>38143.32</v>
          </cell>
        </row>
        <row r="153">
          <cell r="H153">
            <v>207874</v>
          </cell>
        </row>
        <row r="155">
          <cell r="H155">
            <v>331718</v>
          </cell>
        </row>
      </sheetData>
      <sheetData sheetId="27">
        <row r="10">
          <cell r="N10">
            <v>207624</v>
          </cell>
        </row>
        <row r="14">
          <cell r="N14">
            <v>102365.56999999999</v>
          </cell>
        </row>
      </sheetData>
      <sheetData sheetId="28">
        <row r="44">
          <cell r="Q44" t="str">
            <v>Packer Rts</v>
          </cell>
          <cell r="R44">
            <v>23974.720000000001</v>
          </cell>
          <cell r="S44">
            <v>446068.17000000004</v>
          </cell>
          <cell r="T44">
            <v>1123</v>
          </cell>
          <cell r="U44">
            <v>9063.8342000000011</v>
          </cell>
        </row>
        <row r="45">
          <cell r="Q45" t="str">
            <v>Roll-off</v>
          </cell>
          <cell r="R45">
            <v>6691.25</v>
          </cell>
          <cell r="S45">
            <v>139334.93</v>
          </cell>
          <cell r="T45">
            <v>455</v>
          </cell>
          <cell r="U45">
            <v>2897.4802250000002</v>
          </cell>
        </row>
        <row r="46">
          <cell r="Q46" t="str">
            <v>Recycling</v>
          </cell>
          <cell r="R46">
            <v>5281.01</v>
          </cell>
          <cell r="S46">
            <v>84580.140000000014</v>
          </cell>
          <cell r="T46">
            <v>104</v>
          </cell>
          <cell r="U46">
            <v>2415.3678</v>
          </cell>
        </row>
        <row r="47">
          <cell r="Q47" t="str">
            <v>Yard Waste</v>
          </cell>
        </row>
        <row r="49">
          <cell r="Q49" t="str">
            <v>Supervisor</v>
          </cell>
          <cell r="R49">
            <v>2248</v>
          </cell>
          <cell r="S49">
            <v>72500.61</v>
          </cell>
          <cell r="U49">
            <v>0</v>
          </cell>
        </row>
        <row r="51">
          <cell r="R51">
            <v>13047.31</v>
          </cell>
          <cell r="S51">
            <v>260977.40000000002</v>
          </cell>
          <cell r="U51">
            <v>15045.512934999999</v>
          </cell>
        </row>
        <row r="52">
          <cell r="R52">
            <v>2074.02</v>
          </cell>
          <cell r="S52">
            <v>31138.870000000003</v>
          </cell>
          <cell r="U52">
            <v>742.69225000000006</v>
          </cell>
        </row>
        <row r="54">
          <cell r="R54">
            <v>2227.75</v>
          </cell>
          <cell r="S54">
            <v>40109.18</v>
          </cell>
          <cell r="U54">
            <v>3208.7344000000003</v>
          </cell>
        </row>
        <row r="55">
          <cell r="R55">
            <v>5793.1200000000008</v>
          </cell>
          <cell r="S55">
            <v>68205.679999999993</v>
          </cell>
          <cell r="U55">
            <v>1677.5670000000002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8-2189"/>
      <sheetName val="Proforma-2188,2189"/>
      <sheetName val="Pro-forma Lewis,Joe's (R)"/>
      <sheetName val="restating"/>
      <sheetName val="Joe's Priceout"/>
      <sheetName val="restating expl"/>
      <sheetName val="Restating Adj NR"/>
      <sheetName val="PF Adjusts"/>
      <sheetName val="office_Super"/>
      <sheetName val="Rate Schedule"/>
      <sheetName val="lg total"/>
      <sheetName val="LG-RSA-1"/>
      <sheetName val="Prof-Joe's T-Pckr"/>
      <sheetName val="lg garb"/>
      <sheetName val="LG-Joe's after DF Pckr"/>
      <sheetName val="Prof-Joe's T RO"/>
      <sheetName val="LG-Joe's T RO"/>
      <sheetName val="lg ro"/>
      <sheetName val="Prof-Joe's T Recycl"/>
      <sheetName val="LG-Joe's T Recycl"/>
      <sheetName val="Prof-Joe's T MF"/>
      <sheetName val="LG-Joe's T MF"/>
      <sheetName val="Prof-Joe's T YW"/>
      <sheetName val="LG-Joe's T YW"/>
      <sheetName val="joes disposal"/>
      <sheetName val="2188 PR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C8">
            <v>17.46</v>
          </cell>
          <cell r="O8">
            <v>2.0070269999999999</v>
          </cell>
        </row>
        <row r="10">
          <cell r="C10">
            <v>12.096537436412358</v>
          </cell>
          <cell r="O10">
            <v>1.3904969783156005</v>
          </cell>
        </row>
        <row r="12">
          <cell r="C12">
            <v>4.6314788168057044</v>
          </cell>
          <cell r="O12">
            <v>0.53238848999181565</v>
          </cell>
        </row>
        <row r="14">
          <cell r="C14">
            <v>24.663319499558643</v>
          </cell>
          <cell r="O14">
            <v>2.8350485764742661</v>
          </cell>
        </row>
        <row r="16">
          <cell r="C16">
            <v>17.761659749779323</v>
          </cell>
          <cell r="O16">
            <v>2.0417027882371332</v>
          </cell>
        </row>
        <row r="18">
          <cell r="C18">
            <v>7.3361506537443013</v>
          </cell>
          <cell r="O18">
            <v>0.84329051764790741</v>
          </cell>
        </row>
        <row r="20">
          <cell r="O20">
            <v>0.47692089701535595</v>
          </cell>
        </row>
        <row r="24">
          <cell r="O24">
            <v>0.50450889701535595</v>
          </cell>
        </row>
        <row r="25">
          <cell r="O25">
            <v>0.54014339701535596</v>
          </cell>
        </row>
        <row r="26">
          <cell r="O26">
            <v>0.2126575</v>
          </cell>
        </row>
        <row r="27">
          <cell r="O27">
            <v>0.74843749999999998</v>
          </cell>
        </row>
        <row r="29">
          <cell r="O29">
            <v>2.2989999999999999</v>
          </cell>
        </row>
        <row r="30">
          <cell r="O30">
            <v>2.2989999999999999</v>
          </cell>
        </row>
        <row r="31">
          <cell r="O31">
            <v>1.3994</v>
          </cell>
        </row>
        <row r="40">
          <cell r="Q40">
            <v>1.92</v>
          </cell>
        </row>
        <row r="42">
          <cell r="Q42">
            <v>2.15</v>
          </cell>
        </row>
        <row r="50">
          <cell r="O50">
            <v>3.002494</v>
          </cell>
        </row>
        <row r="51">
          <cell r="O51">
            <v>1.8897780000000002</v>
          </cell>
        </row>
        <row r="52">
          <cell r="O52">
            <v>4.3646514999999999</v>
          </cell>
        </row>
        <row r="53">
          <cell r="O53">
            <v>2.5829264999999997</v>
          </cell>
        </row>
        <row r="54">
          <cell r="O54">
            <v>5.4037994999999999</v>
          </cell>
        </row>
        <row r="55">
          <cell r="O55">
            <v>3.2197495000000003</v>
          </cell>
        </row>
        <row r="56">
          <cell r="O56">
            <v>6.4280039999999996</v>
          </cell>
        </row>
        <row r="57">
          <cell r="O57">
            <v>4.5853555000000004</v>
          </cell>
        </row>
        <row r="58">
          <cell r="O58">
            <v>8.516645500000001</v>
          </cell>
        </row>
        <row r="59">
          <cell r="O59">
            <v>5.6325500000000002</v>
          </cell>
        </row>
        <row r="60">
          <cell r="O60">
            <v>10.683453</v>
          </cell>
        </row>
        <row r="61">
          <cell r="O61">
            <v>6.3509874999999996</v>
          </cell>
        </row>
        <row r="62">
          <cell r="O62">
            <v>12.8525595</v>
          </cell>
        </row>
        <row r="63">
          <cell r="O63">
            <v>7.0682755000000004</v>
          </cell>
        </row>
        <row r="72">
          <cell r="O72">
            <v>0.498305</v>
          </cell>
        </row>
        <row r="73">
          <cell r="Q73">
            <v>1.12896</v>
          </cell>
        </row>
        <row r="77">
          <cell r="O77">
            <v>2.7305209999999995</v>
          </cell>
        </row>
        <row r="80">
          <cell r="O80">
            <v>2.4315808669908034</v>
          </cell>
        </row>
        <row r="81">
          <cell r="O81">
            <v>3.1454225957011475</v>
          </cell>
        </row>
        <row r="82">
          <cell r="O82">
            <v>3.7831980480286869</v>
          </cell>
        </row>
        <row r="83">
          <cell r="O83">
            <v>5.673930729066571</v>
          </cell>
        </row>
        <row r="84">
          <cell r="O84">
            <v>7.6099994226592136</v>
          </cell>
        </row>
        <row r="85">
          <cell r="O85">
            <v>9.7351154999999991</v>
          </cell>
        </row>
        <row r="86">
          <cell r="O86">
            <v>11.348578661555855</v>
          </cell>
        </row>
        <row r="88">
          <cell r="O88">
            <v>2.4315808669908034</v>
          </cell>
        </row>
        <row r="89">
          <cell r="O89">
            <v>3.1454225957011475</v>
          </cell>
        </row>
        <row r="90">
          <cell r="O90">
            <v>3.7831980480286869</v>
          </cell>
        </row>
        <row r="91">
          <cell r="O91">
            <v>5.673930729066571</v>
          </cell>
        </row>
        <row r="92">
          <cell r="O92">
            <v>7.6099994226592136</v>
          </cell>
        </row>
        <row r="93">
          <cell r="O93">
            <v>9.7351154999999991</v>
          </cell>
        </row>
        <row r="94">
          <cell r="O94">
            <v>11.348578661555855</v>
          </cell>
        </row>
        <row r="95">
          <cell r="O95">
            <v>2.7987999999999995</v>
          </cell>
        </row>
        <row r="99">
          <cell r="O99">
            <v>0.23207739701535604</v>
          </cell>
        </row>
        <row r="103">
          <cell r="O103">
            <v>5.1727500000000003E-2</v>
          </cell>
        </row>
        <row r="104">
          <cell r="O104">
            <v>5.1727500000000003E-2</v>
          </cell>
        </row>
        <row r="105">
          <cell r="O105">
            <v>5.7474999999999998E-2</v>
          </cell>
        </row>
        <row r="106">
          <cell r="O106">
            <v>5.7474999999999998E-2</v>
          </cell>
        </row>
        <row r="107">
          <cell r="O107">
            <v>6.3222500000000001E-2</v>
          </cell>
        </row>
        <row r="108">
          <cell r="O108">
            <v>6.3222500000000001E-2</v>
          </cell>
        </row>
        <row r="109">
          <cell r="O109">
            <v>6.896999999999999E-2</v>
          </cell>
        </row>
        <row r="110">
          <cell r="O110">
            <v>2.3798184566312015</v>
          </cell>
        </row>
        <row r="112">
          <cell r="O112">
            <v>3.3599885</v>
          </cell>
        </row>
        <row r="127">
          <cell r="O127">
            <v>104.3</v>
          </cell>
        </row>
        <row r="128">
          <cell r="O128">
            <v>59.5</v>
          </cell>
        </row>
        <row r="129">
          <cell r="O129">
            <v>63.495000000000005</v>
          </cell>
        </row>
        <row r="130">
          <cell r="O130">
            <v>130.495</v>
          </cell>
        </row>
        <row r="131">
          <cell r="O131">
            <v>67</v>
          </cell>
        </row>
        <row r="132">
          <cell r="O132">
            <v>78.49499999999999</v>
          </cell>
        </row>
        <row r="133">
          <cell r="O133">
            <v>70.995000000000005</v>
          </cell>
        </row>
        <row r="134">
          <cell r="O134">
            <v>156.5</v>
          </cell>
        </row>
        <row r="135">
          <cell r="O135">
            <v>78.49499999999999</v>
          </cell>
        </row>
        <row r="136">
          <cell r="O136">
            <v>82</v>
          </cell>
        </row>
        <row r="137">
          <cell r="O137">
            <v>82</v>
          </cell>
        </row>
        <row r="138">
          <cell r="O138">
            <v>1.401</v>
          </cell>
        </row>
        <row r="141">
          <cell r="O141">
            <v>48.494999999999997</v>
          </cell>
        </row>
        <row r="142">
          <cell r="O142">
            <v>48.494999999999997</v>
          </cell>
        </row>
        <row r="144">
          <cell r="O144">
            <v>3.3525</v>
          </cell>
        </row>
        <row r="145">
          <cell r="O145">
            <v>4.0975000000000001</v>
          </cell>
        </row>
        <row r="146">
          <cell r="O146">
            <v>4.7507499999999991</v>
          </cell>
        </row>
        <row r="151">
          <cell r="O151">
            <v>45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"/>
  <sheetViews>
    <sheetView view="pageBreakPreview" zoomScale="130" zoomScaleNormal="100" zoomScaleSheetLayoutView="130" workbookViewId="0">
      <selection activeCell="D79" sqref="D79"/>
    </sheetView>
  </sheetViews>
  <sheetFormatPr defaultRowHeight="12.75" x14ac:dyDescent="0.2"/>
  <sheetData>
    <row r="1" spans="1:9" x14ac:dyDescent="0.2">
      <c r="A1" s="212" t="s">
        <v>548</v>
      </c>
    </row>
    <row r="4" spans="1:9" ht="69.75" customHeight="1" x14ac:dyDescent="0.2">
      <c r="A4" s="213" t="s">
        <v>549</v>
      </c>
      <c r="B4" s="214"/>
      <c r="C4" s="214"/>
      <c r="D4" s="214"/>
      <c r="E4" s="214"/>
      <c r="F4" s="214"/>
      <c r="G4" s="214"/>
      <c r="H4" s="214"/>
      <c r="I4" s="214"/>
    </row>
  </sheetData>
  <mergeCells count="1">
    <mergeCell ref="A4:I4"/>
  </mergeCells>
  <pageMargins left="0.7" right="0.7" top="0.75" bottom="0.75" header="0.3" footer="0.3"/>
  <pageSetup scale="76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76"/>
  <sheetViews>
    <sheetView view="pageBreakPreview" topLeftCell="A61" zoomScaleNormal="100" zoomScaleSheetLayoutView="100" workbookViewId="0">
      <selection activeCell="D79" sqref="D79"/>
    </sheetView>
  </sheetViews>
  <sheetFormatPr defaultRowHeight="12.75" x14ac:dyDescent="0.2"/>
  <cols>
    <col min="1" max="1" width="16.5703125" style="44" customWidth="1"/>
    <col min="2" max="9" width="10.5703125" style="223" customWidth="1"/>
    <col min="10" max="10" width="10.5703125" style="44" customWidth="1"/>
    <col min="11" max="11" width="13.140625" style="44" customWidth="1"/>
    <col min="12" max="12" width="13.42578125" style="44" customWidth="1"/>
    <col min="13" max="16384" width="9.140625" style="44"/>
  </cols>
  <sheetData>
    <row r="1" spans="1:12" x14ac:dyDescent="0.2">
      <c r="A1" s="40" t="s">
        <v>122</v>
      </c>
      <c r="B1" s="41"/>
      <c r="C1" s="42">
        <v>2188</v>
      </c>
      <c r="D1" s="43"/>
      <c r="E1" s="43"/>
      <c r="F1" s="43"/>
      <c r="G1" s="43"/>
      <c r="H1" s="43"/>
      <c r="I1" s="43"/>
      <c r="J1" s="43"/>
    </row>
    <row r="2" spans="1:12" x14ac:dyDescent="0.2">
      <c r="A2" s="45"/>
      <c r="B2" s="43"/>
      <c r="C2" s="43"/>
      <c r="D2" s="43"/>
      <c r="E2" s="43"/>
      <c r="F2" s="43"/>
      <c r="G2" s="43"/>
      <c r="H2" s="43"/>
      <c r="I2" s="43"/>
      <c r="J2" s="43"/>
    </row>
    <row r="3" spans="1:12" x14ac:dyDescent="0.2">
      <c r="A3" s="40" t="s">
        <v>123</v>
      </c>
      <c r="B3" s="45"/>
      <c r="C3" s="43"/>
      <c r="D3" s="43"/>
      <c r="E3" s="43"/>
      <c r="F3" s="43"/>
      <c r="G3" s="43"/>
      <c r="H3" s="43"/>
      <c r="I3" s="43"/>
      <c r="J3" s="43"/>
    </row>
    <row r="4" spans="1:12" x14ac:dyDescent="0.2">
      <c r="A4" s="45"/>
      <c r="B4" s="46" t="s">
        <v>124</v>
      </c>
      <c r="C4" s="43"/>
      <c r="D4" s="47" t="s">
        <v>125</v>
      </c>
      <c r="E4" s="48" t="s">
        <v>126</v>
      </c>
      <c r="F4" s="48" t="s">
        <v>126</v>
      </c>
      <c r="G4" s="48" t="s">
        <v>126</v>
      </c>
      <c r="H4" s="48" t="s">
        <v>126</v>
      </c>
      <c r="I4" s="47" t="s">
        <v>4</v>
      </c>
      <c r="J4" s="43"/>
      <c r="K4" s="46"/>
    </row>
    <row r="5" spans="1:12" x14ac:dyDescent="0.2">
      <c r="A5" s="45" t="s">
        <v>13</v>
      </c>
      <c r="B5" s="48" t="s">
        <v>127</v>
      </c>
      <c r="C5" s="48" t="s">
        <v>7</v>
      </c>
      <c r="D5" s="47" t="s">
        <v>128</v>
      </c>
      <c r="E5" s="48" t="s">
        <v>26</v>
      </c>
      <c r="F5" s="48" t="s">
        <v>129</v>
      </c>
      <c r="G5" s="48" t="s">
        <v>130</v>
      </c>
      <c r="H5" s="48" t="s">
        <v>131</v>
      </c>
      <c r="I5" s="47" t="s">
        <v>132</v>
      </c>
      <c r="J5" s="48" t="s">
        <v>133</v>
      </c>
      <c r="K5" s="49"/>
    </row>
    <row r="6" spans="1:12" x14ac:dyDescent="0.2">
      <c r="A6" s="45" t="s">
        <v>22</v>
      </c>
      <c r="B6" s="43"/>
      <c r="C6" s="43"/>
      <c r="D6" s="50"/>
      <c r="E6" s="43"/>
      <c r="F6" s="43"/>
      <c r="G6" s="43"/>
      <c r="H6" s="43"/>
      <c r="I6" s="47" t="s">
        <v>126</v>
      </c>
      <c r="J6" s="43"/>
      <c r="K6" s="51"/>
    </row>
    <row r="7" spans="1:12" x14ac:dyDescent="0.2">
      <c r="A7" s="45" t="s">
        <v>23</v>
      </c>
      <c r="B7" s="43">
        <f>'Pro-forma Lewis,Joe''s'!C10</f>
        <v>2219194.5400000005</v>
      </c>
      <c r="C7" s="43">
        <f>D26</f>
        <v>271219</v>
      </c>
      <c r="D7" s="50">
        <f>SUM(B7:C7)</f>
        <v>2490413.5400000005</v>
      </c>
      <c r="E7" s="43">
        <f>'[2]Joe''s Priceout'!H42-E8-E9-E16</f>
        <v>605368</v>
      </c>
      <c r="F7" s="43">
        <f>SUM('[2]RSA-1 Priceout'!H8:H34)+'[2]RSA-1 Priceout'!H37</f>
        <v>1622862.9500000002</v>
      </c>
      <c r="G7" s="43">
        <f>'[2]Except RSA-1 Priceout'!H41-G8-G16</f>
        <v>257459.11999999997</v>
      </c>
      <c r="H7" s="43">
        <f>'[2]Joe''s Lewis Cnty'!H41-H16</f>
        <v>4723.05</v>
      </c>
      <c r="I7" s="50">
        <f>SUM(E7:H7)</f>
        <v>2490413.12</v>
      </c>
      <c r="J7" s="43">
        <f t="shared" ref="J7:J16" si="0">I7-D7</f>
        <v>-0.42000000039115548</v>
      </c>
      <c r="K7" s="43"/>
      <c r="L7" s="52"/>
    </row>
    <row r="8" spans="1:12" x14ac:dyDescent="0.2">
      <c r="A8" s="45" t="s">
        <v>19</v>
      </c>
      <c r="B8" s="43">
        <f>'Pro-forma Lewis,Joe''s'!C11</f>
        <v>832459.83</v>
      </c>
      <c r="C8" s="43"/>
      <c r="D8" s="50">
        <f t="shared" ref="D8:D20" si="1">SUM(B8:C8)</f>
        <v>832459.83</v>
      </c>
      <c r="E8" s="43">
        <f>'[2]Joe''s Priceout'!H36+'[2]Joe''s Priceout'!H37</f>
        <v>256744</v>
      </c>
      <c r="F8" s="43">
        <f>'[2]RSA-1 Priceout'!H41+'[2]RSA-1 Priceout'!H42</f>
        <v>574141.02</v>
      </c>
      <c r="G8" s="43">
        <f>'[2]Except RSA-1 Priceout'!H37</f>
        <v>155.04</v>
      </c>
      <c r="H8" s="43"/>
      <c r="I8" s="50">
        <f t="shared" ref="I8:I20" si="2">SUM(E8:H8)</f>
        <v>831040.06</v>
      </c>
      <c r="J8" s="43">
        <f t="shared" si="0"/>
        <v>-1419.7699999999022</v>
      </c>
      <c r="K8" s="43"/>
      <c r="L8" s="52"/>
    </row>
    <row r="9" spans="1:12" x14ac:dyDescent="0.2">
      <c r="A9" s="45" t="s">
        <v>21</v>
      </c>
      <c r="B9" s="43">
        <f>'Pro-forma Lewis,Joe''s'!C12</f>
        <v>290221.53999999998</v>
      </c>
      <c r="C9" s="43">
        <f>D27</f>
        <v>-271219</v>
      </c>
      <c r="D9" s="50">
        <f t="shared" si="1"/>
        <v>19002.539999999979</v>
      </c>
      <c r="E9" s="43">
        <f>'[2]Joe''s Priceout'!H39</f>
        <v>1910</v>
      </c>
      <c r="F9" s="43">
        <f>'[2]RSA-1 Priceout'!H43</f>
        <v>12462.64</v>
      </c>
      <c r="G9" s="43"/>
      <c r="H9" s="43"/>
      <c r="I9" s="50">
        <f t="shared" si="2"/>
        <v>14372.64</v>
      </c>
      <c r="J9" s="43">
        <f t="shared" si="0"/>
        <v>-4629.8999999999796</v>
      </c>
      <c r="K9" s="43"/>
      <c r="L9" s="52"/>
    </row>
    <row r="10" spans="1:12" x14ac:dyDescent="0.2">
      <c r="A10" s="45" t="s">
        <v>30</v>
      </c>
      <c r="B10" s="43"/>
      <c r="C10" s="43">
        <f>D28</f>
        <v>160916</v>
      </c>
      <c r="D10" s="50">
        <f t="shared" si="1"/>
        <v>160916</v>
      </c>
      <c r="E10" s="43">
        <f>'[2]Joe''s Priceout'!H94+'[2]Joe''s Priceout'!H96+'[2]Joe''s Priceout'!H104+'[2]Joe''s Priceout'!H106+'[2]Joe''s Priceout'!H107+'[2]Joe''s Priceout'!H109+'[2]Joe''s Priceout'!H65+'[2]Joe''s Priceout'!H72+'[2]Joe''s Priceout'!H69</f>
        <v>63830.92</v>
      </c>
      <c r="F10" s="43"/>
      <c r="G10" s="43">
        <f>'[2]Except RSA-1 Priceout'!H117</f>
        <v>58942.090000000004</v>
      </c>
      <c r="H10" s="43">
        <f>'[2]Joe''s Lewis Cnty'!H117</f>
        <v>38143.32</v>
      </c>
      <c r="I10" s="50">
        <f t="shared" si="2"/>
        <v>160916.33000000002</v>
      </c>
      <c r="J10" s="43">
        <f t="shared" si="0"/>
        <v>0.33000000001629815</v>
      </c>
      <c r="K10" s="43"/>
      <c r="L10" s="52"/>
    </row>
    <row r="11" spans="1:12" x14ac:dyDescent="0.2">
      <c r="A11" s="45" t="s">
        <v>32</v>
      </c>
      <c r="B11" s="43">
        <f>'Pro-forma Lewis,Joe''s'!C14</f>
        <v>1915683.89</v>
      </c>
      <c r="C11" s="43">
        <f>D29</f>
        <v>-161952</v>
      </c>
      <c r="D11" s="50">
        <f t="shared" si="1"/>
        <v>1753731.89</v>
      </c>
      <c r="E11" s="43">
        <f>'[2]Joe''s Priceout'!H111-E10-E14</f>
        <v>408995.84000000003</v>
      </c>
      <c r="F11" s="43"/>
      <c r="G11" s="43">
        <f>'[2]Except RSA-1 Priceout'!H116-G10-G14</f>
        <v>1107983.7600000005</v>
      </c>
      <c r="H11" s="43">
        <f>'[2]Joe''s Lewis Cnty'!H116-H10</f>
        <v>235643.74000000005</v>
      </c>
      <c r="I11" s="50">
        <f t="shared" si="2"/>
        <v>1752623.3400000005</v>
      </c>
      <c r="J11" s="43">
        <f t="shared" si="0"/>
        <v>-1108.5499999993481</v>
      </c>
      <c r="K11" s="43"/>
      <c r="L11" s="52"/>
    </row>
    <row r="12" spans="1:12" x14ac:dyDescent="0.2">
      <c r="A12" s="45" t="s">
        <v>34</v>
      </c>
      <c r="B12" s="43">
        <f>'Pro-forma Lewis,Joe''s'!C15</f>
        <v>450394.54999999993</v>
      </c>
      <c r="C12" s="43"/>
      <c r="D12" s="50">
        <f t="shared" si="1"/>
        <v>450394.54999999993</v>
      </c>
      <c r="E12" s="43">
        <f>'[2]Joe''s Priceout'!H148-'[2]Joe''s Priceout'!H146</f>
        <v>132431</v>
      </c>
      <c r="F12" s="43"/>
      <c r="G12" s="43">
        <f>'[2]Except RSA-1 Priceout'!H155-'[2]Except RSA-1 Priceout'!H153</f>
        <v>193881.66999999998</v>
      </c>
      <c r="H12" s="43">
        <f>'[2]Joe''s Lewis Cnty'!H155-H13</f>
        <v>123844</v>
      </c>
      <c r="I12" s="50">
        <f t="shared" si="2"/>
        <v>450156.67</v>
      </c>
      <c r="J12" s="43">
        <f t="shared" si="0"/>
        <v>-237.87999999994645</v>
      </c>
      <c r="K12" s="43"/>
      <c r="L12" s="52"/>
    </row>
    <row r="13" spans="1:12" x14ac:dyDescent="0.2">
      <c r="A13" s="45" t="s">
        <v>36</v>
      </c>
      <c r="B13" s="43">
        <f>'Pro-forma Lewis,Joe''s'!C16</f>
        <v>668449.22</v>
      </c>
      <c r="C13" s="43"/>
      <c r="D13" s="50">
        <f t="shared" si="1"/>
        <v>668449.22</v>
      </c>
      <c r="E13" s="43">
        <f>'[2]Joe''s Priceout'!H146</f>
        <v>195259</v>
      </c>
      <c r="F13" s="43"/>
      <c r="G13" s="43">
        <f>'[2]Except RSA-1 Priceout'!H153</f>
        <v>265315.84000000003</v>
      </c>
      <c r="H13" s="43">
        <f>'[2]Joe''s Lewis Cnty'!H153</f>
        <v>207874</v>
      </c>
      <c r="I13" s="50">
        <f t="shared" si="2"/>
        <v>668448.84000000008</v>
      </c>
      <c r="J13" s="43">
        <f t="shared" si="0"/>
        <v>-0.37999999988824129</v>
      </c>
      <c r="K13" s="43"/>
      <c r="L13" s="52"/>
    </row>
    <row r="14" spans="1:12" x14ac:dyDescent="0.2">
      <c r="A14" s="45" t="s">
        <v>134</v>
      </c>
      <c r="B14" s="43">
        <f>'Pro-forma Lewis,Joe''s'!C17</f>
        <v>15250.659999999998</v>
      </c>
      <c r="C14" s="53">
        <f>D31</f>
        <v>1036</v>
      </c>
      <c r="D14" s="50">
        <f t="shared" si="1"/>
        <v>16286.659999999998</v>
      </c>
      <c r="E14" s="43">
        <f>'[2]Joe''s Priceout'!H67</f>
        <v>14810</v>
      </c>
      <c r="F14" s="43"/>
      <c r="G14" s="43">
        <f>'[2]Except RSA-1 Priceout'!H114+'[2]Except RSA-1 Priceout'!H69+'[2]Except RSA-1 Priceout'!H68</f>
        <v>1476.37</v>
      </c>
      <c r="H14" s="43"/>
      <c r="I14" s="50">
        <f t="shared" si="2"/>
        <v>16286.369999999999</v>
      </c>
      <c r="J14" s="43">
        <f t="shared" si="0"/>
        <v>-0.28999999999905413</v>
      </c>
      <c r="K14" s="43"/>
      <c r="L14" s="52"/>
    </row>
    <row r="15" spans="1:12" x14ac:dyDescent="0.2">
      <c r="A15" s="45" t="s">
        <v>41</v>
      </c>
      <c r="B15" s="43"/>
      <c r="C15" s="43"/>
      <c r="D15" s="50">
        <f t="shared" si="1"/>
        <v>0</v>
      </c>
      <c r="E15" s="43"/>
      <c r="F15" s="43"/>
      <c r="G15" s="43"/>
      <c r="H15" s="43"/>
      <c r="I15" s="50">
        <v>8627</v>
      </c>
      <c r="J15" s="43">
        <f t="shared" si="0"/>
        <v>8627</v>
      </c>
      <c r="K15" s="43"/>
      <c r="L15" s="52"/>
    </row>
    <row r="16" spans="1:12" x14ac:dyDescent="0.2">
      <c r="A16" s="45" t="s">
        <v>42</v>
      </c>
      <c r="B16" s="43">
        <f>'Pro-forma Lewis,Joe''s'!C21</f>
        <v>40382.58</v>
      </c>
      <c r="C16" s="43"/>
      <c r="D16" s="50">
        <f t="shared" si="1"/>
        <v>40382.58</v>
      </c>
      <c r="E16" s="43">
        <f>'[2]Joe''s Priceout'!H35+'[2]Joe''s Priceout'!H31+'[2]Joe''s Priceout'!H30</f>
        <v>10432</v>
      </c>
      <c r="F16" s="43">
        <f>'[2]RSA-1 Priceout'!H35+'[2]RSA-1 Priceout'!H36+'[2]RSA-1 Priceout'!H40</f>
        <v>18718.89</v>
      </c>
      <c r="G16" s="43">
        <f>'[2]Except RSA-1 Priceout'!H31+'[2]Except RSA-1 Priceout'!H32+'[2]Except RSA-1 Priceout'!H36</f>
        <v>8808.09</v>
      </c>
      <c r="H16" s="43">
        <f>'[2]Joe''s Lewis Cnty'!J31+'[2]Joe''s Lewis Cnty'!J32+'[2]Joe''s Lewis Cnty'!J36</f>
        <v>1193.1099999999999</v>
      </c>
      <c r="I16" s="50">
        <f t="shared" si="2"/>
        <v>39152.089999999997</v>
      </c>
      <c r="J16" s="43">
        <f t="shared" si="0"/>
        <v>-1230.4900000000052</v>
      </c>
      <c r="K16" s="43"/>
      <c r="L16" s="52"/>
    </row>
    <row r="17" spans="1:12" x14ac:dyDescent="0.2">
      <c r="A17" s="45" t="s">
        <v>43</v>
      </c>
      <c r="B17" s="54">
        <f t="shared" ref="B17:J17" si="3">SUM(B7:B16)</f>
        <v>6432036.8100000005</v>
      </c>
      <c r="C17" s="54">
        <f t="shared" si="3"/>
        <v>0</v>
      </c>
      <c r="D17" s="55">
        <f t="shared" si="3"/>
        <v>6432036.8100000005</v>
      </c>
      <c r="E17" s="54">
        <f t="shared" si="3"/>
        <v>1689780.76</v>
      </c>
      <c r="F17" s="54">
        <f t="shared" si="3"/>
        <v>2228185.5000000005</v>
      </c>
      <c r="G17" s="54">
        <f t="shared" si="3"/>
        <v>1894021.9800000007</v>
      </c>
      <c r="H17" s="54">
        <f t="shared" si="3"/>
        <v>611421.22000000009</v>
      </c>
      <c r="I17" s="55">
        <f t="shared" si="3"/>
        <v>6432036.4600000009</v>
      </c>
      <c r="J17" s="54">
        <f t="shared" si="3"/>
        <v>-0.34999999944375304</v>
      </c>
      <c r="K17" s="56"/>
      <c r="L17" s="52"/>
    </row>
    <row r="18" spans="1:12" x14ac:dyDescent="0.2">
      <c r="A18" s="45" t="s">
        <v>38</v>
      </c>
      <c r="B18" s="43">
        <f>'Pro-forma Lewis,Joe''s'!C18</f>
        <v>21372.2</v>
      </c>
      <c r="C18" s="43">
        <v>116383</v>
      </c>
      <c r="D18" s="50">
        <f t="shared" si="1"/>
        <v>137755.20000000001</v>
      </c>
      <c r="E18" s="43">
        <f>40532+782</f>
        <v>41314</v>
      </c>
      <c r="F18" s="43">
        <v>96441</v>
      </c>
      <c r="G18" s="43"/>
      <c r="H18" s="43"/>
      <c r="I18" s="50">
        <f t="shared" si="2"/>
        <v>137755</v>
      </c>
      <c r="J18" s="54"/>
      <c r="K18" s="52"/>
    </row>
    <row r="19" spans="1:12" x14ac:dyDescent="0.2">
      <c r="A19" s="45" t="s">
        <v>40</v>
      </c>
      <c r="B19" s="43">
        <f>'Pro-forma Lewis,Joe''s'!C19</f>
        <v>-227895.16</v>
      </c>
      <c r="C19" s="43">
        <f>227895-86538</f>
        <v>141357</v>
      </c>
      <c r="D19" s="50">
        <f t="shared" si="1"/>
        <v>-86538.16</v>
      </c>
      <c r="E19" s="43">
        <f>'[2]Joe''s Priceout'!H34</f>
        <v>-81026</v>
      </c>
      <c r="F19" s="43">
        <f>'[2]RSA-1 Priceout'!H39</f>
        <v>-5512.43</v>
      </c>
      <c r="G19" s="43">
        <v>0</v>
      </c>
      <c r="H19" s="43">
        <v>0</v>
      </c>
      <c r="I19" s="50">
        <f t="shared" si="2"/>
        <v>-86538.43</v>
      </c>
      <c r="J19" s="43"/>
      <c r="L19" s="52"/>
    </row>
    <row r="20" spans="1:12" x14ac:dyDescent="0.2">
      <c r="A20" s="45" t="s">
        <v>135</v>
      </c>
      <c r="B20" s="43"/>
      <c r="C20" s="43"/>
      <c r="D20" s="50">
        <f t="shared" si="1"/>
        <v>0</v>
      </c>
      <c r="E20" s="43"/>
      <c r="F20" s="43"/>
      <c r="G20" s="43"/>
      <c r="H20" s="43"/>
      <c r="I20" s="50">
        <f t="shared" si="2"/>
        <v>0</v>
      </c>
      <c r="J20" s="43"/>
    </row>
    <row r="21" spans="1:12" x14ac:dyDescent="0.2">
      <c r="A21" s="45" t="s">
        <v>43</v>
      </c>
      <c r="B21" s="43">
        <f>SUM(B17:B20)</f>
        <v>6225513.8500000006</v>
      </c>
      <c r="C21" s="43">
        <f>SUM(C7:C20)</f>
        <v>257740</v>
      </c>
      <c r="D21" s="50">
        <f t="shared" ref="D21:I21" si="4">SUM(D17:D20)</f>
        <v>6483253.8500000006</v>
      </c>
      <c r="E21" s="43">
        <f t="shared" si="4"/>
        <v>1650068.76</v>
      </c>
      <c r="F21" s="43">
        <f t="shared" si="4"/>
        <v>2319114.0700000003</v>
      </c>
      <c r="G21" s="43">
        <f t="shared" si="4"/>
        <v>1894021.9800000007</v>
      </c>
      <c r="H21" s="43">
        <f t="shared" si="4"/>
        <v>611421.22000000009</v>
      </c>
      <c r="I21" s="50">
        <f t="shared" si="4"/>
        <v>6483253.0300000012</v>
      </c>
      <c r="J21" s="43"/>
    </row>
    <row r="22" spans="1:12" x14ac:dyDescent="0.2">
      <c r="A22" s="45"/>
      <c r="B22" s="43"/>
      <c r="C22" s="43"/>
      <c r="D22" s="43"/>
      <c r="E22" s="57">
        <v>41314</v>
      </c>
      <c r="F22" s="57">
        <v>96441</v>
      </c>
      <c r="G22" s="57"/>
      <c r="H22" s="57"/>
      <c r="I22" s="43"/>
      <c r="J22" s="43"/>
    </row>
    <row r="23" spans="1:12" x14ac:dyDescent="0.2">
      <c r="A23" s="45"/>
      <c r="B23" s="43"/>
      <c r="C23" s="43"/>
      <c r="D23" s="43"/>
      <c r="E23" s="57">
        <f>'[2]Joe''s Priceout'!H151</f>
        <v>1608754.76</v>
      </c>
      <c r="F23" s="57">
        <f>'[2]RSA-1 Priceout'!H45</f>
        <v>2222673.0700000003</v>
      </c>
      <c r="G23" s="57">
        <f>'[2]Except RSA-1 Priceout'!H156</f>
        <v>1894021.9800000007</v>
      </c>
      <c r="H23" s="57">
        <f>'[2]Except RSA-1 Priceout'!I156</f>
        <v>0</v>
      </c>
      <c r="I23" s="43"/>
      <c r="J23" s="43"/>
    </row>
    <row r="24" spans="1:12" x14ac:dyDescent="0.2">
      <c r="A24" s="45"/>
      <c r="B24" s="43"/>
      <c r="C24" s="43"/>
      <c r="D24" s="43"/>
      <c r="E24" s="57"/>
      <c r="F24" s="57"/>
      <c r="G24" s="57"/>
      <c r="H24" s="57"/>
      <c r="I24" s="43">
        <f>D17-I17</f>
        <v>0.34999999962747097</v>
      </c>
      <c r="J24" s="43"/>
    </row>
    <row r="25" spans="1:12" x14ac:dyDescent="0.2">
      <c r="A25" s="40" t="s">
        <v>136</v>
      </c>
      <c r="B25" s="43"/>
      <c r="C25" s="43"/>
      <c r="D25" s="46" t="s">
        <v>7</v>
      </c>
      <c r="E25" s="57"/>
      <c r="F25" s="57"/>
      <c r="G25" s="57"/>
      <c r="H25" s="57"/>
      <c r="I25" s="43"/>
      <c r="J25" s="43"/>
    </row>
    <row r="26" spans="1:12" x14ac:dyDescent="0.2">
      <c r="A26" s="45" t="s">
        <v>23</v>
      </c>
      <c r="B26" s="43">
        <v>271219</v>
      </c>
      <c r="C26" s="43"/>
      <c r="D26" s="58">
        <f>SUM(B26:C26)</f>
        <v>271219</v>
      </c>
      <c r="E26" s="57"/>
      <c r="F26" s="57"/>
      <c r="G26" s="57"/>
      <c r="H26" s="57"/>
      <c r="I26" s="43"/>
      <c r="J26" s="43"/>
    </row>
    <row r="27" spans="1:12" x14ac:dyDescent="0.2">
      <c r="A27" s="45" t="s">
        <v>21</v>
      </c>
      <c r="B27" s="43"/>
      <c r="C27" s="43">
        <f>-B26</f>
        <v>-271219</v>
      </c>
      <c r="D27" s="58">
        <f>SUM(B27:C27)</f>
        <v>-271219</v>
      </c>
      <c r="E27" s="57"/>
      <c r="F27" s="57"/>
      <c r="G27" s="57"/>
      <c r="H27" s="57"/>
      <c r="I27" s="43"/>
      <c r="J27" s="43"/>
    </row>
    <row r="28" spans="1:12" x14ac:dyDescent="0.2">
      <c r="A28" s="45" t="s">
        <v>30</v>
      </c>
      <c r="B28" s="43">
        <v>160916</v>
      </c>
      <c r="C28" s="43"/>
      <c r="D28" s="58">
        <f>SUM(B28:C28)</f>
        <v>160916</v>
      </c>
      <c r="E28" s="57"/>
      <c r="F28" s="57"/>
      <c r="G28" s="57"/>
      <c r="H28" s="57"/>
      <c r="I28" s="43"/>
      <c r="J28" s="43"/>
    </row>
    <row r="29" spans="1:12" x14ac:dyDescent="0.2">
      <c r="A29" s="45" t="s">
        <v>32</v>
      </c>
      <c r="B29" s="43"/>
      <c r="C29" s="43">
        <v>-160916</v>
      </c>
      <c r="D29" s="58">
        <f>C29+C30</f>
        <v>-161952</v>
      </c>
      <c r="E29" s="57"/>
      <c r="F29" s="57"/>
      <c r="G29" s="57"/>
      <c r="H29" s="57"/>
      <c r="I29" s="43"/>
      <c r="J29" s="43"/>
    </row>
    <row r="30" spans="1:12" x14ac:dyDescent="0.2">
      <c r="A30" s="45" t="s">
        <v>32</v>
      </c>
      <c r="B30" s="43"/>
      <c r="C30" s="43">
        <v>-1036</v>
      </c>
      <c r="D30" s="58"/>
      <c r="E30" s="57"/>
      <c r="F30" s="57"/>
      <c r="G30" s="57"/>
      <c r="H30" s="57"/>
      <c r="I30" s="43"/>
      <c r="J30" s="43"/>
    </row>
    <row r="31" spans="1:12" x14ac:dyDescent="0.2">
      <c r="A31" s="45" t="s">
        <v>39</v>
      </c>
      <c r="B31" s="43">
        <v>1036</v>
      </c>
      <c r="C31" s="43"/>
      <c r="D31" s="58">
        <f>SUM(B31:C31)</f>
        <v>1036</v>
      </c>
      <c r="E31" s="57"/>
      <c r="F31" s="57"/>
      <c r="G31" s="57"/>
      <c r="H31" s="57"/>
      <c r="I31" s="43"/>
      <c r="J31" s="43"/>
    </row>
    <row r="32" spans="1:12" x14ac:dyDescent="0.2">
      <c r="A32" s="45"/>
      <c r="B32" s="43"/>
      <c r="C32" s="43"/>
      <c r="D32" s="56">
        <f>SUM(D26:D31)</f>
        <v>0</v>
      </c>
      <c r="E32" s="57"/>
      <c r="F32" s="57"/>
      <c r="G32" s="57"/>
      <c r="H32" s="57"/>
      <c r="I32" s="43"/>
      <c r="J32" s="43"/>
    </row>
    <row r="33" spans="1:10" x14ac:dyDescent="0.2">
      <c r="A33" s="45"/>
      <c r="B33" s="43"/>
      <c r="C33" s="43"/>
      <c r="D33" s="58"/>
      <c r="E33" s="57"/>
      <c r="F33" s="57"/>
      <c r="G33" s="57"/>
      <c r="H33" s="57"/>
      <c r="I33" s="43"/>
      <c r="J33" s="43"/>
    </row>
    <row r="34" spans="1:10" x14ac:dyDescent="0.2">
      <c r="A34" s="40" t="s">
        <v>137</v>
      </c>
      <c r="B34" s="43"/>
      <c r="C34" s="43"/>
      <c r="D34" s="58"/>
      <c r="E34" s="57"/>
      <c r="F34" s="57"/>
      <c r="G34" s="57"/>
      <c r="H34" s="57"/>
      <c r="I34" s="43"/>
      <c r="J34" s="43"/>
    </row>
    <row r="35" spans="1:10" x14ac:dyDescent="0.2">
      <c r="A35" s="45" t="s">
        <v>19</v>
      </c>
      <c r="B35" s="43"/>
      <c r="C35" s="43">
        <v>1420</v>
      </c>
      <c r="D35" s="58"/>
      <c r="E35" s="57"/>
      <c r="F35" s="57"/>
      <c r="G35" s="57"/>
      <c r="H35" s="57"/>
      <c r="I35" s="43"/>
      <c r="J35" s="43"/>
    </row>
    <row r="36" spans="1:10" x14ac:dyDescent="0.2">
      <c r="A36" s="45" t="s">
        <v>21</v>
      </c>
      <c r="B36" s="43"/>
      <c r="C36" s="43">
        <v>4630</v>
      </c>
      <c r="D36" s="58"/>
      <c r="E36" s="57"/>
      <c r="F36" s="57"/>
      <c r="G36" s="57"/>
      <c r="H36" s="57"/>
      <c r="I36" s="43"/>
      <c r="J36" s="43"/>
    </row>
    <row r="37" spans="1:10" x14ac:dyDescent="0.2">
      <c r="A37" s="45" t="s">
        <v>32</v>
      </c>
      <c r="B37" s="43"/>
      <c r="C37" s="43">
        <v>1109</v>
      </c>
      <c r="D37" s="58"/>
      <c r="E37" s="57"/>
      <c r="F37" s="57"/>
      <c r="G37" s="57"/>
      <c r="H37" s="57"/>
      <c r="I37" s="43"/>
      <c r="J37" s="43"/>
    </row>
    <row r="38" spans="1:10" x14ac:dyDescent="0.2">
      <c r="A38" s="45" t="s">
        <v>11</v>
      </c>
      <c r="B38" s="43"/>
      <c r="C38" s="43">
        <v>238</v>
      </c>
      <c r="D38" s="58"/>
      <c r="E38" s="57"/>
      <c r="F38" s="57"/>
      <c r="G38" s="57"/>
      <c r="H38" s="57"/>
      <c r="I38" s="43"/>
      <c r="J38" s="43"/>
    </row>
    <row r="39" spans="1:10" x14ac:dyDescent="0.2">
      <c r="A39" s="45" t="s">
        <v>138</v>
      </c>
      <c r="B39" s="43"/>
      <c r="C39" s="43">
        <v>1230</v>
      </c>
      <c r="D39" s="43"/>
      <c r="E39" s="57"/>
      <c r="F39" s="57"/>
      <c r="G39" s="57"/>
      <c r="H39" s="57"/>
      <c r="I39" s="43"/>
      <c r="J39" s="43"/>
    </row>
    <row r="40" spans="1:10" x14ac:dyDescent="0.2">
      <c r="A40" s="45" t="s">
        <v>4</v>
      </c>
      <c r="B40" s="43"/>
      <c r="C40" s="43"/>
      <c r="D40" s="54">
        <f>SUM(C35:C39)</f>
        <v>8627</v>
      </c>
      <c r="E40" s="57"/>
      <c r="F40" s="57"/>
      <c r="G40" s="57"/>
      <c r="H40" s="57"/>
      <c r="I40" s="43"/>
      <c r="J40" s="43"/>
    </row>
    <row r="41" spans="1:10" x14ac:dyDescent="0.2">
      <c r="A41" s="45"/>
      <c r="B41" s="43"/>
      <c r="C41" s="43"/>
      <c r="D41" s="43"/>
      <c r="E41" s="57"/>
      <c r="F41" s="57"/>
      <c r="G41" s="57"/>
      <c r="H41" s="57"/>
      <c r="I41" s="43"/>
      <c r="J41" s="43"/>
    </row>
    <row r="42" spans="1:10" x14ac:dyDescent="0.2">
      <c r="A42" s="59"/>
      <c r="B42" s="60"/>
      <c r="C42" s="60"/>
      <c r="D42" s="60"/>
      <c r="E42" s="61"/>
      <c r="F42" s="61"/>
      <c r="G42" s="61"/>
      <c r="H42" s="61"/>
      <c r="I42" s="43"/>
      <c r="J42" s="43"/>
    </row>
    <row r="43" spans="1:10" x14ac:dyDescent="0.2">
      <c r="A43" s="40" t="s">
        <v>139</v>
      </c>
      <c r="B43" s="43"/>
      <c r="C43" s="43"/>
      <c r="D43" s="43"/>
      <c r="E43" s="48"/>
      <c r="F43" s="48"/>
      <c r="G43" s="48"/>
      <c r="H43" s="48"/>
      <c r="I43" s="43"/>
      <c r="J43" s="43"/>
    </row>
    <row r="44" spans="1:10" x14ac:dyDescent="0.2">
      <c r="A44" s="45" t="s">
        <v>140</v>
      </c>
      <c r="B44" s="43">
        <v>812</v>
      </c>
      <c r="C44" s="62">
        <v>0</v>
      </c>
      <c r="D44" s="62">
        <f>B44*C44</f>
        <v>0</v>
      </c>
      <c r="E44" s="63" t="e">
        <f>D44/D49</f>
        <v>#DIV/0!</v>
      </c>
      <c r="F44" s="63"/>
      <c r="G44" s="63"/>
      <c r="H44" s="63"/>
      <c r="I44" s="43"/>
      <c r="J44" s="43"/>
    </row>
    <row r="45" spans="1:10" x14ac:dyDescent="0.2">
      <c r="A45" s="45" t="s">
        <v>141</v>
      </c>
      <c r="B45" s="43">
        <v>15.61</v>
      </c>
      <c r="C45" s="62">
        <v>0</v>
      </c>
      <c r="D45" s="62">
        <f>B45*C45</f>
        <v>0</v>
      </c>
      <c r="E45" s="63" t="e">
        <f>D45/D$49</f>
        <v>#DIV/0!</v>
      </c>
      <c r="F45" s="63"/>
      <c r="G45" s="63"/>
      <c r="H45" s="63"/>
      <c r="I45" s="43"/>
      <c r="J45" s="43"/>
    </row>
    <row r="46" spans="1:10" x14ac:dyDescent="0.2">
      <c r="A46" s="45"/>
      <c r="B46" s="43">
        <f>SUM(B44:B45)</f>
        <v>827.61</v>
      </c>
      <c r="C46" s="43"/>
      <c r="D46" s="62">
        <f>SUM(D44:D45)</f>
        <v>0</v>
      </c>
      <c r="E46" s="63"/>
      <c r="F46" s="63"/>
      <c r="G46" s="63"/>
      <c r="H46" s="63"/>
      <c r="I46" s="43"/>
      <c r="J46" s="43"/>
    </row>
    <row r="47" spans="1:10" x14ac:dyDescent="0.2">
      <c r="A47" s="45" t="s">
        <v>142</v>
      </c>
      <c r="B47" s="43">
        <v>1755</v>
      </c>
      <c r="C47" s="62">
        <v>0</v>
      </c>
      <c r="D47" s="62">
        <f>B47*C47</f>
        <v>0</v>
      </c>
      <c r="E47" s="63" t="e">
        <f>D47/D$49</f>
        <v>#DIV/0!</v>
      </c>
      <c r="F47" s="63"/>
      <c r="G47" s="48"/>
      <c r="H47" s="48"/>
      <c r="I47" s="43"/>
      <c r="J47" s="43"/>
    </row>
    <row r="48" spans="1:10" x14ac:dyDescent="0.2">
      <c r="A48" s="45"/>
      <c r="B48" s="43"/>
      <c r="C48" s="43"/>
      <c r="D48" s="43"/>
      <c r="E48" s="63"/>
      <c r="F48" s="63"/>
      <c r="G48" s="48"/>
      <c r="H48" s="48"/>
      <c r="I48" s="43"/>
      <c r="J48" s="43"/>
    </row>
    <row r="49" spans="1:10" x14ac:dyDescent="0.2">
      <c r="A49" s="45" t="s">
        <v>143</v>
      </c>
      <c r="B49" s="43"/>
      <c r="C49" s="43"/>
      <c r="D49" s="62">
        <f>D46+D47</f>
        <v>0</v>
      </c>
      <c r="E49" s="48"/>
      <c r="F49" s="48"/>
      <c r="G49" s="48"/>
      <c r="H49" s="48"/>
      <c r="I49" s="43"/>
      <c r="J49" s="43"/>
    </row>
    <row r="50" spans="1:10" x14ac:dyDescent="0.2">
      <c r="A50" s="45" t="s">
        <v>14</v>
      </c>
      <c r="B50" s="43"/>
      <c r="C50" s="43"/>
      <c r="D50" s="43">
        <f>'Pro-forma Lewis,Joe''s'!C44</f>
        <v>93396.50999999998</v>
      </c>
      <c r="E50" s="48"/>
      <c r="F50" s="48"/>
      <c r="G50" s="48"/>
      <c r="H50" s="48"/>
      <c r="I50" s="43"/>
      <c r="J50" s="43"/>
    </row>
    <row r="51" spans="1:10" x14ac:dyDescent="0.2">
      <c r="A51" s="40"/>
      <c r="B51" s="43"/>
      <c r="C51" s="43"/>
      <c r="D51" s="43"/>
      <c r="E51" s="48"/>
      <c r="F51" s="48"/>
      <c r="G51" s="48"/>
      <c r="H51" s="48"/>
      <c r="I51" s="43"/>
      <c r="J51" s="43"/>
    </row>
    <row r="52" spans="1:10" x14ac:dyDescent="0.2">
      <c r="A52" s="40" t="s">
        <v>144</v>
      </c>
      <c r="B52" s="43"/>
      <c r="C52" s="43"/>
      <c r="D52" s="43"/>
      <c r="E52" s="64"/>
      <c r="F52" s="65"/>
      <c r="G52" s="48"/>
      <c r="H52" s="48"/>
      <c r="I52" s="43"/>
      <c r="J52" s="43"/>
    </row>
    <row r="53" spans="1:10" x14ac:dyDescent="0.2">
      <c r="A53" s="59"/>
      <c r="B53" s="60"/>
      <c r="C53" s="60"/>
      <c r="D53" s="60"/>
      <c r="E53" s="61"/>
      <c r="F53" s="61"/>
      <c r="G53" s="61"/>
      <c r="H53" s="61"/>
      <c r="I53" s="43"/>
      <c r="J53" s="43"/>
    </row>
    <row r="54" spans="1:10" x14ac:dyDescent="0.2">
      <c r="A54" s="40" t="s">
        <v>145</v>
      </c>
      <c r="B54" s="48" t="s">
        <v>26</v>
      </c>
      <c r="C54" s="48" t="s">
        <v>129</v>
      </c>
      <c r="D54" s="48" t="s">
        <v>130</v>
      </c>
      <c r="E54" s="48" t="s">
        <v>131</v>
      </c>
      <c r="F54" s="48" t="s">
        <v>146</v>
      </c>
      <c r="G54" s="48"/>
      <c r="H54" s="48"/>
      <c r="I54" s="43"/>
      <c r="J54" s="43"/>
    </row>
    <row r="55" spans="1:10" x14ac:dyDescent="0.2">
      <c r="A55" s="45" t="s">
        <v>23</v>
      </c>
      <c r="B55" s="43">
        <f>SUM('[2]Joe''s Priceout'!K8:K19)+'[2]Joe''s Priceout'!K21</f>
        <v>3473.8380413736841</v>
      </c>
      <c r="C55" s="43">
        <f>SUM('[2]RSA-1 Priceout'!K8:K19)</f>
        <v>8775.5264718694962</v>
      </c>
      <c r="D55" s="43">
        <f>SUM('[2]Except RSA-1 Priceout'!K8:K18)</f>
        <v>1425.6086234253958</v>
      </c>
      <c r="E55" s="43">
        <v>26</v>
      </c>
      <c r="F55" s="43">
        <f>SUM(C55:E55)</f>
        <v>10227.135095294892</v>
      </c>
      <c r="G55" s="48"/>
      <c r="H55" s="48"/>
      <c r="I55" s="43"/>
      <c r="J55" s="43"/>
    </row>
    <row r="56" spans="1:10" x14ac:dyDescent="0.2">
      <c r="A56" s="45" t="s">
        <v>19</v>
      </c>
      <c r="B56" s="43">
        <f>'[2]Joe''s Priceout'!K36+'[2]Joe''s Priceout'!K37</f>
        <v>3435.5092440018643</v>
      </c>
      <c r="C56" s="43">
        <f>'[2]RSA-1 Priceout'!K41+'[2]RSA-1 Priceout'!K42</f>
        <v>8750.4588894937187</v>
      </c>
      <c r="D56" s="43">
        <f>'[2]Except RSA-1 Priceout'!K37</f>
        <v>2</v>
      </c>
      <c r="E56" s="43"/>
      <c r="F56" s="43">
        <f t="shared" ref="F56:F61" si="5">SUM(C56:E56)</f>
        <v>8752.4588894937187</v>
      </c>
      <c r="G56" s="48"/>
      <c r="H56" s="48"/>
      <c r="I56" s="43"/>
      <c r="J56" s="43"/>
    </row>
    <row r="57" spans="1:10" x14ac:dyDescent="0.2">
      <c r="A57" s="45" t="s">
        <v>21</v>
      </c>
      <c r="B57" s="43">
        <f>'[2]Joe''s Priceout'!K39</f>
        <v>21.222222222222221</v>
      </c>
      <c r="C57" s="43">
        <f>'[2]RSA-1 Priceout'!K43</f>
        <v>138.47377777777777</v>
      </c>
      <c r="D57" s="43"/>
      <c r="E57" s="43"/>
      <c r="F57" s="43">
        <f t="shared" si="5"/>
        <v>138.47377777777777</v>
      </c>
      <c r="G57" s="48"/>
      <c r="H57" s="48"/>
      <c r="I57" s="43"/>
      <c r="J57" s="43"/>
    </row>
    <row r="58" spans="1:10" x14ac:dyDescent="0.2">
      <c r="A58" s="45" t="s">
        <v>30</v>
      </c>
      <c r="B58" s="43">
        <v>712</v>
      </c>
      <c r="C58" s="43"/>
      <c r="D58" s="43">
        <v>318</v>
      </c>
      <c r="E58" s="43">
        <f>87+24+17+27+52</f>
        <v>207</v>
      </c>
      <c r="F58" s="43">
        <f t="shared" si="5"/>
        <v>525</v>
      </c>
      <c r="G58" s="48"/>
      <c r="H58" s="48"/>
      <c r="I58" s="43"/>
      <c r="J58" s="43"/>
    </row>
    <row r="59" spans="1:10" x14ac:dyDescent="0.2">
      <c r="A59" s="45" t="s">
        <v>32</v>
      </c>
      <c r="B59" s="43">
        <v>260</v>
      </c>
      <c r="C59" s="43"/>
      <c r="D59" s="43">
        <v>927</v>
      </c>
      <c r="E59" s="43">
        <f>20+10+28+2+12+13+5</f>
        <v>90</v>
      </c>
      <c r="F59" s="43">
        <f t="shared" si="5"/>
        <v>1017</v>
      </c>
      <c r="G59" s="48"/>
      <c r="H59" s="48"/>
      <c r="I59" s="43"/>
      <c r="J59" s="43"/>
    </row>
    <row r="60" spans="1:10" x14ac:dyDescent="0.2">
      <c r="A60" s="45" t="s">
        <v>34</v>
      </c>
      <c r="B60" s="43">
        <v>14</v>
      </c>
      <c r="C60" s="43">
        <v>0</v>
      </c>
      <c r="D60" s="43">
        <v>37</v>
      </c>
      <c r="E60" s="43">
        <v>0</v>
      </c>
      <c r="F60" s="43">
        <f t="shared" si="5"/>
        <v>37</v>
      </c>
      <c r="G60" s="48"/>
      <c r="H60" s="48"/>
      <c r="I60" s="43"/>
      <c r="J60" s="43"/>
    </row>
    <row r="61" spans="1:10" x14ac:dyDescent="0.2">
      <c r="A61" s="45" t="s">
        <v>134</v>
      </c>
      <c r="B61" s="43">
        <f>'[2]Joe''s Priceout'!K67</f>
        <v>321.39756944444446</v>
      </c>
      <c r="C61" s="43"/>
      <c r="D61" s="43"/>
      <c r="E61" s="43">
        <f>SUM(C61:D61)</f>
        <v>0</v>
      </c>
      <c r="F61" s="43">
        <f t="shared" si="5"/>
        <v>0</v>
      </c>
      <c r="G61" s="48"/>
      <c r="H61" s="48"/>
      <c r="I61" s="43"/>
      <c r="J61" s="43"/>
    </row>
    <row r="62" spans="1:10" x14ac:dyDescent="0.2">
      <c r="A62" s="45"/>
      <c r="B62" s="54">
        <f>SUM(B55:B61)</f>
        <v>8237.9670770422163</v>
      </c>
      <c r="C62" s="54">
        <f>SUM(C55:C61)</f>
        <v>17664.459139140992</v>
      </c>
      <c r="D62" s="54">
        <f>SUM(D55:D61)</f>
        <v>2709.6086234253958</v>
      </c>
      <c r="E62" s="54">
        <f>SUM(E55:E61)</f>
        <v>323</v>
      </c>
      <c r="F62" s="54">
        <f>SUM(F55:F61)</f>
        <v>20697.067762566388</v>
      </c>
      <c r="G62" s="48">
        <f>B62+C62+D62+E62</f>
        <v>28935.034839608605</v>
      </c>
      <c r="H62" s="48"/>
      <c r="I62" s="43"/>
      <c r="J62" s="43"/>
    </row>
    <row r="63" spans="1:10" x14ac:dyDescent="0.2">
      <c r="A63" s="45"/>
      <c r="B63" s="66">
        <f>B62/G62</f>
        <v>0.28470562149679612</v>
      </c>
      <c r="C63" s="66"/>
      <c r="D63" s="66"/>
      <c r="E63" s="67"/>
      <c r="F63" s="63">
        <f>F62/G62</f>
        <v>0.71529437850320388</v>
      </c>
      <c r="G63" s="48"/>
      <c r="H63" s="48"/>
      <c r="I63" s="43"/>
      <c r="J63" s="43"/>
    </row>
    <row r="64" spans="1:10" x14ac:dyDescent="0.2">
      <c r="A64" s="40" t="s">
        <v>147</v>
      </c>
      <c r="B64" s="43"/>
      <c r="C64" s="43"/>
      <c r="D64" s="43"/>
      <c r="E64" s="48"/>
      <c r="F64" s="48"/>
      <c r="G64" s="48"/>
      <c r="H64" s="48"/>
      <c r="I64" s="43"/>
      <c r="J64" s="43"/>
    </row>
    <row r="65" spans="1:10" x14ac:dyDescent="0.2">
      <c r="A65" s="45" t="s">
        <v>148</v>
      </c>
      <c r="B65" s="43">
        <f>B55</f>
        <v>3473.8380413736841</v>
      </c>
      <c r="C65" s="43">
        <f>C55</f>
        <v>8775.5264718694962</v>
      </c>
      <c r="D65" s="43">
        <f>D55</f>
        <v>1425.6086234253958</v>
      </c>
      <c r="E65" s="43">
        <f>E55</f>
        <v>26</v>
      </c>
      <c r="F65" s="43">
        <f>SUM(C65:E65)</f>
        <v>10227.135095294892</v>
      </c>
      <c r="G65" s="48"/>
      <c r="H65" s="48"/>
      <c r="I65" s="43"/>
      <c r="J65" s="43"/>
    </row>
    <row r="66" spans="1:10" x14ac:dyDescent="0.2">
      <c r="A66" s="45" t="s">
        <v>149</v>
      </c>
      <c r="B66" s="43">
        <f>B58+B59</f>
        <v>972</v>
      </c>
      <c r="C66" s="43">
        <f>C58+C59</f>
        <v>0</v>
      </c>
      <c r="D66" s="43">
        <f>D58+D59</f>
        <v>1245</v>
      </c>
      <c r="E66" s="43">
        <f>E58+E59</f>
        <v>297</v>
      </c>
      <c r="F66" s="43">
        <f>SUM(C66:E66)</f>
        <v>1542</v>
      </c>
      <c r="G66" s="48"/>
      <c r="H66" s="48"/>
      <c r="I66" s="43"/>
      <c r="J66" s="43"/>
    </row>
    <row r="67" spans="1:10" x14ac:dyDescent="0.2">
      <c r="A67" s="45" t="str">
        <f>A60</f>
        <v>Drop Boxes</v>
      </c>
      <c r="B67" s="43">
        <f>B60</f>
        <v>14</v>
      </c>
      <c r="C67" s="43">
        <f>C61</f>
        <v>0</v>
      </c>
      <c r="D67" s="43">
        <f>D60</f>
        <v>37</v>
      </c>
      <c r="E67" s="43">
        <f>E60</f>
        <v>0</v>
      </c>
      <c r="F67" s="43">
        <f>SUM(C67:E67)</f>
        <v>37</v>
      </c>
      <c r="G67" s="48"/>
      <c r="H67" s="48"/>
      <c r="I67" s="43"/>
      <c r="J67" s="43"/>
    </row>
    <row r="68" spans="1:10" x14ac:dyDescent="0.2">
      <c r="A68" s="45"/>
      <c r="B68" s="54">
        <f>SUM(B65:B67)</f>
        <v>4459.8380413736841</v>
      </c>
      <c r="C68" s="54">
        <f>SUM(C65:C67)</f>
        <v>8775.5264718694962</v>
      </c>
      <c r="D68" s="54">
        <f>SUM(D65:D67)</f>
        <v>2707.6086234253958</v>
      </c>
      <c r="E68" s="54">
        <f>SUM(E65:E67)</f>
        <v>323</v>
      </c>
      <c r="F68" s="54">
        <f>SUM(F65:F67)</f>
        <v>11806.135095294892</v>
      </c>
      <c r="G68" s="48">
        <f>B68+C68+D68+E68</f>
        <v>16265.973136668577</v>
      </c>
      <c r="H68" s="48"/>
      <c r="I68" s="43"/>
      <c r="J68" s="43"/>
    </row>
    <row r="69" spans="1:10" x14ac:dyDescent="0.2">
      <c r="A69" s="45"/>
      <c r="B69" s="66">
        <f>B68/G68</f>
        <v>0.27418206115930549</v>
      </c>
      <c r="C69" s="66"/>
      <c r="D69" s="66"/>
      <c r="E69" s="63"/>
      <c r="F69" s="63">
        <f>F68/G68</f>
        <v>0.72581793884069445</v>
      </c>
      <c r="G69" s="48"/>
      <c r="H69" s="48"/>
      <c r="I69" s="43"/>
      <c r="J69" s="43"/>
    </row>
    <row r="70" spans="1:10" x14ac:dyDescent="0.2">
      <c r="A70" s="45"/>
      <c r="B70" s="43"/>
      <c r="C70" s="43"/>
      <c r="D70" s="43"/>
      <c r="E70" s="48"/>
      <c r="F70" s="48"/>
      <c r="G70" s="48"/>
      <c r="H70" s="48"/>
      <c r="I70" s="43"/>
      <c r="J70" s="43"/>
    </row>
    <row r="71" spans="1:10" x14ac:dyDescent="0.2">
      <c r="A71" s="59"/>
      <c r="B71" s="60"/>
      <c r="C71" s="60"/>
      <c r="D71" s="60"/>
      <c r="E71" s="61"/>
      <c r="F71" s="61"/>
      <c r="G71" s="61"/>
      <c r="H71" s="61"/>
      <c r="I71" s="43"/>
      <c r="J71" s="43"/>
    </row>
    <row r="72" spans="1:10" x14ac:dyDescent="0.2">
      <c r="A72" s="68" t="s">
        <v>150</v>
      </c>
      <c r="B72" s="53"/>
      <c r="C72" s="53"/>
      <c r="D72" s="53"/>
      <c r="E72" s="69"/>
      <c r="F72" s="69"/>
      <c r="G72" s="69"/>
      <c r="H72" s="69"/>
      <c r="I72" s="53"/>
      <c r="J72" s="53"/>
    </row>
    <row r="73" spans="1:10" x14ac:dyDescent="0.2">
      <c r="A73" s="70"/>
      <c r="B73" s="48" t="s">
        <v>26</v>
      </c>
      <c r="C73" s="48"/>
      <c r="D73" s="48" t="s">
        <v>4</v>
      </c>
      <c r="E73" s="69"/>
      <c r="F73" s="69"/>
      <c r="G73" s="69"/>
      <c r="H73" s="69"/>
      <c r="I73" s="53"/>
      <c r="J73" s="53"/>
    </row>
    <row r="74" spans="1:10" x14ac:dyDescent="0.2">
      <c r="A74" s="70" t="s">
        <v>151</v>
      </c>
      <c r="B74" s="53">
        <f>B56</f>
        <v>3435.5092440018643</v>
      </c>
      <c r="C74" s="53"/>
      <c r="D74" s="53"/>
      <c r="E74" s="69"/>
      <c r="F74" s="69"/>
      <c r="G74" s="69"/>
      <c r="H74" s="69"/>
      <c r="I74" s="53"/>
      <c r="J74" s="53"/>
    </row>
    <row r="75" spans="1:10" x14ac:dyDescent="0.2">
      <c r="A75" s="70"/>
      <c r="B75" s="71"/>
      <c r="C75" s="71"/>
      <c r="D75" s="53"/>
      <c r="E75" s="69"/>
      <c r="F75" s="69"/>
      <c r="G75" s="69"/>
      <c r="H75" s="69"/>
      <c r="I75" s="53"/>
      <c r="J75" s="53"/>
    </row>
    <row r="76" spans="1:10" x14ac:dyDescent="0.2">
      <c r="A76" s="70" t="s">
        <v>152</v>
      </c>
      <c r="B76" s="53">
        <f>B74*0.1*12</f>
        <v>4122.6110928022372</v>
      </c>
      <c r="C76" s="53"/>
      <c r="D76" s="53">
        <f>SUM(B76:C76)</f>
        <v>4122.6110928022372</v>
      </c>
      <c r="E76" s="69"/>
      <c r="F76" s="69"/>
      <c r="G76" s="69"/>
      <c r="H76" s="69"/>
      <c r="I76" s="53"/>
      <c r="J76" s="53"/>
    </row>
    <row r="77" spans="1:10" x14ac:dyDescent="0.2">
      <c r="A77" s="70" t="s">
        <v>14</v>
      </c>
      <c r="B77" s="71"/>
      <c r="C77" s="71"/>
      <c r="D77" s="53">
        <v>0</v>
      </c>
      <c r="E77" s="69"/>
      <c r="F77" s="69"/>
      <c r="G77" s="69"/>
      <c r="H77" s="69"/>
      <c r="I77" s="53"/>
      <c r="J77" s="53"/>
    </row>
    <row r="78" spans="1:10" x14ac:dyDescent="0.2">
      <c r="A78" s="70"/>
      <c r="B78" s="71"/>
      <c r="C78" s="71"/>
      <c r="D78" s="53"/>
      <c r="E78" s="69"/>
      <c r="F78" s="69"/>
      <c r="G78" s="69"/>
      <c r="H78" s="69"/>
      <c r="I78" s="53"/>
      <c r="J78" s="53"/>
    </row>
    <row r="79" spans="1:10" x14ac:dyDescent="0.2">
      <c r="A79" s="68" t="s">
        <v>144</v>
      </c>
      <c r="B79" s="71"/>
      <c r="C79" s="71"/>
      <c r="D79" s="71">
        <f>D76-D77</f>
        <v>4122.6110928022372</v>
      </c>
      <c r="E79" s="69"/>
      <c r="F79" s="69"/>
      <c r="G79" s="69"/>
      <c r="H79" s="69"/>
      <c r="I79" s="53"/>
      <c r="J79" s="53"/>
    </row>
    <row r="80" spans="1:10" x14ac:dyDescent="0.2">
      <c r="A80" s="68"/>
      <c r="B80" s="71"/>
      <c r="C80" s="71"/>
      <c r="D80" s="71"/>
      <c r="E80" s="69"/>
      <c r="F80" s="69"/>
      <c r="G80" s="69"/>
      <c r="H80" s="69"/>
      <c r="I80" s="53"/>
      <c r="J80" s="53"/>
    </row>
    <row r="81" spans="1:10" x14ac:dyDescent="0.2">
      <c r="A81" s="59"/>
      <c r="B81" s="60"/>
      <c r="C81" s="60"/>
      <c r="D81" s="60"/>
      <c r="E81" s="61"/>
      <c r="F81" s="61"/>
      <c r="G81" s="61"/>
      <c r="H81" s="61"/>
      <c r="I81" s="43"/>
      <c r="J81" s="43"/>
    </row>
    <row r="82" spans="1:10" s="72" customFormat="1" x14ac:dyDescent="0.2">
      <c r="A82" s="68" t="s">
        <v>153</v>
      </c>
      <c r="B82" s="53"/>
      <c r="C82" s="53"/>
      <c r="D82" s="53"/>
      <c r="E82" s="69"/>
      <c r="F82" s="69"/>
      <c r="G82" s="69"/>
      <c r="H82" s="69"/>
      <c r="I82" s="53"/>
      <c r="J82" s="53"/>
    </row>
    <row r="83" spans="1:10" s="72" customFormat="1" x14ac:dyDescent="0.2">
      <c r="A83" s="45"/>
      <c r="B83" s="48" t="s">
        <v>26</v>
      </c>
      <c r="C83" s="48" t="s">
        <v>25</v>
      </c>
      <c r="D83" s="43"/>
      <c r="E83" s="48"/>
      <c r="F83" s="69"/>
      <c r="G83" s="69"/>
      <c r="H83" s="69"/>
      <c r="I83" s="53"/>
      <c r="J83" s="53"/>
    </row>
    <row r="84" spans="1:10" s="72" customFormat="1" x14ac:dyDescent="0.2">
      <c r="A84" s="45" t="s">
        <v>76</v>
      </c>
      <c r="B84" s="43">
        <v>15</v>
      </c>
      <c r="C84" s="43">
        <v>104</v>
      </c>
      <c r="D84" s="43"/>
      <c r="E84" s="48"/>
      <c r="F84" s="73"/>
      <c r="G84" s="69"/>
      <c r="H84" s="69"/>
      <c r="I84" s="53"/>
      <c r="J84" s="53"/>
    </row>
    <row r="85" spans="1:10" s="72" customFormat="1" x14ac:dyDescent="0.2">
      <c r="A85" s="45" t="s">
        <v>154</v>
      </c>
      <c r="B85" s="74">
        <v>23.72</v>
      </c>
      <c r="C85" s="74">
        <f>B85</f>
        <v>23.72</v>
      </c>
      <c r="D85" s="43"/>
      <c r="E85" s="48"/>
      <c r="F85" s="69"/>
      <c r="G85" s="69"/>
      <c r="H85" s="69"/>
      <c r="I85" s="53"/>
      <c r="J85" s="53"/>
    </row>
    <row r="86" spans="1:10" s="72" customFormat="1" x14ac:dyDescent="0.2">
      <c r="A86" s="45" t="s">
        <v>155</v>
      </c>
      <c r="B86" s="43">
        <f>B84*B85</f>
        <v>355.79999999999995</v>
      </c>
      <c r="C86" s="43">
        <f>C84*C85</f>
        <v>2466.88</v>
      </c>
      <c r="D86" s="43">
        <f>SUM(B86:C86)</f>
        <v>2822.6800000000003</v>
      </c>
      <c r="E86" s="48"/>
      <c r="F86" s="69"/>
      <c r="G86" s="69"/>
      <c r="H86" s="69"/>
      <c r="I86" s="53"/>
      <c r="J86" s="53"/>
    </row>
    <row r="87" spans="1:10" s="72" customFormat="1" x14ac:dyDescent="0.2">
      <c r="A87" s="70" t="s">
        <v>14</v>
      </c>
      <c r="B87" s="43"/>
      <c r="C87" s="43"/>
      <c r="D87" s="43">
        <f>'Pro-forma Lewis,Joe''s'!C41</f>
        <v>1139.06</v>
      </c>
      <c r="E87" s="48"/>
      <c r="F87" s="69"/>
      <c r="G87" s="69"/>
      <c r="H87" s="69"/>
      <c r="I87" s="53"/>
      <c r="J87" s="53"/>
    </row>
    <row r="88" spans="1:10" s="72" customFormat="1" x14ac:dyDescent="0.2">
      <c r="A88" s="40" t="s">
        <v>144</v>
      </c>
      <c r="B88" s="43"/>
      <c r="C88" s="43"/>
      <c r="D88" s="43"/>
      <c r="E88" s="65">
        <f>D86-D87</f>
        <v>1683.6200000000003</v>
      </c>
      <c r="F88" s="69"/>
      <c r="G88" s="69"/>
      <c r="H88" s="69"/>
      <c r="I88" s="53"/>
      <c r="J88" s="53"/>
    </row>
    <row r="89" spans="1:10" s="72" customFormat="1" x14ac:dyDescent="0.2">
      <c r="A89" s="45"/>
      <c r="B89" s="43"/>
      <c r="C89" s="43"/>
      <c r="D89" s="43"/>
      <c r="E89" s="48"/>
      <c r="F89" s="69"/>
      <c r="G89" s="69"/>
      <c r="H89" s="69"/>
      <c r="I89" s="53"/>
      <c r="J89" s="53"/>
    </row>
    <row r="90" spans="1:10" x14ac:dyDescent="0.2">
      <c r="A90" s="59"/>
      <c r="B90" s="60"/>
      <c r="C90" s="60"/>
      <c r="D90" s="60"/>
      <c r="E90" s="61"/>
      <c r="F90" s="61"/>
      <c r="G90" s="61"/>
      <c r="H90" s="61"/>
      <c r="I90" s="43"/>
      <c r="J90" s="43"/>
    </row>
    <row r="91" spans="1:10" x14ac:dyDescent="0.2">
      <c r="A91" s="68" t="s">
        <v>156</v>
      </c>
      <c r="B91" s="53"/>
      <c r="C91" s="53"/>
      <c r="D91" s="53"/>
      <c r="E91" s="69"/>
      <c r="F91" s="69"/>
      <c r="G91" s="69"/>
      <c r="H91" s="69"/>
      <c r="I91" s="43"/>
      <c r="J91" s="43"/>
    </row>
    <row r="92" spans="1:10" x14ac:dyDescent="0.2">
      <c r="A92" s="70"/>
      <c r="B92" s="53"/>
      <c r="C92" s="53"/>
      <c r="D92" s="53"/>
      <c r="E92" s="69"/>
      <c r="F92" s="69"/>
      <c r="G92" s="69"/>
      <c r="H92" s="69"/>
      <c r="I92" s="43"/>
      <c r="J92" s="43"/>
    </row>
    <row r="93" spans="1:10" x14ac:dyDescent="0.2">
      <c r="A93" s="70" t="s">
        <v>157</v>
      </c>
      <c r="B93" s="53"/>
      <c r="C93" s="53">
        <f>454737</f>
        <v>454737</v>
      </c>
      <c r="D93" s="53"/>
      <c r="E93" s="69"/>
      <c r="F93" s="69"/>
      <c r="G93" s="69"/>
      <c r="H93" s="69"/>
      <c r="I93" s="43"/>
      <c r="J93" s="43"/>
    </row>
    <row r="94" spans="1:10" x14ac:dyDescent="0.2">
      <c r="A94" s="70"/>
      <c r="B94" s="53"/>
      <c r="C94" s="53"/>
      <c r="D94" s="53"/>
      <c r="E94" s="69"/>
      <c r="F94" s="69"/>
      <c r="G94" s="69"/>
      <c r="H94" s="69"/>
      <c r="I94" s="43"/>
      <c r="J94" s="43"/>
    </row>
    <row r="95" spans="1:10" x14ac:dyDescent="0.2">
      <c r="A95" s="70" t="s">
        <v>14</v>
      </c>
      <c r="B95" s="53"/>
      <c r="C95" s="53">
        <v>610737</v>
      </c>
      <c r="D95" s="53"/>
      <c r="E95" s="69"/>
      <c r="F95" s="69"/>
      <c r="G95" s="69"/>
      <c r="H95" s="69"/>
      <c r="I95" s="43"/>
      <c r="J95" s="43"/>
    </row>
    <row r="96" spans="1:10" x14ac:dyDescent="0.2">
      <c r="A96" s="70"/>
      <c r="B96" s="53"/>
      <c r="C96" s="53"/>
      <c r="D96" s="53"/>
      <c r="E96" s="69"/>
      <c r="F96" s="69"/>
      <c r="G96" s="69"/>
      <c r="H96" s="69"/>
      <c r="I96" s="43"/>
      <c r="J96" s="43"/>
    </row>
    <row r="97" spans="1:10" x14ac:dyDescent="0.2">
      <c r="A97" s="68" t="s">
        <v>144</v>
      </c>
      <c r="B97" s="53"/>
      <c r="C97" s="53"/>
      <c r="D97" s="71">
        <f>C93-C95</f>
        <v>-156000</v>
      </c>
      <c r="E97" s="69"/>
      <c r="F97" s="69"/>
      <c r="G97" s="69"/>
      <c r="H97" s="69"/>
      <c r="I97" s="43"/>
      <c r="J97" s="43"/>
    </row>
    <row r="98" spans="1:10" x14ac:dyDescent="0.2">
      <c r="A98" s="70"/>
      <c r="B98" s="53"/>
      <c r="C98" s="53"/>
      <c r="D98" s="53"/>
      <c r="E98" s="69"/>
      <c r="F98" s="69"/>
      <c r="G98" s="69"/>
      <c r="H98" s="69"/>
      <c r="I98" s="43"/>
      <c r="J98" s="43"/>
    </row>
    <row r="99" spans="1:10" x14ac:dyDescent="0.2">
      <c r="A99" s="59"/>
      <c r="B99" s="60"/>
      <c r="C99" s="60"/>
      <c r="D99" s="60"/>
      <c r="E99" s="61"/>
      <c r="F99" s="61"/>
      <c r="G99" s="61"/>
      <c r="H99" s="61"/>
      <c r="I99" s="43"/>
      <c r="J99" s="43"/>
    </row>
    <row r="100" spans="1:10" x14ac:dyDescent="0.2">
      <c r="A100" s="40" t="s">
        <v>158</v>
      </c>
      <c r="B100" s="43"/>
      <c r="C100" s="43"/>
      <c r="D100" s="43"/>
      <c r="E100" s="48"/>
      <c r="F100" s="48"/>
      <c r="G100" s="48"/>
      <c r="H100" s="48"/>
      <c r="I100" s="43"/>
      <c r="J100" s="43"/>
    </row>
    <row r="101" spans="1:10" x14ac:dyDescent="0.2">
      <c r="A101" s="45"/>
      <c r="B101" s="48" t="s">
        <v>26</v>
      </c>
      <c r="C101" s="48" t="s">
        <v>25</v>
      </c>
      <c r="D101" s="43"/>
      <c r="E101" s="48"/>
      <c r="F101" s="48"/>
      <c r="G101" s="48"/>
      <c r="H101" s="48"/>
      <c r="I101" s="43"/>
      <c r="J101" s="43"/>
    </row>
    <row r="102" spans="1:10" x14ac:dyDescent="0.2">
      <c r="A102" s="45" t="s">
        <v>79</v>
      </c>
      <c r="B102" s="43">
        <f>E21</f>
        <v>1650068.76</v>
      </c>
      <c r="C102" s="43">
        <f>F21+G21+H21</f>
        <v>4824557.2700000005</v>
      </c>
      <c r="D102" s="43">
        <f>SUM(B102:C102)</f>
        <v>6474626.0300000003</v>
      </c>
      <c r="E102" s="48"/>
      <c r="F102" s="48"/>
      <c r="G102" s="48"/>
      <c r="H102" s="48"/>
      <c r="I102" s="43"/>
      <c r="J102" s="43"/>
    </row>
    <row r="103" spans="1:10" x14ac:dyDescent="0.2">
      <c r="A103" s="45" t="s">
        <v>159</v>
      </c>
      <c r="B103" s="75">
        <v>4.0000000000000001E-3</v>
      </c>
      <c r="C103" s="75">
        <v>4.0000000000000001E-3</v>
      </c>
      <c r="D103" s="43"/>
      <c r="E103" s="48"/>
      <c r="F103" s="48"/>
      <c r="G103" s="48"/>
      <c r="H103" s="48"/>
      <c r="I103" s="43"/>
      <c r="J103" s="43"/>
    </row>
    <row r="104" spans="1:10" x14ac:dyDescent="0.2">
      <c r="A104" s="45" t="s">
        <v>155</v>
      </c>
      <c r="B104" s="54">
        <f>B102*B103</f>
        <v>6600.2750400000004</v>
      </c>
      <c r="C104" s="43">
        <f>C102*C103</f>
        <v>19298.229080000001</v>
      </c>
      <c r="D104" s="43">
        <f>SUM(B104:C104)</f>
        <v>25898.504120000001</v>
      </c>
      <c r="E104" s="48"/>
      <c r="F104" s="48"/>
      <c r="G104" s="48"/>
      <c r="H104" s="48"/>
      <c r="I104" s="43"/>
      <c r="J104" s="43"/>
    </row>
    <row r="105" spans="1:10" x14ac:dyDescent="0.2">
      <c r="A105" s="45" t="s">
        <v>160</v>
      </c>
      <c r="B105" s="43"/>
      <c r="C105" s="43">
        <f>8627*0.004</f>
        <v>34.508000000000003</v>
      </c>
      <c r="D105" s="43">
        <f>SUM(B105:C105)</f>
        <v>34.508000000000003</v>
      </c>
      <c r="E105" s="48"/>
      <c r="F105" s="48"/>
      <c r="G105" s="48"/>
      <c r="H105" s="48"/>
      <c r="I105" s="43"/>
      <c r="J105" s="43"/>
    </row>
    <row r="106" spans="1:10" x14ac:dyDescent="0.2">
      <c r="A106" s="70" t="s">
        <v>14</v>
      </c>
      <c r="B106" s="43"/>
      <c r="C106" s="43"/>
      <c r="D106" s="43">
        <f>'Pro-forma Lewis,Joe''s'!C46</f>
        <v>24236.039999999997</v>
      </c>
      <c r="E106" s="48"/>
      <c r="F106" s="48"/>
      <c r="G106" s="48"/>
      <c r="H106" s="48"/>
      <c r="I106" s="43"/>
      <c r="J106" s="43"/>
    </row>
    <row r="107" spans="1:10" x14ac:dyDescent="0.2">
      <c r="A107" s="40" t="s">
        <v>144</v>
      </c>
      <c r="B107" s="43"/>
      <c r="C107" s="43"/>
      <c r="D107" s="43"/>
      <c r="E107" s="65">
        <f>D104+D105-D106</f>
        <v>1696.9721200000058</v>
      </c>
      <c r="F107" s="65"/>
      <c r="G107" s="48"/>
      <c r="H107" s="48"/>
      <c r="I107" s="43"/>
      <c r="J107" s="43"/>
    </row>
    <row r="108" spans="1:10" x14ac:dyDescent="0.2">
      <c r="A108" s="45"/>
      <c r="B108" s="43"/>
      <c r="C108" s="43"/>
      <c r="D108" s="43"/>
      <c r="E108" s="48"/>
      <c r="F108" s="48"/>
      <c r="G108" s="48"/>
      <c r="H108" s="48"/>
      <c r="I108" s="43"/>
      <c r="J108" s="43"/>
    </row>
    <row r="109" spans="1:10" x14ac:dyDescent="0.2">
      <c r="A109" s="59"/>
      <c r="B109" s="60"/>
      <c r="C109" s="60"/>
      <c r="D109" s="60"/>
      <c r="E109" s="61"/>
      <c r="F109" s="61"/>
      <c r="G109" s="61"/>
      <c r="H109" s="61"/>
      <c r="I109" s="43"/>
      <c r="J109" s="43"/>
    </row>
    <row r="110" spans="1:10" x14ac:dyDescent="0.2">
      <c r="A110" s="40" t="s">
        <v>161</v>
      </c>
      <c r="B110" s="43"/>
      <c r="C110" s="43"/>
      <c r="D110" s="43"/>
      <c r="E110" s="48"/>
      <c r="F110" s="48"/>
      <c r="G110" s="48"/>
      <c r="H110" s="48"/>
      <c r="I110" s="43"/>
      <c r="J110" s="43"/>
    </row>
    <row r="111" spans="1:10" x14ac:dyDescent="0.2">
      <c r="A111" s="45"/>
      <c r="B111" s="48" t="s">
        <v>26</v>
      </c>
      <c r="C111" s="48" t="s">
        <v>25</v>
      </c>
      <c r="D111" s="43"/>
      <c r="E111" s="48"/>
      <c r="F111" s="48"/>
      <c r="G111" s="48"/>
      <c r="H111" s="48"/>
      <c r="I111" s="43"/>
      <c r="J111" s="43"/>
    </row>
    <row r="112" spans="1:10" x14ac:dyDescent="0.2">
      <c r="A112" s="45" t="s">
        <v>79</v>
      </c>
      <c r="B112" s="43">
        <f>E17</f>
        <v>1689780.76</v>
      </c>
      <c r="C112" s="43">
        <f>+F17+G17+H17</f>
        <v>4733628.7000000011</v>
      </c>
      <c r="D112" s="43"/>
      <c r="E112" s="48"/>
      <c r="F112" s="48"/>
      <c r="G112" s="48"/>
      <c r="H112" s="48"/>
      <c r="I112" s="43"/>
      <c r="J112" s="43"/>
    </row>
    <row r="113" spans="1:10" x14ac:dyDescent="0.2">
      <c r="A113" s="45" t="s">
        <v>162</v>
      </c>
      <c r="B113" s="75">
        <v>1.4999999999999999E-2</v>
      </c>
      <c r="C113" s="75">
        <v>1.4999999999999999E-2</v>
      </c>
      <c r="D113" s="43"/>
      <c r="E113" s="48"/>
      <c r="F113" s="48"/>
      <c r="G113" s="48"/>
      <c r="H113" s="48"/>
      <c r="I113" s="43"/>
      <c r="J113" s="43"/>
    </row>
    <row r="114" spans="1:10" x14ac:dyDescent="0.2">
      <c r="A114" s="45" t="s">
        <v>163</v>
      </c>
      <c r="B114" s="57">
        <f>E18</f>
        <v>41314</v>
      </c>
      <c r="C114" s="57">
        <f>F18</f>
        <v>96441</v>
      </c>
      <c r="D114" s="43"/>
      <c r="E114" s="48"/>
      <c r="F114" s="48"/>
      <c r="G114" s="48"/>
      <c r="H114" s="48"/>
      <c r="I114" s="43"/>
      <c r="J114" s="43"/>
    </row>
    <row r="115" spans="1:10" x14ac:dyDescent="0.2">
      <c r="A115" s="45" t="s">
        <v>162</v>
      </c>
      <c r="B115" s="76">
        <v>4.8300000000000001E-3</v>
      </c>
      <c r="C115" s="76">
        <v>4.8300000000000001E-3</v>
      </c>
      <c r="D115" s="43"/>
      <c r="E115" s="48"/>
      <c r="F115" s="48"/>
      <c r="G115" s="48"/>
      <c r="H115" s="48"/>
      <c r="I115" s="43"/>
      <c r="J115" s="43"/>
    </row>
    <row r="116" spans="1:10" x14ac:dyDescent="0.2">
      <c r="A116" s="45"/>
      <c r="B116" s="76"/>
      <c r="C116" s="76"/>
      <c r="D116" s="43"/>
      <c r="E116" s="48"/>
      <c r="F116" s="48"/>
      <c r="G116" s="48"/>
      <c r="H116" s="48"/>
      <c r="I116" s="43"/>
      <c r="J116" s="43"/>
    </row>
    <row r="117" spans="1:10" x14ac:dyDescent="0.2">
      <c r="A117" s="45" t="s">
        <v>155</v>
      </c>
      <c r="B117" s="54">
        <f>B112*B113+B114*B115</f>
        <v>25546.258020000001</v>
      </c>
      <c r="C117" s="43">
        <f>C112*C113+C114*C115</f>
        <v>71470.24053000001</v>
      </c>
      <c r="D117" s="43">
        <f>SUM(B117:C117)</f>
        <v>97016.498550000018</v>
      </c>
      <c r="E117" s="48"/>
      <c r="F117" s="48"/>
      <c r="G117" s="48"/>
      <c r="H117" s="48"/>
      <c r="I117" s="43"/>
      <c r="J117" s="43"/>
    </row>
    <row r="118" spans="1:10" x14ac:dyDescent="0.2">
      <c r="A118" s="45"/>
      <c r="B118" s="43"/>
      <c r="C118" s="43"/>
      <c r="D118" s="43"/>
      <c r="E118" s="48"/>
      <c r="F118" s="48"/>
      <c r="G118" s="48"/>
      <c r="H118" s="48"/>
      <c r="I118" s="43"/>
      <c r="J118" s="43"/>
    </row>
    <row r="119" spans="1:10" x14ac:dyDescent="0.2">
      <c r="A119" s="45" t="s">
        <v>164</v>
      </c>
      <c r="B119" s="54">
        <f>B112*0.003</f>
        <v>5069.3422799999998</v>
      </c>
      <c r="C119" s="43">
        <f>C112*0.003</f>
        <v>14200.886100000003</v>
      </c>
      <c r="D119" s="43">
        <f>SUM(B119:C119)</f>
        <v>19270.228380000004</v>
      </c>
      <c r="E119" s="48"/>
      <c r="F119" s="48"/>
      <c r="G119" s="48"/>
      <c r="H119" s="48"/>
      <c r="I119" s="43"/>
      <c r="J119" s="43"/>
    </row>
    <row r="120" spans="1:10" x14ac:dyDescent="0.2">
      <c r="A120" s="45" t="s">
        <v>165</v>
      </c>
      <c r="B120" s="43"/>
      <c r="C120" s="43">
        <f>8627*0.018</f>
        <v>155.286</v>
      </c>
      <c r="D120" s="43">
        <f>SUM(B120:C120)</f>
        <v>155.286</v>
      </c>
      <c r="E120" s="48"/>
      <c r="F120" s="48"/>
      <c r="G120" s="48"/>
      <c r="H120" s="48"/>
      <c r="I120" s="43"/>
      <c r="J120" s="43"/>
    </row>
    <row r="121" spans="1:10" x14ac:dyDescent="0.2">
      <c r="A121" s="70" t="s">
        <v>14</v>
      </c>
      <c r="B121" s="43"/>
      <c r="C121" s="43"/>
      <c r="D121" s="43">
        <f>'Pro-forma Lewis,Joe''s'!C70</f>
        <v>83702.810000000012</v>
      </c>
      <c r="E121" s="48"/>
      <c r="F121" s="48"/>
      <c r="G121" s="48"/>
      <c r="H121" s="48"/>
      <c r="I121" s="43"/>
      <c r="J121" s="43"/>
    </row>
    <row r="122" spans="1:10" x14ac:dyDescent="0.2">
      <c r="A122" s="45"/>
      <c r="B122" s="43"/>
      <c r="C122" s="43"/>
      <c r="D122" s="43"/>
      <c r="E122" s="48"/>
      <c r="F122" s="48"/>
      <c r="G122" s="48"/>
      <c r="H122" s="48"/>
      <c r="I122" s="43"/>
      <c r="J122" s="43"/>
    </row>
    <row r="123" spans="1:10" x14ac:dyDescent="0.2">
      <c r="A123" s="40" t="s">
        <v>144</v>
      </c>
      <c r="B123" s="43"/>
      <c r="C123" s="43"/>
      <c r="D123" s="43"/>
      <c r="E123" s="65">
        <f>D117+D119+D120-D121</f>
        <v>32739.202929999999</v>
      </c>
      <c r="F123" s="65"/>
      <c r="G123" s="48"/>
      <c r="H123" s="48"/>
      <c r="I123" s="43"/>
      <c r="J123" s="43"/>
    </row>
    <row r="124" spans="1:10" x14ac:dyDescent="0.2">
      <c r="A124" s="45"/>
      <c r="B124" s="43"/>
      <c r="C124" s="43"/>
      <c r="D124" s="43"/>
      <c r="E124" s="48"/>
      <c r="F124" s="48"/>
      <c r="G124" s="48"/>
      <c r="H124" s="48"/>
      <c r="I124" s="43"/>
      <c r="J124" s="43"/>
    </row>
    <row r="125" spans="1:10" x14ac:dyDescent="0.2">
      <c r="A125" s="59"/>
      <c r="B125" s="60"/>
      <c r="C125" s="60"/>
      <c r="D125" s="60"/>
      <c r="E125" s="61"/>
      <c r="F125" s="61"/>
      <c r="G125" s="61"/>
      <c r="H125" s="61"/>
      <c r="I125" s="43"/>
      <c r="J125" s="43"/>
    </row>
    <row r="126" spans="1:10" x14ac:dyDescent="0.2">
      <c r="A126" s="68" t="s">
        <v>166</v>
      </c>
      <c r="B126" s="53"/>
      <c r="C126" s="53"/>
      <c r="D126" s="53"/>
      <c r="E126" s="69"/>
      <c r="F126" s="69"/>
      <c r="G126" s="69"/>
      <c r="H126" s="69"/>
      <c r="I126" s="53"/>
      <c r="J126" s="53"/>
    </row>
    <row r="127" spans="1:10" x14ac:dyDescent="0.2">
      <c r="A127" s="70"/>
      <c r="B127" s="48" t="s">
        <v>26</v>
      </c>
      <c r="C127" s="48" t="s">
        <v>25</v>
      </c>
      <c r="D127" s="53"/>
      <c r="E127" s="69"/>
      <c r="F127" s="69"/>
      <c r="G127" s="69"/>
      <c r="H127" s="69"/>
      <c r="I127" s="53"/>
      <c r="J127" s="53"/>
    </row>
    <row r="128" spans="1:10" x14ac:dyDescent="0.2">
      <c r="A128" s="70" t="s">
        <v>79</v>
      </c>
      <c r="B128" s="53">
        <f>E21</f>
        <v>1650068.76</v>
      </c>
      <c r="C128" s="53">
        <f>G21+F21+H21</f>
        <v>4824557.2700000005</v>
      </c>
      <c r="D128" s="53">
        <f>SUM(B128:C128)</f>
        <v>6474626.0300000003</v>
      </c>
      <c r="E128" s="69"/>
      <c r="F128" s="69"/>
      <c r="G128" s="69"/>
      <c r="H128" s="69"/>
      <c r="I128" s="53"/>
      <c r="J128" s="53"/>
    </row>
    <row r="129" spans="1:10" x14ac:dyDescent="0.2">
      <c r="A129" s="70" t="s">
        <v>167</v>
      </c>
      <c r="B129" s="53">
        <f>-E19</f>
        <v>81026</v>
      </c>
      <c r="C129" s="53">
        <f>-F19-G19</f>
        <v>5512.43</v>
      </c>
      <c r="D129" s="53">
        <f>SUM(B129:C129)</f>
        <v>86538.43</v>
      </c>
      <c r="E129" s="69"/>
      <c r="F129" s="69"/>
      <c r="G129" s="69"/>
      <c r="H129" s="69"/>
      <c r="I129" s="53"/>
      <c r="J129" s="53"/>
    </row>
    <row r="130" spans="1:10" x14ac:dyDescent="0.2">
      <c r="A130" s="70" t="s">
        <v>168</v>
      </c>
      <c r="B130" s="71">
        <f>SUM(B128:B129)</f>
        <v>1731094.76</v>
      </c>
      <c r="C130" s="71">
        <f>SUM(C128:C129)</f>
        <v>4830069.7</v>
      </c>
      <c r="D130" s="71">
        <f>SUM(D128:D129)</f>
        <v>6561164.46</v>
      </c>
      <c r="E130" s="69"/>
      <c r="F130" s="69"/>
      <c r="G130" s="69"/>
      <c r="H130" s="69"/>
      <c r="I130" s="53"/>
      <c r="J130" s="53"/>
    </row>
    <row r="131" spans="1:10" x14ac:dyDescent="0.2">
      <c r="A131" s="70"/>
      <c r="B131" s="53"/>
      <c r="C131" s="53"/>
      <c r="D131" s="53"/>
      <c r="E131" s="69"/>
      <c r="F131" s="69"/>
      <c r="G131" s="69"/>
      <c r="H131" s="69"/>
      <c r="I131" s="53"/>
      <c r="J131" s="53"/>
    </row>
    <row r="132" spans="1:10" x14ac:dyDescent="0.2">
      <c r="A132" s="70" t="s">
        <v>169</v>
      </c>
      <c r="B132" s="53">
        <f>B130*0.035</f>
        <v>60588.316600000006</v>
      </c>
      <c r="C132" s="53">
        <f>C130*0.035</f>
        <v>169052.43950000004</v>
      </c>
      <c r="D132" s="71">
        <f>SUM(B132:C132)</f>
        <v>229640.75610000006</v>
      </c>
      <c r="E132" s="69"/>
      <c r="F132" s="69"/>
      <c r="G132" s="69"/>
      <c r="H132" s="69"/>
      <c r="I132" s="53"/>
      <c r="J132" s="53"/>
    </row>
    <row r="133" spans="1:10" x14ac:dyDescent="0.2">
      <c r="A133" s="70" t="s">
        <v>14</v>
      </c>
      <c r="B133" s="53"/>
      <c r="C133" s="53"/>
      <c r="D133" s="71">
        <f>'Pro-forma Lewis,Joe''s'!C52</f>
        <v>232079.41000000006</v>
      </c>
      <c r="E133" s="69"/>
      <c r="F133" s="69"/>
      <c r="G133" s="69"/>
      <c r="H133" s="69"/>
      <c r="I133" s="53"/>
      <c r="J133" s="53"/>
    </row>
    <row r="134" spans="1:10" x14ac:dyDescent="0.2">
      <c r="A134" s="68" t="s">
        <v>144</v>
      </c>
      <c r="B134" s="53" t="s">
        <v>28</v>
      </c>
      <c r="C134" s="53"/>
      <c r="D134" s="71"/>
      <c r="E134" s="77">
        <f>D132-D133</f>
        <v>-2438.6539000000048</v>
      </c>
      <c r="F134" s="77"/>
      <c r="G134" s="69"/>
      <c r="H134" s="69"/>
      <c r="I134" s="53"/>
      <c r="J134" s="53"/>
    </row>
    <row r="135" spans="1:10" x14ac:dyDescent="0.2">
      <c r="A135" s="68"/>
      <c r="B135" s="53"/>
      <c r="C135" s="53"/>
      <c r="D135" s="71"/>
      <c r="E135" s="69"/>
      <c r="F135" s="69"/>
      <c r="G135" s="69"/>
      <c r="H135" s="69"/>
      <c r="I135" s="53"/>
      <c r="J135" s="53"/>
    </row>
    <row r="136" spans="1:10" x14ac:dyDescent="0.2">
      <c r="A136" s="59"/>
      <c r="B136" s="60"/>
      <c r="C136" s="60"/>
      <c r="D136" s="60"/>
      <c r="E136" s="61"/>
      <c r="F136" s="61"/>
      <c r="G136" s="61"/>
      <c r="H136" s="61"/>
      <c r="I136" s="43"/>
      <c r="J136" s="43"/>
    </row>
    <row r="137" spans="1:10" x14ac:dyDescent="0.2">
      <c r="A137" s="40" t="s">
        <v>170</v>
      </c>
      <c r="B137" s="43"/>
      <c r="C137" s="43"/>
      <c r="D137" s="43"/>
      <c r="E137" s="48"/>
      <c r="F137" s="48"/>
      <c r="G137" s="48"/>
      <c r="H137" s="48"/>
      <c r="I137" s="43"/>
      <c r="J137" s="43"/>
    </row>
    <row r="138" spans="1:10" x14ac:dyDescent="0.2">
      <c r="A138" s="45"/>
      <c r="B138" s="48"/>
      <c r="C138" s="48"/>
      <c r="D138" s="43"/>
      <c r="E138" s="48"/>
      <c r="F138" s="48"/>
      <c r="G138" s="48"/>
      <c r="H138" s="48"/>
      <c r="I138" s="43"/>
      <c r="J138" s="43"/>
    </row>
    <row r="139" spans="1:10" x14ac:dyDescent="0.2">
      <c r="A139" s="45" t="s">
        <v>171</v>
      </c>
      <c r="B139" s="43">
        <f>1694*12</f>
        <v>20328</v>
      </c>
      <c r="C139" s="43"/>
      <c r="D139" s="43"/>
      <c r="E139" s="48"/>
      <c r="F139" s="48"/>
      <c r="G139" s="48"/>
      <c r="H139" s="48"/>
      <c r="I139" s="43"/>
      <c r="J139" s="43"/>
    </row>
    <row r="140" spans="1:10" x14ac:dyDescent="0.2">
      <c r="A140" s="45" t="s">
        <v>172</v>
      </c>
      <c r="B140" s="43">
        <f>B139*0.2</f>
        <v>4065.6000000000004</v>
      </c>
      <c r="C140" s="43"/>
      <c r="D140" s="43"/>
      <c r="E140" s="48"/>
      <c r="F140" s="48"/>
      <c r="G140" s="48"/>
      <c r="H140" s="48"/>
      <c r="I140" s="43"/>
      <c r="J140" s="43"/>
    </row>
    <row r="141" spans="1:10" x14ac:dyDescent="0.2">
      <c r="A141" s="45"/>
      <c r="B141" s="43"/>
      <c r="C141" s="43"/>
      <c r="D141" s="43"/>
      <c r="E141" s="48"/>
      <c r="F141" s="48"/>
      <c r="G141" s="48"/>
      <c r="H141" s="48"/>
      <c r="I141" s="43"/>
      <c r="J141" s="43"/>
    </row>
    <row r="142" spans="1:10" x14ac:dyDescent="0.2">
      <c r="A142" s="40" t="s">
        <v>144</v>
      </c>
      <c r="B142" s="43"/>
      <c r="C142" s="43">
        <f>-B140</f>
        <v>-4065.6000000000004</v>
      </c>
      <c r="D142" s="43"/>
      <c r="E142" s="48"/>
      <c r="F142" s="48"/>
      <c r="G142" s="48"/>
      <c r="H142" s="48"/>
      <c r="I142" s="43"/>
      <c r="J142" s="43"/>
    </row>
    <row r="143" spans="1:10" x14ac:dyDescent="0.2">
      <c r="A143" s="45"/>
      <c r="B143" s="43"/>
      <c r="C143" s="43"/>
      <c r="D143" s="43"/>
      <c r="E143" s="48"/>
      <c r="F143" s="48"/>
      <c r="G143" s="48"/>
      <c r="H143" s="48"/>
      <c r="I143" s="43"/>
      <c r="J143" s="43"/>
    </row>
    <row r="144" spans="1:10" x14ac:dyDescent="0.2">
      <c r="A144" s="59"/>
      <c r="B144" s="60"/>
      <c r="C144" s="60"/>
      <c r="D144" s="60"/>
      <c r="E144" s="61"/>
      <c r="F144" s="61"/>
      <c r="G144" s="61"/>
      <c r="H144" s="61"/>
      <c r="I144" s="43"/>
      <c r="J144" s="43"/>
    </row>
    <row r="145" spans="1:10" x14ac:dyDescent="0.2">
      <c r="A145" s="45" t="s">
        <v>173</v>
      </c>
      <c r="B145" s="43" t="s">
        <v>28</v>
      </c>
      <c r="C145" s="43"/>
      <c r="D145" s="43"/>
      <c r="E145" s="48"/>
      <c r="F145" s="48"/>
      <c r="G145" s="48"/>
      <c r="H145" s="48"/>
      <c r="I145" s="43"/>
      <c r="J145" s="43"/>
    </row>
    <row r="146" spans="1:10" x14ac:dyDescent="0.2">
      <c r="A146" s="45" t="s">
        <v>174</v>
      </c>
      <c r="B146" s="43"/>
      <c r="C146" s="43"/>
      <c r="D146" s="43"/>
      <c r="E146" s="48"/>
      <c r="F146" s="48"/>
      <c r="G146" s="48"/>
      <c r="H146" s="48"/>
      <c r="I146" s="43"/>
      <c r="J146" s="43"/>
    </row>
    <row r="147" spans="1:10" x14ac:dyDescent="0.2">
      <c r="A147" s="45">
        <v>2180</v>
      </c>
      <c r="B147" s="78">
        <v>39924</v>
      </c>
      <c r="C147" s="66">
        <f>B147/B$157</f>
        <v>0.24999999999999994</v>
      </c>
      <c r="D147" s="66"/>
      <c r="E147" s="48"/>
      <c r="F147" s="48"/>
      <c r="G147" s="48"/>
      <c r="H147" s="48"/>
      <c r="I147" s="43"/>
      <c r="J147" s="43"/>
    </row>
    <row r="148" spans="1:10" x14ac:dyDescent="0.2">
      <c r="A148" s="45">
        <v>2181</v>
      </c>
      <c r="B148" s="78">
        <v>39924</v>
      </c>
      <c r="C148" s="66">
        <f t="shared" ref="C148:C156" si="6">B148/B$157</f>
        <v>0.24999999999999994</v>
      </c>
      <c r="D148" s="66"/>
      <c r="E148" s="48"/>
      <c r="F148" s="48"/>
      <c r="G148" s="48"/>
      <c r="H148" s="48"/>
      <c r="I148" s="43"/>
      <c r="J148" s="43"/>
    </row>
    <row r="149" spans="1:10" x14ac:dyDescent="0.2">
      <c r="A149" s="45">
        <v>2182</v>
      </c>
      <c r="B149" s="78">
        <v>3193.92</v>
      </c>
      <c r="C149" s="66">
        <f t="shared" si="6"/>
        <v>1.9999999999999997E-2</v>
      </c>
      <c r="D149" s="66"/>
      <c r="E149" s="48"/>
      <c r="F149" s="48"/>
      <c r="G149" s="48"/>
      <c r="H149" s="48"/>
      <c r="I149" s="43"/>
      <c r="J149" s="43"/>
    </row>
    <row r="150" spans="1:10" x14ac:dyDescent="0.2">
      <c r="A150" s="45">
        <v>2183</v>
      </c>
      <c r="B150" s="78">
        <v>36730.080000000002</v>
      </c>
      <c r="C150" s="66">
        <f t="shared" si="6"/>
        <v>0.22999999999999998</v>
      </c>
      <c r="D150" s="66"/>
      <c r="E150" s="48"/>
      <c r="F150" s="48"/>
      <c r="G150" s="48"/>
      <c r="H150" s="48"/>
      <c r="I150" s="43"/>
      <c r="J150" s="43"/>
    </row>
    <row r="151" spans="1:10" x14ac:dyDescent="0.2">
      <c r="A151" s="45">
        <v>2184</v>
      </c>
      <c r="B151" s="78">
        <v>4790.88</v>
      </c>
      <c r="C151" s="66">
        <f t="shared" si="6"/>
        <v>2.9999999999999995E-2</v>
      </c>
      <c r="D151" s="66"/>
      <c r="E151" s="48"/>
      <c r="F151" s="48"/>
      <c r="G151" s="48"/>
      <c r="H151" s="48"/>
      <c r="I151" s="43"/>
      <c r="J151" s="43"/>
    </row>
    <row r="152" spans="1:10" x14ac:dyDescent="0.2">
      <c r="A152" s="45">
        <v>2185</v>
      </c>
      <c r="B152" s="78">
        <v>4790.88</v>
      </c>
      <c r="C152" s="66">
        <f t="shared" si="6"/>
        <v>2.9999999999999995E-2</v>
      </c>
      <c r="D152" s="66"/>
      <c r="E152" s="48"/>
      <c r="F152" s="48"/>
      <c r="G152" s="48"/>
      <c r="H152" s="48"/>
      <c r="I152" s="43"/>
      <c r="J152" s="43"/>
    </row>
    <row r="153" spans="1:10" x14ac:dyDescent="0.2">
      <c r="A153" s="45">
        <v>2186</v>
      </c>
      <c r="B153" s="78">
        <v>4790.88</v>
      </c>
      <c r="C153" s="66">
        <f t="shared" si="6"/>
        <v>2.9999999999999995E-2</v>
      </c>
      <c r="D153" s="66"/>
      <c r="E153" s="48"/>
      <c r="F153" s="48"/>
      <c r="G153" s="48"/>
      <c r="H153" s="48"/>
      <c r="I153" s="43"/>
      <c r="J153" s="43"/>
    </row>
    <row r="154" spans="1:10" x14ac:dyDescent="0.2">
      <c r="A154" s="45">
        <v>2187</v>
      </c>
      <c r="B154" s="78">
        <v>9581.76</v>
      </c>
      <c r="C154" s="66">
        <f t="shared" si="6"/>
        <v>5.9999999999999991E-2</v>
      </c>
      <c r="D154" s="66"/>
      <c r="E154" s="48"/>
      <c r="F154" s="48"/>
      <c r="G154" s="48"/>
      <c r="H154" s="48"/>
      <c r="I154" s="43"/>
      <c r="J154" s="43"/>
    </row>
    <row r="155" spans="1:10" x14ac:dyDescent="0.2">
      <c r="A155" s="40">
        <v>2188</v>
      </c>
      <c r="B155" s="78">
        <v>11178.72</v>
      </c>
      <c r="C155" s="66">
        <f t="shared" si="6"/>
        <v>6.9999999999999979E-2</v>
      </c>
      <c r="D155" s="66"/>
      <c r="E155" s="48"/>
      <c r="F155" s="48"/>
      <c r="G155" s="48"/>
      <c r="H155" s="48"/>
      <c r="I155" s="43"/>
      <c r="J155" s="43"/>
    </row>
    <row r="156" spans="1:10" x14ac:dyDescent="0.2">
      <c r="A156" s="45">
        <v>2189</v>
      </c>
      <c r="B156" s="78">
        <v>4790.88</v>
      </c>
      <c r="C156" s="66">
        <f t="shared" si="6"/>
        <v>2.9999999999999995E-2</v>
      </c>
      <c r="D156" s="66"/>
      <c r="E156" s="48"/>
      <c r="F156" s="48"/>
      <c r="G156" s="48"/>
      <c r="H156" s="48"/>
      <c r="I156" s="43"/>
      <c r="J156" s="43"/>
    </row>
    <row r="157" spans="1:10" x14ac:dyDescent="0.2">
      <c r="A157" s="45"/>
      <c r="B157" s="71">
        <f>SUM(B147:B156)</f>
        <v>159696.00000000003</v>
      </c>
      <c r="C157" s="43"/>
      <c r="D157" s="43"/>
      <c r="E157" s="48"/>
      <c r="F157" s="48"/>
      <c r="G157" s="48"/>
      <c r="H157" s="48"/>
      <c r="I157" s="43"/>
      <c r="J157" s="43"/>
    </row>
    <row r="158" spans="1:10" x14ac:dyDescent="0.2">
      <c r="A158" s="45"/>
      <c r="B158" s="71"/>
      <c r="C158" s="43"/>
      <c r="D158" s="43"/>
      <c r="E158" s="48"/>
      <c r="F158" s="48"/>
      <c r="G158" s="48"/>
      <c r="H158" s="48"/>
      <c r="I158" s="43"/>
      <c r="J158" s="43"/>
    </row>
    <row r="159" spans="1:10" x14ac:dyDescent="0.2">
      <c r="A159" s="40" t="s">
        <v>144</v>
      </c>
      <c r="B159" s="71"/>
      <c r="C159" s="43"/>
      <c r="D159" s="54">
        <f>B155</f>
        <v>11178.72</v>
      </c>
      <c r="E159" s="48"/>
      <c r="F159" s="48"/>
      <c r="G159" s="48"/>
      <c r="H159" s="48"/>
      <c r="I159" s="43"/>
      <c r="J159" s="43"/>
    </row>
    <row r="160" spans="1:10" x14ac:dyDescent="0.2">
      <c r="A160" s="59"/>
      <c r="B160" s="60"/>
      <c r="C160" s="60"/>
      <c r="D160" s="60"/>
      <c r="E160" s="61"/>
      <c r="F160" s="61"/>
      <c r="G160" s="61"/>
      <c r="H160" s="61"/>
      <c r="I160" s="43"/>
      <c r="J160" s="43"/>
    </row>
    <row r="161" spans="1:10" x14ac:dyDescent="0.2">
      <c r="A161" s="40" t="s">
        <v>175</v>
      </c>
      <c r="B161" s="43"/>
      <c r="C161" s="43"/>
      <c r="D161" s="43"/>
      <c r="E161" s="48"/>
      <c r="F161" s="48"/>
      <c r="G161" s="48"/>
      <c r="H161" s="48"/>
      <c r="I161" s="43"/>
      <c r="J161" s="43"/>
    </row>
    <row r="162" spans="1:10" x14ac:dyDescent="0.2">
      <c r="A162" s="45" t="s">
        <v>176</v>
      </c>
      <c r="B162" s="43"/>
      <c r="C162" s="43"/>
      <c r="D162" s="43"/>
      <c r="E162" s="48"/>
      <c r="F162" s="48"/>
      <c r="G162" s="48"/>
      <c r="H162" s="48"/>
      <c r="I162" s="43"/>
      <c r="J162" s="43"/>
    </row>
    <row r="163" spans="1:10" x14ac:dyDescent="0.2">
      <c r="A163" s="45">
        <v>2180</v>
      </c>
      <c r="B163" s="79">
        <v>26712.648000000001</v>
      </c>
      <c r="C163" s="66">
        <f>B163/B$173</f>
        <v>0.2</v>
      </c>
      <c r="D163" s="66"/>
      <c r="E163" s="48"/>
      <c r="F163" s="48"/>
      <c r="G163" s="48"/>
      <c r="H163" s="48"/>
      <c r="I163" s="43"/>
      <c r="J163" s="43"/>
    </row>
    <row r="164" spans="1:10" x14ac:dyDescent="0.2">
      <c r="A164" s="45">
        <v>2181</v>
      </c>
      <c r="B164" s="79">
        <v>26712.648000000001</v>
      </c>
      <c r="C164" s="66">
        <f t="shared" ref="C164:C172" si="7">B164/B$173</f>
        <v>0.2</v>
      </c>
      <c r="D164" s="66"/>
      <c r="E164" s="48"/>
      <c r="F164" s="48"/>
      <c r="G164" s="48"/>
      <c r="H164" s="48"/>
      <c r="I164" s="43"/>
      <c r="J164" s="43"/>
    </row>
    <row r="165" spans="1:10" x14ac:dyDescent="0.2">
      <c r="A165" s="45">
        <v>2182</v>
      </c>
      <c r="B165" s="79">
        <v>2671.2647999999999</v>
      </c>
      <c r="C165" s="66">
        <f t="shared" si="7"/>
        <v>0.02</v>
      </c>
      <c r="D165" s="66"/>
      <c r="E165" s="48"/>
      <c r="F165" s="48"/>
      <c r="G165" s="48"/>
      <c r="H165" s="48"/>
      <c r="I165" s="43"/>
      <c r="J165" s="43"/>
    </row>
    <row r="166" spans="1:10" x14ac:dyDescent="0.2">
      <c r="A166" s="45">
        <v>2183</v>
      </c>
      <c r="B166" s="79">
        <v>38065.523399999991</v>
      </c>
      <c r="C166" s="66">
        <f t="shared" si="7"/>
        <v>0.28499999999999998</v>
      </c>
      <c r="D166" s="66"/>
      <c r="E166" s="48"/>
      <c r="F166" s="48"/>
      <c r="G166" s="48"/>
      <c r="H166" s="48"/>
      <c r="I166" s="43"/>
      <c r="J166" s="43"/>
    </row>
    <row r="167" spans="1:10" x14ac:dyDescent="0.2">
      <c r="A167" s="45">
        <v>2184</v>
      </c>
      <c r="B167" s="79">
        <v>4006.8971999999999</v>
      </c>
      <c r="C167" s="66">
        <f t="shared" si="7"/>
        <v>3.0000000000000002E-2</v>
      </c>
      <c r="D167" s="66"/>
      <c r="E167" s="48"/>
      <c r="F167" s="48"/>
      <c r="G167" s="48"/>
      <c r="H167" s="48"/>
      <c r="I167" s="43"/>
      <c r="J167" s="43"/>
    </row>
    <row r="168" spans="1:10" x14ac:dyDescent="0.2">
      <c r="A168" s="45">
        <v>2185</v>
      </c>
      <c r="B168" s="79">
        <v>3339.0810000000001</v>
      </c>
      <c r="C168" s="66">
        <f t="shared" si="7"/>
        <v>2.5000000000000001E-2</v>
      </c>
      <c r="D168" s="66"/>
      <c r="E168" s="48"/>
      <c r="F168" s="48"/>
      <c r="G168" s="48"/>
      <c r="H168" s="48"/>
      <c r="I168" s="43"/>
      <c r="J168" s="43"/>
    </row>
    <row r="169" spans="1:10" x14ac:dyDescent="0.2">
      <c r="A169" s="45">
        <v>2186</v>
      </c>
      <c r="B169" s="79">
        <v>7345.9781999999996</v>
      </c>
      <c r="C169" s="66">
        <f t="shared" si="7"/>
        <v>5.5E-2</v>
      </c>
      <c r="D169" s="66"/>
      <c r="E169" s="48"/>
      <c r="F169" s="48"/>
      <c r="G169" s="48"/>
      <c r="H169" s="48"/>
      <c r="I169" s="43"/>
      <c r="J169" s="43"/>
    </row>
    <row r="170" spans="1:10" x14ac:dyDescent="0.2">
      <c r="A170" s="45">
        <v>2187</v>
      </c>
      <c r="B170" s="79">
        <v>7345.9781999999996</v>
      </c>
      <c r="C170" s="66">
        <f t="shared" si="7"/>
        <v>5.5E-2</v>
      </c>
      <c r="D170" s="66"/>
      <c r="E170" s="48"/>
      <c r="F170" s="48"/>
      <c r="G170" s="48"/>
      <c r="H170" s="48"/>
      <c r="I170" s="43"/>
      <c r="J170" s="43"/>
    </row>
    <row r="171" spans="1:10" x14ac:dyDescent="0.2">
      <c r="A171" s="40">
        <v>2188</v>
      </c>
      <c r="B171" s="79">
        <v>8681.6106</v>
      </c>
      <c r="C171" s="66">
        <f t="shared" si="7"/>
        <v>6.5000000000000002E-2</v>
      </c>
      <c r="D171" s="66"/>
      <c r="E171" s="48"/>
      <c r="F171" s="48"/>
      <c r="G171" s="48"/>
      <c r="H171" s="48"/>
      <c r="I171" s="43"/>
      <c r="J171" s="43"/>
    </row>
    <row r="172" spans="1:10" x14ac:dyDescent="0.2">
      <c r="A172" s="45">
        <v>2189</v>
      </c>
      <c r="B172" s="79">
        <v>8681.6106</v>
      </c>
      <c r="C172" s="66">
        <f t="shared" si="7"/>
        <v>6.5000000000000002E-2</v>
      </c>
      <c r="D172" s="66"/>
      <c r="E172" s="48"/>
      <c r="F172" s="48"/>
      <c r="G172" s="48"/>
      <c r="H172" s="48"/>
      <c r="I172" s="43"/>
      <c r="J172" s="43"/>
    </row>
    <row r="173" spans="1:10" x14ac:dyDescent="0.2">
      <c r="A173" s="45" t="s">
        <v>4</v>
      </c>
      <c r="B173" s="80">
        <v>133563.24</v>
      </c>
      <c r="C173" s="71"/>
      <c r="D173" s="43"/>
      <c r="E173" s="48"/>
      <c r="F173" s="48"/>
      <c r="G173" s="48"/>
      <c r="H173" s="48"/>
      <c r="I173" s="43"/>
      <c r="J173" s="43"/>
    </row>
    <row r="174" spans="1:10" x14ac:dyDescent="0.2">
      <c r="A174" s="45"/>
      <c r="B174" s="80"/>
      <c r="C174" s="71"/>
      <c r="D174" s="43"/>
      <c r="E174" s="48"/>
      <c r="F174" s="48"/>
      <c r="G174" s="48"/>
      <c r="H174" s="48"/>
      <c r="I174" s="43"/>
      <c r="J174" s="43"/>
    </row>
    <row r="175" spans="1:10" x14ac:dyDescent="0.2">
      <c r="A175" s="40" t="s">
        <v>144</v>
      </c>
      <c r="B175" s="80"/>
      <c r="C175" s="71"/>
      <c r="D175" s="54">
        <f>B171</f>
        <v>8681.6106</v>
      </c>
      <c r="E175" s="48"/>
      <c r="F175" s="48"/>
      <c r="G175" s="48"/>
      <c r="H175" s="48"/>
      <c r="I175" s="43"/>
      <c r="J175" s="43"/>
    </row>
    <row r="176" spans="1:10" x14ac:dyDescent="0.2">
      <c r="A176" s="59"/>
      <c r="B176" s="60"/>
      <c r="C176" s="60"/>
      <c r="D176" s="60"/>
      <c r="E176" s="61"/>
      <c r="F176" s="61"/>
      <c r="G176" s="61"/>
      <c r="H176" s="61"/>
      <c r="I176" s="43"/>
      <c r="J176" s="43"/>
    </row>
    <row r="177" spans="1:10" x14ac:dyDescent="0.2">
      <c r="A177" s="45" t="s">
        <v>177</v>
      </c>
      <c r="B177" s="43"/>
      <c r="C177" s="43"/>
      <c r="D177" s="43"/>
      <c r="E177" s="48"/>
      <c r="F177" s="48"/>
      <c r="G177" s="48"/>
      <c r="H177" s="48"/>
      <c r="I177" s="43"/>
      <c r="J177" s="43"/>
    </row>
    <row r="178" spans="1:10" x14ac:dyDescent="0.2">
      <c r="A178" s="45" t="s">
        <v>178</v>
      </c>
      <c r="B178" s="43"/>
      <c r="C178" s="43"/>
      <c r="D178" s="43"/>
      <c r="E178" s="48"/>
      <c r="F178" s="48"/>
      <c r="G178" s="48"/>
      <c r="H178" s="48"/>
      <c r="I178" s="43"/>
      <c r="J178" s="43"/>
    </row>
    <row r="179" spans="1:10" x14ac:dyDescent="0.2">
      <c r="A179" s="45">
        <v>2180</v>
      </c>
      <c r="B179" s="43">
        <v>90731.98599999999</v>
      </c>
      <c r="C179" s="66">
        <f>B179/B$189</f>
        <v>0.19999999999999998</v>
      </c>
      <c r="D179" s="43"/>
      <c r="E179" s="48"/>
      <c r="F179" s="48"/>
      <c r="G179" s="48"/>
      <c r="H179" s="48"/>
      <c r="I179" s="43"/>
      <c r="J179" s="43"/>
    </row>
    <row r="180" spans="1:10" x14ac:dyDescent="0.2">
      <c r="A180" s="45">
        <v>2181</v>
      </c>
      <c r="B180" s="43">
        <v>90731.98599999999</v>
      </c>
      <c r="C180" s="66">
        <f t="shared" ref="C180:C188" si="8">B180/B$189</f>
        <v>0.19999999999999998</v>
      </c>
      <c r="D180" s="43"/>
      <c r="E180" s="48"/>
      <c r="F180" s="48"/>
      <c r="G180" s="48"/>
      <c r="H180" s="48"/>
      <c r="I180" s="43"/>
      <c r="J180" s="43"/>
    </row>
    <row r="181" spans="1:10" x14ac:dyDescent="0.2">
      <c r="A181" s="45">
        <v>2182</v>
      </c>
      <c r="B181" s="43">
        <v>9073.1985999999997</v>
      </c>
      <c r="C181" s="66">
        <f t="shared" si="8"/>
        <v>0.02</v>
      </c>
      <c r="D181" s="43"/>
      <c r="E181" s="48"/>
      <c r="F181" s="48"/>
      <c r="G181" s="48"/>
      <c r="H181" s="48"/>
      <c r="I181" s="43"/>
      <c r="J181" s="43"/>
    </row>
    <row r="182" spans="1:10" x14ac:dyDescent="0.2">
      <c r="A182" s="45">
        <v>2183</v>
      </c>
      <c r="B182" s="43">
        <v>129293.08004999998</v>
      </c>
      <c r="C182" s="66">
        <f t="shared" si="8"/>
        <v>0.28499999999999998</v>
      </c>
      <c r="D182" s="43"/>
      <c r="E182" s="48"/>
      <c r="F182" s="48"/>
      <c r="G182" s="48"/>
      <c r="H182" s="48"/>
      <c r="I182" s="43"/>
      <c r="J182" s="43"/>
    </row>
    <row r="183" spans="1:10" x14ac:dyDescent="0.2">
      <c r="A183" s="45">
        <v>2184</v>
      </c>
      <c r="B183" s="43">
        <v>13609.797899999998</v>
      </c>
      <c r="C183" s="66">
        <f t="shared" si="8"/>
        <v>2.9999999999999995E-2</v>
      </c>
      <c r="D183" s="43"/>
      <c r="E183" s="48"/>
      <c r="F183" s="48"/>
      <c r="G183" s="48"/>
      <c r="H183" s="48"/>
      <c r="I183" s="43"/>
      <c r="J183" s="43"/>
    </row>
    <row r="184" spans="1:10" x14ac:dyDescent="0.2">
      <c r="A184" s="45">
        <v>2185</v>
      </c>
      <c r="B184" s="43">
        <v>11341.498249999999</v>
      </c>
      <c r="C184" s="66">
        <f t="shared" si="8"/>
        <v>2.4999999999999998E-2</v>
      </c>
      <c r="D184" s="43"/>
      <c r="E184" s="48"/>
      <c r="F184" s="48"/>
      <c r="G184" s="48"/>
      <c r="H184" s="48"/>
      <c r="I184" s="43"/>
      <c r="J184" s="43"/>
    </row>
    <row r="185" spans="1:10" x14ac:dyDescent="0.2">
      <c r="A185" s="45">
        <v>2186</v>
      </c>
      <c r="B185" s="43">
        <v>24951.296149999998</v>
      </c>
      <c r="C185" s="66">
        <f t="shared" si="8"/>
        <v>5.5E-2</v>
      </c>
      <c r="D185" s="43"/>
      <c r="E185" s="48"/>
      <c r="F185" s="48"/>
      <c r="G185" s="48"/>
      <c r="H185" s="48"/>
      <c r="I185" s="43"/>
      <c r="J185" s="43"/>
    </row>
    <row r="186" spans="1:10" x14ac:dyDescent="0.2">
      <c r="A186" s="45">
        <v>2187</v>
      </c>
      <c r="B186" s="43">
        <v>24951.296149999998</v>
      </c>
      <c r="C186" s="66">
        <f t="shared" si="8"/>
        <v>5.5E-2</v>
      </c>
      <c r="D186" s="43"/>
      <c r="E186" s="48"/>
      <c r="F186" s="48"/>
      <c r="G186" s="48"/>
      <c r="H186" s="48"/>
      <c r="I186" s="43"/>
      <c r="J186" s="43"/>
    </row>
    <row r="187" spans="1:10" x14ac:dyDescent="0.2">
      <c r="A187" s="40">
        <v>2188</v>
      </c>
      <c r="B187" s="43">
        <v>29487.895449999996</v>
      </c>
      <c r="C187" s="66">
        <f t="shared" si="8"/>
        <v>6.4999999999999988E-2</v>
      </c>
      <c r="D187" s="43"/>
      <c r="E187" s="48"/>
      <c r="F187" s="48"/>
      <c r="G187" s="48"/>
      <c r="H187" s="48"/>
      <c r="I187" s="43"/>
      <c r="J187" s="43"/>
    </row>
    <row r="188" spans="1:10" x14ac:dyDescent="0.2">
      <c r="A188" s="45">
        <v>2189</v>
      </c>
      <c r="B188" s="43">
        <v>29487.895449999996</v>
      </c>
      <c r="C188" s="66">
        <f t="shared" si="8"/>
        <v>6.4999999999999988E-2</v>
      </c>
      <c r="D188" s="43"/>
      <c r="E188" s="48"/>
      <c r="F188" s="48"/>
      <c r="G188" s="48"/>
      <c r="H188" s="48"/>
      <c r="I188" s="43"/>
      <c r="J188" s="43"/>
    </row>
    <row r="189" spans="1:10" x14ac:dyDescent="0.2">
      <c r="A189" s="45" t="s">
        <v>4</v>
      </c>
      <c r="B189" s="43">
        <f>SUM(B179:B188)</f>
        <v>453659.93</v>
      </c>
      <c r="C189" s="43"/>
      <c r="D189" s="43"/>
      <c r="E189" s="48"/>
      <c r="F189" s="48"/>
      <c r="G189" s="48"/>
      <c r="H189" s="48"/>
      <c r="I189" s="43"/>
      <c r="J189" s="43"/>
    </row>
    <row r="190" spans="1:10" x14ac:dyDescent="0.2">
      <c r="A190" s="45"/>
      <c r="B190" s="43"/>
      <c r="C190" s="43"/>
      <c r="D190" s="43"/>
      <c r="E190" s="48"/>
      <c r="F190" s="48"/>
      <c r="G190" s="48"/>
      <c r="H190" s="48"/>
      <c r="I190" s="43"/>
      <c r="J190" s="43"/>
    </row>
    <row r="191" spans="1:10" x14ac:dyDescent="0.2">
      <c r="A191" s="40" t="s">
        <v>144</v>
      </c>
      <c r="B191" s="80"/>
      <c r="C191" s="71"/>
      <c r="D191" s="54">
        <f>B187</f>
        <v>29487.895449999996</v>
      </c>
      <c r="E191" s="48"/>
      <c r="F191" s="48"/>
      <c r="G191" s="48"/>
      <c r="H191" s="48"/>
      <c r="I191" s="43"/>
      <c r="J191" s="43"/>
    </row>
    <row r="192" spans="1:10" x14ac:dyDescent="0.2">
      <c r="A192" s="40"/>
      <c r="B192" s="80"/>
      <c r="C192" s="71"/>
      <c r="D192" s="54"/>
      <c r="E192" s="48"/>
      <c r="F192" s="48"/>
      <c r="G192" s="48"/>
      <c r="H192" s="48"/>
      <c r="I192" s="43"/>
      <c r="J192" s="43"/>
    </row>
    <row r="193" spans="1:10" x14ac:dyDescent="0.2">
      <c r="A193" s="40" t="s">
        <v>179</v>
      </c>
      <c r="B193" s="80"/>
      <c r="C193" s="71"/>
      <c r="D193" s="54"/>
      <c r="E193" s="48"/>
      <c r="F193" s="48"/>
      <c r="G193" s="48"/>
      <c r="H193" s="48"/>
      <c r="I193" s="43"/>
      <c r="J193" s="43"/>
    </row>
    <row r="194" spans="1:10" x14ac:dyDescent="0.2">
      <c r="A194" s="70"/>
      <c r="B194" s="53"/>
      <c r="C194" s="53"/>
      <c r="D194" s="53"/>
      <c r="E194" s="69"/>
      <c r="F194" s="69"/>
      <c r="G194" s="69"/>
      <c r="H194" s="69"/>
      <c r="I194" s="53"/>
      <c r="J194" s="53"/>
    </row>
    <row r="195" spans="1:10" x14ac:dyDescent="0.2">
      <c r="A195" s="40" t="s">
        <v>180</v>
      </c>
      <c r="B195" s="43"/>
      <c r="C195" s="43"/>
      <c r="D195" s="43"/>
      <c r="E195" s="48"/>
      <c r="F195" s="48"/>
      <c r="G195" s="48"/>
      <c r="H195" s="48"/>
      <c r="I195" s="43"/>
      <c r="J195" s="43"/>
    </row>
    <row r="196" spans="1:10" x14ac:dyDescent="0.2">
      <c r="A196" s="45" t="s">
        <v>181</v>
      </c>
      <c r="B196" s="43">
        <v>85238.399999999994</v>
      </c>
      <c r="C196" s="81">
        <v>2180</v>
      </c>
      <c r="D196" s="43"/>
      <c r="E196" s="45"/>
      <c r="F196" s="45"/>
      <c r="G196" s="48"/>
      <c r="H196" s="48"/>
      <c r="I196" s="43"/>
      <c r="J196" s="43"/>
    </row>
    <row r="197" spans="1:10" x14ac:dyDescent="0.2">
      <c r="A197" s="45" t="s">
        <v>182</v>
      </c>
      <c r="B197" s="43">
        <v>52769.599999999999</v>
      </c>
      <c r="C197" s="81">
        <v>2181</v>
      </c>
      <c r="D197" s="43"/>
      <c r="E197" s="45"/>
      <c r="F197" s="45"/>
      <c r="G197" s="48"/>
      <c r="H197" s="48"/>
      <c r="I197" s="43"/>
      <c r="J197" s="43"/>
    </row>
    <row r="198" spans="1:10" x14ac:dyDescent="0.2">
      <c r="A198" s="45" t="s">
        <v>183</v>
      </c>
      <c r="B198" s="43">
        <v>41072.800000000003</v>
      </c>
      <c r="C198" s="81">
        <v>2181</v>
      </c>
      <c r="D198" s="43"/>
      <c r="E198" s="45"/>
      <c r="F198" s="45"/>
      <c r="G198" s="48"/>
      <c r="H198" s="48"/>
      <c r="I198" s="43"/>
      <c r="J198" s="43"/>
    </row>
    <row r="199" spans="1:10" x14ac:dyDescent="0.2">
      <c r="A199" s="45" t="s">
        <v>184</v>
      </c>
      <c r="B199" s="43">
        <v>30575.65</v>
      </c>
      <c r="C199" s="81">
        <v>2180</v>
      </c>
      <c r="D199" s="43"/>
      <c r="E199" s="45"/>
      <c r="F199" s="45"/>
      <c r="G199" s="48"/>
      <c r="H199" s="48"/>
      <c r="I199" s="43"/>
      <c r="J199" s="43"/>
    </row>
    <row r="200" spans="1:10" x14ac:dyDescent="0.2">
      <c r="A200" s="45"/>
      <c r="B200" s="43">
        <f>SUM(B196:B199)</f>
        <v>209656.44999999998</v>
      </c>
      <c r="C200" s="81"/>
      <c r="D200" s="43"/>
      <c r="E200" s="45"/>
      <c r="F200" s="45"/>
      <c r="G200" s="48"/>
      <c r="H200" s="48"/>
      <c r="I200" s="43"/>
      <c r="J200" s="43"/>
    </row>
    <row r="201" spans="1:10" x14ac:dyDescent="0.2">
      <c r="A201" s="45"/>
      <c r="B201" s="43"/>
      <c r="C201" s="81"/>
      <c r="D201" s="43"/>
      <c r="E201" s="45"/>
      <c r="F201" s="45"/>
      <c r="G201" s="48"/>
      <c r="H201" s="48"/>
      <c r="I201" s="43"/>
      <c r="J201" s="43"/>
    </row>
    <row r="202" spans="1:10" x14ac:dyDescent="0.2">
      <c r="A202" s="40" t="s">
        <v>185</v>
      </c>
      <c r="B202" s="43"/>
      <c r="C202" s="81"/>
      <c r="D202" s="43"/>
      <c r="E202" s="45"/>
      <c r="F202" s="45"/>
      <c r="G202" s="48"/>
      <c r="H202" s="48"/>
      <c r="I202" s="43"/>
      <c r="J202" s="43"/>
    </row>
    <row r="203" spans="1:10" x14ac:dyDescent="0.2">
      <c r="A203" s="45" t="s">
        <v>186</v>
      </c>
      <c r="B203" s="43">
        <v>67999.88</v>
      </c>
      <c r="C203" s="81">
        <v>2180</v>
      </c>
      <c r="D203" s="43"/>
      <c r="E203" s="45"/>
      <c r="F203" s="45"/>
      <c r="G203" s="48"/>
      <c r="H203" s="48"/>
      <c r="I203" s="43"/>
      <c r="J203" s="43"/>
    </row>
    <row r="204" spans="1:10" x14ac:dyDescent="0.2">
      <c r="A204" s="45" t="s">
        <v>187</v>
      </c>
      <c r="B204" s="43">
        <v>52195.040000000001</v>
      </c>
      <c r="C204" s="81">
        <v>2180</v>
      </c>
      <c r="D204" s="43"/>
      <c r="E204" s="45"/>
      <c r="F204" s="45"/>
      <c r="G204" s="48"/>
      <c r="H204" s="48"/>
      <c r="I204" s="43"/>
      <c r="J204" s="43"/>
    </row>
    <row r="205" spans="1:10" x14ac:dyDescent="0.2">
      <c r="A205" s="45" t="s">
        <v>188</v>
      </c>
      <c r="B205" s="43">
        <v>45171.44</v>
      </c>
      <c r="C205" s="81">
        <v>2181</v>
      </c>
      <c r="D205" s="43"/>
      <c r="E205" s="45"/>
      <c r="F205" s="45"/>
      <c r="G205" s="48"/>
      <c r="H205" s="48"/>
      <c r="I205" s="43"/>
      <c r="J205" s="43"/>
    </row>
    <row r="206" spans="1:10" x14ac:dyDescent="0.2">
      <c r="A206" s="45" t="s">
        <v>189</v>
      </c>
      <c r="B206" s="43">
        <v>42105.2</v>
      </c>
      <c r="C206" s="81">
        <v>2180</v>
      </c>
      <c r="D206" s="43"/>
      <c r="E206" s="45"/>
      <c r="F206" s="45"/>
      <c r="G206" s="48"/>
      <c r="H206" s="48"/>
      <c r="I206" s="43"/>
      <c r="J206" s="43"/>
    </row>
    <row r="207" spans="1:10" x14ac:dyDescent="0.2">
      <c r="A207" s="45" t="s">
        <v>190</v>
      </c>
      <c r="B207" s="43">
        <v>36531.919999999998</v>
      </c>
      <c r="C207" s="81">
        <v>2180</v>
      </c>
      <c r="D207" s="43"/>
      <c r="E207" s="45"/>
      <c r="F207" s="45"/>
      <c r="G207" s="48"/>
      <c r="H207" s="48"/>
      <c r="I207" s="43"/>
      <c r="J207" s="43"/>
    </row>
    <row r="208" spans="1:10" x14ac:dyDescent="0.2">
      <c r="A208" s="45"/>
      <c r="B208" s="43">
        <f>SUM(B203:B207)</f>
        <v>244003.47999999998</v>
      </c>
      <c r="C208" s="43"/>
      <c r="D208" s="43"/>
      <c r="E208" s="45"/>
      <c r="F208" s="45"/>
      <c r="G208" s="48"/>
      <c r="H208" s="48"/>
      <c r="I208" s="43"/>
      <c r="J208" s="43"/>
    </row>
    <row r="209" spans="1:10" x14ac:dyDescent="0.2">
      <c r="A209" s="45"/>
      <c r="B209" s="43"/>
      <c r="C209" s="43"/>
      <c r="D209" s="43"/>
      <c r="E209" s="48"/>
      <c r="F209" s="48"/>
      <c r="G209" s="48"/>
      <c r="H209" s="48"/>
      <c r="I209" s="43"/>
      <c r="J209" s="43"/>
    </row>
    <row r="210" spans="1:10" x14ac:dyDescent="0.2">
      <c r="A210" s="45"/>
      <c r="B210" s="43">
        <f>B200+B208</f>
        <v>453659.92999999993</v>
      </c>
      <c r="C210" s="43"/>
      <c r="D210" s="43"/>
      <c r="E210" s="48"/>
      <c r="F210" s="48"/>
      <c r="G210" s="48"/>
      <c r="H210" s="48"/>
      <c r="I210" s="43"/>
      <c r="J210" s="43"/>
    </row>
    <row r="211" spans="1:10" x14ac:dyDescent="0.2">
      <c r="A211" s="45"/>
      <c r="B211" s="43"/>
      <c r="C211" s="43"/>
      <c r="D211" s="43"/>
      <c r="E211" s="48"/>
      <c r="F211" s="48"/>
      <c r="G211" s="48"/>
      <c r="H211" s="48"/>
      <c r="I211" s="43"/>
      <c r="J211" s="43"/>
    </row>
    <row r="212" spans="1:10" x14ac:dyDescent="0.2">
      <c r="A212" s="59"/>
      <c r="B212" s="60"/>
      <c r="C212" s="60"/>
      <c r="D212" s="60"/>
      <c r="E212" s="61"/>
      <c r="F212" s="61"/>
      <c r="G212" s="61"/>
      <c r="H212" s="61"/>
      <c r="I212" s="43"/>
      <c r="J212" s="43"/>
    </row>
    <row r="213" spans="1:10" x14ac:dyDescent="0.2">
      <c r="A213" s="40" t="s">
        <v>191</v>
      </c>
      <c r="B213" s="43"/>
      <c r="C213" s="43"/>
      <c r="D213" s="43"/>
      <c r="E213" s="48"/>
      <c r="F213" s="48"/>
      <c r="G213" s="48"/>
      <c r="H213" s="48"/>
      <c r="I213" s="43"/>
      <c r="J213" s="43"/>
    </row>
    <row r="214" spans="1:10" x14ac:dyDescent="0.2">
      <c r="A214" s="40"/>
      <c r="B214" s="48" t="s">
        <v>26</v>
      </c>
      <c r="C214" s="48" t="s">
        <v>129</v>
      </c>
      <c r="D214" s="43" t="s">
        <v>192</v>
      </c>
      <c r="E214" s="48" t="s">
        <v>193</v>
      </c>
      <c r="F214" s="48"/>
      <c r="G214" s="48"/>
      <c r="H214" s="48"/>
      <c r="I214" s="43"/>
      <c r="J214" s="43"/>
    </row>
    <row r="215" spans="1:10" x14ac:dyDescent="0.2">
      <c r="A215" s="45" t="s">
        <v>194</v>
      </c>
      <c r="B215" s="43">
        <f>'[2]Joe''s Disposal Fees'!P15</f>
        <v>418834.62</v>
      </c>
      <c r="C215" s="43">
        <f>'[2]RSA-1 Disposal Fees'!N15+'[2]Disposal Fees'!N15+'[2]Joe''s Lewis-Disposal Fees '!N14</f>
        <v>1268171.1199999999</v>
      </c>
      <c r="D215" s="43">
        <f>SUM(B215:C215)</f>
        <v>1687005.7399999998</v>
      </c>
      <c r="E215" s="57">
        <f>'Pro-forma Lewis,Joe''s'!C39</f>
        <v>1753878.57</v>
      </c>
      <c r="F215" s="57"/>
      <c r="G215" s="48"/>
      <c r="H215" s="48"/>
      <c r="I215" s="43"/>
      <c r="J215" s="43"/>
    </row>
    <row r="216" spans="1:10" x14ac:dyDescent="0.2">
      <c r="A216" s="45" t="s">
        <v>68</v>
      </c>
      <c r="B216" s="43">
        <f>'[2]Joe''s Disposal Fees'!O11</f>
        <v>195618.38</v>
      </c>
      <c r="C216" s="43">
        <f>'[2]Disposal Fees'!N11+'[2]Joe''s Lewis-Disposal Fees '!N10</f>
        <v>473594.27999999997</v>
      </c>
      <c r="D216" s="43">
        <f>SUM(B216:C216)</f>
        <v>669212.65999999992</v>
      </c>
      <c r="E216" s="57">
        <f>'Pro-forma Lewis,Joe''s'!C40</f>
        <v>668449.22</v>
      </c>
      <c r="F216" s="57">
        <f>D216-E216</f>
        <v>763.43999999994412</v>
      </c>
      <c r="G216" s="48"/>
      <c r="H216" s="48"/>
      <c r="I216" s="43"/>
      <c r="J216" s="43"/>
    </row>
    <row r="217" spans="1:10" x14ac:dyDescent="0.2">
      <c r="A217" s="40"/>
      <c r="B217" s="54">
        <f>SUM(B215:B216)</f>
        <v>614453</v>
      </c>
      <c r="C217" s="54">
        <f>SUM(C215:C216)</f>
        <v>1741765.4</v>
      </c>
      <c r="D217" s="54">
        <f>SUM(D215:D216)</f>
        <v>2356218.3999999994</v>
      </c>
      <c r="E217" s="65">
        <f>SUM(E215:E216)</f>
        <v>2422327.79</v>
      </c>
      <c r="F217" s="65"/>
      <c r="G217" s="48"/>
      <c r="H217" s="48"/>
      <c r="I217" s="43"/>
      <c r="J217" s="43"/>
    </row>
    <row r="218" spans="1:10" x14ac:dyDescent="0.2">
      <c r="A218" s="45" t="s">
        <v>21</v>
      </c>
      <c r="B218" s="43"/>
      <c r="C218" s="43"/>
      <c r="D218" s="43">
        <v>0</v>
      </c>
      <c r="E218" s="57">
        <f>'Pro-forma Lewis,Joe''s'!C41</f>
        <v>1139.06</v>
      </c>
      <c r="F218" s="48"/>
      <c r="G218" s="48"/>
      <c r="H218" s="48"/>
      <c r="I218" s="43"/>
      <c r="J218" s="43"/>
    </row>
    <row r="219" spans="1:10" x14ac:dyDescent="0.2">
      <c r="A219" s="40"/>
      <c r="B219" s="43"/>
      <c r="C219" s="43"/>
      <c r="D219" s="54">
        <f>SUM(D217:D218)</f>
        <v>2356218.3999999994</v>
      </c>
      <c r="E219" s="57">
        <f>SUM(E217:E218)</f>
        <v>2423466.85</v>
      </c>
      <c r="F219" s="48"/>
      <c r="G219" s="48"/>
      <c r="H219" s="48"/>
      <c r="I219" s="43"/>
      <c r="J219" s="43"/>
    </row>
    <row r="220" spans="1:10" x14ac:dyDescent="0.2">
      <c r="A220" s="40"/>
      <c r="B220" s="43"/>
      <c r="C220" s="43"/>
      <c r="D220" s="43"/>
      <c r="E220" s="48"/>
      <c r="F220" s="48"/>
      <c r="G220" s="48"/>
      <c r="H220" s="48"/>
      <c r="I220" s="43"/>
      <c r="J220" s="43"/>
    </row>
    <row r="221" spans="1:10" x14ac:dyDescent="0.2">
      <c r="A221" s="45" t="s">
        <v>195</v>
      </c>
      <c r="B221" s="43"/>
      <c r="C221" s="43"/>
      <c r="D221" s="43">
        <f>D215-E215</f>
        <v>-66872.830000000307</v>
      </c>
      <c r="E221" s="82" t="s">
        <v>196</v>
      </c>
      <c r="F221" s="57"/>
      <c r="G221" s="48"/>
      <c r="H221" s="48"/>
      <c r="I221" s="43"/>
      <c r="J221" s="43"/>
    </row>
    <row r="222" spans="1:10" x14ac:dyDescent="0.2">
      <c r="A222" s="45" t="s">
        <v>197</v>
      </c>
      <c r="B222" s="43"/>
      <c r="C222" s="43"/>
      <c r="D222" s="43">
        <f>D216-E216</f>
        <v>763.43999999994412</v>
      </c>
      <c r="E222" s="57"/>
      <c r="F222" s="57"/>
      <c r="G222" s="48"/>
      <c r="H222" s="48"/>
      <c r="I222" s="43"/>
      <c r="J222" s="43"/>
    </row>
    <row r="223" spans="1:10" x14ac:dyDescent="0.2">
      <c r="A223" s="40"/>
      <c r="B223" s="43"/>
      <c r="C223" s="43"/>
      <c r="D223" s="43"/>
      <c r="E223" s="48"/>
      <c r="F223" s="48"/>
      <c r="G223" s="48"/>
      <c r="H223" s="48"/>
      <c r="I223" s="43"/>
      <c r="J223" s="43"/>
    </row>
    <row r="224" spans="1:10" x14ac:dyDescent="0.2">
      <c r="A224" s="40" t="s">
        <v>144</v>
      </c>
      <c r="B224" s="43"/>
      <c r="C224" s="43"/>
      <c r="D224" s="54">
        <f>SUM(D221:D222)</f>
        <v>-66109.390000000363</v>
      </c>
      <c r="E224" s="48"/>
      <c r="F224" s="48"/>
      <c r="G224" s="48"/>
      <c r="H224" s="48"/>
      <c r="I224" s="43"/>
      <c r="J224" s="43"/>
    </row>
    <row r="225" spans="1:10" x14ac:dyDescent="0.2">
      <c r="A225" s="40"/>
      <c r="B225" s="43"/>
      <c r="C225" s="43"/>
      <c r="D225" s="54"/>
      <c r="E225" s="48"/>
      <c r="F225" s="48"/>
      <c r="G225" s="48"/>
      <c r="H225" s="48"/>
      <c r="I225" s="43"/>
      <c r="J225" s="43"/>
    </row>
    <row r="226" spans="1:10" x14ac:dyDescent="0.2">
      <c r="A226" s="40"/>
      <c r="B226" s="43"/>
      <c r="C226" s="43"/>
      <c r="D226" s="43"/>
      <c r="E226" s="48"/>
      <c r="F226" s="48"/>
      <c r="G226" s="48"/>
      <c r="H226" s="48"/>
      <c r="I226" s="43"/>
      <c r="J226" s="43"/>
    </row>
    <row r="227" spans="1:10" x14ac:dyDescent="0.2">
      <c r="A227" s="59"/>
      <c r="B227" s="60"/>
      <c r="C227" s="60"/>
      <c r="D227" s="60"/>
      <c r="E227" s="61"/>
      <c r="F227" s="61"/>
      <c r="G227" s="61"/>
      <c r="H227" s="61"/>
      <c r="I227" s="43"/>
      <c r="J227" s="43"/>
    </row>
    <row r="228" spans="1:10" x14ac:dyDescent="0.2">
      <c r="A228" s="83" t="s">
        <v>198</v>
      </c>
      <c r="B228" s="84"/>
      <c r="C228" s="84"/>
      <c r="D228" s="84"/>
      <c r="E228" s="85"/>
      <c r="F228" s="85"/>
      <c r="G228" s="48"/>
      <c r="H228" s="48"/>
      <c r="I228" s="43"/>
      <c r="J228" s="43"/>
    </row>
    <row r="229" spans="1:10" x14ac:dyDescent="0.2">
      <c r="A229" s="85" t="s">
        <v>199</v>
      </c>
      <c r="B229" s="84">
        <v>0</v>
      </c>
      <c r="C229" s="84"/>
      <c r="D229" s="85"/>
      <c r="E229" s="85"/>
      <c r="F229" s="85"/>
      <c r="G229" s="43"/>
      <c r="H229" s="43"/>
      <c r="I229" s="43"/>
      <c r="J229" s="43"/>
    </row>
    <row r="230" spans="1:10" x14ac:dyDescent="0.2">
      <c r="A230" s="85" t="s">
        <v>200</v>
      </c>
      <c r="B230" s="84">
        <v>72134</v>
      </c>
      <c r="C230" s="84"/>
      <c r="D230" s="85"/>
      <c r="E230" s="85"/>
      <c r="F230" s="85"/>
      <c r="G230" s="43"/>
      <c r="H230" s="43"/>
      <c r="I230" s="43"/>
      <c r="J230" s="43"/>
    </row>
    <row r="231" spans="1:10" x14ac:dyDescent="0.2">
      <c r="A231" s="85" t="s">
        <v>201</v>
      </c>
      <c r="B231" s="84">
        <f>B230-B229</f>
        <v>72134</v>
      </c>
      <c r="C231" s="84"/>
      <c r="D231" s="85"/>
      <c r="E231" s="85"/>
      <c r="F231" s="85"/>
      <c r="G231" s="43"/>
      <c r="H231" s="43"/>
      <c r="I231" s="43"/>
      <c r="J231" s="43"/>
    </row>
    <row r="232" spans="1:10" x14ac:dyDescent="0.2">
      <c r="A232" s="85" t="s">
        <v>202</v>
      </c>
      <c r="B232" s="84"/>
      <c r="C232" s="84"/>
      <c r="D232" s="85"/>
      <c r="E232" s="85"/>
      <c r="F232" s="85"/>
      <c r="G232" s="43"/>
      <c r="H232" s="43"/>
      <c r="I232" s="43"/>
      <c r="J232" s="43"/>
    </row>
    <row r="233" spans="1:10" x14ac:dyDescent="0.2">
      <c r="A233" s="85" t="s">
        <v>199</v>
      </c>
      <c r="B233" s="84">
        <v>0</v>
      </c>
      <c r="C233" s="84"/>
      <c r="D233" s="85"/>
      <c r="E233" s="85"/>
      <c r="F233" s="85"/>
      <c r="G233" s="43"/>
      <c r="H233" s="43"/>
      <c r="I233" s="43"/>
      <c r="J233" s="43"/>
    </row>
    <row r="234" spans="1:10" x14ac:dyDescent="0.2">
      <c r="A234" s="85" t="s">
        <v>200</v>
      </c>
      <c r="B234" s="84">
        <v>16357</v>
      </c>
      <c r="C234" s="84"/>
      <c r="D234" s="85"/>
      <c r="E234" s="85"/>
      <c r="F234" s="85"/>
      <c r="G234" s="43"/>
      <c r="H234" s="43"/>
      <c r="I234" s="43"/>
      <c r="J234" s="43"/>
    </row>
    <row r="235" spans="1:10" x14ac:dyDescent="0.2">
      <c r="A235" s="85" t="s">
        <v>203</v>
      </c>
      <c r="B235" s="84">
        <f>B234-B233</f>
        <v>16357</v>
      </c>
      <c r="C235" s="84"/>
      <c r="D235" s="85"/>
      <c r="E235" s="85"/>
      <c r="F235" s="85"/>
      <c r="G235" s="43"/>
      <c r="H235" s="43"/>
      <c r="I235" s="43"/>
      <c r="J235" s="43"/>
    </row>
    <row r="236" spans="1:10" x14ac:dyDescent="0.2">
      <c r="A236" s="85"/>
      <c r="B236" s="84"/>
      <c r="C236" s="84"/>
      <c r="D236" s="85"/>
      <c r="E236" s="85"/>
      <c r="F236" s="85"/>
      <c r="G236" s="43"/>
      <c r="H236" s="43"/>
      <c r="I236" s="43"/>
      <c r="J236" s="43"/>
    </row>
    <row r="237" spans="1:10" x14ac:dyDescent="0.2">
      <c r="A237" s="85" t="s">
        <v>204</v>
      </c>
      <c r="B237" s="84">
        <f>B231-B235</f>
        <v>55777</v>
      </c>
      <c r="C237" s="84"/>
      <c r="D237" s="85"/>
      <c r="E237" s="85"/>
      <c r="F237" s="85"/>
      <c r="G237" s="43"/>
      <c r="H237" s="43"/>
      <c r="I237" s="43"/>
      <c r="J237" s="43"/>
    </row>
    <row r="238" spans="1:10" x14ac:dyDescent="0.2">
      <c r="A238" s="85"/>
      <c r="B238" s="84"/>
      <c r="C238" s="84"/>
      <c r="D238" s="85"/>
      <c r="E238" s="85"/>
      <c r="F238" s="85"/>
      <c r="G238" s="43"/>
      <c r="H238" s="43"/>
      <c r="I238" s="43"/>
      <c r="J238" s="43"/>
    </row>
    <row r="239" spans="1:10" x14ac:dyDescent="0.2">
      <c r="A239" s="85" t="s">
        <v>14</v>
      </c>
      <c r="B239" s="84">
        <f>'[2]2188'!U279</f>
        <v>55564.229999999996</v>
      </c>
      <c r="C239" s="84"/>
      <c r="D239" s="84"/>
      <c r="E239" s="85"/>
      <c r="F239" s="85"/>
      <c r="G239" s="43"/>
      <c r="H239" s="43"/>
      <c r="I239" s="43"/>
      <c r="J239" s="43"/>
    </row>
    <row r="240" spans="1:10" x14ac:dyDescent="0.2">
      <c r="A240" s="85"/>
      <c r="B240" s="84"/>
      <c r="C240" s="84"/>
      <c r="D240" s="85"/>
      <c r="E240" s="85"/>
      <c r="F240" s="85"/>
      <c r="G240" s="43"/>
      <c r="H240" s="43"/>
      <c r="I240" s="43"/>
      <c r="J240" s="43"/>
    </row>
    <row r="241" spans="1:10" x14ac:dyDescent="0.2">
      <c r="A241" s="83" t="s">
        <v>144</v>
      </c>
      <c r="B241" s="86">
        <f>B237-B239</f>
        <v>212.77000000000407</v>
      </c>
      <c r="C241" s="84"/>
      <c r="D241" s="85"/>
      <c r="E241" s="85"/>
      <c r="F241" s="85"/>
      <c r="G241" s="43"/>
      <c r="H241" s="43"/>
      <c r="I241" s="43"/>
      <c r="J241" s="43"/>
    </row>
    <row r="242" spans="1:10" x14ac:dyDescent="0.2">
      <c r="A242" s="83" t="s">
        <v>205</v>
      </c>
      <c r="B242" s="86"/>
      <c r="C242" s="84"/>
      <c r="D242" s="85"/>
      <c r="E242" s="85"/>
      <c r="F242" s="85"/>
      <c r="G242" s="43"/>
      <c r="H242" s="43"/>
      <c r="I242" s="43"/>
      <c r="J242" s="43"/>
    </row>
    <row r="243" spans="1:10" x14ac:dyDescent="0.2">
      <c r="A243" s="59"/>
      <c r="B243" s="60"/>
      <c r="C243" s="60"/>
      <c r="D243" s="60"/>
      <c r="E243" s="61"/>
      <c r="F243" s="61"/>
      <c r="G243" s="61"/>
      <c r="H243" s="61"/>
      <c r="I243" s="43"/>
      <c r="J243" s="43"/>
    </row>
    <row r="244" spans="1:10" x14ac:dyDescent="0.2">
      <c r="A244" s="83" t="s">
        <v>206</v>
      </c>
      <c r="B244" s="87" t="s">
        <v>128</v>
      </c>
      <c r="C244" s="87" t="s">
        <v>207</v>
      </c>
      <c r="D244" s="87" t="s">
        <v>133</v>
      </c>
      <c r="E244" s="88" t="s">
        <v>208</v>
      </c>
      <c r="F244" s="85"/>
      <c r="G244" s="43"/>
      <c r="H244" s="43"/>
      <c r="I244" s="43"/>
      <c r="J244" s="43"/>
    </row>
    <row r="245" spans="1:10" x14ac:dyDescent="0.2">
      <c r="A245" s="85" t="s">
        <v>209</v>
      </c>
      <c r="B245" s="89">
        <f>'[2]2188'!S296</f>
        <v>531835.18999999994</v>
      </c>
      <c r="C245" s="89">
        <f>'[2]2188 Depr Summary'!E17</f>
        <v>371829.81173444417</v>
      </c>
      <c r="D245" s="84">
        <f t="shared" ref="D245:D251" si="9">C245-B245</f>
        <v>-160005.37826555577</v>
      </c>
      <c r="E245" s="90">
        <v>50200</v>
      </c>
      <c r="F245" s="85"/>
      <c r="G245" s="43"/>
      <c r="H245" s="43"/>
      <c r="I245" s="43"/>
      <c r="J245" s="43"/>
    </row>
    <row r="246" spans="1:10" x14ac:dyDescent="0.2">
      <c r="A246" s="85" t="s">
        <v>210</v>
      </c>
      <c r="B246" s="89">
        <f>'[2]2188'!S297</f>
        <v>152968.65000000002</v>
      </c>
      <c r="C246" s="89">
        <f>'[2]2188 Depr Summary'!E28</f>
        <v>262159</v>
      </c>
      <c r="D246" s="84">
        <f t="shared" si="9"/>
        <v>109190.34999999998</v>
      </c>
      <c r="E246" s="90">
        <v>50300</v>
      </c>
      <c r="F246" s="85"/>
    </row>
    <row r="247" spans="1:10" x14ac:dyDescent="0.2">
      <c r="A247" s="85" t="s">
        <v>211</v>
      </c>
      <c r="B247" s="89">
        <f>'[2]2188'!S298</f>
        <v>38671.440000000002</v>
      </c>
      <c r="C247" s="89">
        <f>'[2]2188 Depr Summary'!E32</f>
        <v>3025.7616642566436</v>
      </c>
      <c r="D247" s="84">
        <f t="shared" si="9"/>
        <v>-35645.67833574336</v>
      </c>
      <c r="E247" s="90">
        <v>50400</v>
      </c>
      <c r="F247" s="84"/>
    </row>
    <row r="248" spans="1:10" x14ac:dyDescent="0.2">
      <c r="A248" s="85" t="s">
        <v>212</v>
      </c>
      <c r="B248" s="89">
        <v>0</v>
      </c>
      <c r="C248" s="89">
        <f>'[2]2188 Depr Summary'!E34</f>
        <v>9822.6524103192678</v>
      </c>
      <c r="D248" s="84">
        <f t="shared" si="9"/>
        <v>9822.6524103192678</v>
      </c>
      <c r="E248" s="90">
        <v>50500</v>
      </c>
      <c r="F248" s="85"/>
    </row>
    <row r="249" spans="1:10" x14ac:dyDescent="0.2">
      <c r="A249" s="85" t="s">
        <v>213</v>
      </c>
      <c r="B249" s="89">
        <v>0</v>
      </c>
      <c r="C249" s="89">
        <f>'[2]2188 Depr Summary'!E40+'[2]2188 Depr Summary'!E38</f>
        <v>14794.211413543746</v>
      </c>
      <c r="D249" s="84">
        <f t="shared" si="9"/>
        <v>14794.211413543746</v>
      </c>
      <c r="E249" s="90"/>
      <c r="F249" s="85"/>
    </row>
    <row r="250" spans="1:10" x14ac:dyDescent="0.2">
      <c r="A250" s="85" t="s">
        <v>214</v>
      </c>
      <c r="B250" s="89"/>
      <c r="C250" s="89">
        <f>'[2]2188 Depr Summary'!E36</f>
        <v>2229.9206039791497</v>
      </c>
      <c r="D250" s="84">
        <f t="shared" si="9"/>
        <v>2229.9206039791497</v>
      </c>
      <c r="E250" s="90">
        <v>50200</v>
      </c>
      <c r="F250" s="85"/>
    </row>
    <row r="251" spans="1:10" x14ac:dyDescent="0.2">
      <c r="A251" s="85" t="s">
        <v>215</v>
      </c>
      <c r="B251" s="89"/>
      <c r="C251" s="89">
        <v>0</v>
      </c>
      <c r="D251" s="84">
        <f t="shared" si="9"/>
        <v>0</v>
      </c>
      <c r="E251" s="90">
        <v>50200</v>
      </c>
      <c r="F251" s="85"/>
    </row>
    <row r="252" spans="1:10" x14ac:dyDescent="0.2">
      <c r="A252" s="83" t="s">
        <v>144</v>
      </c>
      <c r="B252" s="84">
        <f>SUM(B245:B251)</f>
        <v>723475.28</v>
      </c>
      <c r="C252" s="84">
        <f>SUM(C245:C251)</f>
        <v>663861.35782654316</v>
      </c>
      <c r="D252" s="86">
        <f>SUM(D245:D251)</f>
        <v>-59613.922173457002</v>
      </c>
      <c r="E252" s="84"/>
      <c r="F252" s="85"/>
    </row>
    <row r="253" spans="1:10" x14ac:dyDescent="0.2">
      <c r="A253" s="83"/>
      <c r="B253" s="84"/>
      <c r="C253" s="84"/>
      <c r="D253" s="86"/>
      <c r="E253" s="84"/>
      <c r="F253" s="85"/>
    </row>
    <row r="254" spans="1:10" x14ac:dyDescent="0.2">
      <c r="A254" s="83" t="s">
        <v>216</v>
      </c>
      <c r="B254" s="84"/>
      <c r="C254" s="84"/>
      <c r="D254" s="86"/>
      <c r="E254" s="84"/>
      <c r="F254" s="84"/>
    </row>
    <row r="255" spans="1:10" x14ac:dyDescent="0.2">
      <c r="A255" s="83"/>
      <c r="B255" s="84"/>
      <c r="C255" s="84"/>
      <c r="D255" s="86"/>
      <c r="E255" s="84"/>
      <c r="F255" s="84"/>
    </row>
    <row r="256" spans="1:10" x14ac:dyDescent="0.2">
      <c r="A256" s="91"/>
      <c r="B256" s="92"/>
      <c r="C256" s="92"/>
      <c r="D256" s="92"/>
      <c r="E256" s="91"/>
      <c r="F256" s="61"/>
      <c r="G256" s="61"/>
      <c r="H256" s="61"/>
    </row>
    <row r="257" spans="1:8" x14ac:dyDescent="0.2">
      <c r="A257" s="85" t="s">
        <v>217</v>
      </c>
      <c r="B257" s="84">
        <f>B237</f>
        <v>55777</v>
      </c>
      <c r="C257" s="84"/>
      <c r="D257" s="84"/>
      <c r="E257" s="85"/>
      <c r="F257" s="85"/>
    </row>
    <row r="258" spans="1:8" x14ac:dyDescent="0.2">
      <c r="A258" s="85"/>
      <c r="B258" s="84"/>
      <c r="C258" s="84"/>
      <c r="D258" s="84"/>
      <c r="E258" s="85"/>
      <c r="F258" s="85"/>
    </row>
    <row r="259" spans="1:8" x14ac:dyDescent="0.2">
      <c r="A259" s="85" t="s">
        <v>79</v>
      </c>
      <c r="B259" s="84">
        <f>'Pro-forma Lewis,Joe''s'!G22+'Pro-forma Lewis,Joe''s'!I22</f>
        <v>6432036.8400000017</v>
      </c>
      <c r="C259" s="84"/>
      <c r="D259" s="84"/>
      <c r="E259" s="85"/>
      <c r="F259" s="85"/>
    </row>
    <row r="260" spans="1:8" x14ac:dyDescent="0.2">
      <c r="A260" s="85"/>
      <c r="B260" s="84"/>
      <c r="C260" s="84"/>
      <c r="D260" s="84"/>
      <c r="E260" s="85"/>
      <c r="F260" s="85"/>
    </row>
    <row r="261" spans="1:8" x14ac:dyDescent="0.2">
      <c r="A261" s="85" t="s">
        <v>218</v>
      </c>
      <c r="B261" s="93"/>
      <c r="C261" s="93">
        <f>B257/B259</f>
        <v>8.6717475952765195E-3</v>
      </c>
      <c r="D261" s="93"/>
      <c r="E261" s="85"/>
      <c r="F261" s="85"/>
    </row>
    <row r="262" spans="1:8" x14ac:dyDescent="0.2">
      <c r="A262" s="85"/>
      <c r="B262" s="84"/>
      <c r="C262" s="84"/>
      <c r="D262" s="84"/>
      <c r="E262" s="85"/>
      <c r="F262" s="85"/>
    </row>
    <row r="263" spans="1:8" x14ac:dyDescent="0.2">
      <c r="A263" s="91"/>
      <c r="B263" s="92"/>
      <c r="C263" s="92"/>
      <c r="D263" s="92"/>
      <c r="E263" s="91"/>
      <c r="F263" s="61"/>
      <c r="G263" s="61"/>
      <c r="H263" s="61"/>
    </row>
    <row r="264" spans="1:8" x14ac:dyDescent="0.2">
      <c r="A264" s="85" t="s">
        <v>219</v>
      </c>
      <c r="B264" s="84">
        <v>2609</v>
      </c>
      <c r="C264" s="84"/>
      <c r="D264" s="84"/>
      <c r="E264" s="84"/>
      <c r="F264" s="85"/>
    </row>
    <row r="265" spans="1:8" x14ac:dyDescent="0.2">
      <c r="A265" s="85" t="s">
        <v>220</v>
      </c>
      <c r="B265" s="84">
        <v>867554</v>
      </c>
      <c r="C265" s="84"/>
      <c r="D265" s="84"/>
      <c r="E265" s="84"/>
      <c r="F265" s="85"/>
    </row>
    <row r="266" spans="1:8" x14ac:dyDescent="0.2">
      <c r="A266" s="85"/>
      <c r="B266" s="84">
        <f>SUM(B264:B265)</f>
        <v>870163</v>
      </c>
      <c r="C266" s="93">
        <f>B266/B270</f>
        <v>0.39126597145282666</v>
      </c>
      <c r="D266" s="84"/>
      <c r="E266" s="84"/>
      <c r="F266" s="93"/>
    </row>
    <row r="267" spans="1:8" x14ac:dyDescent="0.2">
      <c r="A267" s="85"/>
      <c r="B267" s="84"/>
      <c r="C267" s="84"/>
      <c r="D267" s="84"/>
      <c r="E267" s="84"/>
      <c r="F267" s="84"/>
    </row>
    <row r="268" spans="1:8" x14ac:dyDescent="0.2">
      <c r="A268" s="85"/>
      <c r="B268" s="84">
        <v>1353805</v>
      </c>
      <c r="C268" s="93">
        <f>B268/B270</f>
        <v>0.60873402854717329</v>
      </c>
      <c r="D268" s="84"/>
      <c r="E268" s="84"/>
      <c r="F268" s="93"/>
    </row>
    <row r="269" spans="1:8" x14ac:dyDescent="0.2">
      <c r="A269" s="85"/>
      <c r="B269" s="84"/>
      <c r="C269" s="84"/>
      <c r="D269" s="84"/>
      <c r="E269" s="84"/>
      <c r="F269" s="84"/>
    </row>
    <row r="270" spans="1:8" x14ac:dyDescent="0.2">
      <c r="A270" s="85"/>
      <c r="B270" s="84">
        <f>B266+B268</f>
        <v>2223968</v>
      </c>
      <c r="C270" s="94">
        <f>SUM(C266:C269)</f>
        <v>1</v>
      </c>
      <c r="D270" s="84"/>
      <c r="E270" s="84"/>
      <c r="F270" s="94"/>
    </row>
    <row r="271" spans="1:8" x14ac:dyDescent="0.2">
      <c r="A271" s="85"/>
      <c r="B271" s="84"/>
      <c r="C271" s="84"/>
      <c r="D271" s="84"/>
      <c r="E271" s="84"/>
      <c r="F271" s="84"/>
    </row>
    <row r="272" spans="1:8" x14ac:dyDescent="0.2">
      <c r="A272" s="85" t="s">
        <v>221</v>
      </c>
      <c r="B272" s="84">
        <v>49161</v>
      </c>
      <c r="C272" s="84"/>
      <c r="D272" s="84"/>
      <c r="E272" s="84"/>
      <c r="F272" s="84"/>
    </row>
    <row r="273" spans="1:8" x14ac:dyDescent="0.2">
      <c r="A273" s="85" t="s">
        <v>222</v>
      </c>
      <c r="B273" s="84">
        <f>B266</f>
        <v>870163</v>
      </c>
      <c r="C273" s="93">
        <f>B272/B273</f>
        <v>5.6496311610583307E-2</v>
      </c>
      <c r="D273" s="84"/>
      <c r="E273" s="84"/>
      <c r="F273" s="93"/>
    </row>
    <row r="274" spans="1:8" x14ac:dyDescent="0.2">
      <c r="A274" s="85"/>
      <c r="B274" s="84"/>
      <c r="C274" s="84"/>
      <c r="D274" s="84"/>
      <c r="E274" s="85"/>
      <c r="F274" s="85"/>
    </row>
    <row r="275" spans="1:8" x14ac:dyDescent="0.2">
      <c r="A275" s="91"/>
      <c r="B275" s="91"/>
      <c r="C275" s="91"/>
      <c r="D275" s="91"/>
      <c r="E275" s="91"/>
      <c r="F275" s="61"/>
      <c r="G275" s="61"/>
      <c r="H275" s="61"/>
    </row>
    <row r="276" spans="1:8" x14ac:dyDescent="0.2">
      <c r="A276" s="85"/>
      <c r="B276" s="84"/>
      <c r="C276" s="84"/>
      <c r="D276" s="84"/>
      <c r="E276" s="85"/>
      <c r="F276" s="85"/>
    </row>
  </sheetData>
  <pageMargins left="0.7" right="0.7" top="0.75" bottom="0.75" header="0.3" footer="0.3"/>
  <pageSetup scale="76" orientation="portrait" r:id="rId1"/>
  <headerFooter>
    <oddFooter>Page &amp;P of &amp;N</oddFooter>
  </headerFooter>
  <rowBreaks count="5" manualBreakCount="5">
    <brk id="53" max="9" man="1"/>
    <brk id="99" max="9" man="1"/>
    <brk id="144" max="9" man="1"/>
    <brk id="191" max="9" man="1"/>
    <brk id="2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114"/>
  <sheetViews>
    <sheetView view="pageBreakPreview" zoomScaleNormal="100" zoomScaleSheetLayoutView="100" workbookViewId="0">
      <selection activeCell="A10" sqref="A10:XFD10"/>
    </sheetView>
  </sheetViews>
  <sheetFormatPr defaultRowHeight="12.75" x14ac:dyDescent="0.2"/>
  <cols>
    <col min="1" max="1" width="7.42578125" style="39" customWidth="1"/>
    <col min="2" max="2" width="17.5703125" style="39" customWidth="1"/>
    <col min="3" max="3" width="11.28515625" style="39" customWidth="1"/>
    <col min="4" max="4" width="9.7109375" style="293" customWidth="1"/>
    <col min="5" max="5" width="8.140625" style="293" customWidth="1"/>
    <col min="6" max="6" width="11.140625" style="39" customWidth="1"/>
    <col min="7" max="7" width="14" style="39" customWidth="1"/>
    <col min="8" max="8" width="8" style="225" customWidth="1"/>
    <col min="9" max="9" width="11.28515625" style="39" customWidth="1"/>
    <col min="10" max="10" width="10.85546875" style="225" customWidth="1"/>
    <col min="11" max="11" width="9.28515625" style="225" customWidth="1"/>
    <col min="12" max="13" width="9.7109375" style="225" customWidth="1"/>
    <col min="14" max="14" width="8.28515625" style="225" customWidth="1"/>
    <col min="15" max="15" width="8.42578125" style="225" customWidth="1"/>
    <col min="16" max="16" width="3.7109375" style="225" customWidth="1"/>
    <col min="17" max="17" width="1.42578125" style="227" hidden="1" customWidth="1"/>
    <col min="18" max="18" width="14.28515625" style="225" customWidth="1"/>
    <col min="19" max="19" width="12" style="225" bestFit="1" customWidth="1"/>
    <col min="20" max="21" width="11.42578125" style="225" customWidth="1"/>
    <col min="22" max="22" width="12" style="225" bestFit="1" customWidth="1"/>
    <col min="23" max="23" width="11.42578125" style="225" customWidth="1"/>
    <col min="24" max="24" width="9.7109375" style="225" customWidth="1"/>
    <col min="25" max="25" width="11.42578125" style="225" customWidth="1"/>
    <col min="26" max="26" width="9.28515625" style="225" customWidth="1"/>
    <col min="27" max="27" width="12" style="225" customWidth="1"/>
    <col min="28" max="38" width="11.42578125" style="225" customWidth="1"/>
    <col min="39" max="16384" width="9.140625" style="39"/>
  </cols>
  <sheetData>
    <row r="1" spans="1:38" x14ac:dyDescent="0.2">
      <c r="A1" s="224" t="s">
        <v>0</v>
      </c>
      <c r="B1" s="225"/>
      <c r="C1" s="226"/>
      <c r="D1" s="226"/>
      <c r="E1" s="226"/>
      <c r="F1" s="225"/>
      <c r="G1" s="225"/>
      <c r="I1" s="1" t="s">
        <v>1</v>
      </c>
      <c r="R1" s="224" t="s">
        <v>0</v>
      </c>
      <c r="T1" s="228"/>
      <c r="X1" s="229"/>
      <c r="Y1" s="229"/>
      <c r="Z1" s="229"/>
      <c r="AA1" s="229"/>
    </row>
    <row r="2" spans="1:38" x14ac:dyDescent="0.2">
      <c r="A2" s="224"/>
      <c r="B2" s="225"/>
      <c r="C2" s="226"/>
      <c r="D2" s="226"/>
      <c r="E2" s="226"/>
      <c r="F2" s="225"/>
      <c r="G2" s="225"/>
      <c r="I2" s="226"/>
      <c r="S2" s="226"/>
      <c r="T2" s="228"/>
      <c r="X2" s="230"/>
      <c r="Y2" s="230"/>
      <c r="Z2" s="230"/>
      <c r="AA2" s="230"/>
    </row>
    <row r="3" spans="1:38" x14ac:dyDescent="0.2">
      <c r="A3" s="215" t="s">
        <v>2</v>
      </c>
      <c r="B3" s="215"/>
      <c r="C3" s="224" t="s">
        <v>0</v>
      </c>
      <c r="D3" s="2"/>
      <c r="E3" s="2"/>
      <c r="F3" s="3"/>
      <c r="G3" s="3"/>
      <c r="H3" s="3"/>
      <c r="I3" s="215" t="s">
        <v>2</v>
      </c>
      <c r="J3" s="215"/>
      <c r="K3" s="3"/>
      <c r="L3" s="3"/>
      <c r="M3" s="3"/>
      <c r="N3" s="3"/>
      <c r="O3" s="4"/>
      <c r="P3" s="3"/>
      <c r="Q3" s="3"/>
      <c r="R3" s="215" t="s">
        <v>2</v>
      </c>
      <c r="S3" s="215"/>
      <c r="T3" s="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">
      <c r="A4" s="224"/>
      <c r="B4" s="225"/>
      <c r="C4" s="226"/>
      <c r="D4" s="226"/>
      <c r="E4" s="226"/>
      <c r="F4" s="225"/>
      <c r="G4" s="225"/>
      <c r="I4" s="1"/>
      <c r="S4" s="226"/>
      <c r="T4" s="228"/>
      <c r="X4" s="230"/>
      <c r="Y4" s="230"/>
      <c r="Z4" s="230"/>
      <c r="AA4" s="230"/>
    </row>
    <row r="5" spans="1:38" x14ac:dyDescent="0.2">
      <c r="A5" s="225"/>
      <c r="B5" s="225"/>
      <c r="C5" s="226"/>
      <c r="D5" s="226"/>
      <c r="E5" s="226"/>
      <c r="F5" s="231">
        <f>2559349/52188843</f>
        <v>4.9040155958238046E-2</v>
      </c>
      <c r="G5" s="232"/>
      <c r="I5" s="226"/>
      <c r="R5" s="233"/>
      <c r="S5" s="228"/>
      <c r="T5" s="228"/>
      <c r="U5" s="234"/>
      <c r="V5" s="234"/>
      <c r="W5" s="233"/>
      <c r="X5" s="230"/>
      <c r="Y5" s="230"/>
      <c r="Z5" s="230"/>
      <c r="AA5" s="230"/>
    </row>
    <row r="6" spans="1:38" x14ac:dyDescent="0.2">
      <c r="A6" s="225"/>
      <c r="B6" s="225"/>
      <c r="C6" s="235"/>
      <c r="D6" s="235"/>
      <c r="E6" s="235"/>
      <c r="F6" s="225"/>
      <c r="G6" s="229" t="s">
        <v>3</v>
      </c>
      <c r="I6" s="235"/>
      <c r="J6" s="229"/>
      <c r="K6" s="229"/>
      <c r="S6" s="229"/>
      <c r="T6" s="229"/>
      <c r="U6" s="229"/>
      <c r="X6" s="230"/>
      <c r="Y6" s="230"/>
      <c r="Z6" s="230"/>
      <c r="AA6" s="230"/>
    </row>
    <row r="7" spans="1:38" x14ac:dyDescent="0.2">
      <c r="A7" s="229"/>
      <c r="B7" s="225"/>
      <c r="C7" s="235" t="s">
        <v>4</v>
      </c>
      <c r="D7" s="235" t="s">
        <v>5</v>
      </c>
      <c r="E7" s="235" t="s">
        <v>6</v>
      </c>
      <c r="F7" s="229" t="s">
        <v>7</v>
      </c>
      <c r="G7" s="229" t="s">
        <v>8</v>
      </c>
      <c r="H7" s="229"/>
      <c r="I7" s="236" t="s">
        <v>9</v>
      </c>
      <c r="J7" s="229" t="s">
        <v>10</v>
      </c>
      <c r="K7" s="229" t="s">
        <v>11</v>
      </c>
      <c r="S7" s="237"/>
      <c r="T7" s="226"/>
      <c r="U7" s="237"/>
      <c r="V7" s="237"/>
      <c r="X7" s="230"/>
      <c r="Y7" s="230"/>
      <c r="Z7" s="230"/>
      <c r="AA7" s="230"/>
    </row>
    <row r="8" spans="1:38" x14ac:dyDescent="0.2">
      <c r="A8" s="234" t="s">
        <v>12</v>
      </c>
      <c r="B8" s="224" t="s">
        <v>13</v>
      </c>
      <c r="C8" s="226" t="s">
        <v>14</v>
      </c>
      <c r="D8" s="235" t="s">
        <v>7</v>
      </c>
      <c r="E8" s="235" t="s">
        <v>7</v>
      </c>
      <c r="F8" s="229" t="s">
        <v>15</v>
      </c>
      <c r="G8" s="229" t="s">
        <v>16</v>
      </c>
      <c r="H8" s="229"/>
      <c r="I8" s="236" t="s">
        <v>17</v>
      </c>
      <c r="J8" s="229" t="s">
        <v>18</v>
      </c>
      <c r="K8" s="229" t="s">
        <v>18</v>
      </c>
      <c r="L8" s="229" t="s">
        <v>19</v>
      </c>
      <c r="M8" s="229" t="s">
        <v>20</v>
      </c>
      <c r="N8" s="229" t="s">
        <v>21</v>
      </c>
      <c r="O8" s="229"/>
      <c r="P8" s="229"/>
      <c r="R8" s="238"/>
      <c r="S8" s="239"/>
      <c r="T8" s="239"/>
      <c r="U8" s="240"/>
      <c r="V8" s="238"/>
      <c r="W8" s="241"/>
      <c r="X8" s="242"/>
      <c r="Y8" s="242"/>
      <c r="Z8" s="242"/>
      <c r="AA8" s="242"/>
    </row>
    <row r="9" spans="1:38" x14ac:dyDescent="0.2">
      <c r="A9" s="6"/>
      <c r="B9" s="7" t="s">
        <v>22</v>
      </c>
      <c r="C9" s="226"/>
      <c r="D9" s="226"/>
      <c r="E9" s="226"/>
      <c r="F9" s="226"/>
      <c r="G9" s="226"/>
      <c r="I9" s="226"/>
      <c r="P9" s="226"/>
      <c r="R9" s="227"/>
      <c r="S9" s="243"/>
      <c r="T9" s="243"/>
      <c r="U9" s="244"/>
      <c r="V9" s="227"/>
      <c r="W9" s="245"/>
      <c r="X9" s="243"/>
      <c r="Y9" s="229"/>
    </row>
    <row r="10" spans="1:38" x14ac:dyDescent="0.2">
      <c r="A10" s="8">
        <v>31100</v>
      </c>
      <c r="B10" s="3" t="s">
        <v>23</v>
      </c>
      <c r="C10" s="226">
        <f>'[2]2188'!S15+'[2]2188'!S16</f>
        <v>2219194.5400000005</v>
      </c>
      <c r="D10" s="226">
        <f>'[2]2188 Restating Adj'!K10</f>
        <v>271219</v>
      </c>
      <c r="E10" s="226"/>
      <c r="F10" s="226">
        <f>SUM(C10:E10)</f>
        <v>2490413.5400000005</v>
      </c>
      <c r="G10" s="226">
        <f>'2188 Restating Expl'!F7+'2188 Restating Expl'!G7+'2188 Restating Expl'!H7</f>
        <v>1885045.12</v>
      </c>
      <c r="H10" s="226"/>
      <c r="I10" s="226">
        <f>'2188 Restating Expl'!E7</f>
        <v>605368</v>
      </c>
      <c r="J10" s="226">
        <f>I10</f>
        <v>605368</v>
      </c>
      <c r="K10" s="226"/>
      <c r="L10" s="226"/>
      <c r="M10" s="226"/>
      <c r="N10" s="226"/>
      <c r="O10" s="226" t="s">
        <v>24</v>
      </c>
      <c r="P10" s="246">
        <f>I10+G10-F10</f>
        <v>-0.42000000039115548</v>
      </c>
      <c r="Q10" s="247"/>
      <c r="R10" s="226"/>
      <c r="S10" s="234" t="s">
        <v>25</v>
      </c>
      <c r="T10" s="248" t="s">
        <v>26</v>
      </c>
      <c r="U10" s="248" t="s">
        <v>4</v>
      </c>
      <c r="V10" s="234" t="s">
        <v>25</v>
      </c>
      <c r="W10" s="248" t="s">
        <v>26</v>
      </c>
      <c r="X10" s="229"/>
      <c r="Y10" s="229"/>
      <c r="AB10" s="229"/>
      <c r="AC10" s="229"/>
      <c r="AD10" s="229"/>
      <c r="AE10" s="229"/>
      <c r="AF10" s="229"/>
      <c r="AG10" s="229"/>
      <c r="AH10" s="229"/>
    </row>
    <row r="11" spans="1:38" x14ac:dyDescent="0.2">
      <c r="A11" s="8"/>
      <c r="B11" s="3" t="s">
        <v>19</v>
      </c>
      <c r="C11" s="226">
        <f>'[2]2188'!S18</f>
        <v>832459.83</v>
      </c>
      <c r="D11" s="226">
        <f>'[2]2188 Restating Adj'!K11</f>
        <v>0</v>
      </c>
      <c r="E11" s="226"/>
      <c r="F11" s="226">
        <f t="shared" ref="F11:F21" si="0">SUM(C11:E11)</f>
        <v>832459.83</v>
      </c>
      <c r="G11" s="226">
        <f>'2188 Restating Expl'!F8+'2188 Restating Expl'!G8+'2188 Restating Expl'!H8</f>
        <v>574296.06000000006</v>
      </c>
      <c r="H11" s="226"/>
      <c r="I11" s="226">
        <f>'2188 Restating Expl'!E8</f>
        <v>256744</v>
      </c>
      <c r="J11" s="226"/>
      <c r="K11" s="226"/>
      <c r="L11" s="226">
        <f>I11</f>
        <v>256744</v>
      </c>
      <c r="M11" s="226"/>
      <c r="N11" s="226"/>
      <c r="O11" s="226" t="s">
        <v>24</v>
      </c>
      <c r="P11" s="246">
        <f t="shared" ref="P11:P21" si="1">I11+G11-F11</f>
        <v>-1419.7699999999022</v>
      </c>
      <c r="Q11" s="247"/>
      <c r="R11" s="232" t="s">
        <v>27</v>
      </c>
      <c r="S11" s="235"/>
      <c r="T11" s="235"/>
      <c r="U11" s="235" t="s">
        <v>28</v>
      </c>
      <c r="V11" s="235"/>
      <c r="W11" s="249"/>
      <c r="X11" s="237"/>
      <c r="Y11" s="229"/>
      <c r="AA11" s="232"/>
    </row>
    <row r="12" spans="1:38" x14ac:dyDescent="0.2">
      <c r="A12" s="8"/>
      <c r="B12" s="3" t="s">
        <v>21</v>
      </c>
      <c r="C12" s="226">
        <f>'[2]2188'!S19</f>
        <v>290221.53999999998</v>
      </c>
      <c r="D12" s="226">
        <f>'[2]2188 Restating Adj'!K12</f>
        <v>-271219</v>
      </c>
      <c r="E12" s="226"/>
      <c r="F12" s="226">
        <f t="shared" si="0"/>
        <v>19002.539999999979</v>
      </c>
      <c r="G12" s="226">
        <f>'2188 Restating Expl'!F9+'2188 Restating Expl'!G9+'2188 Restating Expl'!H9</f>
        <v>12462.64</v>
      </c>
      <c r="H12" s="226"/>
      <c r="I12" s="226">
        <f>'2188 Restating Expl'!E9</f>
        <v>1910</v>
      </c>
      <c r="J12" s="226"/>
      <c r="K12" s="226"/>
      <c r="L12" s="226"/>
      <c r="M12" s="226"/>
      <c r="N12" s="226">
        <f>I12</f>
        <v>1910</v>
      </c>
      <c r="O12" s="226" t="s">
        <v>24</v>
      </c>
      <c r="P12" s="246">
        <f t="shared" si="1"/>
        <v>-4629.8999999999796</v>
      </c>
      <c r="Q12" s="247"/>
      <c r="R12" s="226" t="s">
        <v>29</v>
      </c>
      <c r="S12" s="230">
        <f>'2188 Restating Expl'!F55</f>
        <v>10227.135095294892</v>
      </c>
      <c r="T12" s="230">
        <f>'2188 Restating Expl'!B55</f>
        <v>3473.8380413736841</v>
      </c>
      <c r="U12" s="230">
        <f>SUM(S12:T12)</f>
        <v>13700.973136668577</v>
      </c>
      <c r="V12" s="237">
        <f>S12/S$21</f>
        <v>0.49413449347603389</v>
      </c>
      <c r="W12" s="237">
        <f>T12/T$21</f>
        <v>0.42168632247325527</v>
      </c>
      <c r="X12" s="226"/>
      <c r="Y12" s="235"/>
      <c r="AA12" s="226"/>
      <c r="AB12" s="226"/>
      <c r="AC12" s="226"/>
      <c r="AD12" s="226"/>
      <c r="AE12" s="226"/>
      <c r="AF12" s="226"/>
      <c r="AG12" s="226"/>
      <c r="AH12" s="226"/>
    </row>
    <row r="13" spans="1:38" x14ac:dyDescent="0.2">
      <c r="A13" s="8">
        <v>31110</v>
      </c>
      <c r="B13" s="3" t="s">
        <v>30</v>
      </c>
      <c r="C13" s="226">
        <v>0</v>
      </c>
      <c r="D13" s="226">
        <f>'[2]2188 Restating Adj'!K13</f>
        <v>160916</v>
      </c>
      <c r="E13" s="226"/>
      <c r="F13" s="226">
        <f t="shared" si="0"/>
        <v>160916</v>
      </c>
      <c r="G13" s="226">
        <f>'2188 Restating Expl'!F10+'2188 Restating Expl'!G10+'2188 Restating Expl'!H10</f>
        <v>97085.41</v>
      </c>
      <c r="H13" s="226"/>
      <c r="I13" s="226">
        <f>'2188 Restating Expl'!E10</f>
        <v>63830.92</v>
      </c>
      <c r="J13" s="226">
        <f>I13</f>
        <v>63830.92</v>
      </c>
      <c r="K13" s="226"/>
      <c r="L13" s="226"/>
      <c r="M13" s="226"/>
      <c r="N13" s="226"/>
      <c r="O13" s="226" t="s">
        <v>24</v>
      </c>
      <c r="P13" s="246">
        <f t="shared" si="1"/>
        <v>0.33000000001629815</v>
      </c>
      <c r="Q13" s="247"/>
      <c r="R13" s="226" t="s">
        <v>31</v>
      </c>
      <c r="S13" s="230">
        <f>'2188 Restating Expl'!F58</f>
        <v>525</v>
      </c>
      <c r="T13" s="230">
        <f>'2188 Restating Expl'!B58</f>
        <v>712</v>
      </c>
      <c r="U13" s="230">
        <f t="shared" ref="U13:U18" si="2">SUM(S13:T13)</f>
        <v>1237</v>
      </c>
      <c r="V13" s="237">
        <f t="shared" ref="V13:W18" si="3">S13/S$21</f>
        <v>2.5365912023032445E-2</v>
      </c>
      <c r="W13" s="237">
        <f t="shared" si="3"/>
        <v>8.6429090252645016E-2</v>
      </c>
      <c r="X13" s="226"/>
      <c r="Y13" s="235"/>
      <c r="AA13" s="226"/>
      <c r="AB13" s="226"/>
      <c r="AC13" s="226"/>
      <c r="AD13" s="226"/>
      <c r="AE13" s="226"/>
      <c r="AF13" s="226"/>
      <c r="AG13" s="226"/>
      <c r="AH13" s="226"/>
    </row>
    <row r="14" spans="1:38" x14ac:dyDescent="0.2">
      <c r="A14" s="8">
        <v>31200</v>
      </c>
      <c r="B14" s="3" t="s">
        <v>32</v>
      </c>
      <c r="C14" s="226">
        <f>'[2]2188'!S20+'[2]2188'!S22+'[2]2188'!S23</f>
        <v>1915683.89</v>
      </c>
      <c r="D14" s="226">
        <f>'[2]2188 Restating Adj'!K14</f>
        <v>-161952</v>
      </c>
      <c r="E14" s="226"/>
      <c r="F14" s="226">
        <f t="shared" si="0"/>
        <v>1753731.89</v>
      </c>
      <c r="G14" s="226">
        <f>'2188 Restating Expl'!F11+'2188 Restating Expl'!G11+'2188 Restating Expl'!H11</f>
        <v>1343627.5000000005</v>
      </c>
      <c r="H14" s="226"/>
      <c r="I14" s="226">
        <f>'2188 Restating Expl'!E11</f>
        <v>408995.84000000003</v>
      </c>
      <c r="J14" s="226">
        <f>I14</f>
        <v>408995.84000000003</v>
      </c>
      <c r="K14" s="226"/>
      <c r="L14" s="226"/>
      <c r="M14" s="226"/>
      <c r="N14" s="226"/>
      <c r="O14" s="226" t="s">
        <v>24</v>
      </c>
      <c r="P14" s="246">
        <f t="shared" si="1"/>
        <v>-1108.5499999993481</v>
      </c>
      <c r="Q14" s="247"/>
      <c r="R14" s="226" t="s">
        <v>33</v>
      </c>
      <c r="S14" s="230">
        <f>'2188 Restating Expl'!F59</f>
        <v>1017</v>
      </c>
      <c r="T14" s="230">
        <f>'2188 Restating Expl'!B59</f>
        <v>260</v>
      </c>
      <c r="U14" s="230">
        <f t="shared" si="2"/>
        <v>1277</v>
      </c>
      <c r="V14" s="237">
        <f t="shared" si="3"/>
        <v>4.9137395290331426E-2</v>
      </c>
      <c r="W14" s="237">
        <f t="shared" si="3"/>
        <v>3.156118464281981E-2</v>
      </c>
      <c r="X14" s="237">
        <f>SUM(W12:W14)</f>
        <v>0.53967659736872009</v>
      </c>
      <c r="Y14" s="235"/>
      <c r="AA14" s="226"/>
      <c r="AB14" s="226"/>
      <c r="AC14" s="226"/>
      <c r="AD14" s="226"/>
      <c r="AE14" s="226"/>
      <c r="AF14" s="226"/>
      <c r="AG14" s="226"/>
      <c r="AH14" s="226"/>
    </row>
    <row r="15" spans="1:38" x14ac:dyDescent="0.2">
      <c r="A15" s="8">
        <v>31300</v>
      </c>
      <c r="B15" s="3" t="s">
        <v>34</v>
      </c>
      <c r="C15" s="226">
        <f>'[2]2188'!S10+'[2]2188'!S12+'[2]2188'!S14</f>
        <v>450394.54999999993</v>
      </c>
      <c r="D15" s="226"/>
      <c r="E15" s="226"/>
      <c r="F15" s="226">
        <f t="shared" si="0"/>
        <v>450394.54999999993</v>
      </c>
      <c r="G15" s="226">
        <f>'2188 Restating Expl'!F12+'2188 Restating Expl'!G12+'2188 Restating Expl'!H12</f>
        <v>317725.67</v>
      </c>
      <c r="H15" s="226"/>
      <c r="I15" s="226">
        <f>'2188 Restating Expl'!E12</f>
        <v>132431</v>
      </c>
      <c r="J15" s="226"/>
      <c r="K15" s="226">
        <f>I15</f>
        <v>132431</v>
      </c>
      <c r="L15" s="226"/>
      <c r="M15" s="226"/>
      <c r="N15" s="226"/>
      <c r="O15" s="226" t="s">
        <v>24</v>
      </c>
      <c r="P15" s="246">
        <f t="shared" si="1"/>
        <v>-237.87999999994645</v>
      </c>
      <c r="Q15" s="247"/>
      <c r="R15" s="226" t="s">
        <v>35</v>
      </c>
      <c r="S15" s="230">
        <f>'2188 Restating Expl'!D60</f>
        <v>37</v>
      </c>
      <c r="T15" s="230">
        <f>'2188 Restating Expl'!B60</f>
        <v>14</v>
      </c>
      <c r="U15" s="230">
        <f t="shared" si="2"/>
        <v>51</v>
      </c>
      <c r="V15" s="237">
        <f t="shared" si="3"/>
        <v>1.7876928473375248E-3</v>
      </c>
      <c r="W15" s="237">
        <f t="shared" si="3"/>
        <v>1.6994484038441436E-3</v>
      </c>
      <c r="X15" s="226"/>
      <c r="Y15" s="235"/>
      <c r="AA15" s="226"/>
      <c r="AB15" s="226"/>
      <c r="AC15" s="226"/>
      <c r="AD15" s="226"/>
      <c r="AE15" s="226"/>
      <c r="AF15" s="226"/>
      <c r="AG15" s="226"/>
      <c r="AH15" s="226"/>
    </row>
    <row r="16" spans="1:38" x14ac:dyDescent="0.2">
      <c r="A16" s="8">
        <v>31330</v>
      </c>
      <c r="B16" s="3" t="s">
        <v>36</v>
      </c>
      <c r="C16" s="226">
        <f>'[2]2188'!S13</f>
        <v>668449.22</v>
      </c>
      <c r="D16" s="226"/>
      <c r="E16" s="250"/>
      <c r="F16" s="226">
        <f t="shared" si="0"/>
        <v>668449.22</v>
      </c>
      <c r="G16" s="226">
        <f>'2188 Restating Expl'!F13+'2188 Restating Expl'!G13+'2188 Restating Expl'!H13</f>
        <v>473189.84</v>
      </c>
      <c r="H16" s="226"/>
      <c r="I16" s="226">
        <f>'2188 Restating Expl'!B216-359</f>
        <v>195259.38</v>
      </c>
      <c r="J16" s="226"/>
      <c r="K16" s="226">
        <f>I16</f>
        <v>195259.38</v>
      </c>
      <c r="L16" s="226"/>
      <c r="M16" s="226"/>
      <c r="N16" s="226"/>
      <c r="O16" s="226" t="s">
        <v>24</v>
      </c>
      <c r="P16" s="246">
        <f t="shared" si="1"/>
        <v>0</v>
      </c>
      <c r="Q16" s="247"/>
      <c r="R16" s="226" t="s">
        <v>19</v>
      </c>
      <c r="S16" s="230">
        <f>'2188 Restating Expl'!F56</f>
        <v>8752.4588894937187</v>
      </c>
      <c r="T16" s="230">
        <f>'2188 Restating Expl'!B56</f>
        <v>3435.5092440018643</v>
      </c>
      <c r="U16" s="230">
        <f t="shared" si="2"/>
        <v>12187.968133495582</v>
      </c>
      <c r="V16" s="237">
        <f t="shared" si="3"/>
        <v>0.42288400414496369</v>
      </c>
      <c r="W16" s="237">
        <f t="shared" si="3"/>
        <v>0.41703362150791207</v>
      </c>
      <c r="X16" s="226"/>
      <c r="Y16" s="235"/>
      <c r="AA16" s="226"/>
      <c r="AB16" s="226"/>
      <c r="AC16" s="226"/>
      <c r="AD16" s="226"/>
      <c r="AE16" s="226"/>
      <c r="AF16" s="226"/>
      <c r="AG16" s="226"/>
      <c r="AH16" s="226"/>
    </row>
    <row r="17" spans="1:35" x14ac:dyDescent="0.2">
      <c r="A17" s="8"/>
      <c r="B17" s="3" t="s">
        <v>37</v>
      </c>
      <c r="C17" s="226">
        <f>'[2]2188'!S24</f>
        <v>15250.659999999998</v>
      </c>
      <c r="D17" s="226">
        <f>'[2]2188 Restating Adj'!K17</f>
        <v>1036</v>
      </c>
      <c r="E17" s="226"/>
      <c r="F17" s="226">
        <f t="shared" si="0"/>
        <v>16286.659999999998</v>
      </c>
      <c r="G17" s="226">
        <f>'2188 Restating Expl'!F14+'2188 Restating Expl'!G14+'2188 Restating Expl'!H14</f>
        <v>1476.37</v>
      </c>
      <c r="H17" s="226"/>
      <c r="I17" s="226">
        <f>'2188 Restating Expl'!E14</f>
        <v>14810</v>
      </c>
      <c r="J17" s="226"/>
      <c r="K17" s="226"/>
      <c r="L17" s="226"/>
      <c r="M17" s="226">
        <f>I17</f>
        <v>14810</v>
      </c>
      <c r="N17" s="226"/>
      <c r="O17" s="226" t="s">
        <v>24</v>
      </c>
      <c r="P17" s="246">
        <f t="shared" si="1"/>
        <v>-0.28999999999905413</v>
      </c>
      <c r="Q17" s="247"/>
      <c r="R17" s="226" t="s">
        <v>21</v>
      </c>
      <c r="S17" s="230">
        <f>'2188 Restating Expl'!F57</f>
        <v>138.47377777777777</v>
      </c>
      <c r="T17" s="230">
        <f>'2188 Restating Expl'!B57</f>
        <v>21.222222222222221</v>
      </c>
      <c r="U17" s="230">
        <f t="shared" si="2"/>
        <v>159.696</v>
      </c>
      <c r="V17" s="237">
        <f t="shared" si="3"/>
        <v>6.6905022183010596E-3</v>
      </c>
      <c r="W17" s="237">
        <f t="shared" si="3"/>
        <v>2.5761479772558049E-3</v>
      </c>
      <c r="X17" s="226"/>
      <c r="Y17" s="235"/>
      <c r="AA17" s="226"/>
      <c r="AB17" s="226"/>
      <c r="AC17" s="226"/>
      <c r="AD17" s="226"/>
      <c r="AE17" s="226"/>
      <c r="AF17" s="226"/>
      <c r="AG17" s="226"/>
      <c r="AH17" s="226"/>
    </row>
    <row r="18" spans="1:35" x14ac:dyDescent="0.2">
      <c r="A18" s="8">
        <v>31325</v>
      </c>
      <c r="B18" s="3" t="s">
        <v>38</v>
      </c>
      <c r="C18" s="226">
        <f>'[2]2188'!S36</f>
        <v>21372.2</v>
      </c>
      <c r="D18" s="226">
        <f>'[2]2188 Restating Adj'!K18</f>
        <v>-21372.2</v>
      </c>
      <c r="E18" s="226"/>
      <c r="F18" s="226">
        <f t="shared" si="0"/>
        <v>0</v>
      </c>
      <c r="G18" s="226">
        <f>'2188 Restating Expl'!K15</f>
        <v>0</v>
      </c>
      <c r="H18" s="226"/>
      <c r="I18" s="226"/>
      <c r="J18" s="226"/>
      <c r="K18" s="226"/>
      <c r="L18" s="251"/>
      <c r="M18" s="251"/>
      <c r="N18" s="226"/>
      <c r="O18" s="226" t="s">
        <v>24</v>
      </c>
      <c r="P18" s="246">
        <f t="shared" si="1"/>
        <v>0</v>
      </c>
      <c r="Q18" s="247"/>
      <c r="R18" s="226" t="s">
        <v>39</v>
      </c>
      <c r="S18" s="230"/>
      <c r="T18" s="230">
        <f>'2188 Restating Expl'!B61</f>
        <v>321.39756944444446</v>
      </c>
      <c r="U18" s="230">
        <f t="shared" si="2"/>
        <v>321.39756944444446</v>
      </c>
      <c r="V18" s="237">
        <f t="shared" si="3"/>
        <v>0</v>
      </c>
      <c r="W18" s="237">
        <f t="shared" si="3"/>
        <v>3.9014184742267748E-2</v>
      </c>
      <c r="X18" s="252"/>
      <c r="Y18" s="235"/>
      <c r="AB18" s="226"/>
      <c r="AG18" s="226"/>
      <c r="AH18" s="226"/>
    </row>
    <row r="19" spans="1:35" x14ac:dyDescent="0.2">
      <c r="A19" s="8"/>
      <c r="B19" s="3" t="s">
        <v>40</v>
      </c>
      <c r="C19" s="226">
        <f>'[2]2188'!U37</f>
        <v>-227895.16</v>
      </c>
      <c r="D19" s="226">
        <f>'[2]2188 Restating Adj'!D19</f>
        <v>227895.16</v>
      </c>
      <c r="E19" s="226"/>
      <c r="F19" s="226">
        <f t="shared" si="0"/>
        <v>0</v>
      </c>
      <c r="G19" s="226">
        <v>0</v>
      </c>
      <c r="H19" s="226"/>
      <c r="I19" s="226"/>
      <c r="J19" s="251"/>
      <c r="K19" s="226"/>
      <c r="L19" s="251"/>
      <c r="M19" s="251"/>
      <c r="N19" s="251"/>
      <c r="O19" s="226" t="s">
        <v>24</v>
      </c>
      <c r="P19" s="246">
        <f t="shared" si="1"/>
        <v>0</v>
      </c>
      <c r="Q19" s="247"/>
      <c r="R19" s="226"/>
      <c r="S19" s="230"/>
      <c r="T19" s="230"/>
      <c r="U19" s="230"/>
      <c r="V19" s="237"/>
      <c r="W19" s="252"/>
      <c r="X19" s="252"/>
      <c r="Y19" s="229"/>
      <c r="AB19" s="226"/>
      <c r="AG19" s="249"/>
      <c r="AH19" s="237"/>
    </row>
    <row r="20" spans="1:35" x14ac:dyDescent="0.2">
      <c r="A20" s="8"/>
      <c r="B20" s="9" t="s">
        <v>41</v>
      </c>
      <c r="C20" s="226"/>
      <c r="D20" s="226"/>
      <c r="E20" s="226"/>
      <c r="F20" s="226">
        <f t="shared" si="0"/>
        <v>0</v>
      </c>
      <c r="G20" s="226">
        <f>'2188 Restating Expl'!I15</f>
        <v>8627</v>
      </c>
      <c r="H20" s="226"/>
      <c r="I20" s="226">
        <v>0</v>
      </c>
      <c r="J20" s="251"/>
      <c r="K20" s="226"/>
      <c r="L20" s="251"/>
      <c r="M20" s="251"/>
      <c r="N20" s="251"/>
      <c r="O20" s="226"/>
      <c r="P20" s="246">
        <f t="shared" si="1"/>
        <v>8627</v>
      </c>
      <c r="Q20" s="247"/>
      <c r="R20" s="226"/>
      <c r="S20" s="230"/>
      <c r="T20" s="230"/>
      <c r="U20" s="230"/>
      <c r="V20" s="237"/>
      <c r="W20" s="252"/>
      <c r="X20" s="252"/>
      <c r="Y20" s="229"/>
      <c r="AB20" s="226"/>
      <c r="AG20" s="249"/>
      <c r="AH20" s="237"/>
    </row>
    <row r="21" spans="1:35" x14ac:dyDescent="0.2">
      <c r="A21" s="8">
        <v>61000</v>
      </c>
      <c r="B21" s="3" t="s">
        <v>42</v>
      </c>
      <c r="C21" s="226">
        <f>'[2]2188'!S52</f>
        <v>40382.58</v>
      </c>
      <c r="D21" s="226"/>
      <c r="E21" s="226"/>
      <c r="F21" s="226">
        <f t="shared" si="0"/>
        <v>40382.58</v>
      </c>
      <c r="G21" s="226">
        <f>'2188 Restating Expl'!F16+'2188 Restating Expl'!G16+'2188 Restating Expl'!H16</f>
        <v>28720.09</v>
      </c>
      <c r="H21" s="226"/>
      <c r="I21" s="226">
        <f>'2188 Restating Expl'!E16</f>
        <v>10432</v>
      </c>
      <c r="J21" s="226">
        <f>I21*0.6379-23</f>
        <v>6631.5727999999999</v>
      </c>
      <c r="K21" s="226">
        <f>$I$21*0.1953</f>
        <v>2037.3696</v>
      </c>
      <c r="L21" s="226">
        <f>I21*0.1591</f>
        <v>1659.7311999999999</v>
      </c>
      <c r="M21" s="226">
        <f>I21*0.0088</f>
        <v>91.801600000000008</v>
      </c>
      <c r="N21" s="226">
        <f>I21*0.0011</f>
        <v>11.475200000000001</v>
      </c>
      <c r="O21" s="226" t="s">
        <v>24</v>
      </c>
      <c r="P21" s="246">
        <f t="shared" si="1"/>
        <v>-1230.4900000000052</v>
      </c>
      <c r="Q21" s="247"/>
      <c r="R21" s="226" t="s">
        <v>4</v>
      </c>
      <c r="S21" s="230">
        <f>SUM(S12:S19)</f>
        <v>20697.067762566388</v>
      </c>
      <c r="T21" s="230">
        <f>SUM(T12:T18)</f>
        <v>8237.9670770422163</v>
      </c>
      <c r="U21" s="230">
        <f>SUM(U12:U18)</f>
        <v>28935.034839608605</v>
      </c>
      <c r="V21" s="237">
        <f>SUM(V12:V19)</f>
        <v>1</v>
      </c>
      <c r="W21" s="237">
        <f>SUM(W12:W19)</f>
        <v>0.99999999999999978</v>
      </c>
      <c r="X21" s="252"/>
      <c r="Y21" s="229"/>
      <c r="AB21" s="226"/>
      <c r="AC21" s="253"/>
      <c r="AD21" s="253"/>
      <c r="AG21" s="249"/>
      <c r="AH21" s="237"/>
    </row>
    <row r="22" spans="1:35" x14ac:dyDescent="0.2">
      <c r="A22" s="10"/>
      <c r="B22" s="7" t="s">
        <v>43</v>
      </c>
      <c r="C22" s="232">
        <f>SUM(C10:C21)</f>
        <v>6225513.8500000006</v>
      </c>
      <c r="D22" s="232">
        <f>SUM(D10:D21)</f>
        <v>206522.96</v>
      </c>
      <c r="E22" s="232">
        <f>SUM(E10:E21)</f>
        <v>0</v>
      </c>
      <c r="F22" s="232">
        <f>SUM(F10:F21)</f>
        <v>6432036.8100000005</v>
      </c>
      <c r="G22" s="232">
        <f>SUM(G10:G21)</f>
        <v>4742255.7000000011</v>
      </c>
      <c r="H22" s="232"/>
      <c r="I22" s="232">
        <f t="shared" ref="I22:N22" si="4">SUM(I10:I21)</f>
        <v>1689781.1400000001</v>
      </c>
      <c r="J22" s="232">
        <f t="shared" si="4"/>
        <v>1084826.3328</v>
      </c>
      <c r="K22" s="232">
        <f t="shared" si="4"/>
        <v>329727.74959999998</v>
      </c>
      <c r="L22" s="232">
        <f t="shared" si="4"/>
        <v>258403.73120000001</v>
      </c>
      <c r="M22" s="232">
        <f t="shared" si="4"/>
        <v>14901.801600000001</v>
      </c>
      <c r="N22" s="232">
        <f t="shared" si="4"/>
        <v>1921.4752000000001</v>
      </c>
      <c r="O22" s="226"/>
      <c r="P22" s="246">
        <f>SUM(P10:P21)</f>
        <v>3.0000000444488251E-2</v>
      </c>
      <c r="Q22" s="247"/>
      <c r="R22" s="232"/>
      <c r="S22" s="254" t="s">
        <v>44</v>
      </c>
      <c r="T22" s="252"/>
      <c r="U22" s="252"/>
      <c r="V22" s="252"/>
      <c r="W22" s="255"/>
      <c r="X22" s="235"/>
      <c r="Y22" s="229"/>
      <c r="Z22" s="232"/>
      <c r="AA22" s="229"/>
      <c r="AB22" s="249"/>
      <c r="AC22" s="253"/>
      <c r="AD22" s="253"/>
    </row>
    <row r="23" spans="1:35" x14ac:dyDescent="0.2">
      <c r="A23" s="10"/>
      <c r="B23" s="7"/>
      <c r="C23" s="226"/>
      <c r="D23" s="226">
        <f>SUM(D10:D17)</f>
        <v>0</v>
      </c>
      <c r="E23" s="226"/>
      <c r="F23" s="226"/>
      <c r="G23" s="226"/>
      <c r="H23" s="226"/>
      <c r="I23" s="226"/>
      <c r="J23" s="226"/>
      <c r="K23" s="237"/>
      <c r="L23" s="237"/>
      <c r="M23" s="237"/>
      <c r="N23" s="237"/>
      <c r="O23" s="226"/>
      <c r="P23" s="226"/>
      <c r="Q23" s="247"/>
      <c r="R23" s="232"/>
      <c r="S23" s="255">
        <f>S21/U21</f>
        <v>0.71529437850320388</v>
      </c>
      <c r="T23" s="255">
        <f>T21/U21</f>
        <v>0.28470562149679612</v>
      </c>
      <c r="U23" s="255"/>
      <c r="V23" s="255"/>
      <c r="W23" s="255"/>
      <c r="X23" s="235"/>
      <c r="Y23" s="229"/>
      <c r="Z23" s="232"/>
      <c r="AA23" s="229"/>
      <c r="AB23" s="249"/>
      <c r="AC23" s="237"/>
      <c r="AD23" s="237"/>
    </row>
    <row r="24" spans="1:35" ht="13.5" thickBot="1" x14ac:dyDescent="0.25">
      <c r="A24" s="8"/>
      <c r="B24" s="7" t="s">
        <v>45</v>
      </c>
      <c r="C24" s="226"/>
      <c r="D24" s="226"/>
      <c r="E24" s="226"/>
      <c r="F24" s="226"/>
      <c r="G24" s="226"/>
      <c r="H24" s="226"/>
      <c r="I24" s="226"/>
      <c r="J24" s="232"/>
      <c r="K24" s="232"/>
      <c r="L24" s="232"/>
      <c r="M24" s="232"/>
      <c r="N24" s="232"/>
      <c r="O24" s="226"/>
      <c r="P24" s="226"/>
      <c r="Q24" s="247"/>
      <c r="R24" s="256"/>
      <c r="S24" s="247"/>
      <c r="T24" s="247"/>
      <c r="U24" s="247"/>
      <c r="V24" s="247"/>
      <c r="W24" s="257"/>
      <c r="X24" s="257"/>
      <c r="Y24" s="229"/>
      <c r="Z24" s="226"/>
      <c r="AA24" s="251"/>
      <c r="AB24" s="251"/>
      <c r="AC24" s="251"/>
      <c r="AD24" s="251"/>
    </row>
    <row r="25" spans="1:35" x14ac:dyDescent="0.2">
      <c r="A25" s="8">
        <v>41200</v>
      </c>
      <c r="B25" s="3" t="s">
        <v>46</v>
      </c>
      <c r="C25" s="226">
        <f>'[2]2188'!U189+'[2]2188'!U254</f>
        <v>13316.82</v>
      </c>
      <c r="D25" s="226"/>
      <c r="E25" s="226"/>
      <c r="F25" s="226">
        <f t="shared" ref="F25:F76" si="5">SUM(C25:E25)</f>
        <v>13316.82</v>
      </c>
      <c r="G25" s="226">
        <f>F25*$S$36</f>
        <v>9457.8812887962213</v>
      </c>
      <c r="H25" s="226" t="s">
        <v>47</v>
      </c>
      <c r="I25" s="226">
        <f>F25-G25</f>
        <v>3858.9387112037784</v>
      </c>
      <c r="J25" s="226">
        <f>I25*$V$27</f>
        <v>2385.7977776097327</v>
      </c>
      <c r="K25" s="226">
        <f>I25*$V$29</f>
        <v>536.60309397517506</v>
      </c>
      <c r="L25" s="226">
        <f>I25*$V$30</f>
        <v>873.2388151285021</v>
      </c>
      <c r="M25" s="226">
        <f>I25*$V$32</f>
        <v>46.035654174813949</v>
      </c>
      <c r="N25" s="226">
        <f>I25*$V$31</f>
        <v>17.263370315555232</v>
      </c>
      <c r="O25" s="226" t="s">
        <v>47</v>
      </c>
      <c r="P25" s="226">
        <f>SUM(J25:N25)-I25</f>
        <v>0</v>
      </c>
      <c r="Q25" s="247"/>
      <c r="R25" s="232" t="s">
        <v>48</v>
      </c>
      <c r="S25" s="234" t="s">
        <v>25</v>
      </c>
      <c r="T25" s="248" t="s">
        <v>26</v>
      </c>
      <c r="U25" s="248" t="s">
        <v>4</v>
      </c>
      <c r="V25" s="258" t="s">
        <v>26</v>
      </c>
      <c r="W25" s="259" t="s">
        <v>25</v>
      </c>
      <c r="X25" s="260" t="s">
        <v>26</v>
      </c>
      <c r="Y25" s="261"/>
      <c r="AA25" s="251"/>
      <c r="AB25" s="251"/>
      <c r="AC25" s="237"/>
      <c r="AD25" s="237"/>
    </row>
    <row r="26" spans="1:35" ht="15" x14ac:dyDescent="0.2">
      <c r="A26" s="8">
        <v>41310</v>
      </c>
      <c r="B26" s="3" t="s">
        <v>49</v>
      </c>
      <c r="C26" s="226">
        <f>'[2]2188'!U117+'[2]2188'!U151</f>
        <v>276895.68999999994</v>
      </c>
      <c r="D26" s="226"/>
      <c r="E26" s="226">
        <f>'[2]Pro-forma Adj'!E27</f>
        <v>15788.205184999999</v>
      </c>
      <c r="F26" s="226">
        <f t="shared" si="5"/>
        <v>292683.89518499991</v>
      </c>
      <c r="G26" s="226">
        <f t="shared" ref="G26:G36" si="6">F26*$S$36</f>
        <v>207870.16238127463</v>
      </c>
      <c r="H26" s="226" t="s">
        <v>47</v>
      </c>
      <c r="I26" s="226">
        <f t="shared" ref="I26:I76" si="7">F26-G26</f>
        <v>84813.732803725288</v>
      </c>
      <c r="J26" s="226">
        <f t="shared" ref="J26:J34" si="8">I26*$V$27</f>
        <v>52436.286341223546</v>
      </c>
      <c r="K26" s="226">
        <f>I26*$V$29</f>
        <v>11793.737822766752</v>
      </c>
      <c r="L26" s="226">
        <f>I26*$V$30</f>
        <v>19192.490237049384</v>
      </c>
      <c r="M26" s="226">
        <f>I26*$V$32</f>
        <v>1011.79520195318</v>
      </c>
      <c r="N26" s="226">
        <f>I26*$V$31</f>
        <v>379.42320073244247</v>
      </c>
      <c r="O26" s="226" t="s">
        <v>47</v>
      </c>
      <c r="P26" s="226">
        <f t="shared" ref="P26:P75" si="9">SUM(J26:N26)-I26</f>
        <v>0</v>
      </c>
      <c r="Q26" s="247"/>
      <c r="R26" s="232" t="s">
        <v>50</v>
      </c>
      <c r="S26" s="229"/>
      <c r="T26" s="248"/>
      <c r="U26" s="248"/>
      <c r="V26" s="258"/>
      <c r="W26" s="262"/>
      <c r="X26" s="263"/>
      <c r="Y26" s="11"/>
      <c r="Z26" s="12"/>
      <c r="AA26" s="13"/>
      <c r="AB26" s="14"/>
      <c r="AC26" s="14"/>
      <c r="AD26" s="14"/>
      <c r="AE26" s="14"/>
      <c r="AF26" s="14"/>
      <c r="AG26" s="15"/>
      <c r="AH26" s="12"/>
      <c r="AI26" s="15"/>
    </row>
    <row r="27" spans="1:35" ht="15" x14ac:dyDescent="0.2">
      <c r="A27" s="8"/>
      <c r="B27" s="3" t="s">
        <v>51</v>
      </c>
      <c r="C27" s="226">
        <v>0</v>
      </c>
      <c r="D27" s="226"/>
      <c r="E27" s="226"/>
      <c r="F27" s="226">
        <f t="shared" si="5"/>
        <v>0</v>
      </c>
      <c r="G27" s="226">
        <f t="shared" si="6"/>
        <v>0</v>
      </c>
      <c r="H27" s="226" t="s">
        <v>47</v>
      </c>
      <c r="I27" s="226">
        <f t="shared" si="7"/>
        <v>0</v>
      </c>
      <c r="J27" s="226">
        <f t="shared" si="8"/>
        <v>0</v>
      </c>
      <c r="K27" s="226">
        <f>I27*$V$29</f>
        <v>0</v>
      </c>
      <c r="L27" s="226">
        <f>I27*$V$30</f>
        <v>0</v>
      </c>
      <c r="M27" s="226">
        <f>I27*$V$32</f>
        <v>0</v>
      </c>
      <c r="N27" s="226">
        <f>I27*$V$31</f>
        <v>0</v>
      </c>
      <c r="O27" s="226" t="s">
        <v>47</v>
      </c>
      <c r="P27" s="226">
        <f t="shared" si="9"/>
        <v>0</v>
      </c>
      <c r="Q27" s="247"/>
      <c r="R27" s="226" t="s">
        <v>52</v>
      </c>
      <c r="S27" s="264">
        <v>434.14</v>
      </c>
      <c r="T27" s="264">
        <v>165.84</v>
      </c>
      <c r="U27" s="264">
        <f>SUM(S27:T27)</f>
        <v>599.98</v>
      </c>
      <c r="V27" s="265">
        <f>T27/T$34</f>
        <v>0.61825231136295866</v>
      </c>
      <c r="W27" s="266">
        <f>S27/U27</f>
        <v>0.72359078635954532</v>
      </c>
      <c r="X27" s="267">
        <f>T27/U27</f>
        <v>0.27640921364045468</v>
      </c>
      <c r="Y27" s="11"/>
      <c r="Z27" s="12"/>
      <c r="AA27" s="13"/>
      <c r="AB27" s="14"/>
      <c r="AC27" s="14"/>
      <c r="AD27" s="14"/>
      <c r="AE27" s="14"/>
      <c r="AF27" s="14"/>
      <c r="AG27" s="15"/>
      <c r="AH27" s="12"/>
      <c r="AI27" s="15"/>
    </row>
    <row r="28" spans="1:35" x14ac:dyDescent="0.2">
      <c r="A28" s="8">
        <v>41320</v>
      </c>
      <c r="B28" s="3" t="s">
        <v>53</v>
      </c>
      <c r="C28" s="226">
        <f>'[2]2188'!U130+'[2]2188'!U164</f>
        <v>161026.57999999996</v>
      </c>
      <c r="D28" s="226"/>
      <c r="E28" s="226"/>
      <c r="F28" s="226">
        <f t="shared" si="5"/>
        <v>161026.57999999996</v>
      </c>
      <c r="G28" s="226">
        <f t="shared" si="6"/>
        <v>114364.41117179985</v>
      </c>
      <c r="H28" s="226" t="s">
        <v>47</v>
      </c>
      <c r="I28" s="226">
        <f t="shared" si="7"/>
        <v>46662.168828200112</v>
      </c>
      <c r="J28" s="226">
        <f t="shared" si="8"/>
        <v>28848.993731243321</v>
      </c>
      <c r="K28" s="226">
        <f>I28*$V$29</f>
        <v>6488.5881944969597</v>
      </c>
      <c r="L28" s="226">
        <f>I28*$V$30</f>
        <v>10559.177035012479</v>
      </c>
      <c r="M28" s="226">
        <f>I28*$V$32</f>
        <v>556.66172177990006</v>
      </c>
      <c r="N28" s="226">
        <f>I28*$V$31</f>
        <v>208.74814566746252</v>
      </c>
      <c r="O28" s="226" t="s">
        <v>47</v>
      </c>
      <c r="P28" s="226">
        <f t="shared" si="9"/>
        <v>0</v>
      </c>
      <c r="Q28" s="247"/>
      <c r="S28" s="264"/>
      <c r="T28" s="264"/>
      <c r="U28" s="264"/>
      <c r="V28" s="268"/>
      <c r="W28" s="266"/>
      <c r="X28" s="267"/>
      <c r="Y28" s="16"/>
      <c r="Z28" s="269"/>
      <c r="AA28" s="20"/>
      <c r="AB28" s="17"/>
      <c r="AC28" s="18"/>
      <c r="AD28" s="269"/>
      <c r="AE28" s="20"/>
      <c r="AF28" s="17"/>
      <c r="AG28" s="19"/>
      <c r="AH28" s="269"/>
      <c r="AI28" s="270"/>
    </row>
    <row r="29" spans="1:35" x14ac:dyDescent="0.2">
      <c r="A29" s="8">
        <v>41330</v>
      </c>
      <c r="B29" s="3" t="s">
        <v>54</v>
      </c>
      <c r="C29" s="226">
        <f>'[2]2188'!U135</f>
        <v>17683.93</v>
      </c>
      <c r="D29" s="226"/>
      <c r="E29" s="226"/>
      <c r="F29" s="226">
        <f t="shared" si="5"/>
        <v>17683.93</v>
      </c>
      <c r="G29" s="226">
        <f t="shared" si="6"/>
        <v>12559.493231821274</v>
      </c>
      <c r="H29" s="226" t="s">
        <v>47</v>
      </c>
      <c r="I29" s="226">
        <f t="shared" si="7"/>
        <v>5124.4367681787262</v>
      </c>
      <c r="J29" s="226">
        <f t="shared" si="8"/>
        <v>3168.1948763598275</v>
      </c>
      <c r="K29" s="226">
        <f>I29*$V$29</f>
        <v>712.57639223481397</v>
      </c>
      <c r="L29" s="226">
        <f>I29*$V$30</f>
        <v>1159.6082307949923</v>
      </c>
      <c r="M29" s="226">
        <f>I29*$V$32</f>
        <v>61.13255911934062</v>
      </c>
      <c r="N29" s="226">
        <f>I29*$V$31</f>
        <v>22.92470966975273</v>
      </c>
      <c r="O29" s="226" t="s">
        <v>47</v>
      </c>
      <c r="P29" s="226">
        <f t="shared" si="9"/>
        <v>0</v>
      </c>
      <c r="Q29" s="247"/>
      <c r="R29" s="225" t="s">
        <v>11</v>
      </c>
      <c r="S29" s="264">
        <v>95.8</v>
      </c>
      <c r="T29" s="264">
        <v>37.299999999999997</v>
      </c>
      <c r="U29" s="264">
        <f>SUM(S29:T29)</f>
        <v>133.1</v>
      </c>
      <c r="V29" s="265">
        <f>T29/T$34</f>
        <v>0.13905457798985985</v>
      </c>
      <c r="W29" s="266">
        <f>S29/U29</f>
        <v>0.71975957926371148</v>
      </c>
      <c r="X29" s="267">
        <f>T29/U29</f>
        <v>0.28024042073628852</v>
      </c>
      <c r="Y29" s="16"/>
      <c r="Z29" s="269"/>
      <c r="AA29" s="20"/>
      <c r="AB29" s="17"/>
      <c r="AC29" s="18"/>
      <c r="AD29" s="269"/>
      <c r="AE29" s="20"/>
      <c r="AF29" s="17"/>
      <c r="AG29" s="19"/>
      <c r="AH29" s="269"/>
      <c r="AI29" s="270"/>
    </row>
    <row r="30" spans="1:35" x14ac:dyDescent="0.2">
      <c r="A30" s="8">
        <v>41340</v>
      </c>
      <c r="B30" s="3" t="s">
        <v>55</v>
      </c>
      <c r="C30" s="226">
        <f>'[2]2188'!U216</f>
        <v>17653.060000000001</v>
      </c>
      <c r="D30" s="226"/>
      <c r="E30" s="226"/>
      <c r="F30" s="226">
        <f t="shared" si="5"/>
        <v>17653.060000000001</v>
      </c>
      <c r="G30" s="226">
        <f t="shared" si="6"/>
        <v>12537.568718657836</v>
      </c>
      <c r="H30" s="226" t="s">
        <v>47</v>
      </c>
      <c r="I30" s="226">
        <f t="shared" si="7"/>
        <v>5115.4912813421652</v>
      </c>
      <c r="J30" s="226">
        <f>I30</f>
        <v>5115.4912813421652</v>
      </c>
      <c r="K30" s="226"/>
      <c r="L30" s="226"/>
      <c r="M30" s="226"/>
      <c r="N30" s="226"/>
      <c r="O30" s="226" t="s">
        <v>24</v>
      </c>
      <c r="P30" s="226">
        <f t="shared" si="9"/>
        <v>0</v>
      </c>
      <c r="Q30" s="247"/>
      <c r="R30" s="225" t="s">
        <v>19</v>
      </c>
      <c r="S30" s="264">
        <v>124.32</v>
      </c>
      <c r="T30" s="264">
        <v>60.7</v>
      </c>
      <c r="U30" s="264">
        <f>SUM(S30:T30)</f>
        <v>185.01999999999998</v>
      </c>
      <c r="V30" s="265">
        <f>T30/T$34</f>
        <v>0.22628988965105881</v>
      </c>
      <c r="W30" s="266">
        <f>S30/U30</f>
        <v>0.67192735920441038</v>
      </c>
      <c r="X30" s="267">
        <f>T30/U30</f>
        <v>0.32807264079558973</v>
      </c>
      <c r="Y30" s="16"/>
      <c r="Z30" s="269"/>
      <c r="AA30" s="20"/>
      <c r="AB30" s="17"/>
      <c r="AC30" s="18"/>
      <c r="AD30" s="269"/>
      <c r="AE30" s="20"/>
      <c r="AF30" s="17"/>
      <c r="AG30" s="19"/>
      <c r="AH30" s="269"/>
      <c r="AI30" s="270"/>
    </row>
    <row r="31" spans="1:35" x14ac:dyDescent="0.2">
      <c r="A31" s="8">
        <v>41600</v>
      </c>
      <c r="B31" s="3" t="s">
        <v>56</v>
      </c>
      <c r="C31" s="226">
        <f>'[2]2188'!U132</f>
        <v>62983.49</v>
      </c>
      <c r="D31" s="226"/>
      <c r="E31" s="226"/>
      <c r="F31" s="226">
        <f t="shared" si="5"/>
        <v>62983.49</v>
      </c>
      <c r="G31" s="226">
        <f t="shared" si="6"/>
        <v>44732.178671340749</v>
      </c>
      <c r="H31" s="226" t="s">
        <v>47</v>
      </c>
      <c r="I31" s="226">
        <f t="shared" si="7"/>
        <v>18251.311328659249</v>
      </c>
      <c r="J31" s="226">
        <f t="shared" si="8"/>
        <v>11283.915414348532</v>
      </c>
      <c r="K31" s="226">
        <f>I31*$V$29</f>
        <v>2537.92839456826</v>
      </c>
      <c r="L31" s="226">
        <f>I31*$V$30</f>
        <v>4130.0872265494208</v>
      </c>
      <c r="M31" s="226">
        <f>I31*$V$32</f>
        <v>217.73112232221001</v>
      </c>
      <c r="N31" s="226">
        <f>I31*$V$31</f>
        <v>81.64917087082874</v>
      </c>
      <c r="O31" s="226" t="s">
        <v>47</v>
      </c>
      <c r="P31" s="226">
        <f t="shared" si="9"/>
        <v>0</v>
      </c>
      <c r="Q31" s="247"/>
      <c r="R31" s="225" t="s">
        <v>21</v>
      </c>
      <c r="S31" s="264">
        <v>3.17</v>
      </c>
      <c r="T31" s="264">
        <v>1.2</v>
      </c>
      <c r="U31" s="264">
        <f>SUM(S31:T31)</f>
        <v>4.37</v>
      </c>
      <c r="V31" s="265">
        <f>T31/T$34</f>
        <v>4.4736057262153303E-3</v>
      </c>
      <c r="W31" s="266">
        <f>S31/U31</f>
        <v>0.72540045766590389</v>
      </c>
      <c r="X31" s="267">
        <f>T31/U31</f>
        <v>0.27459954233409611</v>
      </c>
      <c r="Y31" s="16"/>
      <c r="Z31" s="21"/>
      <c r="AA31" s="20"/>
      <c r="AB31" s="20"/>
      <c r="AC31" s="18"/>
      <c r="AD31" s="21"/>
      <c r="AE31" s="20"/>
      <c r="AF31" s="17"/>
      <c r="AG31" s="18"/>
      <c r="AH31" s="269"/>
      <c r="AI31" s="270"/>
    </row>
    <row r="32" spans="1:35" x14ac:dyDescent="0.2">
      <c r="A32" s="8">
        <v>41800</v>
      </c>
      <c r="B32" s="3" t="s">
        <v>57</v>
      </c>
      <c r="C32" s="226">
        <f>'[2]2188'!U125+'[2]2188'!U159</f>
        <v>14117.919999999998</v>
      </c>
      <c r="D32" s="226"/>
      <c r="E32" s="226"/>
      <c r="F32" s="226">
        <f t="shared" si="5"/>
        <v>14117.919999999998</v>
      </c>
      <c r="G32" s="226">
        <f t="shared" si="6"/>
        <v>10026.839095574014</v>
      </c>
      <c r="H32" s="226" t="s">
        <v>47</v>
      </c>
      <c r="I32" s="226">
        <f t="shared" si="7"/>
        <v>4091.080904425984</v>
      </c>
      <c r="J32" s="226">
        <f t="shared" si="8"/>
        <v>2529.3202251342282</v>
      </c>
      <c r="K32" s="226">
        <f>I32*$V$29</f>
        <v>568.88352868732932</v>
      </c>
      <c r="L32" s="226">
        <f>I32*$V$30</f>
        <v>925.77024641610979</v>
      </c>
      <c r="M32" s="226">
        <f>I32*$V$32</f>
        <v>48.805021227867407</v>
      </c>
      <c r="N32" s="226">
        <f>I32*$V$31</f>
        <v>18.301882960450275</v>
      </c>
      <c r="O32" s="226" t="s">
        <v>47</v>
      </c>
      <c r="P32" s="226">
        <f t="shared" si="9"/>
        <v>0</v>
      </c>
      <c r="Q32" s="247"/>
      <c r="R32" s="225" t="s">
        <v>39</v>
      </c>
      <c r="S32" s="264">
        <v>0</v>
      </c>
      <c r="T32" s="264">
        <v>3.2</v>
      </c>
      <c r="U32" s="264">
        <f>SUM(S32:T32)</f>
        <v>3.2</v>
      </c>
      <c r="V32" s="265">
        <f>T32/T$34</f>
        <v>1.1929615269907549E-2</v>
      </c>
      <c r="W32" s="266">
        <f>S32/U32</f>
        <v>0</v>
      </c>
      <c r="X32" s="267">
        <f>T32/U32</f>
        <v>1</v>
      </c>
      <c r="Y32" s="22"/>
      <c r="Z32" s="21"/>
      <c r="AA32" s="23"/>
      <c r="AB32" s="20"/>
      <c r="AC32" s="24"/>
      <c r="AD32" s="21"/>
      <c r="AE32" s="23"/>
      <c r="AF32" s="17"/>
      <c r="AG32" s="18"/>
      <c r="AH32" s="269"/>
      <c r="AI32" s="270"/>
    </row>
    <row r="33" spans="1:35" ht="13.5" thickBot="1" x14ac:dyDescent="0.25">
      <c r="A33" s="8">
        <v>42100</v>
      </c>
      <c r="B33" s="3" t="s">
        <v>58</v>
      </c>
      <c r="C33" s="226">
        <f>'[2]2188'!U173</f>
        <v>71118.45</v>
      </c>
      <c r="D33" s="226"/>
      <c r="E33" s="226">
        <f>'[2]Pro-forma Adj'!E34</f>
        <v>0</v>
      </c>
      <c r="F33" s="226">
        <f t="shared" si="5"/>
        <v>71118.45</v>
      </c>
      <c r="G33" s="226">
        <f t="shared" si="6"/>
        <v>50509.795697710841</v>
      </c>
      <c r="H33" s="226" t="s">
        <v>47</v>
      </c>
      <c r="I33" s="226">
        <f t="shared" si="7"/>
        <v>20608.654302289156</v>
      </c>
      <c r="J33" s="226">
        <f t="shared" si="8"/>
        <v>12741.348156470453</v>
      </c>
      <c r="K33" s="226">
        <f>I33*$V$29</f>
        <v>2865.7277269437282</v>
      </c>
      <c r="L33" s="226">
        <f>I33*$V$30</f>
        <v>4663.5301079218316</v>
      </c>
      <c r="M33" s="226">
        <f>I33*$V$32</f>
        <v>245.85331705683461</v>
      </c>
      <c r="N33" s="226">
        <f>I33*$V$31</f>
        <v>92.19499389631298</v>
      </c>
      <c r="O33" s="226" t="s">
        <v>47</v>
      </c>
      <c r="P33" s="226">
        <f t="shared" si="9"/>
        <v>0</v>
      </c>
      <c r="Q33" s="247"/>
      <c r="S33" s="237"/>
      <c r="T33" s="237"/>
      <c r="U33" s="237"/>
      <c r="V33" s="268"/>
      <c r="W33" s="271"/>
      <c r="X33" s="272"/>
      <c r="Y33" s="22"/>
      <c r="Z33" s="269"/>
      <c r="AA33" s="25"/>
      <c r="AB33" s="20"/>
      <c r="AC33" s="20"/>
      <c r="AD33" s="20"/>
      <c r="AE33" s="25"/>
      <c r="AF33" s="20"/>
      <c r="AG33" s="18"/>
      <c r="AH33" s="269"/>
      <c r="AI33" s="270"/>
    </row>
    <row r="34" spans="1:35" x14ac:dyDescent="0.2">
      <c r="A34" s="8">
        <v>42300</v>
      </c>
      <c r="B34" s="3" t="s">
        <v>59</v>
      </c>
      <c r="C34" s="226">
        <f>'[2]2188'!U92</f>
        <v>679259.64</v>
      </c>
      <c r="D34" s="226"/>
      <c r="E34" s="226">
        <f>'[2]Pro-forma Adj'!E35</f>
        <v>14376.682225</v>
      </c>
      <c r="F34" s="226">
        <f t="shared" si="5"/>
        <v>693636.32222500001</v>
      </c>
      <c r="G34" s="226">
        <f t="shared" si="6"/>
        <v>492634.87778623233</v>
      </c>
      <c r="H34" s="226" t="s">
        <v>47</v>
      </c>
      <c r="I34" s="226">
        <f t="shared" si="7"/>
        <v>201001.44443876768</v>
      </c>
      <c r="J34" s="226">
        <f t="shared" si="8"/>
        <v>124269.60761156143</v>
      </c>
      <c r="K34" s="226">
        <f>I34*$V$29</f>
        <v>27950.171031785099</v>
      </c>
      <c r="L34" s="226">
        <f>I34*$V$30</f>
        <v>45484.594681752169</v>
      </c>
      <c r="M34" s="226">
        <f>I34*$V$32</f>
        <v>2397.8699008501967</v>
      </c>
      <c r="N34" s="226">
        <f>I34*$V$31</f>
        <v>899.20121281882371</v>
      </c>
      <c r="O34" s="226" t="s">
        <v>47</v>
      </c>
      <c r="P34" s="226">
        <f t="shared" si="9"/>
        <v>0</v>
      </c>
      <c r="Q34" s="247"/>
      <c r="R34" s="225" t="s">
        <v>60</v>
      </c>
      <c r="S34" s="273">
        <f>SUM(S27:S33)</f>
        <v>657.43</v>
      </c>
      <c r="T34" s="273">
        <f>SUM(T27:T33)</f>
        <v>268.23999999999995</v>
      </c>
      <c r="U34" s="273">
        <f>SUM(U27:U33)</f>
        <v>925.67000000000007</v>
      </c>
      <c r="V34" s="251"/>
      <c r="W34" s="274"/>
      <c r="X34" s="274"/>
      <c r="Y34" s="18"/>
      <c r="Z34" s="269"/>
      <c r="AA34" s="18"/>
      <c r="AB34" s="20"/>
      <c r="AC34" s="20"/>
      <c r="AD34" s="20"/>
      <c r="AE34" s="20"/>
      <c r="AF34" s="20"/>
      <c r="AG34" s="18"/>
      <c r="AH34" s="269"/>
      <c r="AI34" s="270"/>
    </row>
    <row r="35" spans="1:35" x14ac:dyDescent="0.2">
      <c r="A35" s="8"/>
      <c r="B35" s="3" t="s">
        <v>51</v>
      </c>
      <c r="C35" s="226">
        <f>'[2]2188'!U94</f>
        <v>22227.680000000004</v>
      </c>
      <c r="D35" s="226"/>
      <c r="E35" s="226"/>
      <c r="F35" s="226">
        <f t="shared" si="5"/>
        <v>22227.680000000004</v>
      </c>
      <c r="G35" s="226">
        <f t="shared" si="6"/>
        <v>15786.558560178035</v>
      </c>
      <c r="H35" s="226" t="s">
        <v>47</v>
      </c>
      <c r="I35" s="226">
        <f t="shared" si="7"/>
        <v>6441.121439821969</v>
      </c>
      <c r="J35" s="226">
        <f>I35</f>
        <v>6441.121439821969</v>
      </c>
      <c r="K35" s="226">
        <v>0</v>
      </c>
      <c r="L35" s="226">
        <v>0</v>
      </c>
      <c r="M35" s="226">
        <v>0</v>
      </c>
      <c r="N35" s="226">
        <v>0</v>
      </c>
      <c r="O35" s="226" t="s">
        <v>24</v>
      </c>
      <c r="P35" s="226">
        <f t="shared" si="9"/>
        <v>0</v>
      </c>
      <c r="Q35" s="247"/>
      <c r="S35" s="237"/>
      <c r="T35" s="237"/>
      <c r="U35" s="237"/>
      <c r="V35" s="237"/>
      <c r="W35" s="275"/>
      <c r="X35" s="235"/>
      <c r="Y35" s="18"/>
      <c r="Z35" s="269"/>
      <c r="AA35" s="18"/>
      <c r="AB35" s="20"/>
      <c r="AC35" s="20"/>
      <c r="AD35" s="20"/>
      <c r="AE35" s="20"/>
      <c r="AF35" s="20"/>
      <c r="AG35" s="18"/>
      <c r="AH35" s="269"/>
      <c r="AI35" s="270"/>
    </row>
    <row r="36" spans="1:35" x14ac:dyDescent="0.2">
      <c r="A36" s="8">
        <v>42400</v>
      </c>
      <c r="B36" s="3" t="s">
        <v>61</v>
      </c>
      <c r="C36" s="226">
        <f>'[2]2188'!U134</f>
        <v>625892.29999999993</v>
      </c>
      <c r="D36" s="226">
        <f>'[2]2188 Restating Adj'!I37</f>
        <v>-156000</v>
      </c>
      <c r="E36" s="226"/>
      <c r="F36" s="226">
        <f t="shared" si="5"/>
        <v>469892.29999999993</v>
      </c>
      <c r="G36" s="226">
        <f t="shared" si="6"/>
        <v>333727.24058141664</v>
      </c>
      <c r="H36" s="226" t="s">
        <v>47</v>
      </c>
      <c r="I36" s="226">
        <f t="shared" si="7"/>
        <v>136165.05941858329</v>
      </c>
      <c r="J36" s="226">
        <f>I36*$V$27</f>
        <v>84184.362712413727</v>
      </c>
      <c r="K36" s="226">
        <f>I36*$V$29</f>
        <v>18934.374874415291</v>
      </c>
      <c r="L36" s="226">
        <f>I36*$V$30</f>
        <v>30812.776270161077</v>
      </c>
      <c r="M36" s="226">
        <f>I36*$V$32</f>
        <v>1624.3967720677999</v>
      </c>
      <c r="N36" s="226">
        <f>I36*$V$31</f>
        <v>609.14878952542495</v>
      </c>
      <c r="O36" s="226" t="s">
        <v>47</v>
      </c>
      <c r="P36" s="226">
        <f t="shared" si="9"/>
        <v>0</v>
      </c>
      <c r="Q36" s="247"/>
      <c r="R36" s="225" t="s">
        <v>28</v>
      </c>
      <c r="S36" s="237">
        <f>S34/U34</f>
        <v>0.71022070500286272</v>
      </c>
      <c r="T36" s="237">
        <f>T34/U34</f>
        <v>0.28977929499713712</v>
      </c>
      <c r="U36" s="237">
        <f>SUM(S36:T36)</f>
        <v>0.99999999999999978</v>
      </c>
      <c r="V36" s="237"/>
      <c r="W36" s="249"/>
      <c r="X36" s="249"/>
      <c r="Y36" s="24"/>
      <c r="Z36" s="269"/>
      <c r="AA36" s="26"/>
      <c r="AB36" s="20"/>
      <c r="AC36" s="20"/>
      <c r="AD36" s="20"/>
      <c r="AE36" s="20"/>
      <c r="AF36" s="20"/>
      <c r="AG36" s="19"/>
      <c r="AH36" s="269"/>
      <c r="AI36" s="27"/>
    </row>
    <row r="37" spans="1:35" x14ac:dyDescent="0.2">
      <c r="A37" s="8">
        <v>42600</v>
      </c>
      <c r="B37" s="3" t="s">
        <v>62</v>
      </c>
      <c r="C37" s="226">
        <v>0</v>
      </c>
      <c r="D37" s="226"/>
      <c r="E37" s="226"/>
      <c r="F37" s="226">
        <f t="shared" si="5"/>
        <v>0</v>
      </c>
      <c r="G37" s="226">
        <v>0</v>
      </c>
      <c r="H37" s="226" t="s">
        <v>24</v>
      </c>
      <c r="I37" s="226">
        <f t="shared" si="7"/>
        <v>0</v>
      </c>
      <c r="J37" s="226"/>
      <c r="K37" s="226">
        <v>0</v>
      </c>
      <c r="L37" s="226">
        <v>0</v>
      </c>
      <c r="M37" s="226"/>
      <c r="N37" s="226">
        <v>0</v>
      </c>
      <c r="O37" s="226" t="s">
        <v>24</v>
      </c>
      <c r="P37" s="226">
        <f t="shared" si="9"/>
        <v>0</v>
      </c>
      <c r="Q37" s="247"/>
      <c r="R37" s="247"/>
      <c r="S37" s="276"/>
      <c r="T37" s="277"/>
      <c r="U37" s="276"/>
      <c r="V37" s="276"/>
      <c r="W37" s="278"/>
      <c r="X37" s="276"/>
      <c r="Y37" s="18"/>
      <c r="Z37" s="269"/>
      <c r="AA37" s="18"/>
      <c r="AB37" s="20"/>
      <c r="AC37" s="20"/>
      <c r="AD37" s="20"/>
      <c r="AE37" s="20"/>
      <c r="AF37" s="20"/>
      <c r="AG37" s="19"/>
      <c r="AH37" s="269"/>
      <c r="AI37" s="25"/>
    </row>
    <row r="38" spans="1:35" x14ac:dyDescent="0.2">
      <c r="A38" s="8">
        <v>42800</v>
      </c>
      <c r="B38" s="3" t="s">
        <v>63</v>
      </c>
      <c r="C38" s="226">
        <f>'[2]2188'!U234+'[2]2188'!U196+'[2]2188'!U177+'[2]2188'!U99</f>
        <v>25564.22</v>
      </c>
      <c r="D38" s="226"/>
      <c r="E38" s="226"/>
      <c r="F38" s="226">
        <f t="shared" si="5"/>
        <v>25564.22</v>
      </c>
      <c r="G38" s="226">
        <f>F38*$S$36</f>
        <v>18156.238351248285</v>
      </c>
      <c r="H38" s="226" t="s">
        <v>47</v>
      </c>
      <c r="I38" s="226">
        <f t="shared" si="7"/>
        <v>7407.9816487517164</v>
      </c>
      <c r="J38" s="226">
        <f>I38*$V$27</f>
        <v>4580.0017768751304</v>
      </c>
      <c r="K38" s="226">
        <f>I38*$V$29</f>
        <v>1030.1137619237961</v>
      </c>
      <c r="L38" s="226">
        <f>I38*$V$30</f>
        <v>1676.3513498330947</v>
      </c>
      <c r="M38" s="226">
        <f>I38*$V$32</f>
        <v>88.374370996143369</v>
      </c>
      <c r="N38" s="226">
        <f>I38*$V$31</f>
        <v>33.14038912355376</v>
      </c>
      <c r="O38" s="226" t="s">
        <v>47</v>
      </c>
      <c r="P38" s="226">
        <f t="shared" si="9"/>
        <v>0</v>
      </c>
      <c r="Q38" s="247"/>
      <c r="S38" s="230"/>
      <c r="T38" s="226"/>
      <c r="U38" s="230"/>
      <c r="V38" s="230"/>
      <c r="W38" s="279"/>
      <c r="X38" s="230"/>
      <c r="Y38" s="18"/>
      <c r="Z38" s="269"/>
      <c r="AA38" s="18"/>
      <c r="AB38" s="20"/>
      <c r="AC38" s="20"/>
      <c r="AD38" s="20"/>
      <c r="AE38" s="20"/>
      <c r="AF38" s="20"/>
      <c r="AG38" s="19"/>
      <c r="AH38" s="269"/>
      <c r="AI38" s="19"/>
    </row>
    <row r="39" spans="1:35" x14ac:dyDescent="0.2">
      <c r="A39" s="8">
        <v>43600</v>
      </c>
      <c r="B39" s="3" t="s">
        <v>64</v>
      </c>
      <c r="C39" s="226">
        <f>'[2]2188'!S59-C40</f>
        <v>1753878.57</v>
      </c>
      <c r="D39" s="226">
        <f>'[2]2188 Restating Adj'!I40</f>
        <v>-66109.390000000363</v>
      </c>
      <c r="E39" s="226"/>
      <c r="F39" s="226">
        <f t="shared" si="5"/>
        <v>1687769.1799999997</v>
      </c>
      <c r="G39" s="226">
        <f>'2188 Restating Expl'!C215+'2188 Restating Expl'!D222</f>
        <v>1268934.5599999998</v>
      </c>
      <c r="H39" s="226" t="s">
        <v>24</v>
      </c>
      <c r="I39" s="226">
        <f>'2188 Restating Expl'!B215</f>
        <v>418834.62</v>
      </c>
      <c r="J39" s="226">
        <f>I39</f>
        <v>418834.62</v>
      </c>
      <c r="K39" s="226"/>
      <c r="L39" s="226"/>
      <c r="M39" s="226"/>
      <c r="N39" s="226"/>
      <c r="O39" s="226" t="s">
        <v>24</v>
      </c>
      <c r="P39" s="226">
        <f t="shared" si="9"/>
        <v>0</v>
      </c>
      <c r="Q39" s="247"/>
      <c r="S39" s="234" t="s">
        <v>65</v>
      </c>
      <c r="T39" s="234" t="s">
        <v>4</v>
      </c>
      <c r="U39" s="236" t="s">
        <v>66</v>
      </c>
      <c r="V39" s="236" t="s">
        <v>67</v>
      </c>
      <c r="W39" s="279"/>
      <c r="X39" s="230"/>
      <c r="Y39" s="18"/>
      <c r="Z39" s="269"/>
      <c r="AA39" s="18"/>
      <c r="AB39" s="20"/>
      <c r="AC39" s="20"/>
      <c r="AD39" s="20"/>
      <c r="AE39" s="20"/>
      <c r="AF39" s="20"/>
      <c r="AG39" s="19"/>
      <c r="AH39" s="269"/>
      <c r="AI39" s="19"/>
    </row>
    <row r="40" spans="1:35" x14ac:dyDescent="0.2">
      <c r="A40" s="8"/>
      <c r="B40" s="3" t="s">
        <v>68</v>
      </c>
      <c r="C40" s="226">
        <f>C16</f>
        <v>668449.22</v>
      </c>
      <c r="D40" s="250"/>
      <c r="E40" s="250"/>
      <c r="F40" s="226">
        <f t="shared" si="5"/>
        <v>668449.22</v>
      </c>
      <c r="G40" s="226">
        <f>'2188 Restating Expl'!C216-'2188 Restating Expl'!D222</f>
        <v>472830.84</v>
      </c>
      <c r="H40" s="226" t="s">
        <v>24</v>
      </c>
      <c r="I40" s="226">
        <v>195618</v>
      </c>
      <c r="J40" s="226"/>
      <c r="K40" s="226">
        <f>I40</f>
        <v>195618</v>
      </c>
      <c r="L40" s="226"/>
      <c r="M40" s="226"/>
      <c r="N40" s="226"/>
      <c r="O40" s="226" t="s">
        <v>24</v>
      </c>
      <c r="P40" s="226">
        <f t="shared" si="9"/>
        <v>0</v>
      </c>
      <c r="Q40" s="247"/>
      <c r="S40" s="234" t="s">
        <v>69</v>
      </c>
      <c r="T40" s="234" t="s">
        <v>70</v>
      </c>
      <c r="U40" s="236" t="s">
        <v>69</v>
      </c>
      <c r="V40" s="236" t="s">
        <v>71</v>
      </c>
      <c r="W40" s="279"/>
      <c r="X40" s="230"/>
      <c r="Y40" s="18"/>
      <c r="Z40" s="269"/>
      <c r="AA40" s="24"/>
      <c r="AB40" s="20"/>
      <c r="AC40" s="20"/>
      <c r="AD40" s="20"/>
      <c r="AE40" s="20"/>
      <c r="AF40" s="20"/>
      <c r="AG40" s="19"/>
      <c r="AH40" s="269"/>
      <c r="AI40" s="19"/>
    </row>
    <row r="41" spans="1:35" ht="15" x14ac:dyDescent="0.2">
      <c r="A41" s="8"/>
      <c r="B41" s="3" t="s">
        <v>72</v>
      </c>
      <c r="C41" s="226">
        <f>'[2]2188'!S60</f>
        <v>1139.06</v>
      </c>
      <c r="D41" s="226">
        <f>'[2]2188 Restating Adj'!I42</f>
        <v>1683.6200000000003</v>
      </c>
      <c r="E41" s="226"/>
      <c r="F41" s="226">
        <f t="shared" si="5"/>
        <v>2822.6800000000003</v>
      </c>
      <c r="G41" s="226">
        <f>'2188 Restating Expl'!C86</f>
        <v>2466.88</v>
      </c>
      <c r="H41" s="226" t="s">
        <v>24</v>
      </c>
      <c r="I41" s="226">
        <f t="shared" si="7"/>
        <v>355.80000000000018</v>
      </c>
      <c r="J41" s="226"/>
      <c r="K41" s="226"/>
      <c r="L41" s="226"/>
      <c r="M41" s="226"/>
      <c r="N41" s="226">
        <f>I41</f>
        <v>355.80000000000018</v>
      </c>
      <c r="O41" s="226" t="s">
        <v>24</v>
      </c>
      <c r="P41" s="226">
        <f t="shared" si="9"/>
        <v>0</v>
      </c>
      <c r="Q41" s="247"/>
      <c r="R41" s="225" t="str">
        <f>'[2]2188-PR Summary'!Q44</f>
        <v>Packer Rts</v>
      </c>
      <c r="S41" s="226">
        <f>'[2]2188-PR Summary'!R44</f>
        <v>23974.720000000001</v>
      </c>
      <c r="T41" s="226">
        <f>'[2]2188-PR Summary'!S44</f>
        <v>446068.17000000004</v>
      </c>
      <c r="U41" s="226">
        <f>'[2]2188-PR Summary'!T44</f>
        <v>1123</v>
      </c>
      <c r="V41" s="226">
        <f>'[2]2188-PR Summary'!U44</f>
        <v>9063.8342000000011</v>
      </c>
      <c r="W41" s="226"/>
      <c r="X41" s="230"/>
      <c r="Y41" s="13"/>
      <c r="Z41" s="12"/>
      <c r="AA41" s="13"/>
      <c r="AB41" s="14"/>
      <c r="AC41" s="14"/>
      <c r="AD41" s="14"/>
      <c r="AE41" s="14"/>
      <c r="AF41" s="14"/>
      <c r="AG41" s="15"/>
      <c r="AH41" s="12"/>
      <c r="AI41" s="15"/>
    </row>
    <row r="42" spans="1:35" x14ac:dyDescent="0.2">
      <c r="A42" s="8"/>
      <c r="B42" s="3" t="s">
        <v>73</v>
      </c>
      <c r="C42" s="226">
        <v>0</v>
      </c>
      <c r="D42" s="280"/>
      <c r="E42" s="280"/>
      <c r="F42" s="226">
        <f t="shared" si="5"/>
        <v>0</v>
      </c>
      <c r="G42" s="226">
        <v>0</v>
      </c>
      <c r="H42" s="226" t="s">
        <v>24</v>
      </c>
      <c r="I42" s="226">
        <f t="shared" si="7"/>
        <v>0</v>
      </c>
      <c r="J42" s="226"/>
      <c r="K42" s="226"/>
      <c r="L42" s="226"/>
      <c r="M42" s="226"/>
      <c r="N42" s="226"/>
      <c r="O42" s="226" t="s">
        <v>24</v>
      </c>
      <c r="P42" s="226">
        <f t="shared" si="9"/>
        <v>0</v>
      </c>
      <c r="Q42" s="247"/>
      <c r="R42" s="225" t="str">
        <f>'[2]2188-PR Summary'!Q45</f>
        <v>Roll-off</v>
      </c>
      <c r="S42" s="226">
        <f>'[2]2188-PR Summary'!R45</f>
        <v>6691.25</v>
      </c>
      <c r="T42" s="226">
        <f>'[2]2188-PR Summary'!S45</f>
        <v>139334.93</v>
      </c>
      <c r="U42" s="226">
        <f>'[2]2188-PR Summary'!T45</f>
        <v>455</v>
      </c>
      <c r="V42" s="226">
        <f>'[2]2188-PR Summary'!U45</f>
        <v>2897.4802250000002</v>
      </c>
      <c r="W42" s="279"/>
      <c r="X42" s="230"/>
      <c r="Y42" s="18"/>
      <c r="Z42" s="269"/>
      <c r="AA42" s="281"/>
      <c r="AB42" s="28"/>
      <c r="AC42" s="20"/>
      <c r="AD42" s="20"/>
      <c r="AE42" s="20"/>
      <c r="AF42" s="20"/>
      <c r="AG42" s="19"/>
      <c r="AH42" s="269"/>
      <c r="AI42" s="270"/>
    </row>
    <row r="43" spans="1:35" x14ac:dyDescent="0.2">
      <c r="A43" s="8">
        <v>43610</v>
      </c>
      <c r="B43" s="282" t="s">
        <v>74</v>
      </c>
      <c r="C43" s="283">
        <f>'[2]2188'!S69</f>
        <v>191.09</v>
      </c>
      <c r="D43" s="226"/>
      <c r="E43" s="226"/>
      <c r="F43" s="226">
        <f t="shared" si="5"/>
        <v>191.09</v>
      </c>
      <c r="G43" s="226">
        <f>191</f>
        <v>191</v>
      </c>
      <c r="H43" s="226" t="s">
        <v>24</v>
      </c>
      <c r="I43" s="226">
        <f t="shared" si="7"/>
        <v>9.0000000000003411E-2</v>
      </c>
      <c r="J43" s="226">
        <f>I43*$V$27</f>
        <v>5.5642708022668387E-2</v>
      </c>
      <c r="K43" s="226">
        <f>I43*$V$29</f>
        <v>1.2514912019087861E-2</v>
      </c>
      <c r="L43" s="226">
        <f>I43*$V$30</f>
        <v>2.0366090068596066E-2</v>
      </c>
      <c r="M43" s="226">
        <f>I43*$V$32</f>
        <v>1.0736653742917201E-3</v>
      </c>
      <c r="N43" s="226">
        <f>I43*$V$31</f>
        <v>4.02624515359395E-4</v>
      </c>
      <c r="O43" s="226" t="s">
        <v>47</v>
      </c>
      <c r="P43" s="226">
        <f t="shared" si="9"/>
        <v>0</v>
      </c>
      <c r="Q43" s="247"/>
      <c r="R43" s="225" t="str">
        <f>'[2]2188-PR Summary'!Q46</f>
        <v>Recycling</v>
      </c>
      <c r="S43" s="226">
        <f>'[2]2188-PR Summary'!R46</f>
        <v>5281.01</v>
      </c>
      <c r="T43" s="226">
        <f>'[2]2188-PR Summary'!S46</f>
        <v>84580.140000000014</v>
      </c>
      <c r="U43" s="226">
        <f>'[2]2188-PR Summary'!T46</f>
        <v>104</v>
      </c>
      <c r="V43" s="226">
        <f>'[2]2188-PR Summary'!U46</f>
        <v>2415.3678</v>
      </c>
      <c r="W43" s="279"/>
      <c r="X43" s="230"/>
      <c r="Y43" s="18"/>
      <c r="Z43" s="269"/>
      <c r="AA43" s="281"/>
      <c r="AB43" s="28"/>
      <c r="AC43" s="20"/>
      <c r="AD43" s="20"/>
      <c r="AE43" s="20"/>
      <c r="AF43" s="20"/>
      <c r="AG43" s="19"/>
      <c r="AH43" s="269"/>
      <c r="AI43" s="270"/>
    </row>
    <row r="44" spans="1:35" x14ac:dyDescent="0.2">
      <c r="A44" s="8">
        <v>43650</v>
      </c>
      <c r="B44" s="3" t="s">
        <v>75</v>
      </c>
      <c r="C44" s="284">
        <f>'[2]2188'!S77</f>
        <v>93396.50999999998</v>
      </c>
      <c r="D44" s="284">
        <f>'[2]2188 Restating Adj'!I45</f>
        <v>0</v>
      </c>
      <c r="E44" s="284"/>
      <c r="F44" s="284">
        <f t="shared" si="5"/>
        <v>93396.50999999998</v>
      </c>
      <c r="G44" s="226">
        <f>'2188 Restating Expl'!D47</f>
        <v>0</v>
      </c>
      <c r="H44" s="226" t="s">
        <v>76</v>
      </c>
      <c r="I44" s="284">
        <f>'2188 Restating Expl'!D46</f>
        <v>0</v>
      </c>
      <c r="J44" s="226"/>
      <c r="K44" s="226"/>
      <c r="L44" s="284">
        <f>'2188 Restating Expl'!D44</f>
        <v>0</v>
      </c>
      <c r="M44" s="284">
        <f>'2188 Restating Expl'!D45</f>
        <v>0</v>
      </c>
      <c r="N44" s="226"/>
      <c r="O44" s="226" t="s">
        <v>47</v>
      </c>
      <c r="P44" s="226">
        <f t="shared" si="9"/>
        <v>0</v>
      </c>
      <c r="Q44" s="247"/>
      <c r="R44" s="225" t="str">
        <f>'[2]2188-PR Summary'!Q47</f>
        <v>Yard Waste</v>
      </c>
      <c r="S44" s="226">
        <f>'[2]2188-PR Summary'!R47</f>
        <v>0</v>
      </c>
      <c r="T44" s="226">
        <f>'[2]2188-PR Summary'!S47</f>
        <v>0</v>
      </c>
      <c r="U44" s="226"/>
      <c r="V44" s="226"/>
      <c r="W44" s="226"/>
      <c r="X44" s="230"/>
      <c r="Y44" s="18"/>
      <c r="Z44" s="269"/>
      <c r="AA44" s="281"/>
      <c r="AB44" s="20"/>
      <c r="AC44" s="20"/>
      <c r="AD44" s="20"/>
      <c r="AE44" s="20"/>
      <c r="AF44" s="20"/>
      <c r="AG44" s="19"/>
      <c r="AH44" s="269"/>
      <c r="AI44" s="270"/>
    </row>
    <row r="45" spans="1:35" x14ac:dyDescent="0.2">
      <c r="A45" s="8"/>
      <c r="B45" s="3" t="s">
        <v>77</v>
      </c>
      <c r="C45" s="226">
        <v>0</v>
      </c>
      <c r="D45" s="226">
        <f>'[2]2188 Restating Adj'!I46</f>
        <v>4122.6110928022372</v>
      </c>
      <c r="E45" s="226"/>
      <c r="F45" s="226">
        <f t="shared" si="5"/>
        <v>4122.6110928022372</v>
      </c>
      <c r="G45" s="226">
        <v>0</v>
      </c>
      <c r="H45" s="226" t="s">
        <v>24</v>
      </c>
      <c r="I45" s="226">
        <f t="shared" si="7"/>
        <v>4122.6110928022372</v>
      </c>
      <c r="J45" s="226">
        <v>0</v>
      </c>
      <c r="K45" s="226"/>
      <c r="L45" s="226">
        <f>I45</f>
        <v>4122.6110928022372</v>
      </c>
      <c r="M45" s="226"/>
      <c r="N45" s="226"/>
      <c r="O45" s="226" t="s">
        <v>76</v>
      </c>
      <c r="P45" s="226">
        <f t="shared" si="9"/>
        <v>0</v>
      </c>
      <c r="Q45" s="247"/>
      <c r="S45" s="226"/>
      <c r="T45" s="226"/>
      <c r="U45" s="226"/>
      <c r="V45" s="226"/>
      <c r="W45" s="226"/>
      <c r="X45" s="230"/>
      <c r="Y45" s="24"/>
      <c r="Z45" s="21"/>
      <c r="AA45" s="26"/>
      <c r="AB45" s="20"/>
      <c r="AC45" s="20"/>
      <c r="AD45" s="20"/>
      <c r="AE45" s="20"/>
      <c r="AF45" s="20"/>
      <c r="AG45" s="18"/>
      <c r="AH45" s="269"/>
      <c r="AI45" s="270"/>
    </row>
    <row r="46" spans="1:35" x14ac:dyDescent="0.2">
      <c r="A46" s="8">
        <v>44300</v>
      </c>
      <c r="B46" s="3" t="s">
        <v>78</v>
      </c>
      <c r="C46" s="226">
        <f>'[2]2188'!S71</f>
        <v>24236.039999999997</v>
      </c>
      <c r="D46" s="226">
        <f>'[2]2188 Restating Adj'!I47</f>
        <v>1696.9721200000058</v>
      </c>
      <c r="E46" s="226"/>
      <c r="F46" s="226">
        <f t="shared" si="5"/>
        <v>25933.012120000003</v>
      </c>
      <c r="G46" s="226">
        <f>'2188 Restating Expl'!C104+'2188 Restating Expl'!C105</f>
        <v>19332.737080000003</v>
      </c>
      <c r="H46" s="226" t="s">
        <v>79</v>
      </c>
      <c r="I46" s="226">
        <f t="shared" si="7"/>
        <v>6600.2750400000004</v>
      </c>
      <c r="J46" s="226">
        <f>J22*0.004-160</f>
        <v>4179.3053312000002</v>
      </c>
      <c r="K46" s="226">
        <f>K22*0.004</f>
        <v>1318.9109983999999</v>
      </c>
      <c r="L46" s="226">
        <f>L22*0.004</f>
        <v>1033.6149248000002</v>
      </c>
      <c r="M46" s="226">
        <f>M22*0.004</f>
        <v>59.607206400000003</v>
      </c>
      <c r="N46" s="226">
        <f>N22*0.004+1</f>
        <v>8.6859008000000006</v>
      </c>
      <c r="O46" s="226" t="s">
        <v>79</v>
      </c>
      <c r="P46" s="226">
        <f t="shared" si="9"/>
        <v>-0.15067840000028809</v>
      </c>
      <c r="Q46" s="247"/>
      <c r="R46" s="225" t="str">
        <f>'[2]2188-PR Summary'!Q49</f>
        <v>Supervisor</v>
      </c>
      <c r="S46" s="226">
        <f>'[2]2188-PR Summary'!R49</f>
        <v>2248</v>
      </c>
      <c r="T46" s="226">
        <f>'[2]2188-PR Summary'!S49</f>
        <v>72500.61</v>
      </c>
      <c r="U46" s="226"/>
      <c r="V46" s="226">
        <f>'[2]2188-PR Summary'!U49</f>
        <v>0</v>
      </c>
      <c r="W46" s="226"/>
      <c r="X46" s="230"/>
      <c r="Y46" s="24"/>
      <c r="Z46" s="269"/>
      <c r="AA46" s="29"/>
      <c r="AB46" s="20"/>
      <c r="AC46" s="20"/>
      <c r="AD46" s="20"/>
      <c r="AE46" s="20"/>
      <c r="AF46" s="20"/>
      <c r="AG46" s="18"/>
      <c r="AH46" s="269"/>
      <c r="AI46" s="270"/>
    </row>
    <row r="47" spans="1:35" x14ac:dyDescent="0.2">
      <c r="A47" s="8">
        <v>44500</v>
      </c>
      <c r="B47" s="3" t="s">
        <v>80</v>
      </c>
      <c r="C47" s="226">
        <f>'[2]2188'!U233</f>
        <v>17073.699999999997</v>
      </c>
      <c r="D47" s="226"/>
      <c r="E47" s="226"/>
      <c r="F47" s="226">
        <f t="shared" si="5"/>
        <v>17073.699999999997</v>
      </c>
      <c r="G47" s="226">
        <f>F47*$S$23</f>
        <v>12212.721630250149</v>
      </c>
      <c r="H47" s="226" t="s">
        <v>81</v>
      </c>
      <c r="I47" s="226">
        <f t="shared" si="7"/>
        <v>4860.9783697498478</v>
      </c>
      <c r="J47" s="226">
        <f>I47*$X$14</f>
        <v>2623.356266469546</v>
      </c>
      <c r="K47" s="226">
        <f>I47*$W$15</f>
        <v>8.2609819315922852</v>
      </c>
      <c r="L47" s="226">
        <f>I47*$W$16</f>
        <v>2027.1914136084056</v>
      </c>
      <c r="M47" s="226">
        <f>I47*$W$18</f>
        <v>189.64710814558805</v>
      </c>
      <c r="N47" s="226">
        <f>I47*$W$17</f>
        <v>12.52259959471529</v>
      </c>
      <c r="O47" s="226" t="s">
        <v>81</v>
      </c>
      <c r="P47" s="226">
        <f t="shared" si="9"/>
        <v>0</v>
      </c>
      <c r="Q47" s="247"/>
      <c r="S47" s="226"/>
      <c r="T47" s="226"/>
      <c r="U47" s="237"/>
      <c r="V47" s="226"/>
      <c r="W47" s="226"/>
      <c r="X47" s="226"/>
      <c r="Y47" s="18"/>
      <c r="Z47" s="269"/>
      <c r="AA47" s="18"/>
      <c r="AB47" s="20"/>
      <c r="AC47" s="20"/>
      <c r="AD47" s="20"/>
      <c r="AE47" s="20"/>
      <c r="AF47" s="20"/>
      <c r="AG47" s="18"/>
      <c r="AH47" s="269"/>
      <c r="AI47" s="270"/>
    </row>
    <row r="48" spans="1:35" x14ac:dyDescent="0.2">
      <c r="A48" s="8">
        <v>45300</v>
      </c>
      <c r="B48" s="2" t="s">
        <v>82</v>
      </c>
      <c r="C48" s="226">
        <f>'[2]2188'!U214</f>
        <v>49198.75</v>
      </c>
      <c r="D48" s="226"/>
      <c r="E48" s="226"/>
      <c r="F48" s="226">
        <f t="shared" si="5"/>
        <v>49198.75</v>
      </c>
      <c r="G48" s="226">
        <f>F48*$S$36</f>
        <v>34941.970910259595</v>
      </c>
      <c r="H48" s="226" t="s">
        <v>47</v>
      </c>
      <c r="I48" s="226">
        <f t="shared" si="7"/>
        <v>14256.779089740405</v>
      </c>
      <c r="J48" s="226">
        <f>I48*$V$27</f>
        <v>8814.2866248231039</v>
      </c>
      <c r="K48" s="226">
        <f>I48*$V$29</f>
        <v>1982.4703998185103</v>
      </c>
      <c r="L48" s="226">
        <f>I48*$V$30</f>
        <v>3226.1649669968788</v>
      </c>
      <c r="M48" s="226">
        <f>I48*$V$32</f>
        <v>170.07788952866576</v>
      </c>
      <c r="N48" s="226">
        <f>I48*$V$31</f>
        <v>63.779208573249662</v>
      </c>
      <c r="O48" s="226" t="s">
        <v>47</v>
      </c>
      <c r="P48" s="226">
        <f t="shared" si="9"/>
        <v>0</v>
      </c>
      <c r="Q48" s="247"/>
      <c r="S48" s="232">
        <f>SUM(S41:S46)</f>
        <v>38194.980000000003</v>
      </c>
      <c r="T48" s="232">
        <f>SUM(T41:T46)</f>
        <v>742483.85000000009</v>
      </c>
      <c r="U48" s="232">
        <f>SUM(U41:U47)</f>
        <v>1682</v>
      </c>
      <c r="V48" s="232">
        <f>SUM(V41:V47)</f>
        <v>14376.682225</v>
      </c>
      <c r="W48" s="283"/>
      <c r="X48" s="283"/>
      <c r="Y48" s="18"/>
      <c r="Z48" s="269"/>
      <c r="AA48" s="18"/>
      <c r="AB48" s="20"/>
      <c r="AC48" s="20"/>
      <c r="AD48" s="20"/>
      <c r="AE48" s="20"/>
      <c r="AF48" s="20"/>
      <c r="AG48" s="18"/>
      <c r="AH48" s="269"/>
      <c r="AI48" s="270"/>
    </row>
    <row r="49" spans="1:35" x14ac:dyDescent="0.2">
      <c r="A49" s="8">
        <v>45400</v>
      </c>
      <c r="B49" s="285" t="s">
        <v>83</v>
      </c>
      <c r="C49" s="226">
        <f>'[2]2188'!U218</f>
        <v>29105.090000000004</v>
      </c>
      <c r="D49" s="226"/>
      <c r="E49" s="226"/>
      <c r="F49" s="226">
        <f t="shared" si="5"/>
        <v>29105.090000000004</v>
      </c>
      <c r="G49" s="226">
        <f>F49*$S$36</f>
        <v>20671.037538971774</v>
      </c>
      <c r="H49" s="226" t="s">
        <v>47</v>
      </c>
      <c r="I49" s="226">
        <f t="shared" si="7"/>
        <v>8434.05246102823</v>
      </c>
      <c r="J49" s="226">
        <f>I49*$V$27</f>
        <v>5214.3724281871528</v>
      </c>
      <c r="K49" s="226">
        <f>I49*$V$29</f>
        <v>1172.7936057126194</v>
      </c>
      <c r="L49" s="226">
        <f>I49*$V$30</f>
        <v>1908.5408007173191</v>
      </c>
      <c r="M49" s="226">
        <f>I49*$V$32</f>
        <v>100.61500102628371</v>
      </c>
      <c r="N49" s="226">
        <f>I49*$V$31</f>
        <v>37.730625384856388</v>
      </c>
      <c r="O49" s="226" t="s">
        <v>47</v>
      </c>
      <c r="P49" s="226">
        <f t="shared" si="9"/>
        <v>0</v>
      </c>
      <c r="Q49" s="247"/>
      <c r="S49" s="226"/>
      <c r="T49" s="226"/>
      <c r="U49" s="230"/>
      <c r="V49" s="226"/>
      <c r="W49" s="226"/>
      <c r="X49" s="226"/>
      <c r="Y49" s="18"/>
      <c r="Z49" s="269"/>
      <c r="AA49" s="18"/>
      <c r="AB49" s="20"/>
      <c r="AC49" s="20"/>
      <c r="AD49" s="20"/>
      <c r="AE49" s="20"/>
      <c r="AF49" s="20"/>
      <c r="AG49" s="18"/>
      <c r="AH49" s="269"/>
      <c r="AI49" s="270"/>
    </row>
    <row r="50" spans="1:35" x14ac:dyDescent="0.2">
      <c r="A50" s="8">
        <v>46130</v>
      </c>
      <c r="B50" s="3" t="s">
        <v>84</v>
      </c>
      <c r="C50" s="226">
        <f>'[2]2188'!U240</f>
        <v>129303.76999999999</v>
      </c>
      <c r="D50" s="226">
        <f>'[2]2188 Restating Adj'!I51</f>
        <v>29487.895449999996</v>
      </c>
      <c r="E50" s="226">
        <f>'[2]Pro-forma Adj'!E51</f>
        <v>4886.3014000000003</v>
      </c>
      <c r="F50" s="226">
        <f t="shared" si="5"/>
        <v>163677.96684999997</v>
      </c>
      <c r="G50" s="226">
        <f>F50*$S$23</f>
        <v>117077.92957263874</v>
      </c>
      <c r="H50" s="226" t="s">
        <v>81</v>
      </c>
      <c r="I50" s="226">
        <f t="shared" si="7"/>
        <v>46600.037277361233</v>
      </c>
      <c r="J50" s="226">
        <f>I50*$X$14</f>
        <v>25148.949555101826</v>
      </c>
      <c r="K50" s="226">
        <f>I50*$W$15</f>
        <v>79.194358970089141</v>
      </c>
      <c r="L50" s="226">
        <f>I50*$W$16</f>
        <v>19433.782308181657</v>
      </c>
      <c r="M50" s="226">
        <f>I50*$W$18</f>
        <v>1818.0624633355349</v>
      </c>
      <c r="N50" s="226">
        <f>I50*$W$17</f>
        <v>120.04859177211925</v>
      </c>
      <c r="O50" s="226" t="s">
        <v>81</v>
      </c>
      <c r="P50" s="226">
        <f t="shared" si="9"/>
        <v>0</v>
      </c>
      <c r="Q50" s="247"/>
      <c r="R50" s="225" t="s">
        <v>85</v>
      </c>
      <c r="S50" s="226">
        <f>'[2]2188-PR Summary'!R51</f>
        <v>13047.31</v>
      </c>
      <c r="T50" s="226">
        <f>'[2]2188-PR Summary'!S51</f>
        <v>260977.40000000002</v>
      </c>
      <c r="U50" s="230"/>
      <c r="V50" s="226">
        <f>'[2]2188-PR Summary'!U51</f>
        <v>15045.512934999999</v>
      </c>
      <c r="W50" s="226"/>
      <c r="X50" s="226"/>
      <c r="Y50" s="24"/>
      <c r="Z50" s="269"/>
      <c r="AA50" s="23"/>
      <c r="AB50" s="20"/>
      <c r="AC50" s="20"/>
      <c r="AD50" s="20"/>
      <c r="AE50" s="20"/>
      <c r="AF50" s="20"/>
      <c r="AG50" s="24"/>
      <c r="AH50" s="269"/>
      <c r="AI50" s="27"/>
    </row>
    <row r="51" spans="1:35" x14ac:dyDescent="0.2">
      <c r="A51" s="8"/>
      <c r="B51" s="3" t="s">
        <v>86</v>
      </c>
      <c r="C51" s="226">
        <v>0</v>
      </c>
      <c r="D51" s="226"/>
      <c r="E51" s="226"/>
      <c r="F51" s="226">
        <f t="shared" si="5"/>
        <v>0</v>
      </c>
      <c r="G51" s="226">
        <f>F51*$S$36</f>
        <v>0</v>
      </c>
      <c r="H51" s="226" t="s">
        <v>47</v>
      </c>
      <c r="I51" s="226">
        <f t="shared" si="7"/>
        <v>0</v>
      </c>
      <c r="J51" s="226">
        <f>I51*$V$27</f>
        <v>0</v>
      </c>
      <c r="K51" s="226">
        <f>I51*$V$29</f>
        <v>0</v>
      </c>
      <c r="L51" s="226">
        <f>I51*$V$30</f>
        <v>0</v>
      </c>
      <c r="M51" s="226">
        <f>I51*$V$32</f>
        <v>0</v>
      </c>
      <c r="N51" s="226">
        <f>I51*$V$31</f>
        <v>0</v>
      </c>
      <c r="O51" s="226" t="s">
        <v>47</v>
      </c>
      <c r="P51" s="226">
        <f t="shared" si="9"/>
        <v>0</v>
      </c>
      <c r="Q51" s="247"/>
      <c r="R51" s="225" t="s">
        <v>87</v>
      </c>
      <c r="S51" s="226">
        <f>'[2]2188-PR Summary'!R52</f>
        <v>2074.02</v>
      </c>
      <c r="T51" s="226">
        <f>'[2]2188-PR Summary'!S52</f>
        <v>31138.870000000003</v>
      </c>
      <c r="U51" s="230"/>
      <c r="V51" s="226">
        <f>'[2]2188-PR Summary'!U52</f>
        <v>742.69225000000006</v>
      </c>
      <c r="W51" s="279"/>
      <c r="X51" s="230"/>
      <c r="Y51" s="18"/>
      <c r="Z51" s="269"/>
      <c r="AA51" s="18"/>
      <c r="AB51" s="20"/>
      <c r="AC51" s="20"/>
      <c r="AD51" s="20"/>
      <c r="AE51" s="20"/>
      <c r="AF51" s="20"/>
      <c r="AG51" s="19"/>
      <c r="AH51" s="269"/>
      <c r="AI51" s="30"/>
    </row>
    <row r="52" spans="1:35" x14ac:dyDescent="0.2">
      <c r="A52" s="8">
        <v>46100</v>
      </c>
      <c r="B52" s="2" t="s">
        <v>88</v>
      </c>
      <c r="C52" s="226">
        <f>'[2]2188'!S289</f>
        <v>232079.41000000006</v>
      </c>
      <c r="D52" s="226">
        <f>'[2]2188 Restating Adj'!I53</f>
        <v>-2438.6539000000048</v>
      </c>
      <c r="E52" s="226"/>
      <c r="F52" s="226">
        <f t="shared" si="5"/>
        <v>229640.75610000006</v>
      </c>
      <c r="G52" s="226">
        <f>'2188 Restating Expl'!C132</f>
        <v>169052.43950000004</v>
      </c>
      <c r="H52" s="226" t="s">
        <v>79</v>
      </c>
      <c r="I52" s="226">
        <f t="shared" si="7"/>
        <v>60588.31660000002</v>
      </c>
      <c r="J52" s="226">
        <f>J22*0.035</f>
        <v>37968.921648000003</v>
      </c>
      <c r="K52" s="226">
        <f>K22*0.035</f>
        <v>11540.471236000001</v>
      </c>
      <c r="L52" s="226">
        <f>L22*0.035+1146</f>
        <v>10190.130592000001</v>
      </c>
      <c r="M52" s="226">
        <f>M22*0.035+300</f>
        <v>821.56305600000007</v>
      </c>
      <c r="N52" s="226">
        <f>N22*0.035</f>
        <v>67.251632000000015</v>
      </c>
      <c r="O52" s="226" t="s">
        <v>79</v>
      </c>
      <c r="P52" s="226">
        <f t="shared" si="9"/>
        <v>2.156399998057168E-2</v>
      </c>
      <c r="Q52" s="247"/>
      <c r="S52" s="232">
        <f>SUM(S50:S51)</f>
        <v>15121.33</v>
      </c>
      <c r="T52" s="232">
        <f>SUM(T50:T51)</f>
        <v>292116.27</v>
      </c>
      <c r="U52" s="230"/>
      <c r="V52" s="232">
        <f>SUM(V50:V51)</f>
        <v>15788.205184999999</v>
      </c>
      <c r="W52" s="226"/>
      <c r="X52" s="228"/>
      <c r="Y52" s="18"/>
      <c r="Z52" s="269"/>
      <c r="AA52" s="18"/>
      <c r="AB52" s="20"/>
      <c r="AC52" s="20"/>
      <c r="AD52" s="20"/>
      <c r="AE52" s="20"/>
      <c r="AF52" s="20"/>
      <c r="AG52" s="19"/>
      <c r="AH52" s="269"/>
      <c r="AI52" s="19"/>
    </row>
    <row r="53" spans="1:35" x14ac:dyDescent="0.2">
      <c r="A53" s="8">
        <v>46200</v>
      </c>
      <c r="B53" s="3" t="s">
        <v>89</v>
      </c>
      <c r="C53" s="226">
        <f>'[2]2188'!U261+'[2]2188'!U143-3</f>
        <v>46404.21</v>
      </c>
      <c r="D53" s="226">
        <f>'[2]2188 Restating Adj'!I54</f>
        <v>19860.330600000001</v>
      </c>
      <c r="E53" s="226"/>
      <c r="F53" s="226">
        <f t="shared" si="5"/>
        <v>66264.540600000008</v>
      </c>
      <c r="G53" s="226">
        <f>F53*$S$23</f>
        <v>47398.653385277328</v>
      </c>
      <c r="H53" s="226" t="s">
        <v>81</v>
      </c>
      <c r="I53" s="226">
        <f t="shared" si="7"/>
        <v>18865.887214722679</v>
      </c>
      <c r="J53" s="226">
        <f>I53*$X$14</f>
        <v>10181.477818383575</v>
      </c>
      <c r="K53" s="226">
        <f>I53*$W$15</f>
        <v>32.061601914164093</v>
      </c>
      <c r="L53" s="226">
        <f>I53*$W$16</f>
        <v>7867.7092681156155</v>
      </c>
      <c r="M53" s="226">
        <f>I53*$W$18</f>
        <v>736.03720912197775</v>
      </c>
      <c r="N53" s="226">
        <f>I53*$W$17</f>
        <v>48.60131718734398</v>
      </c>
      <c r="O53" s="226" t="s">
        <v>81</v>
      </c>
      <c r="P53" s="226">
        <f t="shared" si="9"/>
        <v>0</v>
      </c>
      <c r="Q53" s="247"/>
      <c r="R53" s="225" t="s">
        <v>28</v>
      </c>
      <c r="S53" s="226" t="s">
        <v>28</v>
      </c>
      <c r="T53" s="226" t="s">
        <v>28</v>
      </c>
      <c r="U53" s="226"/>
      <c r="V53" s="226"/>
      <c r="W53" s="226"/>
      <c r="X53" s="226"/>
      <c r="Y53" s="18"/>
      <c r="Z53" s="269"/>
      <c r="AA53" s="24"/>
      <c r="AB53" s="20"/>
      <c r="AC53" s="20"/>
      <c r="AD53" s="20"/>
      <c r="AE53" s="20"/>
      <c r="AF53" s="20"/>
      <c r="AG53" s="19"/>
      <c r="AH53" s="269"/>
      <c r="AI53" s="19"/>
    </row>
    <row r="54" spans="1:35" ht="15" x14ac:dyDescent="0.2">
      <c r="A54" s="8">
        <v>46300</v>
      </c>
      <c r="B54" s="3" t="s">
        <v>90</v>
      </c>
      <c r="C54" s="226">
        <f>'[2]2188'!U274</f>
        <v>7956.7300000000005</v>
      </c>
      <c r="D54" s="226"/>
      <c r="E54" s="226"/>
      <c r="F54" s="226">
        <f t="shared" si="5"/>
        <v>7956.7300000000005</v>
      </c>
      <c r="G54" s="226">
        <f>F54*$S$23</f>
        <v>5691.4042402677978</v>
      </c>
      <c r="H54" s="226" t="s">
        <v>81</v>
      </c>
      <c r="I54" s="226">
        <f t="shared" si="7"/>
        <v>2265.3257597322026</v>
      </c>
      <c r="J54" s="226">
        <f>I54*$X$14</f>
        <v>1222.5432979439859</v>
      </c>
      <c r="K54" s="226">
        <f>I54*$W$15</f>
        <v>3.8498042465639135</v>
      </c>
      <c r="L54" s="226">
        <f>I54*$W$16</f>
        <v>944.71700547628279</v>
      </c>
      <c r="M54" s="226">
        <f>I54*$W$18</f>
        <v>88.379837691610192</v>
      </c>
      <c r="N54" s="226">
        <f>I54*$W$17</f>
        <v>5.8358143737595833</v>
      </c>
      <c r="O54" s="226" t="s">
        <v>81</v>
      </c>
      <c r="P54" s="226">
        <f t="shared" si="9"/>
        <v>0</v>
      </c>
      <c r="Q54" s="247"/>
      <c r="R54" s="225" t="s">
        <v>91</v>
      </c>
      <c r="S54" s="226">
        <f>'[2]2188-PR Summary'!R54</f>
        <v>2227.75</v>
      </c>
      <c r="T54" s="226">
        <f>'[2]2188-PR Summary'!S54</f>
        <v>40109.18</v>
      </c>
      <c r="U54" s="226"/>
      <c r="V54" s="226">
        <f>'[2]2188-PR Summary'!U54</f>
        <v>3208.7344000000003</v>
      </c>
      <c r="W54" s="226"/>
      <c r="X54" s="226"/>
      <c r="Y54" s="13"/>
      <c r="Z54" s="12"/>
      <c r="AA54" s="31"/>
      <c r="AB54" s="12"/>
      <c r="AC54" s="12"/>
      <c r="AD54" s="14"/>
      <c r="AE54" s="14"/>
      <c r="AF54" s="14"/>
      <c r="AG54" s="15"/>
      <c r="AH54" s="12"/>
      <c r="AI54" s="15"/>
    </row>
    <row r="55" spans="1:35" x14ac:dyDescent="0.2">
      <c r="A55" s="8">
        <v>46410</v>
      </c>
      <c r="B55" s="3" t="s">
        <v>92</v>
      </c>
      <c r="C55" s="226">
        <f>'[2]2188'!U257+'[2]2188'!U192+'[2]2188'!U181+'[2]2188'!U138</f>
        <v>25576.01</v>
      </c>
      <c r="D55" s="226"/>
      <c r="E55" s="226"/>
      <c r="F55" s="226">
        <f t="shared" si="5"/>
        <v>25576.01</v>
      </c>
      <c r="G55" s="226">
        <f t="shared" ref="G55:G60" si="10">F55*$S$36</f>
        <v>18164.611853360268</v>
      </c>
      <c r="H55" s="226" t="s">
        <v>47</v>
      </c>
      <c r="I55" s="226">
        <f t="shared" si="7"/>
        <v>7411.3981466397308</v>
      </c>
      <c r="J55" s="226">
        <f t="shared" ref="J55:J60" si="11">I55*$V$27</f>
        <v>4582.1140345911617</v>
      </c>
      <c r="K55" s="226">
        <f t="shared" ref="K55:K60" si="12">I55*$V$29</f>
        <v>1030.5888415958173</v>
      </c>
      <c r="L55" s="226">
        <f t="shared" ref="L55:L60" si="13">I55*$V$30</f>
        <v>1677.1244687631665</v>
      </c>
      <c r="M55" s="226">
        <f>I55*$V$32</f>
        <v>88.415128501517842</v>
      </c>
      <c r="N55" s="226">
        <f t="shared" ref="N55:N60" si="14">I55*$V$31</f>
        <v>33.155673188069187</v>
      </c>
      <c r="O55" s="226" t="s">
        <v>47</v>
      </c>
      <c r="P55" s="226">
        <f t="shared" si="9"/>
        <v>0</v>
      </c>
      <c r="Q55" s="247"/>
      <c r="R55" s="225" t="s">
        <v>93</v>
      </c>
      <c r="S55" s="226">
        <f>'[2]2188-PR Summary'!R55</f>
        <v>5793.1200000000008</v>
      </c>
      <c r="T55" s="226">
        <f>'[2]2188-PR Summary'!S55</f>
        <v>68205.679999999993</v>
      </c>
      <c r="U55" s="226"/>
      <c r="V55" s="226">
        <f>'[2]2188-PR Summary'!U55</f>
        <v>1677.5670000000002</v>
      </c>
      <c r="W55" s="226"/>
      <c r="X55" s="226"/>
      <c r="Y55" s="32"/>
      <c r="Z55" s="286"/>
      <c r="AA55" s="287"/>
      <c r="AB55" s="288"/>
      <c r="AC55" s="288"/>
      <c r="AD55" s="288"/>
      <c r="AE55" s="288"/>
      <c r="AF55" s="288"/>
      <c r="AG55" s="32"/>
      <c r="AH55" s="286"/>
      <c r="AI55" s="288"/>
    </row>
    <row r="56" spans="1:35" x14ac:dyDescent="0.2">
      <c r="A56" s="8">
        <v>46500</v>
      </c>
      <c r="B56" s="3" t="s">
        <v>94</v>
      </c>
      <c r="C56" s="226">
        <f>'[2]2188'!U96+'[2]2188'!U122+'[2]2188'!U155+'[2]2188'!U175+'[2]2188'!U245</f>
        <v>209404.16</v>
      </c>
      <c r="D56" s="226"/>
      <c r="E56" s="226"/>
      <c r="F56" s="226">
        <f t="shared" si="5"/>
        <v>209404.16</v>
      </c>
      <c r="G56" s="226">
        <f t="shared" si="10"/>
        <v>148723.17014573226</v>
      </c>
      <c r="H56" s="226" t="s">
        <v>47</v>
      </c>
      <c r="I56" s="226">
        <f t="shared" si="7"/>
        <v>60680.98985426774</v>
      </c>
      <c r="J56" s="226">
        <f t="shared" si="11"/>
        <v>37516.162233193274</v>
      </c>
      <c r="K56" s="226">
        <f t="shared" si="12"/>
        <v>8437.9694361921684</v>
      </c>
      <c r="L56" s="226">
        <f t="shared" si="13"/>
        <v>13731.494498039267</v>
      </c>
      <c r="M56" s="226">
        <f t="shared" ref="M56:M62" si="15">I56*$V$32</f>
        <v>723.90086315857752</v>
      </c>
      <c r="N56" s="226">
        <f t="shared" si="14"/>
        <v>271.46282368446651</v>
      </c>
      <c r="O56" s="226" t="s">
        <v>47</v>
      </c>
      <c r="P56" s="226">
        <f t="shared" si="9"/>
        <v>0</v>
      </c>
      <c r="Q56" s="247"/>
      <c r="R56" s="225" t="s">
        <v>28</v>
      </c>
      <c r="S56" s="232">
        <f>SUM(S54:S55)</f>
        <v>8020.8700000000008</v>
      </c>
      <c r="T56" s="232">
        <f>SUM(T54:T55)</f>
        <v>108314.85999999999</v>
      </c>
      <c r="U56" s="226"/>
      <c r="V56" s="232">
        <f>SUM(V54:V55)</f>
        <v>4886.3014000000003</v>
      </c>
      <c r="W56" s="226"/>
      <c r="X56" s="226"/>
      <c r="Y56" s="32"/>
      <c r="Z56" s="286"/>
      <c r="AA56" s="287"/>
      <c r="AB56" s="288"/>
      <c r="AC56" s="288"/>
      <c r="AD56" s="288"/>
      <c r="AE56" s="288"/>
      <c r="AF56" s="288"/>
      <c r="AG56" s="32"/>
      <c r="AH56" s="286"/>
      <c r="AI56" s="288"/>
    </row>
    <row r="57" spans="1:35" x14ac:dyDescent="0.2">
      <c r="A57" s="8">
        <v>46510</v>
      </c>
      <c r="B57" s="3" t="s">
        <v>95</v>
      </c>
      <c r="C57" s="226">
        <f>'[2]2188'!U253+'[2]2188'!U180+'[2]2188'!U160+'[2]2188'!U128+'[2]2188'!U102</f>
        <v>106889.88999999998</v>
      </c>
      <c r="D57" s="226"/>
      <c r="E57" s="226"/>
      <c r="F57" s="226">
        <f t="shared" si="5"/>
        <v>106889.88999999998</v>
      </c>
      <c r="G57" s="226">
        <f t="shared" si="10"/>
        <v>75915.413033478428</v>
      </c>
      <c r="H57" s="226" t="s">
        <v>47</v>
      </c>
      <c r="I57" s="226">
        <f t="shared" si="7"/>
        <v>30974.476966521557</v>
      </c>
      <c r="J57" s="226">
        <f t="shared" si="11"/>
        <v>19150.041977810677</v>
      </c>
      <c r="K57" s="226">
        <f t="shared" si="12"/>
        <v>4307.142823036289</v>
      </c>
      <c r="L57" s="226">
        <f t="shared" si="13"/>
        <v>7009.2109747534259</v>
      </c>
      <c r="M57" s="226">
        <f t="shared" si="15"/>
        <v>369.51359339721523</v>
      </c>
      <c r="N57" s="226">
        <f t="shared" si="14"/>
        <v>138.5675975239557</v>
      </c>
      <c r="O57" s="226" t="s">
        <v>47</v>
      </c>
      <c r="P57" s="226">
        <f t="shared" si="9"/>
        <v>0</v>
      </c>
      <c r="Q57" s="247"/>
      <c r="S57" s="226"/>
      <c r="T57" s="226"/>
      <c r="U57" s="226"/>
      <c r="V57" s="226"/>
      <c r="W57" s="226"/>
      <c r="X57" s="226"/>
      <c r="Y57" s="32"/>
      <c r="Z57" s="286"/>
      <c r="AA57" s="287"/>
      <c r="AB57" s="288"/>
      <c r="AC57" s="288"/>
      <c r="AD57" s="288"/>
      <c r="AE57" s="288"/>
      <c r="AF57" s="288"/>
      <c r="AG57" s="32"/>
      <c r="AH57" s="286"/>
      <c r="AI57" s="288"/>
    </row>
    <row r="58" spans="1:35" x14ac:dyDescent="0.2">
      <c r="A58" s="8">
        <v>46500</v>
      </c>
      <c r="B58" s="3" t="s">
        <v>96</v>
      </c>
      <c r="C58" s="226">
        <f>'[2]2188'!U103+'[2]2188'!U161</f>
        <v>14567.290000000003</v>
      </c>
      <c r="D58" s="226"/>
      <c r="E58" s="226"/>
      <c r="F58" s="226">
        <f t="shared" si="5"/>
        <v>14567.290000000003</v>
      </c>
      <c r="G58" s="226">
        <f t="shared" si="10"/>
        <v>10345.990973781154</v>
      </c>
      <c r="H58" s="226" t="s">
        <v>47</v>
      </c>
      <c r="I58" s="226">
        <f t="shared" si="7"/>
        <v>4221.2990262188487</v>
      </c>
      <c r="J58" s="226">
        <f t="shared" si="11"/>
        <v>2609.8278799140098</v>
      </c>
      <c r="K58" s="226">
        <f t="shared" si="12"/>
        <v>586.99095465986829</v>
      </c>
      <c r="L58" s="226">
        <f t="shared" si="13"/>
        <v>955.23729082718523</v>
      </c>
      <c r="M58" s="226">
        <f t="shared" si="15"/>
        <v>50.358473322026242</v>
      </c>
      <c r="N58" s="226">
        <f t="shared" si="14"/>
        <v>18.884427495759841</v>
      </c>
      <c r="O58" s="226" t="s">
        <v>47</v>
      </c>
      <c r="P58" s="226">
        <f t="shared" si="9"/>
        <v>0</v>
      </c>
      <c r="Q58" s="247"/>
      <c r="R58" s="225" t="s">
        <v>97</v>
      </c>
      <c r="S58" s="226"/>
      <c r="T58" s="226"/>
      <c r="U58" s="230"/>
      <c r="V58" s="226"/>
      <c r="W58" s="226"/>
      <c r="X58" s="226"/>
      <c r="Y58" s="33"/>
      <c r="Z58" s="34"/>
      <c r="AA58" s="35"/>
      <c r="AB58" s="35"/>
      <c r="AC58" s="35"/>
      <c r="AD58" s="288"/>
      <c r="AE58" s="288"/>
      <c r="AF58" s="288"/>
      <c r="AG58" s="33"/>
      <c r="AH58" s="286"/>
      <c r="AI58" s="35"/>
    </row>
    <row r="59" spans="1:35" x14ac:dyDescent="0.2">
      <c r="A59" s="8">
        <v>46510</v>
      </c>
      <c r="B59" s="3" t="s">
        <v>98</v>
      </c>
      <c r="C59" s="226">
        <f>'[2]2188'!U104+'[2]2188'!U162</f>
        <v>5672.34</v>
      </c>
      <c r="D59" s="226"/>
      <c r="E59" s="226"/>
      <c r="F59" s="226">
        <f t="shared" si="5"/>
        <v>5672.34</v>
      </c>
      <c r="G59" s="226">
        <f t="shared" si="10"/>
        <v>4028.6133138159385</v>
      </c>
      <c r="H59" s="226" t="s">
        <v>47</v>
      </c>
      <c r="I59" s="226">
        <f t="shared" si="7"/>
        <v>1643.7266861840617</v>
      </c>
      <c r="J59" s="226">
        <f t="shared" si="11"/>
        <v>1016.2378229822727</v>
      </c>
      <c r="K59" s="226">
        <f t="shared" si="12"/>
        <v>228.56772067799548</v>
      </c>
      <c r="L59" s="226">
        <f t="shared" si="13"/>
        <v>371.95873043309189</v>
      </c>
      <c r="M59" s="226">
        <f t="shared" si="15"/>
        <v>19.609026975055915</v>
      </c>
      <c r="N59" s="226">
        <f t="shared" si="14"/>
        <v>7.3533851156459678</v>
      </c>
      <c r="O59" s="226" t="s">
        <v>47</v>
      </c>
      <c r="P59" s="226">
        <f t="shared" si="9"/>
        <v>0</v>
      </c>
      <c r="Q59" s="247"/>
      <c r="R59" s="225" t="s">
        <v>28</v>
      </c>
      <c r="S59" s="226"/>
      <c r="T59" s="226"/>
      <c r="U59" s="230"/>
      <c r="V59" s="226"/>
      <c r="W59" s="226"/>
      <c r="X59" s="226"/>
      <c r="Y59" s="33"/>
      <c r="Z59" s="286"/>
      <c r="AA59" s="36"/>
      <c r="AB59" s="289"/>
      <c r="AC59" s="289"/>
      <c r="AD59" s="288"/>
      <c r="AE59" s="288"/>
      <c r="AF59" s="288"/>
      <c r="AG59" s="32"/>
      <c r="AH59" s="286"/>
      <c r="AI59" s="36"/>
    </row>
    <row r="60" spans="1:35" x14ac:dyDescent="0.2">
      <c r="A60" s="8">
        <v>46700</v>
      </c>
      <c r="B60" s="3" t="s">
        <v>99</v>
      </c>
      <c r="C60" s="226">
        <f>'[2]2188'!U279</f>
        <v>55564.229999999996</v>
      </c>
      <c r="D60" s="226">
        <f>'[2]2188 Restating Adj'!I61</f>
        <v>212.77000000000407</v>
      </c>
      <c r="E60" s="226"/>
      <c r="F60" s="226">
        <f t="shared" si="5"/>
        <v>55777</v>
      </c>
      <c r="G60" s="226">
        <f t="shared" si="10"/>
        <v>39613.980262944671</v>
      </c>
      <c r="H60" s="226" t="s">
        <v>47</v>
      </c>
      <c r="I60" s="226">
        <f t="shared" si="7"/>
        <v>16163.019737055329</v>
      </c>
      <c r="J60" s="226">
        <f t="shared" si="11"/>
        <v>9992.8243110395779</v>
      </c>
      <c r="K60" s="226">
        <f t="shared" si="12"/>
        <v>2247.5418885780041</v>
      </c>
      <c r="L60" s="226">
        <f t="shared" si="13"/>
        <v>3657.5279527261359</v>
      </c>
      <c r="M60" s="226">
        <f t="shared" si="15"/>
        <v>192.81860706299236</v>
      </c>
      <c r="N60" s="226">
        <f t="shared" si="14"/>
        <v>72.306977648622123</v>
      </c>
      <c r="O60" s="226" t="s">
        <v>47</v>
      </c>
      <c r="P60" s="226">
        <f t="shared" si="9"/>
        <v>0</v>
      </c>
      <c r="Q60" s="247"/>
      <c r="R60" s="225" t="s">
        <v>4</v>
      </c>
      <c r="S60" s="232">
        <f>S48+S52+S56</f>
        <v>61337.180000000008</v>
      </c>
      <c r="T60" s="232">
        <f>T48+T52+T56</f>
        <v>1142914.98</v>
      </c>
      <c r="U60" s="232">
        <f>U48+U52+U56</f>
        <v>1682</v>
      </c>
      <c r="V60" s="232">
        <f>V48+V52+V56</f>
        <v>35051.18881</v>
      </c>
      <c r="W60" s="226"/>
      <c r="X60" s="226"/>
      <c r="Y60" s="32"/>
      <c r="Z60" s="286"/>
      <c r="AA60" s="32"/>
      <c r="AB60" s="288"/>
      <c r="AC60" s="288"/>
      <c r="AD60" s="288"/>
      <c r="AE60" s="288"/>
      <c r="AF60" s="288"/>
      <c r="AG60" s="32"/>
      <c r="AH60" s="286"/>
      <c r="AI60" s="288"/>
    </row>
    <row r="61" spans="1:35" x14ac:dyDescent="0.2">
      <c r="A61" s="8">
        <v>46900</v>
      </c>
      <c r="B61" s="3" t="s">
        <v>100</v>
      </c>
      <c r="C61" s="226">
        <f>'[2]2188'!U248</f>
        <v>40675.230000000003</v>
      </c>
      <c r="D61" s="226">
        <f>'[2]2188 Restating Adj'!I62</f>
        <v>-4065.6000000000004</v>
      </c>
      <c r="E61" s="226"/>
      <c r="F61" s="226">
        <f t="shared" si="5"/>
        <v>36609.630000000005</v>
      </c>
      <c r="G61" s="226">
        <f>F61*$S$23</f>
        <v>26186.662538082252</v>
      </c>
      <c r="H61" s="226" t="s">
        <v>81</v>
      </c>
      <c r="I61" s="226">
        <f t="shared" si="7"/>
        <v>10422.967461917753</v>
      </c>
      <c r="J61" s="226">
        <f>I61*$X$14</f>
        <v>5625.0316143326572</v>
      </c>
      <c r="K61" s="226">
        <f>I61*$W$15</f>
        <v>17.713295416475571</v>
      </c>
      <c r="L61" s="226">
        <f>I61*$W$16</f>
        <v>4346.727867502691</v>
      </c>
      <c r="M61" s="226">
        <f>I61*$W$18</f>
        <v>406.6435781219048</v>
      </c>
      <c r="N61" s="226">
        <f>I61*$W$17</f>
        <v>26.851106544022489</v>
      </c>
      <c r="O61" s="226" t="s">
        <v>81</v>
      </c>
      <c r="P61" s="226">
        <f t="shared" si="9"/>
        <v>0</v>
      </c>
      <c r="Q61" s="247"/>
      <c r="R61" s="224"/>
      <c r="S61" s="232"/>
      <c r="T61" s="232"/>
      <c r="U61" s="230"/>
      <c r="V61" s="232"/>
      <c r="W61" s="226"/>
      <c r="X61" s="226"/>
      <c r="Y61" s="32"/>
      <c r="Z61" s="286"/>
      <c r="AA61" s="32"/>
      <c r="AB61" s="288"/>
      <c r="AC61" s="288"/>
      <c r="AD61" s="288"/>
      <c r="AE61" s="288"/>
      <c r="AF61" s="288"/>
      <c r="AG61" s="32"/>
      <c r="AH61" s="286"/>
      <c r="AI61" s="288"/>
    </row>
    <row r="62" spans="1:35" x14ac:dyDescent="0.2">
      <c r="A62" s="8">
        <v>46920</v>
      </c>
      <c r="B62" s="3" t="s">
        <v>101</v>
      </c>
      <c r="C62" s="226">
        <f>'[2]2188'!U256+'[2]2188'!U191</f>
        <v>11828.590000000002</v>
      </c>
      <c r="D62" s="226"/>
      <c r="E62" s="226"/>
      <c r="F62" s="226">
        <f t="shared" si="5"/>
        <v>11828.590000000002</v>
      </c>
      <c r="G62" s="226">
        <f>F62*$S$36</f>
        <v>8400.9095289898141</v>
      </c>
      <c r="H62" s="226" t="s">
        <v>47</v>
      </c>
      <c r="I62" s="226">
        <f t="shared" si="7"/>
        <v>3427.6804710101878</v>
      </c>
      <c r="J62" s="226">
        <f>I62*$V$27</f>
        <v>2119.1713738157237</v>
      </c>
      <c r="K62" s="226">
        <f>I62*$V$29</f>
        <v>476.6346613804057</v>
      </c>
      <c r="L62" s="226">
        <f>I62*$V$30</f>
        <v>775.64943554398474</v>
      </c>
      <c r="M62" s="226">
        <f t="shared" si="15"/>
        <v>40.890909287327034</v>
      </c>
      <c r="N62" s="226">
        <f>I62*$V$31</f>
        <v>15.334090982747638</v>
      </c>
      <c r="O62" s="226" t="s">
        <v>47</v>
      </c>
      <c r="P62" s="226">
        <f t="shared" si="9"/>
        <v>0</v>
      </c>
      <c r="Q62" s="247"/>
      <c r="R62" s="227"/>
      <c r="S62" s="256"/>
      <c r="T62" s="256"/>
      <c r="U62" s="256"/>
      <c r="V62" s="247"/>
      <c r="W62" s="247"/>
      <c r="X62" s="247"/>
      <c r="Y62" s="33"/>
      <c r="Z62" s="286"/>
      <c r="AA62" s="37"/>
      <c r="AB62" s="288"/>
      <c r="AC62" s="36"/>
      <c r="AD62" s="288"/>
      <c r="AE62" s="288"/>
      <c r="AF62" s="288"/>
      <c r="AG62" s="33"/>
      <c r="AH62" s="286"/>
      <c r="AI62" s="38"/>
    </row>
    <row r="63" spans="1:35" x14ac:dyDescent="0.2">
      <c r="A63" s="8">
        <v>50200</v>
      </c>
      <c r="B63" s="3" t="s">
        <v>102</v>
      </c>
      <c r="C63" s="226">
        <f>'[2]2188'!S296</f>
        <v>531835.18999999994</v>
      </c>
      <c r="D63" s="226">
        <f>'[2]2188 Restating Adj'!J66</f>
        <v>-160005.37826555577</v>
      </c>
      <c r="E63" s="226"/>
      <c r="F63" s="226">
        <f t="shared" si="5"/>
        <v>371829.81173444417</v>
      </c>
      <c r="G63" s="226">
        <f>'[2]2188 Depr Summary'!R17</f>
        <v>267133.37355362898</v>
      </c>
      <c r="H63" s="226" t="s">
        <v>47</v>
      </c>
      <c r="I63" s="226">
        <f t="shared" si="7"/>
        <v>104696.4381808152</v>
      </c>
      <c r="J63" s="226">
        <f>'[2]2188 Depr Summary'!T7</f>
        <v>66375.250108336943</v>
      </c>
      <c r="K63" s="226">
        <f>'[2]2188 Depr Summary'!U9</f>
        <v>28618.024936782229</v>
      </c>
      <c r="L63" s="226">
        <f>'[2]2188 Depr Summary'!V11</f>
        <v>9703.1631356959988</v>
      </c>
      <c r="M63" s="226">
        <v>0</v>
      </c>
      <c r="N63" s="226">
        <v>0</v>
      </c>
      <c r="O63" s="226" t="s">
        <v>47</v>
      </c>
      <c r="P63" s="226">
        <f t="shared" si="9"/>
        <v>0</v>
      </c>
      <c r="Q63" s="247"/>
      <c r="R63" s="226"/>
      <c r="S63" s="226"/>
      <c r="T63" s="226"/>
      <c r="U63" s="226"/>
      <c r="V63" s="226"/>
      <c r="Y63" s="229"/>
    </row>
    <row r="64" spans="1:35" x14ac:dyDescent="0.2">
      <c r="A64" s="8"/>
      <c r="B64" s="3" t="s">
        <v>103</v>
      </c>
      <c r="C64" s="226">
        <f>'[2]2188'!S297</f>
        <v>152968.65000000002</v>
      </c>
      <c r="D64" s="226">
        <f>'[2]2188 Restating Adj'!J67</f>
        <v>109190.34999999998</v>
      </c>
      <c r="E64" s="226"/>
      <c r="F64" s="226">
        <f t="shared" si="5"/>
        <v>262159</v>
      </c>
      <c r="G64" s="226">
        <f>'[2]2188 Depr Summary'!R28</f>
        <v>197269.69306746195</v>
      </c>
      <c r="H64" s="226" t="s">
        <v>104</v>
      </c>
      <c r="I64" s="226">
        <f t="shared" si="7"/>
        <v>64889.306932538049</v>
      </c>
      <c r="J64" s="226">
        <f>'[2]2188 Depr Summary'!T20</f>
        <v>36903.619878930433</v>
      </c>
      <c r="K64" s="226">
        <f>'[2]2188 Depr Summary'!U22</f>
        <v>20657.196261682242</v>
      </c>
      <c r="L64" s="226">
        <f>'[2]2188 Depr Summary'!V24</f>
        <v>6115.6553880000001</v>
      </c>
      <c r="M64" s="226">
        <f>'[2]2188 Depr Summary'!W26+1</f>
        <v>607.05114996270686</v>
      </c>
      <c r="N64" s="226">
        <f>'[2]2188 Depr Summary'!X26+1</f>
        <v>607.05114996270686</v>
      </c>
      <c r="O64" s="226" t="s">
        <v>104</v>
      </c>
      <c r="P64" s="226">
        <f t="shared" si="9"/>
        <v>1.2668960000446532</v>
      </c>
      <c r="Q64" s="247"/>
      <c r="R64" s="226"/>
      <c r="S64" s="226"/>
      <c r="T64" s="226"/>
      <c r="U64" s="226"/>
      <c r="V64" s="226"/>
      <c r="Y64" s="229"/>
    </row>
    <row r="65" spans="1:25" x14ac:dyDescent="0.2">
      <c r="A65" s="8">
        <v>50300</v>
      </c>
      <c r="B65" s="3" t="s">
        <v>105</v>
      </c>
      <c r="C65" s="226">
        <v>0</v>
      </c>
      <c r="D65" s="226"/>
      <c r="E65" s="226"/>
      <c r="F65" s="226">
        <f t="shared" si="5"/>
        <v>0</v>
      </c>
      <c r="G65" s="226">
        <f>F65*$S$36</f>
        <v>0</v>
      </c>
      <c r="H65" s="226" t="s">
        <v>47</v>
      </c>
      <c r="I65" s="226">
        <f t="shared" si="7"/>
        <v>0</v>
      </c>
      <c r="J65" s="226">
        <f>I65*$V$27</f>
        <v>0</v>
      </c>
      <c r="K65" s="226">
        <f>I65*$V$29</f>
        <v>0</v>
      </c>
      <c r="L65" s="226">
        <f>I65*$V$30</f>
        <v>0</v>
      </c>
      <c r="M65" s="226">
        <f>I65*$V$32</f>
        <v>0</v>
      </c>
      <c r="N65" s="226">
        <f>I65*$V$31</f>
        <v>0</v>
      </c>
      <c r="P65" s="226">
        <f t="shared" si="9"/>
        <v>0</v>
      </c>
      <c r="Q65" s="247"/>
      <c r="R65" s="235"/>
      <c r="S65" s="235"/>
      <c r="T65" s="235"/>
      <c r="U65" s="226"/>
      <c r="V65" s="226"/>
      <c r="Y65" s="229"/>
    </row>
    <row r="66" spans="1:25" x14ac:dyDescent="0.2">
      <c r="A66" s="8">
        <v>50400</v>
      </c>
      <c r="B66" s="3" t="s">
        <v>106</v>
      </c>
      <c r="C66" s="226">
        <f>'[2]2188'!S298</f>
        <v>38671.440000000002</v>
      </c>
      <c r="D66" s="226">
        <f>'[2]2188 Restating Adj'!J69</f>
        <v>-35645.67833574336</v>
      </c>
      <c r="E66" s="226"/>
      <c r="F66" s="226">
        <f t="shared" si="5"/>
        <v>3025.7616642566427</v>
      </c>
      <c r="G66" s="226">
        <f>'[2]2188 Depr Summary'!R32</f>
        <v>2148.9585823589887</v>
      </c>
      <c r="H66" s="226" t="s">
        <v>47</v>
      </c>
      <c r="I66" s="226">
        <f t="shared" si="7"/>
        <v>876.80308189765401</v>
      </c>
      <c r="J66" s="226">
        <f>I66*$V$27</f>
        <v>542.08553199339008</v>
      </c>
      <c r="K66" s="226">
        <f>I66*$V$29</f>
        <v>121.9234825334868</v>
      </c>
      <c r="L66" s="226">
        <f>I66*$V$30</f>
        <v>198.41167264832842</v>
      </c>
      <c r="M66" s="226">
        <f>I66*$V$32</f>
        <v>10.459923434508251</v>
      </c>
      <c r="N66" s="226">
        <f>I66*$V$31</f>
        <v>3.9224712879405943</v>
      </c>
      <c r="O66" s="226" t="s">
        <v>47</v>
      </c>
      <c r="P66" s="226">
        <f t="shared" si="9"/>
        <v>0</v>
      </c>
      <c r="R66" s="235"/>
      <c r="S66" s="235"/>
      <c r="T66" s="235"/>
      <c r="U66" s="226"/>
      <c r="V66" s="226"/>
      <c r="Y66" s="229"/>
    </row>
    <row r="67" spans="1:25" x14ac:dyDescent="0.2">
      <c r="A67" s="8">
        <v>50500</v>
      </c>
      <c r="B67" s="3" t="s">
        <v>107</v>
      </c>
      <c r="C67" s="226">
        <v>0</v>
      </c>
      <c r="D67" s="226">
        <f>'[2]2188 Restating Adj'!J70</f>
        <v>12052.573014298418</v>
      </c>
      <c r="E67" s="226"/>
      <c r="F67" s="226">
        <f t="shared" si="5"/>
        <v>12052.573014298418</v>
      </c>
      <c r="G67" s="226">
        <f>'[2]2188 Depr Summary'!R34+'[2]2188 Depr Summary'!R36</f>
        <v>8621.1377236270728</v>
      </c>
      <c r="H67" s="226" t="s">
        <v>47</v>
      </c>
      <c r="I67" s="226">
        <f t="shared" si="7"/>
        <v>3431.4352906713448</v>
      </c>
      <c r="J67" s="226">
        <f>'[2]2188 Depr Summary'!T34+'[2]2188 Depr Summary'!T36</f>
        <v>1851.8653217604563</v>
      </c>
      <c r="K67" s="226">
        <f>'[2]2188 Depr Summary'!U34+'[2]2188 Depr Summary'!U36</f>
        <v>5.8315472276258813</v>
      </c>
      <c r="L67" s="226">
        <f>'[2]2188 Depr Summary'!V34+'[2]2188 Depr Summary'!V36</f>
        <v>1431.0238862387257</v>
      </c>
      <c r="M67" s="226">
        <f>'[2]2188 Depr Summary'!W34+'[2]2188 Depr Summary'!W36</f>
        <v>133.87465036138906</v>
      </c>
      <c r="N67" s="226">
        <f>'[2]2188 Depr Summary'!X34+'[2]2188 Depr Summary'!X36</f>
        <v>8.8398850831471698</v>
      </c>
      <c r="O67" s="226" t="s">
        <v>47</v>
      </c>
      <c r="P67" s="226">
        <f t="shared" si="9"/>
        <v>0</v>
      </c>
      <c r="R67" s="235"/>
      <c r="S67" s="235"/>
      <c r="T67" s="235"/>
      <c r="U67" s="226"/>
      <c r="V67" s="226"/>
      <c r="Y67" s="229"/>
    </row>
    <row r="68" spans="1:25" x14ac:dyDescent="0.2">
      <c r="A68" s="8"/>
      <c r="B68" s="3" t="s">
        <v>108</v>
      </c>
      <c r="C68" s="226">
        <v>0</v>
      </c>
      <c r="D68" s="290">
        <f>'[2]2188 Restating Adj'!J71</f>
        <v>14794.211413543746</v>
      </c>
      <c r="E68" s="226"/>
      <c r="F68" s="226">
        <f t="shared" si="5"/>
        <v>14794.211413543746</v>
      </c>
      <c r="G68" s="226">
        <f>'[2]2188 Depr Summary'!R38+'[2]2188 Depr Summary'!R40</f>
        <v>10507.155260088439</v>
      </c>
      <c r="H68" s="226" t="s">
        <v>47</v>
      </c>
      <c r="I68" s="290">
        <f t="shared" si="7"/>
        <v>4287.0561534553071</v>
      </c>
      <c r="J68" s="290">
        <f>'[2]2188 Depr Summary'!T38+'[2]2188 Depr Summary'!T40</f>
        <v>2650.4823758165376</v>
      </c>
      <c r="K68" s="290">
        <f>'[2]2188 Depr Summary'!U38+'[2]2188 Depr Summary'!U40</f>
        <v>596.13478423755942</v>
      </c>
      <c r="L68" s="290">
        <f>'[2]2188 Depr Summary'!V38+'[2]2188 Depr Summary'!V40</f>
        <v>970.11746389329392</v>
      </c>
      <c r="M68" s="290">
        <f>'[2]2188 Depr Summary'!W38+'[2]2188 Depr Summary'!W40</f>
        <v>51.142930551211542</v>
      </c>
      <c r="N68" s="290">
        <f>'[2]2188 Depr Summary'!X38+'[2]2188 Depr Summary'!X40</f>
        <v>19.178598956704327</v>
      </c>
      <c r="O68" s="226" t="s">
        <v>47</v>
      </c>
      <c r="P68" s="226">
        <f t="shared" si="9"/>
        <v>0</v>
      </c>
      <c r="R68" s="226"/>
      <c r="S68" s="226"/>
      <c r="T68" s="226"/>
      <c r="U68" s="230"/>
      <c r="W68" s="224"/>
      <c r="X68" s="224"/>
      <c r="Y68" s="234"/>
    </row>
    <row r="69" spans="1:25" x14ac:dyDescent="0.2">
      <c r="A69" s="8">
        <v>52000</v>
      </c>
      <c r="B69" s="3" t="s">
        <v>109</v>
      </c>
      <c r="C69" s="226">
        <f>'[2]2188'!U199</f>
        <v>1010.9</v>
      </c>
      <c r="D69" s="226"/>
      <c r="E69" s="226"/>
      <c r="F69" s="226">
        <f t="shared" si="5"/>
        <v>1010.9</v>
      </c>
      <c r="G69" s="226">
        <f>F69</f>
        <v>1010.9</v>
      </c>
      <c r="H69" s="226" t="s">
        <v>24</v>
      </c>
      <c r="I69" s="226">
        <f t="shared" si="7"/>
        <v>0</v>
      </c>
      <c r="J69" s="226">
        <f>I69</f>
        <v>0</v>
      </c>
      <c r="K69" s="226">
        <v>0</v>
      </c>
      <c r="L69" s="226">
        <v>0</v>
      </c>
      <c r="M69" s="226"/>
      <c r="N69" s="226">
        <v>0</v>
      </c>
      <c r="P69" s="226">
        <f t="shared" si="9"/>
        <v>0</v>
      </c>
      <c r="R69" s="226"/>
      <c r="S69" s="226"/>
      <c r="T69" s="226"/>
      <c r="U69" s="230"/>
      <c r="Y69" s="229"/>
    </row>
    <row r="70" spans="1:25" x14ac:dyDescent="0.2">
      <c r="A70" s="8">
        <v>52030</v>
      </c>
      <c r="B70" s="3" t="s">
        <v>110</v>
      </c>
      <c r="C70" s="226">
        <f>'[2]2188'!S70</f>
        <v>83702.810000000012</v>
      </c>
      <c r="D70" s="226">
        <f>'[2]2188 Restating Adj'!I73</f>
        <v>32739.202929999999</v>
      </c>
      <c r="E70" s="226"/>
      <c r="F70" s="226">
        <f t="shared" si="5"/>
        <v>116442.01293000001</v>
      </c>
      <c r="G70" s="226">
        <f>'2188 Restating Expl'!C117+'2188 Restating Expl'!C119+'2188 Restating Expl'!D120</f>
        <v>85826.412630000006</v>
      </c>
      <c r="H70" s="226" t="s">
        <v>79</v>
      </c>
      <c r="I70" s="226">
        <f>'2188 Restating Expl'!B117+'2188 Restating Expl'!B119</f>
        <v>30615.600300000002</v>
      </c>
      <c r="J70" s="226">
        <f>J22*0.018</f>
        <v>19526.873990399999</v>
      </c>
      <c r="K70" s="226">
        <f>K22*0.018</f>
        <v>5935.0994927999991</v>
      </c>
      <c r="L70" s="226">
        <f>L22*0.018+200</f>
        <v>4851.2671615999998</v>
      </c>
      <c r="M70" s="226">
        <f>M22*0.018</f>
        <v>268.23242879999998</v>
      </c>
      <c r="N70" s="226">
        <f>N22*0.018</f>
        <v>34.586553600000002</v>
      </c>
      <c r="O70" s="226" t="s">
        <v>47</v>
      </c>
      <c r="P70" s="226">
        <f t="shared" si="9"/>
        <v>0.45932719999473193</v>
      </c>
      <c r="R70" s="226"/>
      <c r="S70" s="226"/>
      <c r="T70" s="226"/>
      <c r="U70" s="230"/>
      <c r="V70" s="226"/>
      <c r="Y70" s="229"/>
    </row>
    <row r="71" spans="1:25" x14ac:dyDescent="0.2">
      <c r="A71" s="8">
        <v>52200</v>
      </c>
      <c r="B71" s="3" t="s">
        <v>111</v>
      </c>
      <c r="C71" s="226">
        <f>'[2]2188'!U110+'[2]2188'!U202</f>
        <v>62815.969999999987</v>
      </c>
      <c r="D71" s="226"/>
      <c r="E71" s="226"/>
      <c r="F71" s="226">
        <f t="shared" si="5"/>
        <v>62815.969999999987</v>
      </c>
      <c r="G71" s="226">
        <f>F71*$S$36</f>
        <v>44613.202498838662</v>
      </c>
      <c r="H71" s="226" t="s">
        <v>47</v>
      </c>
      <c r="I71" s="226">
        <f t="shared" si="7"/>
        <v>18202.767501161325</v>
      </c>
      <c r="J71" s="226">
        <f>I71*$V$27</f>
        <v>11253.903080795537</v>
      </c>
      <c r="K71" s="226">
        <f>I71*$V$29</f>
        <v>2531.1781531215238</v>
      </c>
      <c r="L71" s="226">
        <f>I71*$V$30</f>
        <v>4119.1022491816757</v>
      </c>
      <c r="M71" s="226">
        <f>I71*$V$32</f>
        <v>217.15201313643101</v>
      </c>
      <c r="N71" s="226">
        <f>I71*$V$31</f>
        <v>81.432004926161625</v>
      </c>
      <c r="O71" s="226" t="s">
        <v>47</v>
      </c>
      <c r="P71" s="226">
        <f t="shared" si="9"/>
        <v>0</v>
      </c>
      <c r="R71" s="226"/>
      <c r="S71" s="226"/>
      <c r="T71" s="226"/>
      <c r="U71" s="230"/>
      <c r="Y71" s="229"/>
    </row>
    <row r="72" spans="1:25" x14ac:dyDescent="0.2">
      <c r="A72" s="8">
        <v>52300</v>
      </c>
      <c r="B72" s="3" t="s">
        <v>112</v>
      </c>
      <c r="C72" s="226">
        <f>'[2]2188'!U198</f>
        <v>7526.8099999999995</v>
      </c>
      <c r="D72" s="226"/>
      <c r="E72" s="226"/>
      <c r="F72" s="226">
        <f t="shared" si="5"/>
        <v>7526.8099999999995</v>
      </c>
      <c r="G72" s="226">
        <f>F72*'[2]2188 Unit Cnt'!D51</f>
        <v>5382.1614431571597</v>
      </c>
      <c r="H72" s="225" t="s">
        <v>104</v>
      </c>
      <c r="I72" s="226">
        <f t="shared" si="7"/>
        <v>2144.6485568428398</v>
      </c>
      <c r="J72" s="226">
        <f>I72*('[2]2188 Unit Cnt'!C17+'[2]2188 Unit Cnt'!C37)</f>
        <v>1151.3327075988104</v>
      </c>
      <c r="K72" s="226">
        <f>I72*'[2]2188 Unit Cnt'!C48</f>
        <v>10.406309896439693</v>
      </c>
      <c r="L72" s="226">
        <f>I72*'[2]2188 Unit Cnt'!C20</f>
        <v>893.77434612916602</v>
      </c>
      <c r="M72" s="226">
        <f>I72*'[2]2188 Unit Cnt'!C21</f>
        <v>83.614067690034631</v>
      </c>
      <c r="N72" s="226">
        <f>I72*'[2]2188 Unit Cnt'!C27</f>
        <v>5.5211255283888354</v>
      </c>
      <c r="O72" s="225" t="s">
        <v>113</v>
      </c>
      <c r="P72" s="226">
        <f t="shared" si="9"/>
        <v>0</v>
      </c>
      <c r="R72" s="230"/>
      <c r="S72" s="226"/>
      <c r="T72" s="226"/>
      <c r="U72" s="230"/>
      <c r="V72" s="226"/>
      <c r="Y72" s="229"/>
    </row>
    <row r="73" spans="1:25" x14ac:dyDescent="0.2">
      <c r="A73" s="8">
        <v>52400</v>
      </c>
      <c r="B73" s="3" t="s">
        <v>114</v>
      </c>
      <c r="C73" s="226">
        <f>'[2]2188'!U244+'[2]2188'!U174+'[2]2188'!U154+'[2]2188'!U121+'[2]2188'!U95</f>
        <v>95473.540000000008</v>
      </c>
      <c r="D73" s="226"/>
      <c r="E73" s="226">
        <f>'[2]Pro-forma Adj'!E75</f>
        <v>2681.4159439649998</v>
      </c>
      <c r="F73" s="226">
        <f t="shared" si="5"/>
        <v>98154.955943965004</v>
      </c>
      <c r="G73" s="226">
        <f>F73*$S$36</f>
        <v>69711.682010047749</v>
      </c>
      <c r="H73" s="226" t="s">
        <v>47</v>
      </c>
      <c r="I73" s="226">
        <f t="shared" si="7"/>
        <v>28443.273933917255</v>
      </c>
      <c r="J73" s="226">
        <f>I73*$V$27</f>
        <v>17585.119852374137</v>
      </c>
      <c r="K73" s="226">
        <f>I73*$V$29</f>
        <v>3955.1674535308448</v>
      </c>
      <c r="L73" s="226">
        <f>I73*$V$30</f>
        <v>6436.4253198209735</v>
      </c>
      <c r="M73" s="226">
        <f>I73*$V$32</f>
        <v>339.31731504822261</v>
      </c>
      <c r="N73" s="226">
        <f>I73*$V$31</f>
        <v>127.24399314308347</v>
      </c>
      <c r="O73" s="226" t="s">
        <v>47</v>
      </c>
      <c r="P73" s="226">
        <f t="shared" si="9"/>
        <v>0</v>
      </c>
      <c r="R73" s="230"/>
      <c r="S73" s="226"/>
      <c r="T73" s="226"/>
      <c r="U73" s="230"/>
      <c r="Y73" s="229"/>
    </row>
    <row r="74" spans="1:25" x14ac:dyDescent="0.2">
      <c r="A74" s="8">
        <v>52410</v>
      </c>
      <c r="B74" s="3" t="s">
        <v>115</v>
      </c>
      <c r="C74" s="226">
        <v>0</v>
      </c>
      <c r="D74" s="226"/>
      <c r="E74" s="226"/>
      <c r="F74" s="226">
        <f t="shared" si="5"/>
        <v>0</v>
      </c>
      <c r="G74" s="226">
        <v>0</v>
      </c>
      <c r="I74" s="226">
        <v>0</v>
      </c>
      <c r="J74" s="226">
        <f>I74*$V$27</f>
        <v>0</v>
      </c>
      <c r="K74" s="226">
        <f>I74*$V$29</f>
        <v>0</v>
      </c>
      <c r="L74" s="226">
        <f>I74*$V$30</f>
        <v>0</v>
      </c>
      <c r="M74" s="226">
        <f>I74*$V$32</f>
        <v>0</v>
      </c>
      <c r="N74" s="226">
        <f>I74*$V$31</f>
        <v>0</v>
      </c>
      <c r="P74" s="226">
        <f t="shared" si="9"/>
        <v>0</v>
      </c>
      <c r="R74" s="230"/>
      <c r="S74" s="226"/>
      <c r="T74" s="226"/>
      <c r="U74" s="230"/>
      <c r="Y74" s="229"/>
    </row>
    <row r="75" spans="1:25" x14ac:dyDescent="0.2">
      <c r="A75" s="8">
        <v>52420</v>
      </c>
      <c r="B75" s="3" t="s">
        <v>116</v>
      </c>
      <c r="C75" s="226">
        <v>0</v>
      </c>
      <c r="D75" s="226"/>
      <c r="E75" s="226"/>
      <c r="F75" s="226">
        <f t="shared" si="5"/>
        <v>0</v>
      </c>
      <c r="G75" s="226">
        <v>0</v>
      </c>
      <c r="I75" s="226">
        <f t="shared" si="7"/>
        <v>0</v>
      </c>
      <c r="J75" s="226"/>
      <c r="K75" s="226"/>
      <c r="P75" s="226">
        <f t="shared" si="9"/>
        <v>0</v>
      </c>
      <c r="R75" s="232"/>
      <c r="S75" s="232"/>
      <c r="T75" s="232"/>
      <c r="U75" s="232"/>
      <c r="Y75" s="229"/>
    </row>
    <row r="76" spans="1:25" x14ac:dyDescent="0.2">
      <c r="A76" s="8">
        <v>53200</v>
      </c>
      <c r="B76" s="3" t="s">
        <v>117</v>
      </c>
      <c r="C76" s="226">
        <f>'[2]2188'!U193</f>
        <v>589.5</v>
      </c>
      <c r="D76" s="226"/>
      <c r="E76" s="226"/>
      <c r="F76" s="226">
        <f t="shared" si="5"/>
        <v>589.5</v>
      </c>
      <c r="G76" s="226">
        <f>F76*$S$36</f>
        <v>418.67510559918759</v>
      </c>
      <c r="H76" s="226" t="s">
        <v>47</v>
      </c>
      <c r="I76" s="226">
        <f t="shared" si="7"/>
        <v>170.82489440081241</v>
      </c>
      <c r="J76" s="226">
        <f>I76*$V$27</f>
        <v>105.61288580163561</v>
      </c>
      <c r="K76" s="226">
        <f>I76*$V$29</f>
        <v>23.753983601067343</v>
      </c>
      <c r="L76" s="226">
        <f>I76*$V$30</f>
        <v>38.655946503613613</v>
      </c>
      <c r="M76" s="226">
        <f>I76*$V$32</f>
        <v>2.0378752687242763</v>
      </c>
      <c r="N76" s="226">
        <f>I76*$V$31</f>
        <v>0.76420322577160349</v>
      </c>
      <c r="O76" s="226" t="s">
        <v>47</v>
      </c>
      <c r="P76" s="226">
        <f>I76+G76-F76</f>
        <v>0</v>
      </c>
      <c r="R76" s="230"/>
      <c r="S76" s="226"/>
      <c r="T76" s="291"/>
      <c r="U76" s="230"/>
      <c r="Y76" s="229"/>
    </row>
    <row r="77" spans="1:25" x14ac:dyDescent="0.2">
      <c r="A77" s="10"/>
      <c r="B77" s="7" t="s">
        <v>118</v>
      </c>
      <c r="C77" s="292">
        <f>SUM(C25:C76)</f>
        <v>6484924.4799999995</v>
      </c>
      <c r="D77" s="292">
        <f>SUM(D25:D76)</f>
        <v>-198424.16388065505</v>
      </c>
      <c r="E77" s="292">
        <f>SUM(E25:E76)</f>
        <v>37732.604753965003</v>
      </c>
      <c r="F77" s="292">
        <f>SUM(F25:F76)</f>
        <v>6324232.9208733086</v>
      </c>
      <c r="G77" s="292">
        <f>SUM(G25:G76)</f>
        <v>4517188.1229187092</v>
      </c>
      <c r="I77" s="292">
        <f t="shared" ref="I77:N77" si="16">SUM(I25:I76)</f>
        <v>1713647.9079546013</v>
      </c>
      <c r="J77" s="292">
        <f t="shared" si="16"/>
        <v>1092729.8869387081</v>
      </c>
      <c r="K77" s="292">
        <f t="shared" si="16"/>
        <v>364962.59635065286</v>
      </c>
      <c r="L77" s="292">
        <f t="shared" si="16"/>
        <v>237514.63472770824</v>
      </c>
      <c r="M77" s="292">
        <f t="shared" si="16"/>
        <v>13887.679020543172</v>
      </c>
      <c r="N77" s="292">
        <f t="shared" si="16"/>
        <v>4554.7080257883608</v>
      </c>
      <c r="P77" s="226"/>
      <c r="U77" s="226"/>
      <c r="Y77" s="229"/>
    </row>
    <row r="78" spans="1:25" x14ac:dyDescent="0.2">
      <c r="A78" s="8"/>
      <c r="B78" s="3"/>
      <c r="C78" s="226"/>
      <c r="D78" s="226"/>
      <c r="E78" s="226"/>
      <c r="F78" s="225"/>
      <c r="G78" s="225"/>
      <c r="H78" s="226"/>
      <c r="I78" s="226"/>
      <c r="P78" s="226"/>
      <c r="R78" s="230"/>
      <c r="S78" s="226"/>
      <c r="T78" s="226"/>
      <c r="U78" s="230"/>
      <c r="V78" s="226"/>
      <c r="W78" s="226"/>
      <c r="X78" s="226"/>
      <c r="Y78" s="229"/>
    </row>
    <row r="79" spans="1:25" x14ac:dyDescent="0.2">
      <c r="A79" s="8"/>
      <c r="B79" s="3" t="s">
        <v>119</v>
      </c>
      <c r="C79" s="284">
        <f>C22-C77</f>
        <v>-259410.62999999896</v>
      </c>
      <c r="D79" s="226"/>
      <c r="E79" s="226"/>
      <c r="F79" s="284">
        <f>F22-F77</f>
        <v>107803.88912669197</v>
      </c>
      <c r="G79" s="284">
        <f>G22-G77</f>
        <v>225067.57708129194</v>
      </c>
      <c r="H79" s="226"/>
      <c r="I79" s="284">
        <f t="shared" ref="I79:N79" si="17">I22-I77</f>
        <v>-23866.767954601208</v>
      </c>
      <c r="J79" s="284">
        <f t="shared" si="17"/>
        <v>-7903.5541387081612</v>
      </c>
      <c r="K79" s="284">
        <f t="shared" si="17"/>
        <v>-35234.846750652883</v>
      </c>
      <c r="L79" s="284">
        <f t="shared" si="17"/>
        <v>20889.096472291771</v>
      </c>
      <c r="M79" s="284">
        <f t="shared" si="17"/>
        <v>1014.122579456829</v>
      </c>
      <c r="N79" s="284">
        <f t="shared" si="17"/>
        <v>-2633.232825788361</v>
      </c>
      <c r="S79" s="235"/>
      <c r="T79" s="235"/>
      <c r="Y79" s="229"/>
    </row>
    <row r="80" spans="1:25" x14ac:dyDescent="0.2">
      <c r="A80" s="8"/>
      <c r="B80" s="3"/>
      <c r="C80" s="226"/>
      <c r="D80" s="226"/>
      <c r="E80" s="226"/>
      <c r="F80" s="226"/>
      <c r="G80" s="226"/>
      <c r="H80" s="226"/>
      <c r="I80" s="226"/>
      <c r="R80" s="242"/>
      <c r="S80" s="226"/>
      <c r="T80" s="226"/>
      <c r="U80" s="226"/>
      <c r="Y80" s="229"/>
    </row>
    <row r="81" spans="1:38" x14ac:dyDescent="0.2">
      <c r="A81" s="8"/>
      <c r="B81" s="3" t="s">
        <v>120</v>
      </c>
      <c r="C81" s="237">
        <f>C77/C22</f>
        <v>1.0416689507485393</v>
      </c>
      <c r="D81" s="226"/>
      <c r="E81" s="226"/>
      <c r="F81" s="237">
        <f>F77/F22</f>
        <v>0.98323954101769329</v>
      </c>
      <c r="G81" s="237">
        <f>G77/G22</f>
        <v>0.95253997436677829</v>
      </c>
      <c r="I81" s="237">
        <f t="shared" ref="I81:N81" si="18">I77/I22</f>
        <v>1.014124177024843</v>
      </c>
      <c r="J81" s="237">
        <f t="shared" si="18"/>
        <v>1.0072855478335492</v>
      </c>
      <c r="K81" s="237">
        <f t="shared" si="18"/>
        <v>1.106860422859153</v>
      </c>
      <c r="L81" s="237">
        <f t="shared" si="18"/>
        <v>0.9191610106584569</v>
      </c>
      <c r="M81" s="237">
        <f t="shared" si="18"/>
        <v>0.93194631047451137</v>
      </c>
      <c r="N81" s="237">
        <f t="shared" si="18"/>
        <v>2.3704224888191949</v>
      </c>
      <c r="S81" s="237"/>
      <c r="T81" s="237"/>
      <c r="Y81" s="229"/>
    </row>
    <row r="82" spans="1:38" x14ac:dyDescent="0.2">
      <c r="A82" s="8"/>
      <c r="B82" s="3"/>
      <c r="C82" s="235"/>
      <c r="D82" s="226"/>
      <c r="E82" s="226"/>
      <c r="F82" s="225"/>
      <c r="G82" s="225"/>
      <c r="I82" s="226"/>
      <c r="S82" s="226"/>
      <c r="T82" s="226"/>
      <c r="Y82" s="229"/>
    </row>
    <row r="83" spans="1:38" x14ac:dyDescent="0.2">
      <c r="A83" s="8"/>
      <c r="B83" s="3" t="s">
        <v>121</v>
      </c>
      <c r="C83" s="226">
        <f>'[2]2188 Depr Summary'!H47</f>
        <v>4369133.5276905466</v>
      </c>
      <c r="D83" s="226"/>
      <c r="E83" s="226"/>
      <c r="F83" s="226">
        <f>C83</f>
        <v>4369133.5276905466</v>
      </c>
      <c r="G83" s="226">
        <f>'[2]2188 Depr Summary'!J47</f>
        <v>3154821.4912591865</v>
      </c>
      <c r="H83" s="226"/>
      <c r="I83" s="226">
        <f>F83-G83</f>
        <v>1214312.0364313601</v>
      </c>
      <c r="J83" s="226">
        <f>'[2]2188 Depr Summary'!L47</f>
        <v>679427.44056232041</v>
      </c>
      <c r="K83" s="226">
        <f>'[2]2188 Depr Summary'!M47</f>
        <v>346243.24064474774</v>
      </c>
      <c r="L83" s="226">
        <f>'[2]2188 Depr Summary'!N47</f>
        <v>176865.8286251548</v>
      </c>
      <c r="M83" s="226">
        <f>'[2]2188 Depr Summary'!O47</f>
        <v>5257.2113900670065</v>
      </c>
      <c r="N83" s="226">
        <f>'[2]2188 Depr Summary'!P47</f>
        <v>6518.4380370703293</v>
      </c>
      <c r="O83" s="226"/>
      <c r="R83" s="242"/>
      <c r="S83" s="226"/>
      <c r="T83" s="226"/>
      <c r="U83" s="226"/>
      <c r="Y83" s="229"/>
    </row>
    <row r="84" spans="1:38" x14ac:dyDescent="0.2">
      <c r="A84" s="8"/>
      <c r="B84" s="3" t="s">
        <v>28</v>
      </c>
      <c r="C84" s="226"/>
      <c r="D84" s="226"/>
      <c r="E84" s="226"/>
      <c r="F84" s="225"/>
      <c r="G84" s="225"/>
      <c r="I84" s="226"/>
      <c r="S84" s="237"/>
      <c r="T84" s="237"/>
      <c r="V84" s="226"/>
      <c r="Y84" s="229"/>
    </row>
    <row r="85" spans="1:38" x14ac:dyDescent="0.2">
      <c r="A85" s="225"/>
      <c r="B85" s="225"/>
      <c r="C85" s="226"/>
      <c r="D85" s="226"/>
      <c r="E85" s="226"/>
      <c r="F85" s="225"/>
      <c r="G85" s="225"/>
      <c r="I85" s="226"/>
      <c r="J85" s="226"/>
      <c r="K85" s="226"/>
      <c r="L85" s="226"/>
      <c r="M85" s="226"/>
      <c r="N85" s="226"/>
      <c r="P85" s="226"/>
      <c r="Q85" s="247"/>
      <c r="R85" s="226"/>
      <c r="S85" s="226"/>
      <c r="T85" s="226"/>
      <c r="U85" s="226"/>
      <c r="V85" s="226"/>
      <c r="W85" s="226"/>
      <c r="X85" s="226"/>
      <c r="Y85" s="235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</row>
    <row r="86" spans="1:38" x14ac:dyDescent="0.2">
      <c r="A86" s="225"/>
      <c r="B86" s="225"/>
      <c r="C86" s="226"/>
      <c r="D86" s="226"/>
      <c r="E86" s="226"/>
      <c r="F86" s="225"/>
      <c r="G86" s="225">
        <f>G83+I83-F83</f>
        <v>0</v>
      </c>
      <c r="I86" s="226">
        <f t="shared" ref="I86:N86" si="19">SUM(I63:I68)</f>
        <v>178181.03963937753</v>
      </c>
      <c r="J86" s="226">
        <f t="shared" si="19"/>
        <v>108323.30321683777</v>
      </c>
      <c r="K86" s="226">
        <f t="shared" si="19"/>
        <v>49999.111012463138</v>
      </c>
      <c r="L86" s="226">
        <f t="shared" si="19"/>
        <v>18418.371546476345</v>
      </c>
      <c r="M86" s="226">
        <f t="shared" si="19"/>
        <v>802.52865430981569</v>
      </c>
      <c r="N86" s="226">
        <f t="shared" si="19"/>
        <v>638.9921052904989</v>
      </c>
      <c r="S86" s="226"/>
      <c r="T86" s="226"/>
      <c r="U86" s="226"/>
      <c r="Y86" s="229"/>
    </row>
    <row r="87" spans="1:38" x14ac:dyDescent="0.2">
      <c r="A87" s="225"/>
      <c r="B87" s="225"/>
      <c r="C87" s="226"/>
      <c r="D87" s="226"/>
      <c r="E87" s="226"/>
      <c r="F87" s="225"/>
      <c r="G87" s="225"/>
      <c r="I87" s="226"/>
      <c r="S87" s="237"/>
      <c r="T87" s="237"/>
      <c r="U87" s="226"/>
      <c r="Y87" s="229"/>
    </row>
    <row r="88" spans="1:38" x14ac:dyDescent="0.2">
      <c r="A88" s="225"/>
      <c r="B88" s="225"/>
      <c r="C88" s="235"/>
      <c r="D88" s="235"/>
      <c r="E88" s="235"/>
      <c r="F88" s="229"/>
      <c r="G88" s="229"/>
      <c r="I88" s="226"/>
      <c r="Y88" s="229"/>
    </row>
    <row r="89" spans="1:38" x14ac:dyDescent="0.2">
      <c r="S89" s="226"/>
      <c r="T89" s="226"/>
      <c r="Y89" s="229"/>
    </row>
    <row r="90" spans="1:38" x14ac:dyDescent="0.2">
      <c r="S90" s="237"/>
      <c r="T90" s="237"/>
      <c r="Y90" s="229"/>
    </row>
    <row r="91" spans="1:38" x14ac:dyDescent="0.2">
      <c r="R91" s="230"/>
      <c r="S91" s="226"/>
      <c r="T91" s="226"/>
      <c r="U91" s="230"/>
      <c r="V91" s="226"/>
      <c r="W91" s="226"/>
      <c r="X91" s="226"/>
      <c r="Y91" s="229"/>
    </row>
    <row r="92" spans="1:38" x14ac:dyDescent="0.2">
      <c r="R92" s="235"/>
      <c r="S92" s="235"/>
      <c r="T92" s="235"/>
      <c r="U92" s="234"/>
      <c r="V92" s="224"/>
      <c r="Y92" s="229"/>
    </row>
    <row r="93" spans="1:38" x14ac:dyDescent="0.2">
      <c r="R93" s="242"/>
      <c r="S93" s="226"/>
      <c r="T93" s="226"/>
      <c r="U93" s="226"/>
      <c r="V93" s="226"/>
      <c r="W93" s="237"/>
      <c r="Y93" s="229"/>
    </row>
    <row r="94" spans="1:38" x14ac:dyDescent="0.2">
      <c r="S94" s="226"/>
      <c r="T94" s="237"/>
      <c r="U94" s="226"/>
      <c r="V94" s="226"/>
      <c r="W94" s="237"/>
      <c r="Y94" s="229"/>
    </row>
    <row r="95" spans="1:38" x14ac:dyDescent="0.2">
      <c r="R95" s="242"/>
      <c r="S95" s="226"/>
      <c r="T95" s="226"/>
      <c r="U95" s="226"/>
      <c r="V95" s="232"/>
      <c r="Y95" s="229"/>
    </row>
    <row r="96" spans="1:38" x14ac:dyDescent="0.2">
      <c r="Y96" s="229"/>
    </row>
    <row r="97" spans="18:25" x14ac:dyDescent="0.2">
      <c r="R97" s="242"/>
      <c r="S97" s="226"/>
      <c r="U97" s="226"/>
      <c r="Y97" s="229"/>
    </row>
    <row r="98" spans="18:25" x14ac:dyDescent="0.2">
      <c r="S98" s="226"/>
      <c r="T98" s="226"/>
      <c r="U98" s="226"/>
      <c r="Y98" s="229"/>
    </row>
    <row r="99" spans="18:25" x14ac:dyDescent="0.2">
      <c r="R99" s="230"/>
      <c r="S99" s="226"/>
      <c r="T99" s="226"/>
      <c r="U99" s="230"/>
      <c r="V99" s="226"/>
      <c r="W99" s="226"/>
      <c r="X99" s="226"/>
      <c r="Y99" s="229"/>
    </row>
    <row r="100" spans="18:25" x14ac:dyDescent="0.2">
      <c r="R100" s="226"/>
      <c r="S100" s="253"/>
      <c r="T100" s="253"/>
      <c r="U100" s="253"/>
      <c r="V100" s="253"/>
      <c r="W100" s="237"/>
      <c r="Y100" s="229"/>
    </row>
    <row r="101" spans="18:25" x14ac:dyDescent="0.2">
      <c r="S101" s="251"/>
      <c r="T101" s="251"/>
      <c r="U101" s="251"/>
      <c r="V101" s="294"/>
      <c r="W101" s="237"/>
      <c r="Y101" s="229"/>
    </row>
    <row r="102" spans="18:25" x14ac:dyDescent="0.2">
      <c r="S102" s="226"/>
      <c r="T102" s="226"/>
      <c r="U102" s="226"/>
      <c r="V102" s="226"/>
      <c r="W102" s="226"/>
      <c r="Y102" s="229"/>
    </row>
    <row r="103" spans="18:25" x14ac:dyDescent="0.2">
      <c r="S103" s="226"/>
      <c r="T103" s="226"/>
      <c r="U103" s="226"/>
      <c r="V103" s="226"/>
      <c r="W103" s="226"/>
      <c r="Y103" s="229"/>
    </row>
    <row r="104" spans="18:25" x14ac:dyDescent="0.2">
      <c r="S104" s="226"/>
      <c r="T104" s="226"/>
      <c r="U104" s="226"/>
      <c r="V104" s="226"/>
      <c r="W104" s="226"/>
      <c r="Y104" s="229"/>
    </row>
    <row r="105" spans="18:25" x14ac:dyDescent="0.2">
      <c r="S105" s="226"/>
      <c r="T105" s="226"/>
      <c r="U105" s="226"/>
      <c r="V105" s="226"/>
      <c r="W105" s="226"/>
      <c r="Y105" s="229"/>
    </row>
    <row r="106" spans="18:25" x14ac:dyDescent="0.2">
      <c r="S106" s="226"/>
      <c r="T106" s="226"/>
      <c r="U106" s="226"/>
      <c r="V106" s="226"/>
      <c r="W106" s="226"/>
      <c r="Y106" s="229"/>
    </row>
    <row r="107" spans="18:25" x14ac:dyDescent="0.2">
      <c r="S107" s="226"/>
      <c r="T107" s="226"/>
      <c r="U107" s="226"/>
      <c r="V107" s="232"/>
      <c r="W107" s="226"/>
      <c r="Y107" s="229"/>
    </row>
    <row r="108" spans="18:25" x14ac:dyDescent="0.2">
      <c r="R108" s="230"/>
      <c r="S108" s="226"/>
      <c r="T108" s="226"/>
      <c r="U108" s="230"/>
      <c r="V108" s="226"/>
      <c r="W108" s="226"/>
      <c r="X108" s="226"/>
      <c r="Y108" s="229"/>
    </row>
    <row r="109" spans="18:25" x14ac:dyDescent="0.2">
      <c r="S109" s="226"/>
      <c r="T109" s="226"/>
      <c r="U109" s="226"/>
      <c r="V109" s="226"/>
      <c r="Y109" s="229"/>
    </row>
    <row r="110" spans="18:25" x14ac:dyDescent="0.2">
      <c r="Y110" s="229"/>
    </row>
    <row r="111" spans="18:25" x14ac:dyDescent="0.2">
      <c r="Y111" s="229"/>
    </row>
    <row r="112" spans="18:25" x14ac:dyDescent="0.2">
      <c r="T112" s="226"/>
      <c r="Y112" s="229"/>
    </row>
    <row r="113" spans="20:25" x14ac:dyDescent="0.2">
      <c r="T113" s="226"/>
      <c r="Y113" s="229"/>
    </row>
    <row r="114" spans="20:25" x14ac:dyDescent="0.2">
      <c r="Y114" s="229"/>
    </row>
  </sheetData>
  <mergeCells count="3">
    <mergeCell ref="A3:B3"/>
    <mergeCell ref="I3:J3"/>
    <mergeCell ref="R3:S3"/>
  </mergeCells>
  <pageMargins left="0.7" right="0.7" top="0.75" bottom="0.75" header="0.3" footer="0.3"/>
  <pageSetup scale="76" orientation="landscape" r:id="rId1"/>
  <headerFooter>
    <oddFooter>Page &amp;P of &amp;N</oddFooter>
  </headerFooter>
  <rowBreaks count="1" manualBreakCount="1">
    <brk id="48" max="23" man="1"/>
  </rowBreaks>
  <colBreaks count="1" manualBreakCount="1">
    <brk id="16" max="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250"/>
  <sheetViews>
    <sheetView view="pageBreakPreview" zoomScaleNormal="100" zoomScaleSheetLayoutView="100" workbookViewId="0">
      <selection activeCell="D79" sqref="D79"/>
    </sheetView>
  </sheetViews>
  <sheetFormatPr defaultRowHeight="12.75" x14ac:dyDescent="0.2"/>
  <cols>
    <col min="1" max="1" width="3.85546875" customWidth="1"/>
    <col min="2" max="2" width="6.7109375" customWidth="1"/>
    <col min="5" max="5" width="10.5703125" customWidth="1"/>
    <col min="10" max="10" width="11.85546875" bestFit="1" customWidth="1"/>
    <col min="11" max="13" width="6.140625" customWidth="1"/>
    <col min="20" max="20" width="7" customWidth="1"/>
    <col min="22" max="22" width="10" customWidth="1"/>
    <col min="31" max="31" width="7.7109375" customWidth="1"/>
    <col min="33" max="34" width="2.140625" customWidth="1"/>
  </cols>
  <sheetData>
    <row r="1" spans="1:57" ht="13.5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45"/>
      <c r="BD1" s="45"/>
      <c r="BE1" s="45"/>
    </row>
    <row r="2" spans="1:57" ht="13.5" x14ac:dyDescent="0.25">
      <c r="A2" s="95"/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7" t="s">
        <v>223</v>
      </c>
      <c r="AF2" s="97" t="s">
        <v>224</v>
      </c>
      <c r="AG2" s="96"/>
      <c r="AH2" s="96"/>
      <c r="AI2" s="96" t="s">
        <v>225</v>
      </c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45"/>
      <c r="BD2" s="45"/>
      <c r="BE2" s="45"/>
    </row>
    <row r="3" spans="1:57" ht="13.5" x14ac:dyDescent="0.25">
      <c r="A3" s="95"/>
      <c r="B3" s="96" t="s">
        <v>226</v>
      </c>
      <c r="C3" s="95"/>
      <c r="D3" s="95"/>
      <c r="E3" s="95"/>
      <c r="F3" s="95"/>
      <c r="G3" s="95"/>
      <c r="H3" s="95"/>
      <c r="I3" s="95"/>
      <c r="J3" s="95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97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45"/>
      <c r="BD3" s="45"/>
      <c r="BE3" s="45"/>
    </row>
    <row r="4" spans="1:57" ht="13.5" x14ac:dyDescent="0.25">
      <c r="A4" s="95"/>
      <c r="B4" s="98"/>
      <c r="C4" s="96"/>
      <c r="D4" s="96"/>
      <c r="E4" s="99"/>
      <c r="F4" s="96"/>
      <c r="G4" s="96"/>
      <c r="H4" s="96"/>
      <c r="I4" s="96"/>
      <c r="J4" s="96"/>
      <c r="K4" s="96"/>
      <c r="L4" s="96"/>
      <c r="M4" s="96"/>
      <c r="N4" s="96" t="s">
        <v>227</v>
      </c>
      <c r="O4" s="96"/>
      <c r="P4" s="96"/>
      <c r="Q4" s="96"/>
      <c r="R4" s="96"/>
      <c r="S4" s="96"/>
      <c r="T4" s="96"/>
      <c r="U4" s="97" t="s">
        <v>228</v>
      </c>
      <c r="V4" s="97" t="s">
        <v>229</v>
      </c>
      <c r="W4" s="97" t="s">
        <v>230</v>
      </c>
      <c r="X4" s="97" t="s">
        <v>231</v>
      </c>
      <c r="Y4" s="97" t="s">
        <v>232</v>
      </c>
      <c r="Z4" s="96"/>
      <c r="AA4" s="97" t="s">
        <v>233</v>
      </c>
      <c r="AB4" s="96" t="s">
        <v>234</v>
      </c>
      <c r="AC4" s="97" t="s">
        <v>235</v>
      </c>
      <c r="AD4" s="97" t="s">
        <v>236</v>
      </c>
      <c r="AE4" s="97" t="s">
        <v>237</v>
      </c>
      <c r="AF4" s="96"/>
      <c r="AG4" s="96"/>
      <c r="AH4" s="96"/>
      <c r="AI4" s="96" t="s">
        <v>238</v>
      </c>
      <c r="AJ4" s="96"/>
      <c r="AK4" s="96"/>
      <c r="AL4" s="96"/>
      <c r="AM4" s="96"/>
      <c r="AN4" s="96"/>
      <c r="AO4" s="96"/>
      <c r="AP4" s="96"/>
      <c r="AQ4" s="96"/>
      <c r="AR4" s="96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45"/>
      <c r="BD4" s="45"/>
      <c r="BE4" s="45"/>
    </row>
    <row r="5" spans="1:57" ht="13.5" x14ac:dyDescent="0.25">
      <c r="A5" s="95"/>
      <c r="B5" s="100" t="s">
        <v>239</v>
      </c>
      <c r="C5" s="100" t="s">
        <v>240</v>
      </c>
      <c r="D5" s="96"/>
      <c r="E5" s="99">
        <f>E7+E6</f>
        <v>273886.71391720232</v>
      </c>
      <c r="F5" s="100" t="s">
        <v>241</v>
      </c>
      <c r="G5" s="96"/>
      <c r="H5" s="96"/>
      <c r="I5" s="96"/>
      <c r="J5" s="101" t="s">
        <v>242</v>
      </c>
      <c r="K5" s="96"/>
      <c r="L5" s="102"/>
      <c r="M5" s="96"/>
      <c r="N5" s="100" t="s">
        <v>243</v>
      </c>
      <c r="O5" s="96"/>
      <c r="P5" s="96"/>
      <c r="Q5" s="100" t="s">
        <v>244</v>
      </c>
      <c r="R5" s="96"/>
      <c r="S5" s="96"/>
      <c r="T5" s="96"/>
      <c r="U5" s="103">
        <f>$E$8*1.25</f>
        <v>296893.29340963531</v>
      </c>
      <c r="V5" s="104">
        <f>100*(+U5/$E$9)</f>
        <v>167.86356964344077</v>
      </c>
      <c r="W5" s="105">
        <f>EXP(5.7226-(0.68367*LN(+V5)))</f>
        <v>9.2078370088087969</v>
      </c>
      <c r="X5" s="105">
        <f>(+W5*V5)/100</f>
        <v>15.456603889936268</v>
      </c>
      <c r="Y5" s="104">
        <f>100*((((X5/100)-((X5/100)-0.03574)*$E$21)-0.03574-0.00619)/0.344)</f>
        <v>20.99860048650563</v>
      </c>
      <c r="Z5" s="96">
        <f>$E$20</f>
        <v>0.25</v>
      </c>
      <c r="AA5" s="104">
        <f>Y5+Z5</f>
        <v>21.24860048650563</v>
      </c>
      <c r="AB5" s="104">
        <f>100*($E$17*$E$19+($E$18*(AA5/100))/(1-$E$21))</f>
        <v>21.576909533186939</v>
      </c>
      <c r="AC5" s="105">
        <f>AB5/V5</f>
        <v>0.12853836945692554</v>
      </c>
      <c r="AD5" s="103">
        <f>$E$8/(1-AC5)</f>
        <v>272547.43800905463</v>
      </c>
      <c r="AE5" s="96" t="str">
        <f>IF(AD5=$U$5,"yes","not yet")</f>
        <v>not yet</v>
      </c>
      <c r="AF5" s="104">
        <f>100*(1-AC5)</f>
        <v>87.146163054307451</v>
      </c>
      <c r="AG5" s="96"/>
      <c r="AH5" s="96"/>
      <c r="AI5" s="96">
        <v>0</v>
      </c>
      <c r="AJ5" s="96">
        <v>1</v>
      </c>
      <c r="AK5" s="96"/>
      <c r="AL5" s="96"/>
      <c r="AM5" s="96"/>
      <c r="AN5" s="96"/>
      <c r="AO5" s="96"/>
      <c r="AP5" s="96"/>
      <c r="AQ5" s="96"/>
      <c r="AR5" s="96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45"/>
      <c r="BD5" s="45"/>
      <c r="BE5" s="45"/>
    </row>
    <row r="6" spans="1:57" ht="13.5" x14ac:dyDescent="0.25">
      <c r="A6" s="95"/>
      <c r="B6" s="100" t="s">
        <v>239</v>
      </c>
      <c r="C6" s="100" t="s">
        <v>245</v>
      </c>
      <c r="D6" s="96"/>
      <c r="E6" s="99">
        <f>(+E8-((H15/100)*E7))/H25</f>
        <v>15482.982717202311</v>
      </c>
      <c r="F6" s="106" t="s">
        <v>241</v>
      </c>
      <c r="G6" s="96"/>
      <c r="H6" s="96"/>
      <c r="I6" s="107">
        <f>E6/E7</f>
        <v>5.9917798575511862E-2</v>
      </c>
      <c r="J6" s="108">
        <f>+I6-H31</f>
        <v>-0.12687012423781557</v>
      </c>
      <c r="K6" s="96"/>
      <c r="L6" s="102"/>
      <c r="M6" s="96"/>
      <c r="N6" s="100" t="s">
        <v>246</v>
      </c>
      <c r="O6" s="96"/>
      <c r="P6" s="96"/>
      <c r="Q6" s="100" t="s">
        <v>247</v>
      </c>
      <c r="R6" s="96"/>
      <c r="S6" s="96"/>
      <c r="T6" s="96"/>
      <c r="U6" s="103">
        <f>$E$8*1.25</f>
        <v>296893.29340963531</v>
      </c>
      <c r="V6" s="104">
        <f>100*(+U6/$E$9)</f>
        <v>167.86356964344077</v>
      </c>
      <c r="W6" s="105">
        <f>EXP(5.70827-(0.68367*LN(+V6)))</f>
        <v>9.0768296142985871</v>
      </c>
      <c r="X6" s="105">
        <f>(+W6*V6)/100</f>
        <v>15.236690201014564</v>
      </c>
      <c r="Y6" s="104">
        <f>100*((((X6/100)-((X6/100)-0.03574)*$E$21)-0.03574-0.00619)/0.344)</f>
        <v>20.57667306008608</v>
      </c>
      <c r="Z6" s="96">
        <f>$E$20</f>
        <v>0.25</v>
      </c>
      <c r="AA6" s="104">
        <f>Y6+Z6</f>
        <v>20.82667306008608</v>
      </c>
      <c r="AB6" s="104">
        <f>100*($E$17*$E$19+($E$18*(AA6/100))/(1-$E$21))</f>
        <v>21.193339145532804</v>
      </c>
      <c r="AC6" s="105">
        <f>AB6/V6</f>
        <v>0.12625335676197999</v>
      </c>
      <c r="AD6" s="103">
        <f>$E$8/(1-AC6)</f>
        <v>271834.67492075521</v>
      </c>
      <c r="AE6" s="96" t="str">
        <f>IF(AD6=$U$6,"yes","not yet")</f>
        <v>not yet</v>
      </c>
      <c r="AF6" s="104">
        <f>100*(1-AC6)</f>
        <v>87.374664323801994</v>
      </c>
      <c r="AG6" s="96"/>
      <c r="AH6" s="96"/>
      <c r="AI6" s="96">
        <v>50</v>
      </c>
      <c r="AJ6" s="96">
        <v>2</v>
      </c>
      <c r="AK6" s="96"/>
      <c r="AL6" s="96"/>
      <c r="AM6" s="96"/>
      <c r="AN6" s="96"/>
      <c r="AO6" s="96"/>
      <c r="AP6" s="96"/>
      <c r="AQ6" s="96"/>
      <c r="AR6" s="96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45"/>
      <c r="BD6" s="45"/>
      <c r="BE6" s="45"/>
    </row>
    <row r="7" spans="1:57" ht="13.5" x14ac:dyDescent="0.25">
      <c r="A7" s="95"/>
      <c r="B7" s="109" t="s">
        <v>248</v>
      </c>
      <c r="C7" s="100" t="s">
        <v>79</v>
      </c>
      <c r="D7" s="109" t="s">
        <v>249</v>
      </c>
      <c r="E7" s="99">
        <f>'[2]Pro-forma Lewis,Joe''s'!L22</f>
        <v>258403.73120000001</v>
      </c>
      <c r="F7" s="100" t="s">
        <v>250</v>
      </c>
      <c r="G7" s="96"/>
      <c r="H7" s="96">
        <f>E7/E8</f>
        <v>1.0879486710207962</v>
      </c>
      <c r="I7" s="96"/>
      <c r="J7" s="100"/>
      <c r="K7" s="96"/>
      <c r="L7" s="102"/>
      <c r="M7" s="96"/>
      <c r="N7" s="100" t="s">
        <v>251</v>
      </c>
      <c r="O7" s="96"/>
      <c r="P7" s="96"/>
      <c r="Q7" s="100" t="s">
        <v>252</v>
      </c>
      <c r="R7" s="96"/>
      <c r="S7" s="96"/>
      <c r="T7" s="96"/>
      <c r="U7" s="103">
        <f>$E$8*1.25</f>
        <v>296893.29340963531</v>
      </c>
      <c r="V7" s="104">
        <f>100*(+U7/$E$9)</f>
        <v>167.86356964344077</v>
      </c>
      <c r="W7" s="105">
        <f>EXP(5.6985-(0.68367*LN(V7)))</f>
        <v>8.9885807864569962</v>
      </c>
      <c r="X7" s="105">
        <f>(+W7*V7)/100</f>
        <v>15.088552568431176</v>
      </c>
      <c r="Y7" s="104">
        <f>100*((((X7/100)-((X7/100)-0.03574)*$E$21)-0.03574-0.00619)/0.344)</f>
        <v>20.292455509199353</v>
      </c>
      <c r="Z7" s="96">
        <f>$E$20</f>
        <v>0.25</v>
      </c>
      <c r="AA7" s="104">
        <f>Y7+Z7</f>
        <v>20.542455509199353</v>
      </c>
      <c r="AB7" s="104">
        <f>100*($E$17*$E$19+($E$18*(AA7/100))/(1-$E$21))</f>
        <v>20.934959553817599</v>
      </c>
      <c r="AC7" s="105">
        <f>AB7/V7</f>
        <v>0.12471413302055696</v>
      </c>
      <c r="AD7" s="103">
        <f>$E$8/(1-AC7)</f>
        <v>271356.64322715095</v>
      </c>
      <c r="AE7" s="96" t="str">
        <f>IF(AD7=$U$7,"yes","not yet")</f>
        <v>not yet</v>
      </c>
      <c r="AF7" s="104">
        <f>100*(1-AC7)</f>
        <v>87.528586697944306</v>
      </c>
      <c r="AG7" s="96"/>
      <c r="AH7" s="96"/>
      <c r="AI7" s="96">
        <v>125</v>
      </c>
      <c r="AJ7" s="96">
        <v>3</v>
      </c>
      <c r="AK7" s="96"/>
      <c r="AL7" s="96"/>
      <c r="AM7" s="96"/>
      <c r="AN7" s="96"/>
      <c r="AO7" s="96"/>
      <c r="AP7" s="96"/>
      <c r="AQ7" s="96"/>
      <c r="AR7" s="96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45"/>
      <c r="BD7" s="45"/>
      <c r="BE7" s="45"/>
    </row>
    <row r="8" spans="1:57" ht="13.5" x14ac:dyDescent="0.25">
      <c r="A8" s="95"/>
      <c r="B8" s="109" t="s">
        <v>248</v>
      </c>
      <c r="C8" s="100" t="s">
        <v>253</v>
      </c>
      <c r="D8" s="109" t="s">
        <v>249</v>
      </c>
      <c r="E8" s="99">
        <f>'[2]Pro-forma Lewis,Joe''s'!L77</f>
        <v>237514.63472770824</v>
      </c>
      <c r="F8" s="100" t="s">
        <v>250</v>
      </c>
      <c r="G8" s="96"/>
      <c r="H8" s="96"/>
      <c r="I8" s="96"/>
      <c r="J8" s="99"/>
      <c r="K8" s="96"/>
      <c r="L8" s="102"/>
      <c r="M8" s="96"/>
      <c r="N8" s="100" t="s">
        <v>254</v>
      </c>
      <c r="O8" s="96"/>
      <c r="P8" s="96"/>
      <c r="Q8" s="100" t="s">
        <v>255</v>
      </c>
      <c r="R8" s="96"/>
      <c r="S8" s="96"/>
      <c r="T8" s="96"/>
      <c r="U8" s="103">
        <f>$E$8*1.25</f>
        <v>296893.29340963531</v>
      </c>
      <c r="V8" s="104">
        <f>100*(+U8/$E$9)</f>
        <v>167.86356964344077</v>
      </c>
      <c r="W8" s="105">
        <f>EXP(5.6922-(0.68367*LN(V8)))</f>
        <v>8.9321307318826531</v>
      </c>
      <c r="X8" s="105">
        <f>(+W8*V8)/100</f>
        <v>14.993793491757012</v>
      </c>
      <c r="Y8" s="104">
        <f>100*((((X8/100)-((X8/100)-0.03574)*$E$21)-0.03574-0.00619)/0.344)</f>
        <v>20.110650303952404</v>
      </c>
      <c r="Z8" s="96">
        <f>$E$20</f>
        <v>0.25</v>
      </c>
      <c r="AA8" s="104">
        <f>Y8+Z8</f>
        <v>20.360650303952404</v>
      </c>
      <c r="AB8" s="104">
        <f>100*($E$17*$E$19+($E$18*(AA8/100))/(1-$E$21))</f>
        <v>20.769682094502187</v>
      </c>
      <c r="AC8" s="105">
        <f>AB8/V8</f>
        <v>0.123729539045423</v>
      </c>
      <c r="AD8" s="103">
        <f>$E$8/(1-AC8)</f>
        <v>271051.7417978103</v>
      </c>
      <c r="AE8" s="96" t="str">
        <f>IF(AD8=$U$8,"yes","not yet")</f>
        <v>not yet</v>
      </c>
      <c r="AF8" s="104">
        <f>100*(1-AC8)</f>
        <v>87.6270460954577</v>
      </c>
      <c r="AG8" s="96"/>
      <c r="AH8" s="96"/>
      <c r="AI8" s="96">
        <v>401</v>
      </c>
      <c r="AJ8" s="96">
        <v>4</v>
      </c>
      <c r="AK8" s="96"/>
      <c r="AL8" s="96"/>
      <c r="AM8" s="96"/>
      <c r="AN8" s="96"/>
      <c r="AO8" s="96"/>
      <c r="AP8" s="96"/>
      <c r="AQ8" s="96"/>
      <c r="AR8" s="96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45"/>
      <c r="BD8" s="45"/>
      <c r="BE8" s="45"/>
    </row>
    <row r="9" spans="1:57" ht="13.5" x14ac:dyDescent="0.25">
      <c r="A9" s="95"/>
      <c r="B9" s="109" t="s">
        <v>248</v>
      </c>
      <c r="C9" s="100" t="s">
        <v>256</v>
      </c>
      <c r="D9" s="96"/>
      <c r="E9" s="99">
        <f>'[2]Pro-forma Lewis,Joe''s'!L83</f>
        <v>176865.8286251548</v>
      </c>
      <c r="F9" s="100" t="s">
        <v>250</v>
      </c>
      <c r="G9" s="96"/>
      <c r="H9" s="96"/>
      <c r="I9" s="96"/>
      <c r="J9" s="100"/>
      <c r="K9" s="96"/>
      <c r="L9" s="102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104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45"/>
      <c r="BD9" s="45"/>
      <c r="BE9" s="45"/>
    </row>
    <row r="10" spans="1:57" ht="13.5" x14ac:dyDescent="0.25">
      <c r="A10" s="95"/>
      <c r="B10" s="98"/>
      <c r="C10" s="100" t="s">
        <v>257</v>
      </c>
      <c r="D10" s="96"/>
      <c r="E10" s="104">
        <f>V5</f>
        <v>167.86356964344077</v>
      </c>
      <c r="F10" s="100" t="s">
        <v>258</v>
      </c>
      <c r="G10" s="96"/>
      <c r="H10" s="104"/>
      <c r="I10" s="104"/>
      <c r="J10" s="98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110" t="s">
        <v>259</v>
      </c>
      <c r="W10" s="110" t="s">
        <v>230</v>
      </c>
      <c r="X10" s="110" t="s">
        <v>231</v>
      </c>
      <c r="Y10" s="110" t="s">
        <v>232</v>
      </c>
      <c r="Z10" s="96"/>
      <c r="AA10" s="104"/>
      <c r="AB10" s="96"/>
      <c r="AC10" s="96"/>
      <c r="AD10" s="96"/>
      <c r="AE10" s="96"/>
      <c r="AF10" s="96"/>
      <c r="AG10" s="96"/>
      <c r="AH10" s="96"/>
      <c r="AI10" s="96" t="s">
        <v>260</v>
      </c>
      <c r="AJ10" s="96"/>
      <c r="AK10" s="96"/>
      <c r="AL10" s="96"/>
      <c r="AM10" s="96"/>
      <c r="AN10" s="96"/>
      <c r="AO10" s="96"/>
      <c r="AP10" s="96"/>
      <c r="AQ10" s="96"/>
      <c r="AR10" s="96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45"/>
      <c r="BD10" s="45"/>
      <c r="BE10" s="45"/>
    </row>
    <row r="11" spans="1:57" ht="13.5" x14ac:dyDescent="0.25">
      <c r="A11" s="95"/>
      <c r="B11" s="98"/>
      <c r="C11" s="100" t="s">
        <v>261</v>
      </c>
      <c r="D11" s="96"/>
      <c r="E11" s="104">
        <f>HLOOKUP($AJ$34,$AJ$28:$AR$32,($E$12)+1)</f>
        <v>154.54652949344458</v>
      </c>
      <c r="F11" s="100" t="s">
        <v>258</v>
      </c>
      <c r="G11" s="96"/>
      <c r="H11" s="96"/>
      <c r="I11" s="96"/>
      <c r="J11" s="98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04">
        <f>100*(+AD5/$E$9)</f>
        <v>154.09841467267549</v>
      </c>
      <c r="W11" s="111">
        <f>EXP(5.7226-(0.68367*LN(+V11)))</f>
        <v>9.7625130334736081</v>
      </c>
      <c r="X11" s="105">
        <f>(+W11*V11)/100</f>
        <v>15.043877816796151</v>
      </c>
      <c r="Y11" s="104">
        <f>100*((((X11/100)-((X11/100)-0.03574)*$E$21)-0.03574-0.00619)/0.344)</f>
        <v>20.206742322922846</v>
      </c>
      <c r="Z11" s="96">
        <f>$E$20</f>
        <v>0.25</v>
      </c>
      <c r="AA11" s="104">
        <f>Y11+Z11</f>
        <v>20.456742322922846</v>
      </c>
      <c r="AB11" s="104">
        <f>100*($E$17*$E$19+($E$18*(AA11/100))/(1-$E$21))</f>
        <v>20.85703847538441</v>
      </c>
      <c r="AC11" s="105">
        <f>AB11/V11</f>
        <v>0.13534881925740375</v>
      </c>
      <c r="AD11" s="103">
        <f>$E$8/(1-AC11)</f>
        <v>274694.16571399505</v>
      </c>
      <c r="AE11" s="96" t="str">
        <f>IF(AD11=AD5,"yes","not yet")</f>
        <v>not yet</v>
      </c>
      <c r="AF11" s="104">
        <f>100*(1-AC11)</f>
        <v>86.465118074259635</v>
      </c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45"/>
      <c r="BD11" s="45"/>
      <c r="BE11" s="45"/>
    </row>
    <row r="12" spans="1:57" ht="13.5" x14ac:dyDescent="0.25">
      <c r="A12" s="95"/>
      <c r="B12" s="98"/>
      <c r="C12" s="100" t="s">
        <v>262</v>
      </c>
      <c r="D12" s="96"/>
      <c r="E12" s="96">
        <f>VLOOKUP(E10,AI5:AJ8,2)</f>
        <v>3</v>
      </c>
      <c r="F12" s="100" t="s">
        <v>258</v>
      </c>
      <c r="G12" s="96"/>
      <c r="H12" s="96"/>
      <c r="I12" s="96"/>
      <c r="J12" s="98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104">
        <f>100*(+AD6/$E$9)</f>
        <v>153.69541817875691</v>
      </c>
      <c r="W12" s="111">
        <f>EXP(5.70827-(0.68367*LN(+V12)))</f>
        <v>9.6408580935676209</v>
      </c>
      <c r="X12" s="105">
        <f>(+W12*V12)/100</f>
        <v>14.817557162929285</v>
      </c>
      <c r="Y12" s="104">
        <f>100*((((X12/100)-((X12/100)-0.03574)*$E$21)-0.03574-0.00619)/0.344)</f>
        <v>19.772522463759675</v>
      </c>
      <c r="Z12" s="96">
        <f>$E$20</f>
        <v>0.25</v>
      </c>
      <c r="AA12" s="104">
        <f>Y12+Z12</f>
        <v>20.022522463759675</v>
      </c>
      <c r="AB12" s="104">
        <f>100*($E$17*$E$19+($E$18*(AA12/100))/(1-$E$21))</f>
        <v>20.462293148872433</v>
      </c>
      <c r="AC12" s="105">
        <f>AB12/V12</f>
        <v>0.13313534906469085</v>
      </c>
      <c r="AD12" s="103">
        <f>$E$8/(1-AC12)</f>
        <v>273992.75592959096</v>
      </c>
      <c r="AE12" s="96" t="str">
        <f>IF(AD12=AD6,"yes","not yet")</f>
        <v>not yet</v>
      </c>
      <c r="AF12" s="104">
        <f>100*(1-AC12)</f>
        <v>86.686465093530913</v>
      </c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45"/>
      <c r="BD12" s="45"/>
      <c r="BE12" s="45"/>
    </row>
    <row r="13" spans="1:57" ht="13.5" x14ac:dyDescent="0.25">
      <c r="A13" s="95"/>
      <c r="B13" s="98"/>
      <c r="C13" s="96"/>
      <c r="D13" s="96"/>
      <c r="E13" s="96"/>
      <c r="F13" s="96"/>
      <c r="G13" s="96"/>
      <c r="H13" s="96"/>
      <c r="I13" s="96"/>
      <c r="J13" s="98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104">
        <f>100*(+AD7/$E$9)</f>
        <v>153.4251388956867</v>
      </c>
      <c r="W13" s="111">
        <f>EXP(5.6985-(0.68367*LN(V13)))</f>
        <v>9.5586206842461756</v>
      </c>
      <c r="X13" s="105">
        <f>(+W13*V13)/100</f>
        <v>14.665327061316534</v>
      </c>
      <c r="Y13" s="104">
        <f>100*((((X13/100)-((X13/100)-0.03574)*$E$21)-0.03574-0.00619)/0.344)</f>
        <v>19.480453082758466</v>
      </c>
      <c r="Z13" s="96">
        <f>$E$20</f>
        <v>0.25</v>
      </c>
      <c r="AA13" s="104">
        <f>Y13+Z13</f>
        <v>19.730453082758466</v>
      </c>
      <c r="AB13" s="104">
        <f>100*($E$17*$E$19+($E$18*(AA13/100))/(1-$E$21))</f>
        <v>20.196775529780425</v>
      </c>
      <c r="AC13" s="105">
        <f>AB13/V13</f>
        <v>0.13163928463843302</v>
      </c>
      <c r="AD13" s="103">
        <f>$E$8/(1-AC13)</f>
        <v>273520.70461733424</v>
      </c>
      <c r="AE13" s="96" t="str">
        <f>IF(AD13=AD7,"yes","not yet")</f>
        <v>not yet</v>
      </c>
      <c r="AF13" s="104">
        <f>100*(1-AC13)</f>
        <v>86.836071536156695</v>
      </c>
      <c r="AG13" s="96"/>
      <c r="AH13" s="96"/>
      <c r="AI13" s="96"/>
      <c r="AJ13" s="96">
        <v>1</v>
      </c>
      <c r="AK13" s="96">
        <v>2</v>
      </c>
      <c r="AL13" s="96">
        <v>3</v>
      </c>
      <c r="AM13" s="96">
        <v>4</v>
      </c>
      <c r="AN13" s="96">
        <v>5</v>
      </c>
      <c r="AO13" s="96">
        <v>6</v>
      </c>
      <c r="AP13" s="96">
        <v>7</v>
      </c>
      <c r="AQ13" s="96">
        <v>8</v>
      </c>
      <c r="AR13" s="96">
        <v>9</v>
      </c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45"/>
      <c r="BD13" s="45"/>
      <c r="BE13" s="45"/>
    </row>
    <row r="14" spans="1:57" ht="13.5" x14ac:dyDescent="0.25">
      <c r="A14" s="95"/>
      <c r="B14" s="98"/>
      <c r="C14" s="100" t="s">
        <v>263</v>
      </c>
      <c r="D14" s="96"/>
      <c r="E14" s="96"/>
      <c r="F14" s="96"/>
      <c r="G14" s="96"/>
      <c r="H14" s="96"/>
      <c r="I14" s="96"/>
      <c r="J14" s="98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104">
        <f>100*(+AD8/$E$9)</f>
        <v>153.25274752324876</v>
      </c>
      <c r="W14" s="111">
        <f>EXP(5.6922-(0.68367*LN(V14)))</f>
        <v>9.5058942457890705</v>
      </c>
      <c r="X14" s="105">
        <f>(+W14*V14)/100</f>
        <v>14.568044108326156</v>
      </c>
      <c r="Y14" s="104">
        <f>100*((((X14/100)-((X14/100)-0.03574)*$E$21)-0.03574-0.00619)/0.344)</f>
        <v>19.293805556672272</v>
      </c>
      <c r="Z14" s="96">
        <f>$E$20</f>
        <v>0.25</v>
      </c>
      <c r="AA14" s="104">
        <f>Y14+Z14</f>
        <v>19.543805556672272</v>
      </c>
      <c r="AB14" s="104">
        <f>100*($E$17*$E$19+($E$18*(AA14/100))/(1-$E$21))</f>
        <v>20.027095960611156</v>
      </c>
      <c r="AC14" s="105">
        <f>AB14/V14</f>
        <v>0.13068017562016632</v>
      </c>
      <c r="AD14" s="103">
        <f>$E$8/(1-AC14)</f>
        <v>273218.93285609747</v>
      </c>
      <c r="AE14" s="96" t="str">
        <f>IF(AD14=AD8,"yes","not yet")</f>
        <v>not yet</v>
      </c>
      <c r="AF14" s="104">
        <f>100*(1-AC14)</f>
        <v>86.931982437983365</v>
      </c>
      <c r="AG14" s="96"/>
      <c r="AH14" s="96"/>
      <c r="AI14" s="96"/>
      <c r="AJ14" s="96" t="str">
        <f>AE5</f>
        <v>not yet</v>
      </c>
      <c r="AK14" s="96" t="str">
        <f>AE11</f>
        <v>not yet</v>
      </c>
      <c r="AL14" s="96" t="str">
        <f>AE17</f>
        <v>not yet</v>
      </c>
      <c r="AM14" s="96" t="str">
        <f>AE23</f>
        <v>not yet</v>
      </c>
      <c r="AN14" s="96" t="str">
        <f>AE29</f>
        <v>not yet</v>
      </c>
      <c r="AO14" s="96" t="str">
        <f>AE35</f>
        <v>not yet</v>
      </c>
      <c r="AP14" s="96" t="str">
        <f>AE41</f>
        <v>yes</v>
      </c>
      <c r="AQ14" s="96" t="str">
        <f>AE47</f>
        <v>yes</v>
      </c>
      <c r="AR14" s="96" t="str">
        <f>AE53</f>
        <v>yes</v>
      </c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45"/>
      <c r="BD14" s="45"/>
      <c r="BE14" s="45"/>
    </row>
    <row r="15" spans="1:57" ht="13.5" x14ac:dyDescent="0.25">
      <c r="A15" s="95"/>
      <c r="B15" s="98"/>
      <c r="C15" s="100" t="s">
        <v>264</v>
      </c>
      <c r="D15" s="96"/>
      <c r="E15" s="109" t="s">
        <v>239</v>
      </c>
      <c r="F15" s="100" t="s">
        <v>265</v>
      </c>
      <c r="G15" s="96"/>
      <c r="H15" s="104">
        <f>HLOOKUP($AJ$25,$AJ$19:$AR$23,($E$12)+1)</f>
        <v>86.893417158445303</v>
      </c>
      <c r="I15" s="100" t="s">
        <v>241</v>
      </c>
      <c r="J15" s="95"/>
      <c r="K15" s="112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104"/>
      <c r="AB15" s="96"/>
      <c r="AC15" s="96"/>
      <c r="AD15" s="96"/>
      <c r="AE15" s="96"/>
      <c r="AF15" s="96"/>
      <c r="AG15" s="96"/>
      <c r="AH15" s="96"/>
      <c r="AI15" s="96"/>
      <c r="AJ15" s="96" t="str">
        <f>AE6</f>
        <v>not yet</v>
      </c>
      <c r="AK15" s="96" t="str">
        <f>AE12</f>
        <v>not yet</v>
      </c>
      <c r="AL15" s="96" t="str">
        <f>AE18</f>
        <v>not yet</v>
      </c>
      <c r="AM15" s="96" t="str">
        <f>AE24</f>
        <v>not yet</v>
      </c>
      <c r="AN15" s="96" t="str">
        <f>AE30</f>
        <v>not yet</v>
      </c>
      <c r="AO15" s="96" t="str">
        <f>AE36</f>
        <v>not yet</v>
      </c>
      <c r="AP15" s="96" t="str">
        <f>AE42</f>
        <v>yes</v>
      </c>
      <c r="AQ15" s="96" t="str">
        <f>AE48</f>
        <v>yes</v>
      </c>
      <c r="AR15" s="96" t="str">
        <f>AE54</f>
        <v>yes</v>
      </c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45"/>
      <c r="BD15" s="45"/>
      <c r="BE15" s="45"/>
    </row>
    <row r="16" spans="1:57" ht="13.5" x14ac:dyDescent="0.25">
      <c r="A16" s="95"/>
      <c r="B16" s="98"/>
      <c r="C16" s="113"/>
      <c r="D16" s="113"/>
      <c r="E16" s="114"/>
      <c r="F16" s="96"/>
      <c r="G16" s="96"/>
      <c r="H16" s="113"/>
      <c r="I16" s="98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00" t="s">
        <v>266</v>
      </c>
      <c r="W16" s="110" t="s">
        <v>230</v>
      </c>
      <c r="X16" s="110" t="s">
        <v>231</v>
      </c>
      <c r="Y16" s="110" t="s">
        <v>232</v>
      </c>
      <c r="Z16" s="96"/>
      <c r="AA16" s="104"/>
      <c r="AB16" s="96"/>
      <c r="AC16" s="96"/>
      <c r="AD16" s="96"/>
      <c r="AE16" s="96"/>
      <c r="AF16" s="96"/>
      <c r="AG16" s="96"/>
      <c r="AH16" s="96"/>
      <c r="AI16" s="96"/>
      <c r="AJ16" s="96" t="str">
        <f>AE7</f>
        <v>not yet</v>
      </c>
      <c r="AK16" s="96" t="str">
        <f>AE13</f>
        <v>not yet</v>
      </c>
      <c r="AL16" s="96" t="str">
        <f>AE19</f>
        <v>not yet</v>
      </c>
      <c r="AM16" s="96" t="str">
        <f>AE25</f>
        <v>not yet</v>
      </c>
      <c r="AN16" s="96" t="str">
        <f>AE31</f>
        <v>not yet</v>
      </c>
      <c r="AO16" s="96" t="str">
        <f>AE37</f>
        <v>not yet</v>
      </c>
      <c r="AP16" s="96" t="str">
        <f>AE43</f>
        <v>yes</v>
      </c>
      <c r="AQ16" s="96" t="str">
        <f>AE49</f>
        <v>yes</v>
      </c>
      <c r="AR16" s="96" t="str">
        <f>AE55</f>
        <v>yes</v>
      </c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45"/>
      <c r="BD16" s="45"/>
      <c r="BE16" s="45"/>
    </row>
    <row r="17" spans="1:57" ht="13.5" x14ac:dyDescent="0.25">
      <c r="A17" s="95"/>
      <c r="B17" s="109" t="s">
        <v>248</v>
      </c>
      <c r="C17" s="100" t="s">
        <v>267</v>
      </c>
      <c r="D17" s="96"/>
      <c r="E17" s="102">
        <v>0.4</v>
      </c>
      <c r="F17" s="100" t="s">
        <v>268</v>
      </c>
      <c r="G17" s="96"/>
      <c r="H17" s="96"/>
      <c r="I17" s="98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04">
        <f>100*(+AD11/$E$9)</f>
        <v>155.31217525131737</v>
      </c>
      <c r="W17" s="111">
        <f>EXP(5.7226-(0.68367*LN(+V17)))</f>
        <v>9.7102885680842075</v>
      </c>
      <c r="X17" s="105">
        <f>(+W17*V17)/100</f>
        <v>15.081260398271581</v>
      </c>
      <c r="Y17" s="104">
        <f>100*((((X17/100)-((X17/100)-0.03574)*$E$21)-0.03574-0.00619)/0.344)</f>
        <v>20.278464717614082</v>
      </c>
      <c r="Z17" s="96">
        <f>$E$20</f>
        <v>0.25</v>
      </c>
      <c r="AA17" s="104">
        <f>Y17+Z17</f>
        <v>20.528464717614082</v>
      </c>
      <c r="AB17" s="104">
        <f>100*($E$17*$E$19+($E$18*(AA17/100))/(1-$E$21))</f>
        <v>20.922240652376438</v>
      </c>
      <c r="AC17" s="105">
        <f>AB17/V17</f>
        <v>0.13471088546999777</v>
      </c>
      <c r="AD17" s="103">
        <f>$E$8/(1-AC17)</f>
        <v>274491.64763469686</v>
      </c>
      <c r="AE17" s="96" t="str">
        <f>IF(AD17=AD11,"yes","not yet")</f>
        <v>not yet</v>
      </c>
      <c r="AF17" s="104">
        <f>100*(1-AC17)</f>
        <v>86.528911453000219</v>
      </c>
      <c r="AG17" s="96"/>
      <c r="AH17" s="96"/>
      <c r="AI17" s="96"/>
      <c r="AJ17" s="96" t="str">
        <f>AE8</f>
        <v>not yet</v>
      </c>
      <c r="AK17" s="96" t="str">
        <f>AE14</f>
        <v>not yet</v>
      </c>
      <c r="AL17" s="96" t="str">
        <f>AE20</f>
        <v>not yet</v>
      </c>
      <c r="AM17" s="96" t="str">
        <f>AE26</f>
        <v>not yet</v>
      </c>
      <c r="AN17" s="96" t="str">
        <f>AE32</f>
        <v>not yet</v>
      </c>
      <c r="AO17" s="96" t="str">
        <f>AE38</f>
        <v>not yet</v>
      </c>
      <c r="AP17" s="96" t="str">
        <f>AE44</f>
        <v>yes</v>
      </c>
      <c r="AQ17" s="96" t="str">
        <f>AE50</f>
        <v>yes</v>
      </c>
      <c r="AR17" s="96" t="str">
        <f>AE56</f>
        <v>yes</v>
      </c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45"/>
      <c r="BD17" s="45"/>
      <c r="BE17" s="45"/>
    </row>
    <row r="18" spans="1:57" ht="13.5" x14ac:dyDescent="0.25">
      <c r="A18" s="95"/>
      <c r="B18" s="109" t="s">
        <v>248</v>
      </c>
      <c r="C18" s="100" t="s">
        <v>269</v>
      </c>
      <c r="D18" s="96"/>
      <c r="E18" s="102">
        <v>0.6</v>
      </c>
      <c r="F18" s="100" t="s">
        <v>270</v>
      </c>
      <c r="G18" s="96"/>
      <c r="H18" s="115">
        <v>1.7999999999999999E-2</v>
      </c>
      <c r="I18" s="100" t="s">
        <v>248</v>
      </c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04">
        <f>100*(+AD12/$E$9)</f>
        <v>154.9155979193045</v>
      </c>
      <c r="W18" s="111">
        <f>EXP(5.70827-(0.68367*LN(+V18)))</f>
        <v>9.5888784319927005</v>
      </c>
      <c r="X18" s="105">
        <f>(+W18*V18)/100</f>
        <v>14.854668356676722</v>
      </c>
      <c r="Y18" s="104">
        <f>100*((((X18/100)-((X18/100)-0.03574)*$E$21)-0.03574-0.00619)/0.344)</f>
        <v>19.843724172693715</v>
      </c>
      <c r="Z18" s="96">
        <f>$E$20</f>
        <v>0.25</v>
      </c>
      <c r="AA18" s="104">
        <f>Y18+Z18</f>
        <v>20.093724172693715</v>
      </c>
      <c r="AB18" s="104">
        <f>100*($E$17*$E$19+($E$18*(AA18/100))/(1-$E$21))</f>
        <v>20.527021975176108</v>
      </c>
      <c r="AC18" s="105">
        <f>AB18/V18</f>
        <v>0.13250455248456408</v>
      </c>
      <c r="AD18" s="103">
        <f>$E$8/(1-AC18)</f>
        <v>273793.52296080143</v>
      </c>
      <c r="AE18" s="96" t="str">
        <f>IF(AD18=AD12,"yes","not yet")</f>
        <v>not yet</v>
      </c>
      <c r="AF18" s="104">
        <f>100*(1-AC18)</f>
        <v>86.749544751543596</v>
      </c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45"/>
      <c r="BD18" s="45"/>
      <c r="BE18" s="45"/>
    </row>
    <row r="19" spans="1:57" ht="13.5" x14ac:dyDescent="0.25">
      <c r="A19" s="95"/>
      <c r="B19" s="109" t="s">
        <v>248</v>
      </c>
      <c r="C19" s="100" t="s">
        <v>271</v>
      </c>
      <c r="D19" s="96"/>
      <c r="E19" s="102">
        <v>5.6500000000000002E-2</v>
      </c>
      <c r="F19" s="100" t="s">
        <v>272</v>
      </c>
      <c r="G19" s="96"/>
      <c r="H19" s="115">
        <v>4.0000000000000001E-3</v>
      </c>
      <c r="I19" s="100" t="s">
        <v>248</v>
      </c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04">
        <f>100*(+AD13/$E$9)</f>
        <v>154.64869994589372</v>
      </c>
      <c r="W19" s="111">
        <f>EXP(5.6985-(0.68367*LN(V19)))</f>
        <v>9.5068521173791218</v>
      </c>
      <c r="X19" s="105">
        <f>(+W19*V19)/100</f>
        <v>14.702223205305481</v>
      </c>
      <c r="Y19" s="104">
        <f>100*((((X19/100)-((X19/100)-0.03574)*$E$21)-0.03574-0.00619)/0.344)</f>
        <v>19.551242196225633</v>
      </c>
      <c r="Z19" s="96">
        <f>$E$20</f>
        <v>0.25</v>
      </c>
      <c r="AA19" s="104">
        <f>Y19+Z19</f>
        <v>19.801242196225633</v>
      </c>
      <c r="AB19" s="104">
        <f>100*($E$17*$E$19+($E$18*(AA19/100))/(1-$E$21))</f>
        <v>20.261129269296031</v>
      </c>
      <c r="AC19" s="105">
        <f>AB19/V19</f>
        <v>0.13101389973782324</v>
      </c>
      <c r="AD19" s="103">
        <f>$E$8/(1-AC19)</f>
        <v>273323.85944498889</v>
      </c>
      <c r="AE19" s="96" t="str">
        <f>IF(AD19=AD13,"yes","not yet")</f>
        <v>not yet</v>
      </c>
      <c r="AF19" s="104">
        <f>100*(1-AC19)</f>
        <v>86.898610026217682</v>
      </c>
      <c r="AG19" s="96"/>
      <c r="AH19" s="96"/>
      <c r="AI19" s="96"/>
      <c r="AJ19" s="96" t="str">
        <f>HLOOKUP(1,$AJ$13:$AR$17,($E$12)+1)</f>
        <v>not yet</v>
      </c>
      <c r="AK19" s="96" t="str">
        <f>HLOOKUP(2,$AJ$13:$AR$17,($E$12)+1)</f>
        <v>not yet</v>
      </c>
      <c r="AL19" s="96" t="str">
        <f>HLOOKUP(3,$AJ$13:$AR$17,($E$12)+1)</f>
        <v>not yet</v>
      </c>
      <c r="AM19" s="96" t="str">
        <f>HLOOKUP(4,$AJ$13:$AR$17,($E$12)+1)</f>
        <v>not yet</v>
      </c>
      <c r="AN19" s="96" t="str">
        <f>HLOOKUP(5,$AJ$13:$AR$17,($E$12)+1)</f>
        <v>not yet</v>
      </c>
      <c r="AO19" s="96" t="str">
        <f>HLOOKUP(6,$AJ$13:$AR$17,($E$12)+1)</f>
        <v>not yet</v>
      </c>
      <c r="AP19" s="96" t="str">
        <f>HLOOKUP(7,$AJ$13:$AR$17,($E$12)+1)</f>
        <v>yes</v>
      </c>
      <c r="AQ19" s="96" t="str">
        <f>HLOOKUP(8,$AJ$13:$AR$17,($E$12)+1)</f>
        <v>yes</v>
      </c>
      <c r="AR19" s="96" t="str">
        <f>HLOOKUP(9,$AJ$13:$AR$17,($E$12)+1)</f>
        <v>yes</v>
      </c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45"/>
      <c r="BD19" s="45"/>
      <c r="BE19" s="45"/>
    </row>
    <row r="20" spans="1:57" ht="13.5" x14ac:dyDescent="0.25">
      <c r="A20" s="95"/>
      <c r="B20" s="109" t="s">
        <v>248</v>
      </c>
      <c r="C20" s="100" t="s">
        <v>273</v>
      </c>
      <c r="D20" s="96"/>
      <c r="E20" s="116">
        <v>0.25</v>
      </c>
      <c r="F20" s="100" t="s">
        <v>274</v>
      </c>
      <c r="G20" s="96"/>
      <c r="H20" s="102">
        <v>0</v>
      </c>
      <c r="I20" s="100" t="s">
        <v>248</v>
      </c>
      <c r="J20" s="95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04">
        <f>100*(+AD14/$E$9)</f>
        <v>154.47807808887217</v>
      </c>
      <c r="W20" s="111">
        <f>EXP(5.6922-(0.68367*LN(V20)))</f>
        <v>9.4542796741541277</v>
      </c>
      <c r="X20" s="105">
        <f>(+W20*V20)/100</f>
        <v>14.604789537780182</v>
      </c>
      <c r="Y20" s="104">
        <f>100*((((X20/100)-((X20/100)-0.03574)*$E$21)-0.03574-0.00619)/0.344)</f>
        <v>19.36430550853175</v>
      </c>
      <c r="Z20" s="96">
        <f>$E$20</f>
        <v>0.25</v>
      </c>
      <c r="AA20" s="104">
        <f>Y20+Z20</f>
        <v>19.61430550853175</v>
      </c>
      <c r="AB20" s="104">
        <f>100*($E$17*$E$19+($E$18*(AA20/100))/(1-$E$21))</f>
        <v>20.091186825937957</v>
      </c>
      <c r="AC20" s="105">
        <f>AB20/V20</f>
        <v>0.13005849810210207</v>
      </c>
      <c r="AD20" s="103">
        <f>$E$8/(1-AC20)</f>
        <v>273023.68516680389</v>
      </c>
      <c r="AE20" s="96" t="str">
        <f>IF(AD20=AD14,"yes","not yet")</f>
        <v>not yet</v>
      </c>
      <c r="AF20" s="104">
        <f>100*(1-AC20)</f>
        <v>86.994150189789792</v>
      </c>
      <c r="AG20" s="96"/>
      <c r="AH20" s="96"/>
      <c r="AI20" s="96">
        <v>1</v>
      </c>
      <c r="AJ20" s="104">
        <f>AF5</f>
        <v>87.146163054307451</v>
      </c>
      <c r="AK20" s="104">
        <f>AF11</f>
        <v>86.465118074259635</v>
      </c>
      <c r="AL20" s="104">
        <f>AF17</f>
        <v>86.528911453000219</v>
      </c>
      <c r="AM20" s="104">
        <f>AF23</f>
        <v>86.522926327507861</v>
      </c>
      <c r="AN20" s="104">
        <f>AF29</f>
        <v>86.523487770159463</v>
      </c>
      <c r="AO20" s="104">
        <f>AF35</f>
        <v>86.523435102540063</v>
      </c>
      <c r="AP20" s="104">
        <f>AF41</f>
        <v>86.523439419092284</v>
      </c>
      <c r="AQ20" s="104">
        <f>AF47</f>
        <v>86.523439419092284</v>
      </c>
      <c r="AR20" s="104">
        <f>AF53</f>
        <v>86.523439419092284</v>
      </c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45"/>
      <c r="BD20" s="45"/>
      <c r="BE20" s="45"/>
    </row>
    <row r="21" spans="1:57" ht="13.5" x14ac:dyDescent="0.25">
      <c r="A21" s="95"/>
      <c r="B21" s="109" t="s">
        <v>248</v>
      </c>
      <c r="C21" s="100" t="s">
        <v>162</v>
      </c>
      <c r="D21" s="96"/>
      <c r="E21" s="116">
        <v>0.34</v>
      </c>
      <c r="F21" s="100" t="s">
        <v>275</v>
      </c>
      <c r="G21" s="96"/>
      <c r="H21" s="117">
        <f>'[2]2188 Restating Expl'!C261</f>
        <v>8.6717475952765195E-3</v>
      </c>
      <c r="I21" s="100" t="s">
        <v>248</v>
      </c>
      <c r="J21" s="95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104"/>
      <c r="AB21" s="96"/>
      <c r="AC21" s="96"/>
      <c r="AD21" s="96"/>
      <c r="AE21" s="96"/>
      <c r="AF21" s="96"/>
      <c r="AG21" s="96"/>
      <c r="AH21" s="96"/>
      <c r="AI21" s="96">
        <v>2</v>
      </c>
      <c r="AJ21" s="104">
        <f>AF6</f>
        <v>87.374664323801994</v>
      </c>
      <c r="AK21" s="104">
        <f>AF12</f>
        <v>86.686465093530913</v>
      </c>
      <c r="AL21" s="104">
        <f>AF18</f>
        <v>86.749544751543596</v>
      </c>
      <c r="AM21" s="104">
        <f>AF24</f>
        <v>86.743753478629287</v>
      </c>
      <c r="AN21" s="104">
        <f>AF30</f>
        <v>86.744285089126322</v>
      </c>
      <c r="AO21" s="104">
        <f>AF36</f>
        <v>86.744236289213362</v>
      </c>
      <c r="AP21" s="104">
        <f>AF42</f>
        <v>86.744232677670794</v>
      </c>
      <c r="AQ21" s="104">
        <f>AF48</f>
        <v>86.744232677670794</v>
      </c>
      <c r="AR21" s="104">
        <f>AF54</f>
        <v>86.744232677670794</v>
      </c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45"/>
      <c r="BD21" s="45"/>
      <c r="BE21" s="45"/>
    </row>
    <row r="22" spans="1:57" ht="13.5" x14ac:dyDescent="0.25">
      <c r="A22" s="95"/>
      <c r="B22" s="98"/>
      <c r="C22" s="96"/>
      <c r="D22" s="96"/>
      <c r="E22" s="96"/>
      <c r="F22" s="96"/>
      <c r="G22" s="96"/>
      <c r="H22" s="113"/>
      <c r="I22" s="113"/>
      <c r="J22" s="98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00" t="s">
        <v>276</v>
      </c>
      <c r="W22" s="110" t="s">
        <v>230</v>
      </c>
      <c r="X22" s="110" t="s">
        <v>231</v>
      </c>
      <c r="Y22" s="110" t="s">
        <v>232</v>
      </c>
      <c r="Z22" s="96"/>
      <c r="AA22" s="104"/>
      <c r="AB22" s="96"/>
      <c r="AC22" s="96"/>
      <c r="AD22" s="96"/>
      <c r="AE22" s="96"/>
      <c r="AF22" s="96"/>
      <c r="AG22" s="96"/>
      <c r="AH22" s="96"/>
      <c r="AI22" s="96">
        <v>3</v>
      </c>
      <c r="AJ22" s="104">
        <f>AF7</f>
        <v>87.528586697944306</v>
      </c>
      <c r="AK22" s="104">
        <f>AF13</f>
        <v>86.836071536156695</v>
      </c>
      <c r="AL22" s="104">
        <f>AF19</f>
        <v>86.898610026217682</v>
      </c>
      <c r="AM22" s="104">
        <f>AF25</f>
        <v>86.892953073177907</v>
      </c>
      <c r="AN22" s="104">
        <f>AF31</f>
        <v>86.893464699465781</v>
      </c>
      <c r="AO22" s="104">
        <f>AF37</f>
        <v>86.893418426322881</v>
      </c>
      <c r="AP22" s="104">
        <f>AF43</f>
        <v>86.893417158445303</v>
      </c>
      <c r="AQ22" s="104">
        <f>AF49</f>
        <v>86.893417158445303</v>
      </c>
      <c r="AR22" s="104">
        <f>AF55</f>
        <v>86.893417158445303</v>
      </c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45"/>
      <c r="BD22" s="45"/>
      <c r="BE22" s="45"/>
    </row>
    <row r="23" spans="1:57" ht="13.5" x14ac:dyDescent="0.25">
      <c r="A23" s="95"/>
      <c r="B23" s="98"/>
      <c r="C23" s="96"/>
      <c r="D23" s="96"/>
      <c r="E23" s="96"/>
      <c r="F23" s="100" t="s">
        <v>277</v>
      </c>
      <c r="G23" s="96"/>
      <c r="H23" s="102">
        <f>SUM(H18:H21)</f>
        <v>3.0671747595276518E-2</v>
      </c>
      <c r="I23" s="102"/>
      <c r="J23" s="98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104">
        <f>100*(+AD17/$E$9)</f>
        <v>155.19767146001271</v>
      </c>
      <c r="W23" s="111">
        <f>EXP(5.7226-(0.68367*LN(+V23)))</f>
        <v>9.7151859351862981</v>
      </c>
      <c r="X23" s="105">
        <f>(+W23*V23)/100</f>
        <v>15.077742349419795</v>
      </c>
      <c r="Y23" s="104">
        <f>100*((((X23/100)-((X23/100)-0.03574)*$E$21)-0.03574-0.00619)/0.344)</f>
        <v>20.271714972724027</v>
      </c>
      <c r="Z23" s="96">
        <f>$E$20</f>
        <v>0.25</v>
      </c>
      <c r="AA23" s="104">
        <f>Y23+Z23</f>
        <v>20.521714972724027</v>
      </c>
      <c r="AB23" s="104">
        <f>100*($E$17*$E$19+($E$18*(AA23/100))/(1-$E$21))</f>
        <v>20.916104520658209</v>
      </c>
      <c r="AC23" s="105">
        <f>AB23/V23</f>
        <v>0.13477073672492132</v>
      </c>
      <c r="AD23" s="103">
        <f>$E$8/(1-AC23)</f>
        <v>274510.63528372161</v>
      </c>
      <c r="AE23" s="96" t="str">
        <f>IF(AD23=AD17,"yes","not yet")</f>
        <v>not yet</v>
      </c>
      <c r="AF23" s="104">
        <f>100*(1-AC23)</f>
        <v>86.522926327507861</v>
      </c>
      <c r="AG23" s="96"/>
      <c r="AH23" s="96"/>
      <c r="AI23" s="96">
        <v>4</v>
      </c>
      <c r="AJ23" s="104">
        <f>AF8</f>
        <v>87.6270460954577</v>
      </c>
      <c r="AK23" s="104">
        <f>AF14</f>
        <v>86.931982437983365</v>
      </c>
      <c r="AL23" s="104">
        <f>AF20</f>
        <v>86.994150189789792</v>
      </c>
      <c r="AM23" s="104">
        <f>AF26</f>
        <v>86.988580545242186</v>
      </c>
      <c r="AN23" s="104">
        <f>AF32</f>
        <v>86.989079458558194</v>
      </c>
      <c r="AO23" s="104">
        <f>AF38</f>
        <v>86.989034766690267</v>
      </c>
      <c r="AP23" s="104">
        <f>AF44</f>
        <v>86.989046178083669</v>
      </c>
      <c r="AQ23" s="104">
        <f>AF50</f>
        <v>86.989046178083669</v>
      </c>
      <c r="AR23" s="104">
        <f>AF56</f>
        <v>86.989046178083669</v>
      </c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45"/>
      <c r="BD23" s="45"/>
      <c r="BE23" s="45"/>
    </row>
    <row r="24" spans="1:57" ht="13.5" x14ac:dyDescent="0.25">
      <c r="A24" s="95"/>
      <c r="B24" s="98"/>
      <c r="C24" s="96"/>
      <c r="D24" s="96"/>
      <c r="E24" s="96"/>
      <c r="F24" s="96"/>
      <c r="G24" s="96"/>
      <c r="H24" s="96"/>
      <c r="I24" s="96"/>
      <c r="J24" s="98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104">
        <f>100*(+AD18/$E$9)</f>
        <v>154.80295153060507</v>
      </c>
      <c r="W24" s="111">
        <f>EXP(5.70827-(0.68367*LN(+V24)))</f>
        <v>9.5936482565057251</v>
      </c>
      <c r="X24" s="105">
        <f>(+W24*V24)/100</f>
        <v>14.851250660535294</v>
      </c>
      <c r="Y24" s="104">
        <f>100*((((X24/100)-((X24/100)-0.03574)*$E$21)-0.03574-0.00619)/0.344)</f>
        <v>19.837166964980511</v>
      </c>
      <c r="Z24" s="96">
        <f>$E$20</f>
        <v>0.25</v>
      </c>
      <c r="AA24" s="104">
        <f>Y24+Z24</f>
        <v>20.087166964980511</v>
      </c>
      <c r="AB24" s="104">
        <f>100*($E$17*$E$19+($E$18*(AA24/100))/(1-$E$21))</f>
        <v>20.521060877255014</v>
      </c>
      <c r="AC24" s="105">
        <f>AB24/V24</f>
        <v>0.13256246521370704</v>
      </c>
      <c r="AD24" s="103">
        <f>$E$8/(1-AC24)</f>
        <v>273811.80223683052</v>
      </c>
      <c r="AE24" s="96" t="str">
        <f>IF(AD24=AD18,"yes","not yet")</f>
        <v>not yet</v>
      </c>
      <c r="AF24" s="104">
        <f>100*(1-AC24)</f>
        <v>86.743753478629287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45"/>
      <c r="BD24" s="45"/>
      <c r="BE24" s="45"/>
    </row>
    <row r="25" spans="1:57" ht="13.5" x14ac:dyDescent="0.25">
      <c r="A25" s="95"/>
      <c r="B25" s="98"/>
      <c r="C25" s="96"/>
      <c r="D25" s="96"/>
      <c r="E25" s="96"/>
      <c r="F25" s="100" t="s">
        <v>278</v>
      </c>
      <c r="G25" s="96"/>
      <c r="H25" s="105">
        <f>((+H15/100)-H23)</f>
        <v>0.83826242398917661</v>
      </c>
      <c r="I25" s="105"/>
      <c r="J25" s="98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104">
        <f>100*(+AD19/$E$9)</f>
        <v>154.53740361812055</v>
      </c>
      <c r="W25" s="111">
        <f>EXP(5.6985-(0.68367*LN(V25)))</f>
        <v>9.5115324964417951</v>
      </c>
      <c r="X25" s="105">
        <f>(+W25*V25)/100</f>
        <v>14.698875364294954</v>
      </c>
      <c r="Y25" s="104">
        <f>100*((((X25/100)-((X25/100)-0.03574)*$E$21)-0.03574-0.00619)/0.344)</f>
        <v>19.544819012891484</v>
      </c>
      <c r="Z25" s="96">
        <f>$E$20</f>
        <v>0.25</v>
      </c>
      <c r="AA25" s="104">
        <f>Y25+Z25</f>
        <v>19.794819012891484</v>
      </c>
      <c r="AB25" s="104">
        <f>100*($E$17*$E$19+($E$18*(AA25/100))/(1-$E$21))</f>
        <v>20.255290011719534</v>
      </c>
      <c r="AC25" s="105">
        <f>AB25/V25</f>
        <v>0.131070469268221</v>
      </c>
      <c r="AD25" s="103">
        <f>$E$8/(1-AC25)</f>
        <v>273341.65352589934</v>
      </c>
      <c r="AE25" s="96" t="str">
        <f>IF(AD25=AD19,"yes","not yet")</f>
        <v>not yet</v>
      </c>
      <c r="AF25" s="104">
        <f>100*(1-AC25)</f>
        <v>86.892953073177907</v>
      </c>
      <c r="AG25" s="96"/>
      <c r="AH25" s="96"/>
      <c r="AI25" s="96"/>
      <c r="AJ25" s="96" t="s">
        <v>279</v>
      </c>
      <c r="AK25" s="96"/>
      <c r="AL25" s="96"/>
      <c r="AM25" s="96"/>
      <c r="AN25" s="96"/>
      <c r="AO25" s="96"/>
      <c r="AP25" s="96"/>
      <c r="AQ25" s="96"/>
      <c r="AR25" s="96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45"/>
      <c r="BD25" s="45"/>
      <c r="BE25" s="45"/>
    </row>
    <row r="26" spans="1:57" ht="13.5" x14ac:dyDescent="0.25">
      <c r="A26" s="95"/>
      <c r="B26" s="98"/>
      <c r="C26" s="96"/>
      <c r="D26" s="96"/>
      <c r="E26" s="96"/>
      <c r="F26" s="96"/>
      <c r="G26" s="96"/>
      <c r="H26" s="96"/>
      <c r="I26" s="96"/>
      <c r="J26" s="98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104">
        <f>100*(+AD20/$E$9)</f>
        <v>154.36768497856289</v>
      </c>
      <c r="W26" s="111">
        <f>EXP(5.6922-(0.68367*LN(V26)))</f>
        <v>9.4589014772285616</v>
      </c>
      <c r="X26" s="105">
        <f>(+W26*V26)/100</f>
        <v>14.601487234800818</v>
      </c>
      <c r="Y26" s="104">
        <f>100*((((X26/100)-((X26/100)-0.03574)*$E$21)-0.03574-0.00619)/0.344)</f>
        <v>19.357969694675987</v>
      </c>
      <c r="Z26" s="96">
        <f>$E$20</f>
        <v>0.25</v>
      </c>
      <c r="AA26" s="104">
        <f>Y26+Z26</f>
        <v>19.607969694675987</v>
      </c>
      <c r="AB26" s="104">
        <f>100*($E$17*$E$19+($E$18*(AA26/100))/(1-$E$21))</f>
        <v>20.085426995159992</v>
      </c>
      <c r="AC26" s="105">
        <f>AB26/V26</f>
        <v>0.13011419454757817</v>
      </c>
      <c r="AD26" s="103">
        <f>$E$8/(1-AC26)</f>
        <v>273041.16613809834</v>
      </c>
      <c r="AE26" s="96" t="str">
        <f>IF(AD26=AD20,"yes","not yet")</f>
        <v>not yet</v>
      </c>
      <c r="AF26" s="104">
        <f>100*(1-AC26)</f>
        <v>86.988580545242186</v>
      </c>
      <c r="AG26" s="96"/>
      <c r="AH26" s="96"/>
      <c r="AI26" s="96"/>
      <c r="AJ26" s="104">
        <f>HLOOKUP($AJ$25,$AJ$19:$AR$23,($E$12)+1)</f>
        <v>86.893417158445303</v>
      </c>
      <c r="AK26" s="96"/>
      <c r="AL26" s="96"/>
      <c r="AM26" s="96"/>
      <c r="AN26" s="96"/>
      <c r="AO26" s="96"/>
      <c r="AP26" s="96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45"/>
      <c r="BD26" s="45"/>
      <c r="BE26" s="45"/>
    </row>
    <row r="27" spans="1:57" ht="13.5" x14ac:dyDescent="0.25">
      <c r="A27" s="95"/>
      <c r="B27" s="98"/>
      <c r="C27" s="96"/>
      <c r="D27" s="96"/>
      <c r="E27" s="103"/>
      <c r="F27" s="96"/>
      <c r="G27" s="96"/>
      <c r="H27" s="96"/>
      <c r="I27" s="96"/>
      <c r="J27" s="98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104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45"/>
      <c r="BD27" s="45"/>
      <c r="BE27" s="45"/>
    </row>
    <row r="28" spans="1:57" ht="13.5" x14ac:dyDescent="0.25">
      <c r="A28" s="95"/>
      <c r="B28" s="98"/>
      <c r="C28" s="98"/>
      <c r="D28" s="98" t="s">
        <v>28</v>
      </c>
      <c r="E28" s="99" t="s">
        <v>28</v>
      </c>
      <c r="F28" s="98"/>
      <c r="G28" s="98" t="s">
        <v>28</v>
      </c>
      <c r="H28" s="98"/>
      <c r="I28" s="9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00" t="s">
        <v>280</v>
      </c>
      <c r="W28" s="110" t="s">
        <v>230</v>
      </c>
      <c r="X28" s="110" t="s">
        <v>231</v>
      </c>
      <c r="Y28" s="110" t="s">
        <v>232</v>
      </c>
      <c r="Z28" s="96"/>
      <c r="AA28" s="104"/>
      <c r="AB28" s="96"/>
      <c r="AC28" s="96"/>
      <c r="AD28" s="96"/>
      <c r="AE28" s="96"/>
      <c r="AF28" s="96"/>
      <c r="AG28" s="96"/>
      <c r="AH28" s="96"/>
      <c r="AI28" s="96"/>
      <c r="AJ28" s="96" t="str">
        <f>HLOOKUP(1,$AJ$13:$AR$17,($E$12)+1)</f>
        <v>not yet</v>
      </c>
      <c r="AK28" s="96" t="str">
        <f>HLOOKUP(2,$AJ$13:$AR$17,($E$12)+1)</f>
        <v>not yet</v>
      </c>
      <c r="AL28" s="96" t="str">
        <f>HLOOKUP(3,$AJ$13:$AR$17,($E$12)+1)</f>
        <v>not yet</v>
      </c>
      <c r="AM28" s="96" t="str">
        <f>HLOOKUP(4,$AJ$13:$AR$17,($E$12)+1)</f>
        <v>not yet</v>
      </c>
      <c r="AN28" s="96" t="str">
        <f>HLOOKUP(5,$AJ$13:$AR$17,($E$12)+1)</f>
        <v>not yet</v>
      </c>
      <c r="AO28" s="96" t="str">
        <f>HLOOKUP(6,$AJ$13:$AR$17,($E$12)+1)</f>
        <v>not yet</v>
      </c>
      <c r="AP28" s="96" t="str">
        <f>HLOOKUP(7,$AJ$13:$AR$17,($E$12)+1)</f>
        <v>yes</v>
      </c>
      <c r="AQ28" s="96" t="str">
        <f>HLOOKUP(8,$AJ$13:$AR$17,($E$12)+1)</f>
        <v>yes</v>
      </c>
      <c r="AR28" s="96" t="str">
        <f>HLOOKUP(9,$AJ$13:$AR$17,($E$12)+1)</f>
        <v>yes</v>
      </c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45"/>
      <c r="BD28" s="45"/>
      <c r="BE28" s="45"/>
    </row>
    <row r="29" spans="1:57" ht="14.25" x14ac:dyDescent="0.3">
      <c r="A29" s="95"/>
      <c r="B29" s="118"/>
      <c r="C29" s="216" t="s">
        <v>281</v>
      </c>
      <c r="D29" s="216"/>
      <c r="E29" s="216"/>
      <c r="F29" s="216"/>
      <c r="G29" s="216"/>
      <c r="H29" s="21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104">
        <f>100*(+AD23/$E$9)</f>
        <v>155.20840708326585</v>
      </c>
      <c r="W29" s="111">
        <f>EXP(5.7226-(0.68367*LN(+V29)))</f>
        <v>9.7147265104106939</v>
      </c>
      <c r="X29" s="105">
        <f>(+W29*V29)/100</f>
        <v>15.078072269304178</v>
      </c>
      <c r="Y29" s="104">
        <f>100*((((X29/100)-((X29/100)-0.03574)*$E$21)-0.03574-0.00619)/0.344)</f>
        <v>20.272347958548714</v>
      </c>
      <c r="Z29" s="96">
        <f>$E$20</f>
        <v>0.25</v>
      </c>
      <c r="AA29" s="104">
        <f>Y29+Z29</f>
        <v>20.522347958548714</v>
      </c>
      <c r="AB29" s="104">
        <f>100*($E$17*$E$19+($E$18*(AA29/100))/(1-$E$21))</f>
        <v>20.916679962317016</v>
      </c>
      <c r="AC29" s="105">
        <f>AB29/V29</f>
        <v>0.1347651222984054</v>
      </c>
      <c r="AD29" s="103">
        <f>$E$8/(1-AC29)</f>
        <v>274508.85401041724</v>
      </c>
      <c r="AE29" s="96" t="str">
        <f>IF(AD29=AD23,"yes","not yet")</f>
        <v>not yet</v>
      </c>
      <c r="AF29" s="104">
        <f>100*(1-AC29)</f>
        <v>86.523487770159463</v>
      </c>
      <c r="AG29" s="96"/>
      <c r="AH29" s="96"/>
      <c r="AI29" s="96">
        <v>1</v>
      </c>
      <c r="AJ29" s="104">
        <f>V5</f>
        <v>167.86356964344077</v>
      </c>
      <c r="AK29" s="104">
        <f>V11</f>
        <v>154.09841467267549</v>
      </c>
      <c r="AL29" s="104">
        <f>V17</f>
        <v>155.31217525131737</v>
      </c>
      <c r="AM29" s="104">
        <f>V23</f>
        <v>155.19767146001271</v>
      </c>
      <c r="AN29" s="104">
        <f>V29</f>
        <v>155.20840708326585</v>
      </c>
      <c r="AO29" s="104">
        <f>V35</f>
        <v>155.20739995073029</v>
      </c>
      <c r="AP29" s="104">
        <f>V41</f>
        <v>155.20748249329031</v>
      </c>
      <c r="AQ29" s="104">
        <f>V47</f>
        <v>155.20748249329031</v>
      </c>
      <c r="AR29" s="104">
        <f>V53</f>
        <v>155.20748249329031</v>
      </c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45"/>
      <c r="BD29" s="45"/>
      <c r="BE29" s="45"/>
    </row>
    <row r="30" spans="1:57" ht="13.5" x14ac:dyDescent="0.25">
      <c r="A30" s="95"/>
      <c r="B30" s="118"/>
      <c r="C30" s="118" t="s">
        <v>240</v>
      </c>
      <c r="D30" s="118"/>
      <c r="E30" s="119">
        <v>306670.42739806144</v>
      </c>
      <c r="F30" s="118" t="s">
        <v>241</v>
      </c>
      <c r="G30" s="118"/>
      <c r="H30" s="118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04">
        <f>100*(+AD24/$E$9)</f>
        <v>154.81328663952419</v>
      </c>
      <c r="W30" s="111">
        <f>EXP(5.70827-(0.68367*LN(+V30)))</f>
        <v>9.5932103899979371</v>
      </c>
      <c r="X30" s="105">
        <f>(+W30*V30)/100</f>
        <v>14.851564299000122</v>
      </c>
      <c r="Y30" s="104">
        <f>100*((((X30/100)-((X30/100)-0.03574)*$E$21)-0.03574-0.00619)/0.344)</f>
        <v>19.837768713197907</v>
      </c>
      <c r="Z30" s="96">
        <f>$E$20</f>
        <v>0.25</v>
      </c>
      <c r="AA30" s="104">
        <f>Y30+Z30</f>
        <v>20.087768713197907</v>
      </c>
      <c r="AB30" s="104">
        <f>100*($E$17*$E$19+($E$18*(AA30/100))/(1-$E$21))</f>
        <v>20.521607921089007</v>
      </c>
      <c r="AC30" s="105">
        <f>AB30/V30</f>
        <v>0.13255714910873673</v>
      </c>
      <c r="AD30" s="103">
        <f>$E$8/(1-AC30)</f>
        <v>273810.12418705318</v>
      </c>
      <c r="AE30" s="96" t="str">
        <f>IF(AD30=AD24,"yes","not yet")</f>
        <v>not yet</v>
      </c>
      <c r="AF30" s="104">
        <f>100*(1-AC30)</f>
        <v>86.744285089126322</v>
      </c>
      <c r="AG30" s="96"/>
      <c r="AH30" s="96"/>
      <c r="AI30" s="96">
        <v>2</v>
      </c>
      <c r="AJ30" s="104">
        <f>V6</f>
        <v>167.86356964344077</v>
      </c>
      <c r="AK30" s="104">
        <f>V12</f>
        <v>153.69541817875691</v>
      </c>
      <c r="AL30" s="104">
        <f>V18</f>
        <v>154.9155979193045</v>
      </c>
      <c r="AM30" s="104">
        <f>V24</f>
        <v>154.80295153060507</v>
      </c>
      <c r="AN30" s="104">
        <f>V30</f>
        <v>154.81328663952419</v>
      </c>
      <c r="AO30" s="104">
        <f>V36</f>
        <v>154.8123378696061</v>
      </c>
      <c r="AP30" s="104">
        <f>V42</f>
        <v>154.81226765420377</v>
      </c>
      <c r="AQ30" s="104">
        <f>V48</f>
        <v>154.81226765420377</v>
      </c>
      <c r="AR30" s="104">
        <f>V54</f>
        <v>154.81226765420377</v>
      </c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45"/>
      <c r="BD30" s="45"/>
      <c r="BE30" s="45"/>
    </row>
    <row r="31" spans="1:57" ht="13.5" x14ac:dyDescent="0.25">
      <c r="A31" s="95"/>
      <c r="B31" s="118"/>
      <c r="C31" s="118" t="s">
        <v>245</v>
      </c>
      <c r="D31" s="118"/>
      <c r="E31" s="119">
        <v>48266.696198061407</v>
      </c>
      <c r="F31" s="118" t="s">
        <v>241</v>
      </c>
      <c r="G31" s="118"/>
      <c r="H31" s="120">
        <v>0.18678792281332743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04">
        <f>100*(+AD25/$E$9)</f>
        <v>154.54746439755365</v>
      </c>
      <c r="W31" s="111">
        <f>EXP(5.6985-(0.68367*LN(V31)))</f>
        <v>9.511109174056493</v>
      </c>
      <c r="X31" s="105">
        <f>(+W31*V31)/100</f>
        <v>14.699178064587418</v>
      </c>
      <c r="Y31" s="104">
        <f>100*((((X31/100)-((X31/100)-0.03574)*$E$21)-0.03574-0.00619)/0.344)</f>
        <v>19.545399775080512</v>
      </c>
      <c r="Z31" s="96">
        <f>$E$20</f>
        <v>0.25</v>
      </c>
      <c r="AA31" s="104">
        <f>Y31+Z31</f>
        <v>19.795399775080512</v>
      </c>
      <c r="AB31" s="104">
        <f>100*($E$17*$E$19+($E$18*(AA31/100))/(1-$E$21))</f>
        <v>20.25581797734592</v>
      </c>
      <c r="AC31" s="105">
        <f>AB31/V31</f>
        <v>0.13106535300534217</v>
      </c>
      <c r="AD31" s="103">
        <f>$E$8/(1-AC31)</f>
        <v>273340.04409789457</v>
      </c>
      <c r="AE31" s="96" t="str">
        <f>IF(AD31=AD25,"yes","not yet")</f>
        <v>not yet</v>
      </c>
      <c r="AF31" s="104">
        <f>100*(1-AC31)</f>
        <v>86.893464699465781</v>
      </c>
      <c r="AG31" s="96"/>
      <c r="AH31" s="96"/>
      <c r="AI31" s="96">
        <v>3</v>
      </c>
      <c r="AJ31" s="104">
        <f>V7</f>
        <v>167.86356964344077</v>
      </c>
      <c r="AK31" s="104">
        <f>V13</f>
        <v>153.4251388956867</v>
      </c>
      <c r="AL31" s="104">
        <f>V19</f>
        <v>154.64869994589372</v>
      </c>
      <c r="AM31" s="104">
        <f>V25</f>
        <v>154.53740361812055</v>
      </c>
      <c r="AN31" s="104">
        <f>V31</f>
        <v>154.54746439755365</v>
      </c>
      <c r="AO31" s="104">
        <f>V37</f>
        <v>154.54655442640924</v>
      </c>
      <c r="AP31" s="104">
        <f>V43</f>
        <v>154.54652949344458</v>
      </c>
      <c r="AQ31" s="104">
        <f>V49</f>
        <v>154.54652949344458</v>
      </c>
      <c r="AR31" s="104">
        <f>V55</f>
        <v>154.54652949344458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45"/>
      <c r="BD31" s="45"/>
      <c r="BE31" s="45"/>
    </row>
    <row r="32" spans="1:57" ht="13.5" x14ac:dyDescent="0.25">
      <c r="A32" s="95"/>
      <c r="B32" s="118"/>
      <c r="C32" s="118"/>
      <c r="D32" s="118"/>
      <c r="E32" s="119">
        <f>E6-E31</f>
        <v>-32783.713480859093</v>
      </c>
      <c r="F32" s="118"/>
      <c r="G32" s="118"/>
      <c r="H32" s="118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04">
        <f>100*(+AD26/$E$9)</f>
        <v>154.377568725712</v>
      </c>
      <c r="W32" s="111">
        <f>EXP(5.6922-(0.68367*LN(V32)))</f>
        <v>9.4584874498579925</v>
      </c>
      <c r="X32" s="105">
        <f>(+W32*V32)/100</f>
        <v>14.601782963317367</v>
      </c>
      <c r="Y32" s="104">
        <f>100*((((X32/100)-((X32/100)-0.03574)*$E$21)-0.03574-0.00619)/0.344)</f>
        <v>19.358537080783318</v>
      </c>
      <c r="Z32" s="96">
        <f>$E$20</f>
        <v>0.25</v>
      </c>
      <c r="AA32" s="104">
        <f>Y32+Z32</f>
        <v>19.608537080783318</v>
      </c>
      <c r="AB32" s="104">
        <f>100*($E$17*$E$19+($E$18*(AA32/100))/(1-$E$21))</f>
        <v>20.085942800712107</v>
      </c>
      <c r="AC32" s="105">
        <f>AB32/V32</f>
        <v>0.13010920541441809</v>
      </c>
      <c r="AD32" s="103">
        <f>$E$8/(1-AC32)</f>
        <v>273039.60014987946</v>
      </c>
      <c r="AE32" s="96" t="str">
        <f>IF(AD32=AD26,"yes","not yet")</f>
        <v>not yet</v>
      </c>
      <c r="AF32" s="104">
        <f>100*(1-AC32)</f>
        <v>86.989079458558194</v>
      </c>
      <c r="AG32" s="96"/>
      <c r="AH32" s="96"/>
      <c r="AI32" s="96">
        <v>4</v>
      </c>
      <c r="AJ32" s="104">
        <f>V8</f>
        <v>167.86356964344077</v>
      </c>
      <c r="AK32" s="104">
        <f>V14</f>
        <v>153.25274752324876</v>
      </c>
      <c r="AL32" s="104">
        <f>V20</f>
        <v>154.47807808887217</v>
      </c>
      <c r="AM32" s="104">
        <f>V26</f>
        <v>154.36768497856289</v>
      </c>
      <c r="AN32" s="104">
        <f>V32</f>
        <v>154.377568725712</v>
      </c>
      <c r="AO32" s="104">
        <f>V38</f>
        <v>154.37668331543742</v>
      </c>
      <c r="AP32" s="104">
        <f>V44</f>
        <v>154.37690939083234</v>
      </c>
      <c r="AQ32" s="104">
        <f>V50</f>
        <v>154.37690939083234</v>
      </c>
      <c r="AR32" s="104">
        <f>V56</f>
        <v>154.37690939083234</v>
      </c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45"/>
      <c r="BD32" s="45"/>
      <c r="BE32" s="45"/>
    </row>
    <row r="33" spans="1:57" ht="13.5" x14ac:dyDescent="0.25">
      <c r="A33" s="95"/>
      <c r="B33" s="118"/>
      <c r="C33" s="118"/>
      <c r="D33" s="118"/>
      <c r="E33" s="119"/>
      <c r="F33" s="118"/>
      <c r="G33" s="118"/>
      <c r="H33" s="118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104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45"/>
      <c r="BD33" s="45"/>
      <c r="BE33" s="45"/>
    </row>
    <row r="34" spans="1:57" ht="13.5" x14ac:dyDescent="0.25">
      <c r="A34" s="95"/>
      <c r="B34" s="118"/>
      <c r="C34" s="118"/>
      <c r="D34" s="121" t="s">
        <v>282</v>
      </c>
      <c r="E34" s="122">
        <f>E32/('Joe''s Priceout'!J37+'Joe''s Priceout'!J36)</f>
        <v>-0.79521722381470661</v>
      </c>
      <c r="F34" s="118"/>
      <c r="G34" s="118"/>
      <c r="H34" s="118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00" t="s">
        <v>283</v>
      </c>
      <c r="W34" s="110" t="s">
        <v>230</v>
      </c>
      <c r="X34" s="110" t="s">
        <v>231</v>
      </c>
      <c r="Y34" s="110" t="s">
        <v>232</v>
      </c>
      <c r="Z34" s="96"/>
      <c r="AA34" s="104"/>
      <c r="AB34" s="96"/>
      <c r="AC34" s="96"/>
      <c r="AD34" s="96"/>
      <c r="AE34" s="96"/>
      <c r="AF34" s="96"/>
      <c r="AG34" s="96"/>
      <c r="AH34" s="96"/>
      <c r="AI34" s="96"/>
      <c r="AJ34" s="96" t="s">
        <v>279</v>
      </c>
      <c r="AK34" s="96"/>
      <c r="AL34" s="96"/>
      <c r="AM34" s="96"/>
      <c r="AN34" s="96"/>
      <c r="AO34" s="96"/>
      <c r="AP34" s="96"/>
      <c r="AQ34" s="96"/>
      <c r="AR34" s="96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45"/>
      <c r="BD34" s="45"/>
      <c r="BE34" s="45"/>
    </row>
    <row r="35" spans="1:57" ht="13.5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04">
        <f>100*(+AD29/$E$9)</f>
        <v>155.20739995073029</v>
      </c>
      <c r="W35" s="111">
        <f>EXP(5.7226-(0.68367*LN(+V35)))</f>
        <v>9.7147696077896679</v>
      </c>
      <c r="X35" s="105">
        <f>(+W35*V35)/100</f>
        <v>15.078041319454103</v>
      </c>
      <c r="Y35" s="104">
        <f>100*((((X35/100)-((X35/100)-0.03574)*$E$21)-0.03574-0.00619)/0.344)</f>
        <v>20.272288578022405</v>
      </c>
      <c r="Z35" s="96">
        <f>$E$20</f>
        <v>0.25</v>
      </c>
      <c r="AA35" s="104">
        <f>Y35+Z35</f>
        <v>20.522288578022405</v>
      </c>
      <c r="AB35" s="104">
        <f>100*($E$17*$E$19+($E$18*(AA35/100))/(1-$E$21))</f>
        <v>20.91662598002037</v>
      </c>
      <c r="AC35" s="105">
        <f>AB35/V35</f>
        <v>0.13476564897459936</v>
      </c>
      <c r="AD35" s="103">
        <f>ROUND($E$8/(1-AC35),0)</f>
        <v>274509</v>
      </c>
      <c r="AE35" s="96" t="str">
        <f>IF(AD35=AD29,"yes","not yet")</f>
        <v>not yet</v>
      </c>
      <c r="AF35" s="104">
        <f>100*(1-AC35)</f>
        <v>86.523435102540063</v>
      </c>
      <c r="AG35" s="96"/>
      <c r="AH35" s="96"/>
      <c r="AI35" s="96"/>
      <c r="AJ35" s="104">
        <f>HLOOKUP($AJ$34,$AJ$28:$AR$32,($E$12)+1)</f>
        <v>154.54652949344458</v>
      </c>
      <c r="AK35" s="96"/>
      <c r="AL35" s="96"/>
      <c r="AM35" s="96"/>
      <c r="AN35" s="96"/>
      <c r="AO35" s="96"/>
      <c r="AP35" s="96"/>
      <c r="AQ35" s="96"/>
      <c r="AR35" s="96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45"/>
      <c r="BD35" s="45"/>
      <c r="BE35" s="45"/>
    </row>
    <row r="36" spans="1:57" ht="13.5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104">
        <f>100*(+AD30/$E$9)</f>
        <v>154.8123378696061</v>
      </c>
      <c r="W36" s="111">
        <f>EXP(5.70827-(0.68367*LN(+V36)))</f>
        <v>9.5932505843848404</v>
      </c>
      <c r="X36" s="105">
        <f>(+W36*V36)/100</f>
        <v>14.85153550737582</v>
      </c>
      <c r="Y36" s="104">
        <f>100*((((X36/100)-((X36/100)-0.03574)*$E$21)-0.03574-0.00619)/0.344)</f>
        <v>19.837713473453611</v>
      </c>
      <c r="Z36" s="96">
        <f>$E$20</f>
        <v>0.25</v>
      </c>
      <c r="AA36" s="104">
        <f>Y36+Z36</f>
        <v>20.087713473453611</v>
      </c>
      <c r="AB36" s="104">
        <f>100*($E$17*$E$19+($E$18*(AA36/100))/(1-$E$21))</f>
        <v>20.521557703139649</v>
      </c>
      <c r="AC36" s="105">
        <f>AB36/V36</f>
        <v>0.13255763710786642</v>
      </c>
      <c r="AD36" s="103">
        <f>ROUND($E$8/(1-AC36),0)</f>
        <v>273810</v>
      </c>
      <c r="AE36" s="96" t="str">
        <f>IF(AD36=AD30,"yes","not yet")</f>
        <v>not yet</v>
      </c>
      <c r="AF36" s="104">
        <f>100*(1-AC36)</f>
        <v>86.744236289213362</v>
      </c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45"/>
      <c r="BD36" s="45"/>
      <c r="BE36" s="45"/>
    </row>
    <row r="37" spans="1:57" ht="13.5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104">
        <f>100*(+AD31/$E$9)</f>
        <v>154.54655442640924</v>
      </c>
      <c r="W37" s="111">
        <f>EXP(5.6985-(0.68367*LN(V37)))</f>
        <v>9.5111474605487913</v>
      </c>
      <c r="X37" s="105">
        <f>(+W37*V37)/100</f>
        <v>14.699150686693079</v>
      </c>
      <c r="Y37" s="104">
        <f>100*((((X37/100)-((X37/100)-0.03574)*$E$21)-0.03574-0.00619)/0.344)</f>
        <v>19.545347247725093</v>
      </c>
      <c r="Z37" s="96">
        <f>$E$20</f>
        <v>0.25</v>
      </c>
      <c r="AA37" s="104">
        <f>Y37+Z37</f>
        <v>19.795347247725093</v>
      </c>
      <c r="AB37" s="104">
        <f>100*($E$17*$E$19+($E$18*(AA37/100))/(1-$E$21))</f>
        <v>20.255770225204632</v>
      </c>
      <c r="AC37" s="105">
        <f>AB37/V37</f>
        <v>0.13106581573677117</v>
      </c>
      <c r="AD37" s="103">
        <f>ROUND($E$8/(1-AC37),0)</f>
        <v>273340</v>
      </c>
      <c r="AE37" s="96" t="str">
        <f>IF(AD37=AD31,"yes","not yet")</f>
        <v>not yet</v>
      </c>
      <c r="AF37" s="104">
        <f>100*(1-AC37)</f>
        <v>86.893418426322881</v>
      </c>
      <c r="AG37" s="96"/>
      <c r="AH37" s="96"/>
      <c r="AI37" s="96"/>
      <c r="AJ37" s="96" t="str">
        <f>HLOOKUP(1,$AJ$13:$AR$17,($E$12)+1)</f>
        <v>not yet</v>
      </c>
      <c r="AK37" s="96" t="str">
        <f>HLOOKUP(2,$AJ$13:$AR$17,($E$12)+1)</f>
        <v>not yet</v>
      </c>
      <c r="AL37" s="96" t="str">
        <f>HLOOKUP(3,$AJ$13:$AR$17,($E$12)+1)</f>
        <v>not yet</v>
      </c>
      <c r="AM37" s="96" t="str">
        <f>HLOOKUP(4,$AJ$13:$AR$17,($E$12)+1)</f>
        <v>not yet</v>
      </c>
      <c r="AN37" s="96" t="str">
        <f>HLOOKUP(5,$AJ$13:$AR$17,($E$12)+1)</f>
        <v>not yet</v>
      </c>
      <c r="AO37" s="96" t="str">
        <f>HLOOKUP(6,$AJ$13:$AR$17,($E$12)+1)</f>
        <v>not yet</v>
      </c>
      <c r="AP37" s="96" t="str">
        <f>HLOOKUP(7,$AJ$13:$AR$17,($E$12)+1)</f>
        <v>yes</v>
      </c>
      <c r="AQ37" s="96" t="str">
        <f>HLOOKUP(8,$AJ$13:$AR$17,($E$12)+1)</f>
        <v>yes</v>
      </c>
      <c r="AR37" s="96" t="str">
        <f>HLOOKUP(9,$AJ$13:$AR$17,($E$12)+1)</f>
        <v>yes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45"/>
      <c r="BD37" s="45"/>
      <c r="BE37" s="45"/>
    </row>
    <row r="38" spans="1:57" ht="13.5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04">
        <f>100*(+AD32/$E$9)</f>
        <v>154.37668331543742</v>
      </c>
      <c r="W38" s="111">
        <f>EXP(5.6922-(0.68367*LN(V38)))</f>
        <v>9.4585245376238287</v>
      </c>
      <c r="X38" s="105">
        <f>(+W38*V38)/100</f>
        <v>14.60175647176048</v>
      </c>
      <c r="Y38" s="104">
        <f>100*((((X38/100)-((X38/100)-0.03574)*$E$21)-0.03574-0.00619)/0.344)</f>
        <v>19.358486253959057</v>
      </c>
      <c r="Z38" s="96">
        <f>$E$20</f>
        <v>0.25</v>
      </c>
      <c r="AA38" s="104">
        <f>Y38+Z38</f>
        <v>19.608486253959057</v>
      </c>
      <c r="AB38" s="104">
        <f>100*($E$17*$E$19+($E$18*(AA38/100))/(1-$E$21))</f>
        <v>20.085896594508238</v>
      </c>
      <c r="AC38" s="105">
        <f>AB38/V38</f>
        <v>0.13010965233309738</v>
      </c>
      <c r="AD38" s="103">
        <f>ROUND($E$8/(1-AC38),0)</f>
        <v>273040</v>
      </c>
      <c r="AE38" s="96" t="str">
        <f>IF(AD38=AD32,"yes","not yet")</f>
        <v>not yet</v>
      </c>
      <c r="AF38" s="104">
        <f>100*(1-AC38)</f>
        <v>86.989034766690267</v>
      </c>
      <c r="AG38" s="96"/>
      <c r="AH38" s="96"/>
      <c r="AI38" s="96">
        <v>1</v>
      </c>
      <c r="AJ38" s="103">
        <f>AD5</f>
        <v>272547.43800905463</v>
      </c>
      <c r="AK38" s="103">
        <f>AD11</f>
        <v>274694.16571399505</v>
      </c>
      <c r="AL38" s="103">
        <f>AD17</f>
        <v>274491.64763469686</v>
      </c>
      <c r="AM38" s="103">
        <f>AD23</f>
        <v>274510.63528372161</v>
      </c>
      <c r="AN38" s="103">
        <f>AD29</f>
        <v>274508.85401041724</v>
      </c>
      <c r="AO38" s="103">
        <f>AD35</f>
        <v>274509</v>
      </c>
      <c r="AP38" s="103">
        <f>AD41</f>
        <v>274509</v>
      </c>
      <c r="AQ38" s="103">
        <f>AD47</f>
        <v>274509</v>
      </c>
      <c r="AR38" s="103">
        <f>AD53</f>
        <v>274509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45"/>
      <c r="BD38" s="45"/>
      <c r="BE38" s="45"/>
    </row>
    <row r="39" spans="1:57" ht="13.5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104"/>
      <c r="AB39" s="96"/>
      <c r="AC39" s="96"/>
      <c r="AD39" s="96"/>
      <c r="AE39" s="96"/>
      <c r="AF39" s="96"/>
      <c r="AG39" s="96"/>
      <c r="AH39" s="96"/>
      <c r="AI39" s="96">
        <v>2</v>
      </c>
      <c r="AJ39" s="103">
        <f>AD6</f>
        <v>271834.67492075521</v>
      </c>
      <c r="AK39" s="103">
        <f>AD12</f>
        <v>273992.75592959096</v>
      </c>
      <c r="AL39" s="103">
        <f>AD18</f>
        <v>273793.52296080143</v>
      </c>
      <c r="AM39" s="103">
        <f>AD24</f>
        <v>273811.80223683052</v>
      </c>
      <c r="AN39" s="103">
        <f>AD30</f>
        <v>273810.12418705318</v>
      </c>
      <c r="AO39" s="103">
        <f>AD36</f>
        <v>273810</v>
      </c>
      <c r="AP39" s="103">
        <f>AD42</f>
        <v>273810</v>
      </c>
      <c r="AQ39" s="103">
        <f>AD48</f>
        <v>273810</v>
      </c>
      <c r="AR39" s="103">
        <f>AD54</f>
        <v>273810</v>
      </c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45"/>
      <c r="BD39" s="45"/>
      <c r="BE39" s="45"/>
    </row>
    <row r="40" spans="1:57" ht="13.5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100" t="s">
        <v>284</v>
      </c>
      <c r="W40" s="110" t="s">
        <v>230</v>
      </c>
      <c r="X40" s="110" t="s">
        <v>231</v>
      </c>
      <c r="Y40" s="110" t="s">
        <v>232</v>
      </c>
      <c r="Z40" s="96"/>
      <c r="AA40" s="104"/>
      <c r="AB40" s="96"/>
      <c r="AC40" s="96"/>
      <c r="AD40" s="96"/>
      <c r="AE40" s="96"/>
      <c r="AF40" s="96"/>
      <c r="AG40" s="96"/>
      <c r="AH40" s="96"/>
      <c r="AI40" s="96">
        <v>3</v>
      </c>
      <c r="AJ40" s="103">
        <f>AD7</f>
        <v>271356.64322715095</v>
      </c>
      <c r="AK40" s="103">
        <f>AD13</f>
        <v>273520.70461733424</v>
      </c>
      <c r="AL40" s="103">
        <f>AD19</f>
        <v>273323.85944498889</v>
      </c>
      <c r="AM40" s="103">
        <f>AD25</f>
        <v>273341.65352589934</v>
      </c>
      <c r="AN40" s="103">
        <f>AD31</f>
        <v>273340.04409789457</v>
      </c>
      <c r="AO40" s="103">
        <f>AD37</f>
        <v>273340</v>
      </c>
      <c r="AP40" s="103">
        <f>AD43</f>
        <v>273340</v>
      </c>
      <c r="AQ40" s="103">
        <f>AD49</f>
        <v>273340</v>
      </c>
      <c r="AR40" s="103">
        <f>AD55</f>
        <v>273340</v>
      </c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45"/>
      <c r="BD40" s="45"/>
      <c r="BE40" s="45"/>
    </row>
    <row r="41" spans="1:57" ht="13.5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104">
        <f>100*(+AD35/$E$9)</f>
        <v>155.20748249329031</v>
      </c>
      <c r="W41" s="111">
        <f>EXP(5.7226-(0.68367*LN(+V41)))</f>
        <v>9.7147660755973231</v>
      </c>
      <c r="X41" s="105">
        <f>(+W41*V41)/100</f>
        <v>15.078043856046822</v>
      </c>
      <c r="Y41" s="104">
        <f>100*((((X41/100)-((X41/100)-0.03574)*$E$21)-0.03574-0.00619)/0.344)</f>
        <v>20.272293444740995</v>
      </c>
      <c r="Z41" s="96">
        <f>$E$20</f>
        <v>0.25</v>
      </c>
      <c r="AA41" s="104">
        <f>Y41+Z41</f>
        <v>20.522293444740995</v>
      </c>
      <c r="AB41" s="104">
        <f>100*($E$17*$E$19+($E$18*(AA41/100))/(1-$E$21))</f>
        <v>20.916630404309998</v>
      </c>
      <c r="AC41" s="105">
        <f>AB41/V41</f>
        <v>0.13476560580907709</v>
      </c>
      <c r="AD41" s="103">
        <f>ROUND($E$8/(1-AC41),0)</f>
        <v>274509</v>
      </c>
      <c r="AE41" s="96" t="str">
        <f>IF(OR(OR(AD41=AD35,AD41=(AD35+1)),AD41=(AD27-1)),"yes","not yet")</f>
        <v>yes</v>
      </c>
      <c r="AF41" s="104">
        <f>100*(1-AC41)</f>
        <v>86.523439419092284</v>
      </c>
      <c r="AG41" s="96"/>
      <c r="AH41" s="96"/>
      <c r="AI41" s="96">
        <v>4</v>
      </c>
      <c r="AJ41" s="103">
        <f>AD8</f>
        <v>271051.7417978103</v>
      </c>
      <c r="AK41" s="103">
        <f>AD14</f>
        <v>273218.93285609747</v>
      </c>
      <c r="AL41" s="103">
        <f>AD20</f>
        <v>273023.68516680389</v>
      </c>
      <c r="AM41" s="103">
        <f>AD26</f>
        <v>273041.16613809834</v>
      </c>
      <c r="AN41" s="103">
        <f>AD32</f>
        <v>273039.60014987946</v>
      </c>
      <c r="AO41" s="103">
        <f>AD38</f>
        <v>273040</v>
      </c>
      <c r="AP41" s="103">
        <f>AD44</f>
        <v>273040</v>
      </c>
      <c r="AQ41" s="103">
        <f>AD50</f>
        <v>273040</v>
      </c>
      <c r="AR41" s="103">
        <f>AD56</f>
        <v>273040</v>
      </c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45"/>
      <c r="BD41" s="45"/>
      <c r="BE41" s="45"/>
    </row>
    <row r="42" spans="1:57" ht="13.5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104">
        <f>100*(+AD36/$E$9)</f>
        <v>154.81226765420377</v>
      </c>
      <c r="W42" s="111">
        <f>EXP(5.70827-(0.68367*LN(+V42)))</f>
        <v>9.5932535590582866</v>
      </c>
      <c r="X42" s="105">
        <f>(+W42*V42)/100</f>
        <v>14.851533376595745</v>
      </c>
      <c r="Y42" s="104">
        <f>100*((((X42/100)-((X42/100)-0.03574)*$E$21)-0.03574-0.00619)/0.344)</f>
        <v>19.837709385329045</v>
      </c>
      <c r="Z42" s="96">
        <f>$E$20</f>
        <v>0.25</v>
      </c>
      <c r="AA42" s="104">
        <f>Y42+Z42</f>
        <v>20.087709385329045</v>
      </c>
      <c r="AB42" s="104">
        <f>100*($E$17*$E$19+($E$18*(AA42/100))/(1-$E$21))</f>
        <v>20.52155398666277</v>
      </c>
      <c r="AC42" s="105">
        <f>AB42/V42</f>
        <v>0.13255767322329207</v>
      </c>
      <c r="AD42" s="103">
        <f>ROUND($E$8/(1-AC42),0)</f>
        <v>273810</v>
      </c>
      <c r="AE42" s="96" t="str">
        <f>IF(OR(OR(AD42=AD36,AD42=(AD36+5)),AD42=(AD28-5)),"yes","not yet")</f>
        <v>yes</v>
      </c>
      <c r="AF42" s="104">
        <f>100*(1-AC42)</f>
        <v>86.744232677670794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45"/>
      <c r="BD42" s="45"/>
      <c r="BE42" s="45"/>
    </row>
    <row r="43" spans="1:57" ht="13.5" x14ac:dyDescent="0.2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104">
        <f>100*(+AD37/$E$9)</f>
        <v>154.54652949344458</v>
      </c>
      <c r="W43" s="111">
        <f>EXP(5.6985-(0.68367*LN(V43)))</f>
        <v>9.5111485095937258</v>
      </c>
      <c r="X43" s="105">
        <f>(+W43*V43)/100</f>
        <v>14.699149936544581</v>
      </c>
      <c r="Y43" s="104">
        <f>100*((((X43/100)-((X43/100)-0.03574)*$E$21)-0.03574-0.00619)/0.344)</f>
        <v>19.545345808486694</v>
      </c>
      <c r="Z43" s="96">
        <f>$E$20</f>
        <v>0.25</v>
      </c>
      <c r="AA43" s="104">
        <f>Y43+Z43</f>
        <v>19.795345808486694</v>
      </c>
      <c r="AB43" s="104">
        <f>100*($E$17*$E$19+($E$18*(AA43/100))/(1-$E$21))</f>
        <v>20.255768916806087</v>
      </c>
      <c r="AC43" s="105">
        <f>AB43/V43</f>
        <v>0.13106582841554704</v>
      </c>
      <c r="AD43" s="103">
        <f>ROUND($E$8/(1-AC43),0)</f>
        <v>273340</v>
      </c>
      <c r="AE43" s="96" t="str">
        <f>IF(OR(OR(AD43=AD37,AD43=(AD37+5)),AD43=(AD29-5)),"yes","not yet")</f>
        <v>yes</v>
      </c>
      <c r="AF43" s="104">
        <f>100*(1-AC43)</f>
        <v>86.893417158445303</v>
      </c>
      <c r="AG43" s="96"/>
      <c r="AH43" s="96"/>
      <c r="AI43" s="96"/>
      <c r="AJ43" s="96" t="s">
        <v>279</v>
      </c>
      <c r="AK43" s="96"/>
      <c r="AL43" s="96"/>
      <c r="AM43" s="96"/>
      <c r="AN43" s="96"/>
      <c r="AO43" s="96"/>
      <c r="AP43" s="96"/>
      <c r="AQ43" s="96"/>
      <c r="AR43" s="96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45"/>
      <c r="BD43" s="45"/>
      <c r="BE43" s="45"/>
    </row>
    <row r="44" spans="1:57" ht="13.5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104">
        <f>100*(+AD38/$E$9)</f>
        <v>154.37690939083234</v>
      </c>
      <c r="W44" s="111">
        <f>EXP(5.6922-(0.68367*LN(V44)))</f>
        <v>9.4585150678201746</v>
      </c>
      <c r="X44" s="105">
        <f>(+W44*V44)/100</f>
        <v>14.601763235966976</v>
      </c>
      <c r="Y44" s="104">
        <f>100*((((X44/100)-((X44/100)-0.03574)*$E$21)-0.03574-0.00619)/0.344)</f>
        <v>19.358499231797104</v>
      </c>
      <c r="Z44" s="96">
        <f>$E$20</f>
        <v>0.25</v>
      </c>
      <c r="AA44" s="104">
        <f>Y44+Z44</f>
        <v>19.608499231797104</v>
      </c>
      <c r="AB44" s="104">
        <f>100*($E$17*$E$19+($E$18*(AA44/100))/(1-$E$21))</f>
        <v>20.085908392542827</v>
      </c>
      <c r="AC44" s="105">
        <f>AB44/V44</f>
        <v>0.13010953821916341</v>
      </c>
      <c r="AD44" s="103">
        <f>ROUND($E$8/(1-AC44),0)</f>
        <v>273040</v>
      </c>
      <c r="AE44" s="96" t="str">
        <f>IF(OR(OR(AD44=AD38,AD44=(AD38+5)),AD44=(AD30-5)),"yes","not yet")</f>
        <v>yes</v>
      </c>
      <c r="AF44" s="104">
        <f>100*(1-AC44)</f>
        <v>86.989046178083669</v>
      </c>
      <c r="AG44" s="96"/>
      <c r="AH44" s="96"/>
      <c r="AI44" s="96"/>
      <c r="AJ44" s="103">
        <f>HLOOKUP($AJ$34,$AJ$37:$AR$41,($E$12)+1)</f>
        <v>273340</v>
      </c>
      <c r="AK44" s="96"/>
      <c r="AL44" s="96"/>
      <c r="AM44" s="96"/>
      <c r="AN44" s="96"/>
      <c r="AO44" s="96"/>
      <c r="AP44" s="96"/>
      <c r="AQ44" s="96"/>
      <c r="AR44" s="96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45"/>
      <c r="BD44" s="45"/>
      <c r="BE44" s="45"/>
    </row>
    <row r="45" spans="1:57" ht="13.5" x14ac:dyDescent="0.2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104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45"/>
      <c r="BD45" s="45"/>
      <c r="BE45" s="45"/>
    </row>
    <row r="46" spans="1:57" ht="13.5" x14ac:dyDescent="0.25">
      <c r="A46" s="95"/>
      <c r="B46" s="96"/>
      <c r="C46" s="96"/>
      <c r="D46" s="103"/>
      <c r="E46" s="103"/>
      <c r="F46" s="103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100" t="s">
        <v>285</v>
      </c>
      <c r="W46" s="110" t="s">
        <v>230</v>
      </c>
      <c r="X46" s="110" t="s">
        <v>231</v>
      </c>
      <c r="Y46" s="110" t="s">
        <v>232</v>
      </c>
      <c r="Z46" s="96"/>
      <c r="AA46" s="104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45"/>
      <c r="BD46" s="45"/>
      <c r="BE46" s="45"/>
    </row>
    <row r="47" spans="1:57" ht="13.5" x14ac:dyDescent="0.25">
      <c r="A47" s="95"/>
      <c r="B47" s="96"/>
      <c r="C47" s="96"/>
      <c r="D47" s="103"/>
      <c r="E47" s="103"/>
      <c r="F47" s="103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104">
        <f>100*(+AD41/$E$9)</f>
        <v>155.20748249329031</v>
      </c>
      <c r="W47" s="111">
        <f>EXP(5.7226-(0.68367*LN(+V47)))</f>
        <v>9.7147660755973231</v>
      </c>
      <c r="X47" s="105">
        <f>(+W47*V47)/100</f>
        <v>15.078043856046822</v>
      </c>
      <c r="Y47" s="104">
        <f>100*((((X47/100)-((X47/100)-0.03574)*$E$21)-0.03574-0.00619)/0.344)</f>
        <v>20.272293444740995</v>
      </c>
      <c r="Z47" s="96">
        <f>$E$20</f>
        <v>0.25</v>
      </c>
      <c r="AA47" s="104">
        <f>Y47+Z47</f>
        <v>20.522293444740995</v>
      </c>
      <c r="AB47" s="104">
        <f>100*($E$17*$E$19+($E$18*(AA47/100))/(1-$E$21))</f>
        <v>20.916630404309998</v>
      </c>
      <c r="AC47" s="105">
        <f>AB47/V47</f>
        <v>0.13476560580907709</v>
      </c>
      <c r="AD47" s="103">
        <f>ROUND($E$8/(1-AC47),0)</f>
        <v>274509</v>
      </c>
      <c r="AE47" s="96" t="str">
        <f>IF(OR(OR(AD47=AD41,AD47=(AD41+1)),AD47=(AD33-1)),"yes","not yet")</f>
        <v>yes</v>
      </c>
      <c r="AF47" s="104">
        <f>100*(1-AC47)</f>
        <v>86.523439419092284</v>
      </c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45"/>
      <c r="BD47" s="45"/>
      <c r="BE47" s="45"/>
    </row>
    <row r="48" spans="1:57" ht="13.5" x14ac:dyDescent="0.25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4">
        <f>100*(+AD42/$E$9)</f>
        <v>154.81226765420377</v>
      </c>
      <c r="W48" s="111">
        <f>EXP(5.70827-(0.68367*LN(+V48)))</f>
        <v>9.5932535590582866</v>
      </c>
      <c r="X48" s="105">
        <f>(+W48*V48)/100</f>
        <v>14.851533376595745</v>
      </c>
      <c r="Y48" s="104">
        <f>100*((((X48/100)-((X48/100)-0.03574)*$E$21)-0.03574-0.00619)/0.344)</f>
        <v>19.837709385329045</v>
      </c>
      <c r="Z48" s="96">
        <f>$E$20</f>
        <v>0.25</v>
      </c>
      <c r="AA48" s="104">
        <f>Y48+Z48</f>
        <v>20.087709385329045</v>
      </c>
      <c r="AB48" s="104">
        <f>100*($E$17*$E$19+($E$18*(AA48/100))/(1-$E$21))</f>
        <v>20.52155398666277</v>
      </c>
      <c r="AC48" s="105">
        <f>AB48/V48</f>
        <v>0.13255767322329207</v>
      </c>
      <c r="AD48" s="103">
        <f>ROUND($E$8/(1-AC48),0)</f>
        <v>273810</v>
      </c>
      <c r="AE48" s="96" t="str">
        <f>IF(OR(OR(AD48=AD42,AD48=(AD42+1)),AD48=(AD42-1)),"yes","not yet")</f>
        <v>yes</v>
      </c>
      <c r="AF48" s="104">
        <f>100*(1-AC48)</f>
        <v>86.744232677670794</v>
      </c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45"/>
      <c r="BD48" s="45"/>
      <c r="BE48" s="45"/>
    </row>
    <row r="49" spans="1:57" ht="13.5" x14ac:dyDescent="0.2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104">
        <f>100*(+AD43/$E$9)</f>
        <v>154.54652949344458</v>
      </c>
      <c r="W49" s="111">
        <f>EXP(5.6985-(0.68367*LN(V49)))</f>
        <v>9.5111485095937258</v>
      </c>
      <c r="X49" s="105">
        <f>(+W49*V49)/100</f>
        <v>14.699149936544581</v>
      </c>
      <c r="Y49" s="104">
        <f>100*((((X49/100)-((X49/100)-0.03574)*$E$21)-0.03574-0.00619)/0.344)</f>
        <v>19.545345808486694</v>
      </c>
      <c r="Z49" s="96">
        <f>$E$20</f>
        <v>0.25</v>
      </c>
      <c r="AA49" s="104">
        <f>Y49+Z49</f>
        <v>19.795345808486694</v>
      </c>
      <c r="AB49" s="104">
        <f>100*($E$17*$E$19+($E$18*(AA49/100))/(1-$E$21))</f>
        <v>20.255768916806087</v>
      </c>
      <c r="AC49" s="105">
        <f>AB49/V49</f>
        <v>0.13106582841554704</v>
      </c>
      <c r="AD49" s="103">
        <f>ROUND($E$8/(1-AC49),0)</f>
        <v>273340</v>
      </c>
      <c r="AE49" s="96" t="str">
        <f>IF(OR(OR(AD49=AD43,AD49=(AD43+1)),AD49=(AD43-1)),"yes","not yet")</f>
        <v>yes</v>
      </c>
      <c r="AF49" s="104">
        <f>100*(1-AC49)</f>
        <v>86.893417158445303</v>
      </c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45"/>
      <c r="BD49" s="45"/>
      <c r="BE49" s="45"/>
    </row>
    <row r="50" spans="1:57" ht="13.5" x14ac:dyDescent="0.2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104">
        <f>100*(+AD44/$E$9)</f>
        <v>154.37690939083234</v>
      </c>
      <c r="W50" s="111">
        <f>EXP(5.6922-(0.68367*LN(V50)))</f>
        <v>9.4585150678201746</v>
      </c>
      <c r="X50" s="105">
        <f>(+W50*V50)/100</f>
        <v>14.601763235966976</v>
      </c>
      <c r="Y50" s="104">
        <f>100*((((X50/100)-((X50/100)-0.03574)*$E$21)-0.03574-0.00619)/0.344)</f>
        <v>19.358499231797104</v>
      </c>
      <c r="Z50" s="96">
        <f>$E$20</f>
        <v>0.25</v>
      </c>
      <c r="AA50" s="104">
        <f>Y50+Z50</f>
        <v>19.608499231797104</v>
      </c>
      <c r="AB50" s="104">
        <f>100*($E$17*$E$19+($E$18*(AA50/100))/(1-$E$21))</f>
        <v>20.085908392542827</v>
      </c>
      <c r="AC50" s="105">
        <f>AB50/V50</f>
        <v>0.13010953821916341</v>
      </c>
      <c r="AD50" s="103">
        <f>ROUND($E$8/(1-AC50),0)</f>
        <v>273040</v>
      </c>
      <c r="AE50" s="96" t="str">
        <f>IF(OR(OR(AD50=AD44,AD50=(AD44+1)),AD50=(AD44-1)),"yes","not yet")</f>
        <v>yes</v>
      </c>
      <c r="AF50" s="104">
        <f>100*(1-AC50)</f>
        <v>86.989046178083669</v>
      </c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45"/>
      <c r="BD50" s="45"/>
      <c r="BE50" s="45"/>
    </row>
    <row r="51" spans="1:57" ht="13.5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104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45"/>
      <c r="BD51" s="45"/>
      <c r="BE51" s="45"/>
    </row>
    <row r="52" spans="1:57" ht="13.5" x14ac:dyDescent="0.2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100" t="s">
        <v>286</v>
      </c>
      <c r="W52" s="110" t="s">
        <v>230</v>
      </c>
      <c r="X52" s="110" t="s">
        <v>231</v>
      </c>
      <c r="Y52" s="110" t="s">
        <v>232</v>
      </c>
      <c r="Z52" s="96"/>
      <c r="AA52" s="104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45"/>
      <c r="BD52" s="45"/>
      <c r="BE52" s="45"/>
    </row>
    <row r="53" spans="1:57" ht="13.5" x14ac:dyDescent="0.2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104">
        <f>100*(+AD47/$E$9)</f>
        <v>155.20748249329031</v>
      </c>
      <c r="W53" s="111">
        <f>EXP(5.7226-(0.68367*LN(+V53)))</f>
        <v>9.7147660755973231</v>
      </c>
      <c r="X53" s="105">
        <f>(+W53*V53)/100</f>
        <v>15.078043856046822</v>
      </c>
      <c r="Y53" s="104">
        <f>100*((((X53/100)-((X53/100)-0.03574)*$E$21)-0.03574-0.00619)/0.344)</f>
        <v>20.272293444740995</v>
      </c>
      <c r="Z53" s="96">
        <f>$E$20</f>
        <v>0.25</v>
      </c>
      <c r="AA53" s="104">
        <f>Y53+Z53</f>
        <v>20.522293444740995</v>
      </c>
      <c r="AB53" s="104">
        <f>100*($E$17*$E$19+($E$18*(AA53/100))/(1-$E$21))</f>
        <v>20.916630404309998</v>
      </c>
      <c r="AC53" s="105">
        <f>AB53/V53</f>
        <v>0.13476560580907709</v>
      </c>
      <c r="AD53" s="103">
        <f>ROUND($E$8/(1-AC53),0)</f>
        <v>274509</v>
      </c>
      <c r="AE53" s="96" t="str">
        <f>IF(OR(OR(AD53=AD47,AD53=(AD47+1)),AD53=(AD39-1)),"yes","not yet")</f>
        <v>yes</v>
      </c>
      <c r="AF53" s="104">
        <f>100*(1-AC53)</f>
        <v>86.523439419092284</v>
      </c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45"/>
      <c r="BD53" s="45"/>
      <c r="BE53" s="45"/>
    </row>
    <row r="54" spans="1:57" ht="13.5" x14ac:dyDescent="0.2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104">
        <f>100*(+AD48/$E$9)</f>
        <v>154.81226765420377</v>
      </c>
      <c r="W54" s="111">
        <f>EXP(5.70827-(0.68367*LN(+V54)))</f>
        <v>9.5932535590582866</v>
      </c>
      <c r="X54" s="105">
        <f>(+W54*V54)/100</f>
        <v>14.851533376595745</v>
      </c>
      <c r="Y54" s="104">
        <f>100*((((X54/100)-((X54/100)-0.03574)*$E$21)-0.03574-0.00619)/0.344)</f>
        <v>19.837709385329045</v>
      </c>
      <c r="Z54" s="96">
        <f>$E$20</f>
        <v>0.25</v>
      </c>
      <c r="AA54" s="104">
        <f>Y54+Z54</f>
        <v>20.087709385329045</v>
      </c>
      <c r="AB54" s="104">
        <f>100*($E$17*$E$19+($E$18*(AA54/100))/(1-$E$21))</f>
        <v>20.52155398666277</v>
      </c>
      <c r="AC54" s="105">
        <f>AB54/V54</f>
        <v>0.13255767322329207</v>
      </c>
      <c r="AD54" s="103">
        <f>ROUND($E$8/(1-AC54),0)</f>
        <v>273810</v>
      </c>
      <c r="AE54" s="96" t="str">
        <f>IF(OR(OR(AD54=AD48,AD54=(AD48+1)),AD54=(AD48-1)),"yes","not yet")</f>
        <v>yes</v>
      </c>
      <c r="AF54" s="104">
        <f>100*(1-AC54)</f>
        <v>86.744232677670794</v>
      </c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45"/>
      <c r="BD54" s="45"/>
      <c r="BE54" s="45"/>
    </row>
    <row r="55" spans="1:57" ht="13.5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104">
        <f>100*(+AD49/$E$9)</f>
        <v>154.54652949344458</v>
      </c>
      <c r="W55" s="111">
        <f>EXP(5.6985-(0.68367*LN(V55)))</f>
        <v>9.5111485095937258</v>
      </c>
      <c r="X55" s="105">
        <f>(+W55*V55)/100</f>
        <v>14.699149936544581</v>
      </c>
      <c r="Y55" s="104">
        <f>100*((((X55/100)-((X55/100)-0.03574)*$E$21)-0.03574-0.00619)/0.344)</f>
        <v>19.545345808486694</v>
      </c>
      <c r="Z55" s="96">
        <f>$E$20</f>
        <v>0.25</v>
      </c>
      <c r="AA55" s="104">
        <f>Y55+Z55</f>
        <v>19.795345808486694</v>
      </c>
      <c r="AB55" s="104">
        <f>100*($E$17*$E$19+($E$18*(AA55/100))/(1-$E$21))</f>
        <v>20.255768916806087</v>
      </c>
      <c r="AC55" s="105">
        <f>AB55/V55</f>
        <v>0.13106582841554704</v>
      </c>
      <c r="AD55" s="103">
        <f>ROUND($E$8/(1-AC55),0)</f>
        <v>273340</v>
      </c>
      <c r="AE55" s="96" t="str">
        <f>IF(OR(OR(AD55=AD49,AD55=(AD49+1)),AD55=(AD49-1)),"yes","not yet")</f>
        <v>yes</v>
      </c>
      <c r="AF55" s="104">
        <f>100*(1-AC55)</f>
        <v>86.893417158445303</v>
      </c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45"/>
      <c r="BD55" s="45"/>
      <c r="BE55" s="45"/>
    </row>
    <row r="56" spans="1:57" ht="13.5" x14ac:dyDescent="0.2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104">
        <f>100*(+AD50/$E$9)</f>
        <v>154.37690939083234</v>
      </c>
      <c r="W56" s="111">
        <f>EXP(5.6922-(0.68367*LN(V56)))</f>
        <v>9.4585150678201746</v>
      </c>
      <c r="X56" s="105">
        <f>(+W56*V56)/100</f>
        <v>14.601763235966976</v>
      </c>
      <c r="Y56" s="104">
        <f>100*((((X56/100)-((X56/100)-0.03574)*$E$21)-0.03574-0.00619)/0.344)</f>
        <v>19.358499231797104</v>
      </c>
      <c r="Z56" s="96">
        <f>$E$20</f>
        <v>0.25</v>
      </c>
      <c r="AA56" s="104">
        <f>Y56+Z56</f>
        <v>19.608499231797104</v>
      </c>
      <c r="AB56" s="104">
        <f>100*($E$17*$E$19+($E$18*(AA56/100))/(1-$E$21))</f>
        <v>20.085908392542827</v>
      </c>
      <c r="AC56" s="105">
        <f>AB56/V56</f>
        <v>0.13010953821916341</v>
      </c>
      <c r="AD56" s="103">
        <f>ROUND($E$8/(1-AC56),0)</f>
        <v>273040</v>
      </c>
      <c r="AE56" s="96" t="str">
        <f>IF(OR(OR(AD56=AD50,AD56=(AD50+1)),AD56=(AD50-1)),"yes","not yet")</f>
        <v>yes</v>
      </c>
      <c r="AF56" s="104">
        <f>100*(1-AC56)</f>
        <v>86.989046178083669</v>
      </c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45"/>
      <c r="BD56" s="45"/>
      <c r="BE56" s="45"/>
    </row>
    <row r="57" spans="1:57" ht="13.5" x14ac:dyDescent="0.25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104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45"/>
      <c r="BD57" s="45"/>
      <c r="BE57" s="45"/>
    </row>
    <row r="58" spans="1:57" ht="13.5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45"/>
      <c r="BD58" s="45"/>
      <c r="BE58" s="45"/>
    </row>
    <row r="59" spans="1:57" ht="13.5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45"/>
      <c r="BD59" s="45"/>
      <c r="BE59" s="45"/>
    </row>
    <row r="60" spans="1:57" ht="13.5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45"/>
      <c r="BD60" s="45"/>
      <c r="BE60" s="45"/>
    </row>
    <row r="61" spans="1:57" ht="13.5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45"/>
      <c r="BD61" s="45"/>
      <c r="BE61" s="45"/>
    </row>
    <row r="62" spans="1:57" ht="13.5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45"/>
      <c r="BD62" s="45"/>
      <c r="BE62" s="45"/>
    </row>
    <row r="63" spans="1:57" ht="13.5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45"/>
      <c r="BD63" s="45"/>
      <c r="BE63" s="45"/>
    </row>
    <row r="64" spans="1:57" ht="13.5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45"/>
      <c r="BD64" s="45"/>
      <c r="BE64" s="45"/>
    </row>
    <row r="65" spans="1:57" ht="13.5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45"/>
      <c r="BD65" s="45"/>
      <c r="BE65" s="45"/>
    </row>
    <row r="66" spans="1:57" ht="13.5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45"/>
      <c r="BD66" s="45"/>
      <c r="BE66" s="45"/>
    </row>
    <row r="67" spans="1:57" ht="13.5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45"/>
      <c r="BD67" s="45"/>
      <c r="BE67" s="45"/>
    </row>
    <row r="68" spans="1:57" ht="13.5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45"/>
      <c r="BD68" s="45"/>
      <c r="BE68" s="45"/>
    </row>
    <row r="69" spans="1:57" ht="13.5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45"/>
      <c r="BD69" s="45"/>
      <c r="BE69" s="45"/>
    </row>
    <row r="70" spans="1:57" ht="13.5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45"/>
      <c r="BD70" s="45"/>
      <c r="BE70" s="45"/>
    </row>
    <row r="71" spans="1:57" ht="13.5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45"/>
      <c r="BD71" s="45"/>
      <c r="BE71" s="45"/>
    </row>
    <row r="72" spans="1:57" ht="13.5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45"/>
      <c r="BD72" s="45"/>
      <c r="BE72" s="45"/>
    </row>
    <row r="73" spans="1:57" ht="13.5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45"/>
      <c r="BD73" s="45"/>
      <c r="BE73" s="45"/>
    </row>
    <row r="74" spans="1:57" ht="13.5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45"/>
      <c r="BD74" s="45"/>
      <c r="BE74" s="45"/>
    </row>
    <row r="75" spans="1:57" ht="13.5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45"/>
      <c r="BD75" s="45"/>
      <c r="BE75" s="45"/>
    </row>
    <row r="76" spans="1:57" ht="13.5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45"/>
      <c r="BD76" s="45"/>
      <c r="BE76" s="45"/>
    </row>
    <row r="77" spans="1:57" ht="13.5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45"/>
      <c r="BD77" s="45"/>
      <c r="BE77" s="45"/>
    </row>
    <row r="78" spans="1:57" ht="13.5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45"/>
      <c r="BD78" s="45"/>
      <c r="BE78" s="45"/>
    </row>
    <row r="79" spans="1:57" ht="13.5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45"/>
      <c r="BD79" s="45"/>
      <c r="BE79" s="45"/>
    </row>
    <row r="80" spans="1:57" ht="13.5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45"/>
      <c r="BD80" s="45"/>
      <c r="BE80" s="45"/>
    </row>
    <row r="81" spans="1:57" ht="13.5" x14ac:dyDescent="0.2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45"/>
      <c r="BD81" s="45"/>
      <c r="BE81" s="45"/>
    </row>
    <row r="82" spans="1:57" ht="13.5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45"/>
      <c r="BD82" s="45"/>
      <c r="BE82" s="45"/>
    </row>
    <row r="83" spans="1:57" ht="13.5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45"/>
      <c r="BD83" s="45"/>
      <c r="BE83" s="45"/>
    </row>
    <row r="84" spans="1:57" ht="13.5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45"/>
      <c r="BD84" s="45"/>
      <c r="BE84" s="45"/>
    </row>
    <row r="85" spans="1:57" ht="13.5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45"/>
      <c r="BD85" s="45"/>
      <c r="BE85" s="45"/>
    </row>
    <row r="86" spans="1:57" ht="13.5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45"/>
      <c r="BD86" s="45"/>
      <c r="BE86" s="45"/>
    </row>
    <row r="87" spans="1:57" ht="13.5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45"/>
      <c r="BD87" s="45"/>
      <c r="BE87" s="45"/>
    </row>
    <row r="88" spans="1:57" ht="13.5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45"/>
      <c r="BD88" s="45"/>
      <c r="BE88" s="45"/>
    </row>
    <row r="89" spans="1:57" ht="13.5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45"/>
      <c r="BD89" s="45"/>
      <c r="BE89" s="45"/>
    </row>
    <row r="90" spans="1:57" ht="13.5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45"/>
      <c r="BD90" s="45"/>
      <c r="BE90" s="45"/>
    </row>
    <row r="91" spans="1:57" ht="13.5" x14ac:dyDescent="0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45"/>
      <c r="BD91" s="45"/>
      <c r="BE91" s="45"/>
    </row>
    <row r="92" spans="1:57" ht="13.5" x14ac:dyDescent="0.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45"/>
      <c r="BD92" s="45"/>
      <c r="BE92" s="45"/>
    </row>
    <row r="93" spans="1:57" ht="13.5" x14ac:dyDescent="0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45"/>
      <c r="BD93" s="45"/>
      <c r="BE93" s="45"/>
    </row>
    <row r="94" spans="1:57" ht="13.5" x14ac:dyDescent="0.2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45"/>
      <c r="BD94" s="45"/>
      <c r="BE94" s="45"/>
    </row>
    <row r="95" spans="1:57" ht="13.5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45"/>
      <c r="BD95" s="45"/>
      <c r="BE95" s="45"/>
    </row>
    <row r="96" spans="1:57" ht="13.5" x14ac:dyDescent="0.2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45"/>
      <c r="BD96" s="45"/>
      <c r="BE96" s="45"/>
    </row>
    <row r="97" spans="1:57" ht="13.5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45"/>
      <c r="BD97" s="45"/>
      <c r="BE97" s="45"/>
    </row>
    <row r="98" spans="1:57" ht="13.5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45"/>
      <c r="BD98" s="45"/>
      <c r="BE98" s="45"/>
    </row>
    <row r="99" spans="1:57" ht="13.5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45"/>
      <c r="BD99" s="45"/>
      <c r="BE99" s="45"/>
    </row>
    <row r="100" spans="1:57" ht="13.5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45"/>
      <c r="BD100" s="45"/>
      <c r="BE100" s="45"/>
    </row>
    <row r="101" spans="1:57" ht="13.5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45"/>
      <c r="BD101" s="45"/>
      <c r="BE101" s="45"/>
    </row>
    <row r="102" spans="1:57" ht="13.5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45"/>
      <c r="BD102" s="45"/>
      <c r="BE102" s="45"/>
    </row>
    <row r="103" spans="1:57" ht="13.5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45"/>
      <c r="BD103" s="45"/>
      <c r="BE103" s="45"/>
    </row>
    <row r="104" spans="1:57" ht="13.5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45"/>
      <c r="BD104" s="45"/>
      <c r="BE104" s="45"/>
    </row>
    <row r="105" spans="1:57" ht="13.5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45"/>
      <c r="BD105" s="45"/>
      <c r="BE105" s="45"/>
    </row>
    <row r="106" spans="1:57" ht="13.5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45"/>
      <c r="BD106" s="45"/>
      <c r="BE106" s="45"/>
    </row>
    <row r="107" spans="1:57" ht="13.5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45"/>
      <c r="BD107" s="45"/>
      <c r="BE107" s="45"/>
    </row>
    <row r="108" spans="1:57" ht="13.5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45"/>
      <c r="BD108" s="45"/>
      <c r="BE108" s="45"/>
    </row>
    <row r="109" spans="1:57" ht="13.5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45"/>
      <c r="BD109" s="45"/>
      <c r="BE109" s="45"/>
    </row>
    <row r="110" spans="1:57" ht="13.5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45"/>
      <c r="BD110" s="45"/>
      <c r="BE110" s="45"/>
    </row>
    <row r="111" spans="1:57" ht="13.5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45"/>
      <c r="BD111" s="45"/>
      <c r="BE111" s="45"/>
    </row>
    <row r="112" spans="1:57" ht="13.5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45"/>
      <c r="BD112" s="45"/>
      <c r="BE112" s="45"/>
    </row>
    <row r="113" spans="1:57" ht="13.5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45"/>
      <c r="BD113" s="45"/>
      <c r="BE113" s="45"/>
    </row>
    <row r="114" spans="1:57" ht="13.5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45"/>
      <c r="BD114" s="45"/>
      <c r="BE114" s="45"/>
    </row>
    <row r="115" spans="1:57" ht="13.5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45"/>
      <c r="BD115" s="45"/>
      <c r="BE115" s="45"/>
    </row>
    <row r="116" spans="1:57" ht="13.5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45"/>
      <c r="BD116" s="45"/>
      <c r="BE116" s="45"/>
    </row>
    <row r="117" spans="1:57" ht="13.5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45"/>
      <c r="BD117" s="45"/>
      <c r="BE117" s="45"/>
    </row>
    <row r="118" spans="1:57" ht="13.5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45"/>
      <c r="BD118" s="45"/>
      <c r="BE118" s="45"/>
    </row>
    <row r="119" spans="1:57" ht="13.5" x14ac:dyDescent="0.2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45"/>
      <c r="BD119" s="45"/>
      <c r="BE119" s="45"/>
    </row>
    <row r="120" spans="1:57" ht="13.5" x14ac:dyDescent="0.2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45"/>
      <c r="BD120" s="45"/>
      <c r="BE120" s="45"/>
    </row>
    <row r="121" spans="1:57" ht="13.5" x14ac:dyDescent="0.2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45"/>
      <c r="BD121" s="45"/>
      <c r="BE121" s="45"/>
    </row>
    <row r="122" spans="1:57" ht="13.5" x14ac:dyDescent="0.2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45"/>
      <c r="BD122" s="45"/>
      <c r="BE122" s="45"/>
    </row>
    <row r="123" spans="1:57" ht="13.5" x14ac:dyDescent="0.2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45"/>
      <c r="BD123" s="45"/>
      <c r="BE123" s="45"/>
    </row>
    <row r="124" spans="1:57" ht="13.5" x14ac:dyDescent="0.2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45"/>
      <c r="BD124" s="45"/>
      <c r="BE124" s="45"/>
    </row>
    <row r="125" spans="1:57" ht="13.5" x14ac:dyDescent="0.2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45"/>
      <c r="BD125" s="45"/>
      <c r="BE125" s="45"/>
    </row>
    <row r="126" spans="1:57" ht="13.5" x14ac:dyDescent="0.2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45"/>
      <c r="BD126" s="45"/>
      <c r="BE126" s="45"/>
    </row>
    <row r="127" spans="1:57" ht="13.5" x14ac:dyDescent="0.2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45"/>
      <c r="BD127" s="45"/>
      <c r="BE127" s="45"/>
    </row>
    <row r="128" spans="1:57" ht="13.5" x14ac:dyDescent="0.2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45"/>
      <c r="BD128" s="45"/>
      <c r="BE128" s="45"/>
    </row>
    <row r="129" spans="1:57" ht="13.5" x14ac:dyDescent="0.2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45"/>
      <c r="BD129" s="45"/>
      <c r="BE129" s="45"/>
    </row>
    <row r="130" spans="1:57" ht="13.5" x14ac:dyDescent="0.2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45"/>
      <c r="BD130" s="45"/>
      <c r="BE130" s="45"/>
    </row>
    <row r="131" spans="1:57" ht="13.5" x14ac:dyDescent="0.2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45"/>
      <c r="BD131" s="45"/>
      <c r="BE131" s="45"/>
    </row>
    <row r="132" spans="1:57" ht="13.5" x14ac:dyDescent="0.2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45"/>
      <c r="BD132" s="45"/>
      <c r="BE132" s="45"/>
    </row>
    <row r="133" spans="1:57" ht="13.5" x14ac:dyDescent="0.2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45"/>
      <c r="BD133" s="45"/>
      <c r="BE133" s="45"/>
    </row>
    <row r="134" spans="1:57" ht="13.5" x14ac:dyDescent="0.2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45"/>
      <c r="BD134" s="45"/>
      <c r="BE134" s="45"/>
    </row>
    <row r="135" spans="1:57" ht="13.5" x14ac:dyDescent="0.2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45"/>
      <c r="BD135" s="45"/>
      <c r="BE135" s="45"/>
    </row>
    <row r="136" spans="1:57" ht="13.5" x14ac:dyDescent="0.2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45"/>
      <c r="BD136" s="45"/>
      <c r="BE136" s="45"/>
    </row>
    <row r="137" spans="1:57" ht="13.5" x14ac:dyDescent="0.2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45"/>
      <c r="BD137" s="45"/>
      <c r="BE137" s="45"/>
    </row>
    <row r="138" spans="1:57" ht="13.5" x14ac:dyDescent="0.2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45"/>
      <c r="BD138" s="45"/>
      <c r="BE138" s="45"/>
    </row>
    <row r="139" spans="1:57" ht="13.5" x14ac:dyDescent="0.2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45"/>
      <c r="BD139" s="45"/>
      <c r="BE139" s="45"/>
    </row>
    <row r="140" spans="1:57" ht="13.5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45"/>
      <c r="BD140" s="45"/>
      <c r="BE140" s="45"/>
    </row>
    <row r="141" spans="1:57" ht="13.5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45"/>
      <c r="BD141" s="45"/>
      <c r="BE141" s="45"/>
    </row>
    <row r="142" spans="1:57" ht="13.5" x14ac:dyDescent="0.2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45"/>
      <c r="BD142" s="45"/>
      <c r="BE142" s="45"/>
    </row>
    <row r="143" spans="1:57" ht="13.5" x14ac:dyDescent="0.2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45"/>
      <c r="BD143" s="45"/>
      <c r="BE143" s="45"/>
    </row>
    <row r="144" spans="1:57" ht="13.5" x14ac:dyDescent="0.2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45"/>
      <c r="BD144" s="45"/>
      <c r="BE144" s="45"/>
    </row>
    <row r="145" spans="1:57" ht="13.5" x14ac:dyDescent="0.2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45"/>
      <c r="BD145" s="45"/>
      <c r="BE145" s="45"/>
    </row>
    <row r="146" spans="1:57" ht="13.5" x14ac:dyDescent="0.2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45"/>
      <c r="BD146" s="45"/>
      <c r="BE146" s="45"/>
    </row>
    <row r="147" spans="1:57" ht="13.5" x14ac:dyDescent="0.2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45"/>
      <c r="BD147" s="45"/>
      <c r="BE147" s="45"/>
    </row>
    <row r="148" spans="1:57" ht="13.5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45"/>
      <c r="BD148" s="45"/>
      <c r="BE148" s="45"/>
    </row>
    <row r="149" spans="1:57" ht="13.5" x14ac:dyDescent="0.2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45"/>
      <c r="BD149" s="45"/>
      <c r="BE149" s="45"/>
    </row>
    <row r="150" spans="1:57" ht="13.5" x14ac:dyDescent="0.2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45"/>
      <c r="BD150" s="45"/>
      <c r="BE150" s="45"/>
    </row>
    <row r="151" spans="1:57" ht="13.5" x14ac:dyDescent="0.2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45"/>
      <c r="BD151" s="45"/>
      <c r="BE151" s="45"/>
    </row>
    <row r="152" spans="1:57" ht="13.5" x14ac:dyDescent="0.2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45"/>
      <c r="BD152" s="45"/>
      <c r="BE152" s="45"/>
    </row>
    <row r="153" spans="1:57" ht="13.5" x14ac:dyDescent="0.2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45"/>
      <c r="BD153" s="45"/>
      <c r="BE153" s="45"/>
    </row>
    <row r="154" spans="1:57" ht="13.5" x14ac:dyDescent="0.2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45"/>
      <c r="BD154" s="45"/>
      <c r="BE154" s="45"/>
    </row>
    <row r="155" spans="1:57" ht="13.5" x14ac:dyDescent="0.2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45"/>
      <c r="BD155" s="45"/>
      <c r="BE155" s="45"/>
    </row>
    <row r="156" spans="1:57" ht="13.5" x14ac:dyDescent="0.2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45"/>
      <c r="BD156" s="45"/>
      <c r="BE156" s="45"/>
    </row>
    <row r="157" spans="1:57" ht="13.5" x14ac:dyDescent="0.2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45"/>
      <c r="BD157" s="45"/>
      <c r="BE157" s="45"/>
    </row>
    <row r="158" spans="1:57" ht="13.5" x14ac:dyDescent="0.2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45"/>
      <c r="BD158" s="45"/>
      <c r="BE158" s="45"/>
    </row>
    <row r="159" spans="1:57" ht="13.5" x14ac:dyDescent="0.2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45"/>
      <c r="BD159" s="45"/>
      <c r="BE159" s="45"/>
    </row>
    <row r="160" spans="1:57" ht="13.5" x14ac:dyDescent="0.2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45"/>
      <c r="BD160" s="45"/>
      <c r="BE160" s="45"/>
    </row>
    <row r="161" spans="1:57" ht="13.5" x14ac:dyDescent="0.2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45"/>
      <c r="BD161" s="45"/>
      <c r="BE161" s="45"/>
    </row>
    <row r="162" spans="1:57" ht="13.5" x14ac:dyDescent="0.2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45"/>
      <c r="BD162" s="45"/>
      <c r="BE162" s="45"/>
    </row>
    <row r="163" spans="1:57" ht="13.5" x14ac:dyDescent="0.2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45"/>
      <c r="BD163" s="45"/>
      <c r="BE163" s="45"/>
    </row>
    <row r="164" spans="1:57" ht="13.5" x14ac:dyDescent="0.2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45"/>
      <c r="BD164" s="45"/>
      <c r="BE164" s="45"/>
    </row>
    <row r="165" spans="1:57" ht="13.5" x14ac:dyDescent="0.2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45"/>
      <c r="BD165" s="45"/>
      <c r="BE165" s="45"/>
    </row>
    <row r="166" spans="1:57" ht="13.5" x14ac:dyDescent="0.2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45"/>
      <c r="BD166" s="45"/>
      <c r="BE166" s="45"/>
    </row>
    <row r="167" spans="1:57" ht="13.5" x14ac:dyDescent="0.2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45"/>
      <c r="BD167" s="45"/>
      <c r="BE167" s="45"/>
    </row>
    <row r="168" spans="1:57" ht="13.5" x14ac:dyDescent="0.2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45"/>
      <c r="BD168" s="45"/>
      <c r="BE168" s="45"/>
    </row>
    <row r="169" spans="1:57" ht="13.5" x14ac:dyDescent="0.2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45"/>
      <c r="BD169" s="45"/>
      <c r="BE169" s="45"/>
    </row>
    <row r="170" spans="1:57" ht="13.5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45"/>
      <c r="BD170" s="45"/>
      <c r="BE170" s="45"/>
    </row>
    <row r="171" spans="1:57" ht="13.5" x14ac:dyDescent="0.2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45"/>
      <c r="BD171" s="45"/>
      <c r="BE171" s="45"/>
    </row>
    <row r="172" spans="1:57" ht="13.5" x14ac:dyDescent="0.2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45"/>
      <c r="BD172" s="45"/>
      <c r="BE172" s="45"/>
    </row>
    <row r="173" spans="1:57" ht="13.5" x14ac:dyDescent="0.2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45"/>
      <c r="BD173" s="45"/>
      <c r="BE173" s="45"/>
    </row>
    <row r="174" spans="1:57" ht="13.5" x14ac:dyDescent="0.2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45"/>
      <c r="BD174" s="45"/>
      <c r="BE174" s="45"/>
    </row>
    <row r="175" spans="1:57" ht="13.5" x14ac:dyDescent="0.2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45"/>
      <c r="BD175" s="45"/>
      <c r="BE175" s="45"/>
    </row>
    <row r="176" spans="1:57" ht="13.5" x14ac:dyDescent="0.2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45"/>
      <c r="BD176" s="45"/>
      <c r="BE176" s="45"/>
    </row>
    <row r="177" spans="1:57" ht="13.5" x14ac:dyDescent="0.2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45"/>
      <c r="BD177" s="45"/>
      <c r="BE177" s="45"/>
    </row>
    <row r="178" spans="1:57" ht="13.5" x14ac:dyDescent="0.2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45"/>
      <c r="BD178" s="45"/>
      <c r="BE178" s="45"/>
    </row>
    <row r="179" spans="1:57" ht="13.5" x14ac:dyDescent="0.2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45"/>
      <c r="BD179" s="45"/>
      <c r="BE179" s="45"/>
    </row>
    <row r="180" spans="1:57" ht="13.5" x14ac:dyDescent="0.2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45"/>
      <c r="BD180" s="45"/>
      <c r="BE180" s="45"/>
    </row>
    <row r="181" spans="1:57" ht="13.5" x14ac:dyDescent="0.2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45"/>
      <c r="BD181" s="45"/>
      <c r="BE181" s="45"/>
    </row>
    <row r="182" spans="1:57" ht="13.5" x14ac:dyDescent="0.2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45"/>
      <c r="BD182" s="45"/>
      <c r="BE182" s="45"/>
    </row>
    <row r="183" spans="1:57" ht="13.5" x14ac:dyDescent="0.2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45"/>
      <c r="BD183" s="45"/>
      <c r="BE183" s="45"/>
    </row>
    <row r="184" spans="1:57" ht="13.5" x14ac:dyDescent="0.2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45"/>
      <c r="BD184" s="45"/>
      <c r="BE184" s="45"/>
    </row>
    <row r="185" spans="1:57" ht="13.5" x14ac:dyDescent="0.2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45"/>
      <c r="BD185" s="45"/>
      <c r="BE185" s="45"/>
    </row>
    <row r="186" spans="1:57" ht="13.5" x14ac:dyDescent="0.2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45"/>
      <c r="BD186" s="45"/>
      <c r="BE186" s="45"/>
    </row>
    <row r="187" spans="1:57" ht="13.5" x14ac:dyDescent="0.2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45"/>
      <c r="BD187" s="45"/>
      <c r="BE187" s="45"/>
    </row>
    <row r="188" spans="1:57" ht="13.5" x14ac:dyDescent="0.2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45"/>
      <c r="BD188" s="45"/>
      <c r="BE188" s="45"/>
    </row>
    <row r="189" spans="1:57" ht="13.5" x14ac:dyDescent="0.2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45"/>
      <c r="BD189" s="45"/>
      <c r="BE189" s="45"/>
    </row>
    <row r="190" spans="1:57" ht="13.5" x14ac:dyDescent="0.2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45"/>
      <c r="BD190" s="45"/>
      <c r="BE190" s="45"/>
    </row>
    <row r="191" spans="1:57" ht="13.5" x14ac:dyDescent="0.2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45"/>
      <c r="BD191" s="45"/>
      <c r="BE191" s="45"/>
    </row>
    <row r="192" spans="1:57" ht="13.5" x14ac:dyDescent="0.2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45"/>
      <c r="BD192" s="45"/>
      <c r="BE192" s="45"/>
    </row>
    <row r="193" spans="1:57" ht="13.5" x14ac:dyDescent="0.2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45"/>
      <c r="BD193" s="45"/>
      <c r="BE193" s="45"/>
    </row>
    <row r="194" spans="1:57" ht="13.5" x14ac:dyDescent="0.2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45"/>
      <c r="BD194" s="45"/>
      <c r="BE194" s="45"/>
    </row>
    <row r="195" spans="1:57" ht="13.5" x14ac:dyDescent="0.2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45"/>
      <c r="BD195" s="45"/>
      <c r="BE195" s="45"/>
    </row>
    <row r="196" spans="1:57" ht="13.5" x14ac:dyDescent="0.2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45"/>
      <c r="BD196" s="45"/>
      <c r="BE196" s="45"/>
    </row>
    <row r="197" spans="1:57" ht="13.5" x14ac:dyDescent="0.2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45"/>
      <c r="BD197" s="45"/>
      <c r="BE197" s="45"/>
    </row>
    <row r="198" spans="1:57" ht="13.5" x14ac:dyDescent="0.2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45"/>
      <c r="BD198" s="45"/>
      <c r="BE198" s="45"/>
    </row>
    <row r="199" spans="1:57" ht="13.5" x14ac:dyDescent="0.2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45"/>
      <c r="BD199" s="45"/>
      <c r="BE199" s="45"/>
    </row>
    <row r="200" spans="1:57" ht="13.5" x14ac:dyDescent="0.2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45"/>
      <c r="BD200" s="45"/>
      <c r="BE200" s="45"/>
    </row>
    <row r="201" spans="1:57" ht="13.5" x14ac:dyDescent="0.2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45"/>
      <c r="BD201" s="45"/>
      <c r="BE201" s="45"/>
    </row>
    <row r="202" spans="1:57" ht="13.5" x14ac:dyDescent="0.2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45"/>
      <c r="BD202" s="45"/>
      <c r="BE202" s="45"/>
    </row>
    <row r="203" spans="1:57" ht="13.5" x14ac:dyDescent="0.2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45"/>
      <c r="BD203" s="45"/>
      <c r="BE203" s="45"/>
    </row>
    <row r="204" spans="1:57" ht="13.5" x14ac:dyDescent="0.2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45"/>
      <c r="BD204" s="45"/>
      <c r="BE204" s="45"/>
    </row>
    <row r="205" spans="1:57" ht="13.5" x14ac:dyDescent="0.2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45"/>
      <c r="BD205" s="45"/>
      <c r="BE205" s="45"/>
    </row>
    <row r="206" spans="1:57" ht="13.5" x14ac:dyDescent="0.2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45"/>
      <c r="BD206" s="45"/>
      <c r="BE206" s="45"/>
    </row>
    <row r="207" spans="1:57" ht="13.5" x14ac:dyDescent="0.2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45"/>
      <c r="BD207" s="45"/>
      <c r="BE207" s="45"/>
    </row>
    <row r="208" spans="1:57" ht="13.5" x14ac:dyDescent="0.2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45"/>
      <c r="BD208" s="45"/>
      <c r="BE208" s="45"/>
    </row>
    <row r="209" spans="1:57" ht="13.5" x14ac:dyDescent="0.2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45"/>
      <c r="BD209" s="45"/>
      <c r="BE209" s="45"/>
    </row>
    <row r="210" spans="1:57" ht="13.5" x14ac:dyDescent="0.2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45"/>
      <c r="BD210" s="45"/>
      <c r="BE210" s="45"/>
    </row>
    <row r="211" spans="1:57" ht="13.5" x14ac:dyDescent="0.2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45"/>
      <c r="BD211" s="45"/>
      <c r="BE211" s="45"/>
    </row>
    <row r="212" spans="1:57" ht="13.5" x14ac:dyDescent="0.2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45"/>
      <c r="BD212" s="45"/>
      <c r="BE212" s="45"/>
    </row>
    <row r="213" spans="1:57" ht="13.5" x14ac:dyDescent="0.2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45"/>
      <c r="BD213" s="45"/>
      <c r="BE213" s="45"/>
    </row>
    <row r="214" spans="1:57" ht="13.5" x14ac:dyDescent="0.2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45"/>
      <c r="BD214" s="45"/>
      <c r="BE214" s="45"/>
    </row>
    <row r="215" spans="1:57" ht="13.5" x14ac:dyDescent="0.2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45"/>
      <c r="BD215" s="45"/>
      <c r="BE215" s="45"/>
    </row>
    <row r="216" spans="1:57" ht="13.5" x14ac:dyDescent="0.2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45"/>
      <c r="BD216" s="45"/>
      <c r="BE216" s="45"/>
    </row>
    <row r="217" spans="1:57" ht="13.5" x14ac:dyDescent="0.2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45"/>
      <c r="BD217" s="45"/>
      <c r="BE217" s="45"/>
    </row>
    <row r="218" spans="1:57" ht="13.5" x14ac:dyDescent="0.2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45"/>
      <c r="BD218" s="45"/>
      <c r="BE218" s="45"/>
    </row>
    <row r="219" spans="1:57" ht="13.5" x14ac:dyDescent="0.2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45"/>
      <c r="BD219" s="45"/>
      <c r="BE219" s="45"/>
    </row>
    <row r="220" spans="1:57" ht="13.5" x14ac:dyDescent="0.2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45"/>
      <c r="BD220" s="45"/>
      <c r="BE220" s="45"/>
    </row>
    <row r="221" spans="1:57" ht="13.5" x14ac:dyDescent="0.2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45"/>
      <c r="BD221" s="45"/>
      <c r="BE221" s="45"/>
    </row>
    <row r="222" spans="1:57" ht="13.5" x14ac:dyDescent="0.2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45"/>
      <c r="BD222" s="45"/>
      <c r="BE222" s="45"/>
    </row>
    <row r="223" spans="1:57" ht="13.5" x14ac:dyDescent="0.2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45"/>
      <c r="BD223" s="45"/>
      <c r="BE223" s="45"/>
    </row>
    <row r="224" spans="1:57" ht="13.5" x14ac:dyDescent="0.2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45"/>
      <c r="BD224" s="45"/>
      <c r="BE224" s="45"/>
    </row>
    <row r="225" spans="1:57" ht="13.5" x14ac:dyDescent="0.2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45"/>
      <c r="BD225" s="45"/>
      <c r="BE225" s="45"/>
    </row>
    <row r="226" spans="1:57" ht="13.5" x14ac:dyDescent="0.2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45"/>
      <c r="BD226" s="45"/>
      <c r="BE226" s="45"/>
    </row>
    <row r="227" spans="1:57" ht="13.5" x14ac:dyDescent="0.2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45"/>
      <c r="BD227" s="45"/>
      <c r="BE227" s="45"/>
    </row>
    <row r="228" spans="1:57" ht="13.5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45"/>
      <c r="BD228" s="45"/>
      <c r="BE228" s="45"/>
    </row>
    <row r="229" spans="1:57" ht="13.5" x14ac:dyDescent="0.2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45"/>
      <c r="BD229" s="45"/>
      <c r="BE229" s="45"/>
    </row>
    <row r="230" spans="1:57" ht="13.5" x14ac:dyDescent="0.2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45"/>
      <c r="BD230" s="45"/>
      <c r="BE230" s="45"/>
    </row>
    <row r="231" spans="1:57" ht="13.5" x14ac:dyDescent="0.2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45"/>
      <c r="BD231" s="45"/>
      <c r="BE231" s="45"/>
    </row>
    <row r="232" spans="1:57" ht="13.5" x14ac:dyDescent="0.2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45"/>
      <c r="BD232" s="45"/>
      <c r="BE232" s="45"/>
    </row>
    <row r="233" spans="1:57" ht="13.5" x14ac:dyDescent="0.2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45"/>
      <c r="BD233" s="45"/>
      <c r="BE233" s="45"/>
    </row>
    <row r="234" spans="1:57" ht="13.5" x14ac:dyDescent="0.2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45"/>
      <c r="BD234" s="45"/>
      <c r="BE234" s="45"/>
    </row>
    <row r="235" spans="1:57" ht="13.5" x14ac:dyDescent="0.2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45"/>
      <c r="BD235" s="45"/>
      <c r="BE235" s="45"/>
    </row>
    <row r="236" spans="1:57" ht="13.5" x14ac:dyDescent="0.2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45"/>
      <c r="BD236" s="45"/>
      <c r="BE236" s="45"/>
    </row>
    <row r="237" spans="1:57" ht="13.5" x14ac:dyDescent="0.2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45"/>
      <c r="BD237" s="45"/>
      <c r="BE237" s="45"/>
    </row>
    <row r="238" spans="1:57" ht="13.5" x14ac:dyDescent="0.2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45"/>
      <c r="BD238" s="45"/>
      <c r="BE238" s="45"/>
    </row>
    <row r="239" spans="1:57" ht="13.5" x14ac:dyDescent="0.2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45"/>
      <c r="BD239" s="45"/>
      <c r="BE239" s="45"/>
    </row>
    <row r="240" spans="1:57" ht="13.5" x14ac:dyDescent="0.2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45"/>
      <c r="BD240" s="45"/>
      <c r="BE240" s="45"/>
    </row>
    <row r="241" spans="1:57" ht="13.5" x14ac:dyDescent="0.2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45"/>
      <c r="BD241" s="45"/>
      <c r="BE241" s="45"/>
    </row>
    <row r="242" spans="1:57" ht="13.5" x14ac:dyDescent="0.2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45"/>
      <c r="BD242" s="45"/>
      <c r="BE242" s="45"/>
    </row>
    <row r="243" spans="1:57" ht="13.5" x14ac:dyDescent="0.2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45"/>
      <c r="BD243" s="45"/>
      <c r="BE243" s="45"/>
    </row>
    <row r="244" spans="1:57" ht="13.5" x14ac:dyDescent="0.2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45"/>
      <c r="BD244" s="45"/>
      <c r="BE244" s="45"/>
    </row>
    <row r="245" spans="1:57" ht="13.5" x14ac:dyDescent="0.2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45"/>
      <c r="BD245" s="45"/>
      <c r="BE245" s="45"/>
    </row>
    <row r="246" spans="1:57" ht="13.5" x14ac:dyDescent="0.2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45"/>
      <c r="BD246" s="45"/>
      <c r="BE246" s="45"/>
    </row>
    <row r="247" spans="1:57" ht="13.5" x14ac:dyDescent="0.2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45"/>
      <c r="BD247" s="45"/>
      <c r="BE247" s="45"/>
    </row>
    <row r="248" spans="1:57" ht="13.5" x14ac:dyDescent="0.2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45"/>
      <c r="BD248" s="45"/>
      <c r="BE248" s="45"/>
    </row>
    <row r="249" spans="1:57" ht="13.5" x14ac:dyDescent="0.2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45"/>
      <c r="BD249" s="45"/>
      <c r="BE249" s="45"/>
    </row>
    <row r="250" spans="1:57" ht="13.5" x14ac:dyDescent="0.2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45"/>
      <c r="BD250" s="45"/>
      <c r="BE250" s="45"/>
    </row>
  </sheetData>
  <mergeCells count="1">
    <mergeCell ref="C29:H29"/>
  </mergeCells>
  <pageMargins left="0.7" right="0.7" top="0.75" bottom="0.75" header="0.3" footer="0.3"/>
  <pageSetup scale="76" orientation="portrait" r:id="rId1"/>
  <headerFooter>
    <oddFooter>Page &amp;P of &amp;N</oddFooter>
  </headerFooter>
  <colBreaks count="2" manualBreakCount="2">
    <brk id="20" max="1048575" man="1"/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250"/>
  <sheetViews>
    <sheetView view="pageBreakPreview" zoomScale="85" zoomScaleNormal="100" zoomScaleSheetLayoutView="85" workbookViewId="0">
      <selection activeCell="D79" sqref="D79"/>
    </sheetView>
  </sheetViews>
  <sheetFormatPr defaultRowHeight="12.75" x14ac:dyDescent="0.2"/>
  <cols>
    <col min="1" max="1" width="2.7109375" customWidth="1"/>
    <col min="3" max="3" width="13.7109375" customWidth="1"/>
    <col min="4" max="4" width="5.85546875" customWidth="1"/>
    <col min="10" max="10" width="11.85546875" bestFit="1" customWidth="1"/>
    <col min="11" max="13" width="3" customWidth="1"/>
    <col min="16" max="16" width="9.140625" customWidth="1"/>
    <col min="26" max="26" width="6" customWidth="1"/>
    <col min="31" max="31" width="7.7109375" customWidth="1"/>
    <col min="33" max="34" width="2.28515625" customWidth="1"/>
  </cols>
  <sheetData>
    <row r="1" spans="1:56" ht="13.5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45"/>
      <c r="BD1" s="45"/>
    </row>
    <row r="2" spans="1:56" ht="13.5" x14ac:dyDescent="0.25">
      <c r="A2" s="95"/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7" t="s">
        <v>223</v>
      </c>
      <c r="AF2" s="97" t="s">
        <v>224</v>
      </c>
      <c r="AG2" s="96"/>
      <c r="AH2" s="96"/>
      <c r="AI2" s="96" t="s">
        <v>225</v>
      </c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45"/>
      <c r="BD2" s="45"/>
    </row>
    <row r="3" spans="1:56" ht="13.5" x14ac:dyDescent="0.25">
      <c r="A3" s="95"/>
      <c r="B3" s="96" t="s">
        <v>287</v>
      </c>
      <c r="C3" s="95"/>
      <c r="D3" s="95"/>
      <c r="E3" s="95"/>
      <c r="F3" s="95"/>
      <c r="G3" s="95"/>
      <c r="H3" s="95"/>
      <c r="I3" s="95"/>
      <c r="J3" s="95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97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45"/>
      <c r="BD3" s="45"/>
    </row>
    <row r="4" spans="1:56" ht="13.5" x14ac:dyDescent="0.25">
      <c r="A4" s="95"/>
      <c r="B4" s="98"/>
      <c r="C4" s="96"/>
      <c r="D4" s="96"/>
      <c r="E4" s="99"/>
      <c r="F4" s="96"/>
      <c r="G4" s="96"/>
      <c r="H4" s="96"/>
      <c r="I4" s="96"/>
      <c r="J4" s="96"/>
      <c r="K4" s="96"/>
      <c r="L4" s="96"/>
      <c r="M4" s="96"/>
      <c r="N4" s="96" t="s">
        <v>227</v>
      </c>
      <c r="O4" s="96"/>
      <c r="P4" s="96"/>
      <c r="Q4" s="96"/>
      <c r="R4" s="96"/>
      <c r="S4" s="96"/>
      <c r="T4" s="96"/>
      <c r="U4" s="97" t="s">
        <v>228</v>
      </c>
      <c r="V4" s="97" t="s">
        <v>229</v>
      </c>
      <c r="W4" s="97" t="s">
        <v>230</v>
      </c>
      <c r="X4" s="97" t="s">
        <v>231</v>
      </c>
      <c r="Y4" s="97" t="s">
        <v>232</v>
      </c>
      <c r="Z4" s="96"/>
      <c r="AA4" s="97" t="s">
        <v>233</v>
      </c>
      <c r="AB4" s="96" t="s">
        <v>234</v>
      </c>
      <c r="AC4" s="97" t="s">
        <v>235</v>
      </c>
      <c r="AD4" s="97" t="s">
        <v>236</v>
      </c>
      <c r="AE4" s="97" t="s">
        <v>237</v>
      </c>
      <c r="AF4" s="96"/>
      <c r="AG4" s="96"/>
      <c r="AH4" s="96"/>
      <c r="AI4" s="96" t="s">
        <v>238</v>
      </c>
      <c r="AJ4" s="96"/>
      <c r="AK4" s="96"/>
      <c r="AL4" s="96"/>
      <c r="AM4" s="96"/>
      <c r="AN4" s="96"/>
      <c r="AO4" s="96"/>
      <c r="AP4" s="96"/>
      <c r="AQ4" s="96"/>
      <c r="AR4" s="96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45"/>
      <c r="BD4" s="45"/>
    </row>
    <row r="5" spans="1:56" ht="13.5" x14ac:dyDescent="0.25">
      <c r="A5" s="95"/>
      <c r="B5" s="100" t="s">
        <v>239</v>
      </c>
      <c r="C5" s="100" t="s">
        <v>240</v>
      </c>
      <c r="D5" s="96"/>
      <c r="E5" s="99">
        <f>E7+E6</f>
        <v>15261.71831988624</v>
      </c>
      <c r="F5" s="100" t="s">
        <v>241</v>
      </c>
      <c r="G5" s="96"/>
      <c r="H5" s="96"/>
      <c r="I5" s="96"/>
      <c r="J5" s="101" t="s">
        <v>242</v>
      </c>
      <c r="K5" s="96"/>
      <c r="L5" s="102"/>
      <c r="M5" s="96"/>
      <c r="N5" s="100" t="s">
        <v>243</v>
      </c>
      <c r="O5" s="96"/>
      <c r="P5" s="96"/>
      <c r="Q5" s="100" t="s">
        <v>244</v>
      </c>
      <c r="R5" s="96"/>
      <c r="S5" s="96"/>
      <c r="T5" s="96"/>
      <c r="U5" s="103">
        <f>$E$8*1.25</f>
        <v>17359.598775678965</v>
      </c>
      <c r="V5" s="104">
        <f>100*(+U5/$E$9)</f>
        <v>330.20545471080453</v>
      </c>
      <c r="W5" s="105">
        <f>EXP(5.7226-(0.68367*LN(+V5)))</f>
        <v>5.7979755368074768</v>
      </c>
      <c r="X5" s="105">
        <f>(+W5*V5)/100</f>
        <v>19.145231485336339</v>
      </c>
      <c r="Y5" s="104">
        <f>100*((((X5/100)-((X5/100)-0.03574)*$E$21)-0.03574-0.00619)/0.344)</f>
        <v>28.075618547447629</v>
      </c>
      <c r="Z5" s="96">
        <f>$E$20</f>
        <v>0.25</v>
      </c>
      <c r="AA5" s="104">
        <f>Y5+Z5</f>
        <v>28.325618547447629</v>
      </c>
      <c r="AB5" s="104">
        <f>100*($E$17*$E$19+($E$18*(AA5/100))/(1-$E$21))</f>
        <v>28.010562315861481</v>
      </c>
      <c r="AC5" s="105">
        <f>AB5/V5</f>
        <v>8.4827678998801712E-2</v>
      </c>
      <c r="AD5" s="103">
        <f>$E$8/(1-AC5)</f>
        <v>15174.93339981049</v>
      </c>
      <c r="AE5" s="96" t="str">
        <f>IF(AD5=$U$5,"yes","not yet")</f>
        <v>not yet</v>
      </c>
      <c r="AF5" s="104">
        <f>100*(1-AC5)</f>
        <v>91.517232100119827</v>
      </c>
      <c r="AG5" s="96"/>
      <c r="AH5" s="96"/>
      <c r="AI5" s="96">
        <v>0</v>
      </c>
      <c r="AJ5" s="96">
        <v>1</v>
      </c>
      <c r="AK5" s="96"/>
      <c r="AL5" s="96"/>
      <c r="AM5" s="96"/>
      <c r="AN5" s="96"/>
      <c r="AO5" s="96"/>
      <c r="AP5" s="96"/>
      <c r="AQ5" s="96"/>
      <c r="AR5" s="96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45"/>
      <c r="BD5" s="45"/>
    </row>
    <row r="6" spans="1:56" ht="13.5" x14ac:dyDescent="0.25">
      <c r="A6" s="95"/>
      <c r="B6" s="100" t="s">
        <v>239</v>
      </c>
      <c r="C6" s="100" t="s">
        <v>245</v>
      </c>
      <c r="D6" s="96"/>
      <c r="E6" s="99">
        <f>(+E8-((H15/100)*E7))/H25</f>
        <v>359.91671988623955</v>
      </c>
      <c r="F6" s="106" t="s">
        <v>241</v>
      </c>
      <c r="G6" s="96"/>
      <c r="H6" s="96"/>
      <c r="I6" s="107">
        <f>E6/E7</f>
        <v>2.4152564203125584E-2</v>
      </c>
      <c r="J6" s="108">
        <f>+I6-H29</f>
        <v>-4.1504596819175371E-2</v>
      </c>
      <c r="K6" s="96"/>
      <c r="L6" s="102"/>
      <c r="M6" s="96"/>
      <c r="N6" s="100" t="s">
        <v>246</v>
      </c>
      <c r="O6" s="96"/>
      <c r="P6" s="96"/>
      <c r="Q6" s="100" t="s">
        <v>247</v>
      </c>
      <c r="R6" s="96"/>
      <c r="S6" s="96"/>
      <c r="T6" s="96"/>
      <c r="U6" s="103">
        <f>$E$8*1.25</f>
        <v>17359.598775678965</v>
      </c>
      <c r="V6" s="104">
        <f>100*(+U6/$E$9)</f>
        <v>330.20545471080453</v>
      </c>
      <c r="W6" s="105">
        <f>EXP(5.70827-(0.68367*LN(+V6)))</f>
        <v>5.7154830179038063</v>
      </c>
      <c r="X6" s="105">
        <f>(+W6*V6)/100</f>
        <v>18.872836688188077</v>
      </c>
      <c r="Y6" s="104">
        <f>100*((((X6/100)-((X6/100)-0.03574)*$E$21)-0.03574-0.00619)/0.344)</f>
        <v>27.553000622686437</v>
      </c>
      <c r="Z6" s="96">
        <f>$E$20</f>
        <v>0.25</v>
      </c>
      <c r="AA6" s="104">
        <f>Y6+Z6</f>
        <v>27.803000622686437</v>
      </c>
      <c r="AB6" s="104">
        <f>100*($E$17*$E$19+($E$18*(AA6/100))/(1-$E$21))</f>
        <v>27.535455111533125</v>
      </c>
      <c r="AC6" s="105">
        <f>AB6/V6</f>
        <v>8.3388855994667943E-2</v>
      </c>
      <c r="AD6" s="103">
        <f>$E$8/(1-AC6)</f>
        <v>15151.113000719077</v>
      </c>
      <c r="AE6" s="96" t="str">
        <f>IF(AD6=$U$6,"yes","not yet")</f>
        <v>not yet</v>
      </c>
      <c r="AF6" s="104">
        <f>100*(1-AC6)</f>
        <v>91.661114400533208</v>
      </c>
      <c r="AG6" s="96"/>
      <c r="AH6" s="96"/>
      <c r="AI6" s="96">
        <v>50</v>
      </c>
      <c r="AJ6" s="96">
        <v>2</v>
      </c>
      <c r="AK6" s="96"/>
      <c r="AL6" s="96"/>
      <c r="AM6" s="96"/>
      <c r="AN6" s="96"/>
      <c r="AO6" s="96"/>
      <c r="AP6" s="96"/>
      <c r="AQ6" s="96"/>
      <c r="AR6" s="96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45"/>
      <c r="BD6" s="45"/>
    </row>
    <row r="7" spans="1:56" ht="13.5" x14ac:dyDescent="0.25">
      <c r="A7" s="95"/>
      <c r="B7" s="109" t="s">
        <v>248</v>
      </c>
      <c r="C7" s="100" t="s">
        <v>79</v>
      </c>
      <c r="D7" s="109" t="s">
        <v>249</v>
      </c>
      <c r="E7" s="99">
        <f>'[2]Prof-Joe''s T MF'!E22</f>
        <v>14901.801600000001</v>
      </c>
      <c r="F7" s="100" t="s">
        <v>250</v>
      </c>
      <c r="G7" s="96"/>
      <c r="H7" s="96">
        <f>E7/E8</f>
        <v>1.0730231868087319</v>
      </c>
      <c r="I7" s="96"/>
      <c r="J7" s="100"/>
      <c r="K7" s="96"/>
      <c r="L7" s="102"/>
      <c r="M7" s="96"/>
      <c r="N7" s="100" t="s">
        <v>251</v>
      </c>
      <c r="O7" s="96"/>
      <c r="P7" s="96"/>
      <c r="Q7" s="100" t="s">
        <v>252</v>
      </c>
      <c r="R7" s="96"/>
      <c r="S7" s="96"/>
      <c r="T7" s="96"/>
      <c r="U7" s="103">
        <f>$E$8*1.25</f>
        <v>17359.598775678965</v>
      </c>
      <c r="V7" s="104">
        <f>100*(+U7/$E$9)</f>
        <v>330.20545471080453</v>
      </c>
      <c r="W7" s="105">
        <f>EXP(5.6985-(0.68367*LN(V7)))</f>
        <v>5.6599146423463331</v>
      </c>
      <c r="X7" s="105">
        <f>(+W7*V7)/100</f>
        <v>18.689346881003118</v>
      </c>
      <c r="Y7" s="104">
        <f>100*((((X7/100)-((X7/100)-0.03574)*$E$21)-0.03574-0.00619)/0.344)</f>
        <v>27.200956225180406</v>
      </c>
      <c r="Z7" s="96">
        <f>$E$20</f>
        <v>0.25</v>
      </c>
      <c r="AA7" s="104">
        <f>Y7+Z7</f>
        <v>27.450956225180406</v>
      </c>
      <c r="AB7" s="104">
        <f>100*($E$17*$E$19+($E$18*(AA7/100))/(1-$E$21))</f>
        <v>27.215414750164008</v>
      </c>
      <c r="AC7" s="105">
        <f>AB7/V7</f>
        <v>8.2419640141921324E-2</v>
      </c>
      <c r="AD7" s="103">
        <f>$E$8/(1-AC7)</f>
        <v>15135.109280991112</v>
      </c>
      <c r="AE7" s="96" t="str">
        <f>IF(AD7=$U$7,"yes","not yet")</f>
        <v>not yet</v>
      </c>
      <c r="AF7" s="104">
        <f>100*(1-AC7)</f>
        <v>91.758035985807879</v>
      </c>
      <c r="AG7" s="96"/>
      <c r="AH7" s="96"/>
      <c r="AI7" s="96">
        <v>125</v>
      </c>
      <c r="AJ7" s="96">
        <v>3</v>
      </c>
      <c r="AK7" s="96"/>
      <c r="AL7" s="96"/>
      <c r="AM7" s="96"/>
      <c r="AN7" s="96"/>
      <c r="AO7" s="96"/>
      <c r="AP7" s="96"/>
      <c r="AQ7" s="96"/>
      <c r="AR7" s="96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45"/>
      <c r="BD7" s="45"/>
    </row>
    <row r="8" spans="1:56" ht="13.5" x14ac:dyDescent="0.25">
      <c r="A8" s="95"/>
      <c r="B8" s="109" t="s">
        <v>248</v>
      </c>
      <c r="C8" s="100" t="s">
        <v>253</v>
      </c>
      <c r="D8" s="109" t="s">
        <v>249</v>
      </c>
      <c r="E8" s="99">
        <f>'[2]Prof-Joe''s T MF'!E77</f>
        <v>13887.679020543172</v>
      </c>
      <c r="F8" s="100" t="s">
        <v>250</v>
      </c>
      <c r="G8" s="96"/>
      <c r="H8" s="96"/>
      <c r="I8" s="96"/>
      <c r="J8" s="99"/>
      <c r="K8" s="96"/>
      <c r="L8" s="102"/>
      <c r="M8" s="96"/>
      <c r="N8" s="100" t="s">
        <v>254</v>
      </c>
      <c r="O8" s="96"/>
      <c r="P8" s="96"/>
      <c r="Q8" s="100" t="s">
        <v>255</v>
      </c>
      <c r="R8" s="96"/>
      <c r="S8" s="96"/>
      <c r="T8" s="96"/>
      <c r="U8" s="103">
        <f>$E$8*1.25</f>
        <v>17359.598775678965</v>
      </c>
      <c r="V8" s="104">
        <f>100*(+U8/$E$9)</f>
        <v>330.20545471080453</v>
      </c>
      <c r="W8" s="105">
        <f>EXP(5.6922-(0.68367*LN(V8)))</f>
        <v>5.6243692656025477</v>
      </c>
      <c r="X8" s="105">
        <f>(+W8*V8)/100</f>
        <v>18.571974108097628</v>
      </c>
      <c r="Y8" s="104">
        <f>100*((((X8/100)-((X8/100)-0.03574)*$E$21)-0.03574-0.00619)/0.344)</f>
        <v>26.97576427716406</v>
      </c>
      <c r="Z8" s="96">
        <f>$E$20</f>
        <v>0.25</v>
      </c>
      <c r="AA8" s="104">
        <f>Y8+Z8</f>
        <v>27.22576427716406</v>
      </c>
      <c r="AB8" s="104">
        <f>100*($E$17*$E$19+($E$18*(AA8/100))/(1-$E$21))</f>
        <v>27.010694797421873</v>
      </c>
      <c r="AC8" s="105">
        <f>AB8/V8</f>
        <v>8.1799662640576198E-2</v>
      </c>
      <c r="AD8" s="103">
        <f>$E$8/(1-AC8)</f>
        <v>15124.889912893732</v>
      </c>
      <c r="AE8" s="96" t="str">
        <f>IF(AD8=$U$8,"yes","not yet")</f>
        <v>not yet</v>
      </c>
      <c r="AF8" s="104">
        <f>100*(1-AC8)</f>
        <v>91.820033735942388</v>
      </c>
      <c r="AG8" s="96"/>
      <c r="AH8" s="96"/>
      <c r="AI8" s="96">
        <v>401</v>
      </c>
      <c r="AJ8" s="96">
        <v>4</v>
      </c>
      <c r="AK8" s="96"/>
      <c r="AL8" s="96"/>
      <c r="AM8" s="96"/>
      <c r="AN8" s="96"/>
      <c r="AO8" s="96"/>
      <c r="AP8" s="96"/>
      <c r="AQ8" s="96"/>
      <c r="AR8" s="96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45"/>
      <c r="BD8" s="45"/>
    </row>
    <row r="9" spans="1:56" ht="13.5" x14ac:dyDescent="0.25">
      <c r="A9" s="95"/>
      <c r="B9" s="109" t="s">
        <v>248</v>
      </c>
      <c r="C9" s="100" t="s">
        <v>256</v>
      </c>
      <c r="D9" s="96"/>
      <c r="E9" s="99">
        <f>'[2]Prof-Joe''s T MF'!E83</f>
        <v>5257.2113900670065</v>
      </c>
      <c r="F9" s="100" t="s">
        <v>250</v>
      </c>
      <c r="G9" s="96"/>
      <c r="H9" s="96"/>
      <c r="I9" s="96"/>
      <c r="J9" s="100"/>
      <c r="K9" s="96"/>
      <c r="L9" s="102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104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45"/>
      <c r="BD9" s="45"/>
    </row>
    <row r="10" spans="1:56" ht="13.5" x14ac:dyDescent="0.25">
      <c r="A10" s="95"/>
      <c r="B10" s="98"/>
      <c r="C10" s="100" t="s">
        <v>257</v>
      </c>
      <c r="D10" s="96"/>
      <c r="E10" s="104">
        <f>V5</f>
        <v>330.20545471080453</v>
      </c>
      <c r="F10" s="100" t="s">
        <v>258</v>
      </c>
      <c r="G10" s="96"/>
      <c r="H10" s="104"/>
      <c r="I10" s="104"/>
      <c r="J10" s="98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110" t="s">
        <v>259</v>
      </c>
      <c r="W10" s="110" t="s">
        <v>230</v>
      </c>
      <c r="X10" s="110" t="s">
        <v>231</v>
      </c>
      <c r="Y10" s="110" t="s">
        <v>232</v>
      </c>
      <c r="Z10" s="96"/>
      <c r="AA10" s="104"/>
      <c r="AB10" s="96"/>
      <c r="AC10" s="96"/>
      <c r="AD10" s="96"/>
      <c r="AE10" s="96"/>
      <c r="AF10" s="96"/>
      <c r="AG10" s="96"/>
      <c r="AH10" s="96"/>
      <c r="AI10" s="96" t="s">
        <v>260</v>
      </c>
      <c r="AJ10" s="96"/>
      <c r="AK10" s="96"/>
      <c r="AL10" s="96"/>
      <c r="AM10" s="96"/>
      <c r="AN10" s="96"/>
      <c r="AO10" s="96"/>
      <c r="AP10" s="96"/>
      <c r="AQ10" s="96"/>
      <c r="AR10" s="96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45"/>
      <c r="BD10" s="45"/>
    </row>
    <row r="11" spans="1:56" ht="13.5" x14ac:dyDescent="0.25">
      <c r="A11" s="95"/>
      <c r="B11" s="98"/>
      <c r="C11" s="100" t="s">
        <v>261</v>
      </c>
      <c r="D11" s="96"/>
      <c r="E11" s="104">
        <f>HLOOKUP($AJ$34,$AJ$28:$AR$32,($E$12)+1)</f>
        <v>290.07774024102213</v>
      </c>
      <c r="F11" s="100" t="s">
        <v>258</v>
      </c>
      <c r="G11" s="96"/>
      <c r="H11" s="96"/>
      <c r="I11" s="96"/>
      <c r="J11" s="98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04">
        <f>100*(+AD5/$E$9)</f>
        <v>288.64986156885493</v>
      </c>
      <c r="W11" s="111">
        <f>EXP(5.7226-(0.68367*LN(+V11)))</f>
        <v>6.3564043889637372</v>
      </c>
      <c r="X11" s="105">
        <f>(+W11*V11)/100</f>
        <v>18.347752469500445</v>
      </c>
      <c r="Y11" s="104">
        <f>100*((((X11/100)-((X11/100)-0.03574)*$E$21)-0.03574-0.00619)/0.344)</f>
        <v>26.545571598460153</v>
      </c>
      <c r="Z11" s="96">
        <f>$E$20</f>
        <v>0.25</v>
      </c>
      <c r="AA11" s="104">
        <f>Y11+Z11</f>
        <v>26.795571598460153</v>
      </c>
      <c r="AB11" s="104">
        <f>100*($E$17*$E$19+($E$18*(AA11/100))/(1-$E$21))</f>
        <v>26.619610544054691</v>
      </c>
      <c r="AC11" s="105">
        <f>AB11/V11</f>
        <v>9.2221109684145167E-2</v>
      </c>
      <c r="AD11" s="103">
        <f>$E$8/(1-AC11)</f>
        <v>15298.526071377424</v>
      </c>
      <c r="AE11" s="96" t="str">
        <f>IF(AD11=AD5,"yes","not yet")</f>
        <v>not yet</v>
      </c>
      <c r="AF11" s="104">
        <f>100*(1-AC11)</f>
        <v>90.777889031585474</v>
      </c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45"/>
      <c r="BD11" s="45"/>
    </row>
    <row r="12" spans="1:56" ht="13.5" x14ac:dyDescent="0.25">
      <c r="A12" s="95"/>
      <c r="B12" s="98"/>
      <c r="C12" s="100" t="s">
        <v>262</v>
      </c>
      <c r="D12" s="96"/>
      <c r="E12" s="96">
        <f>VLOOKUP(E10,AI5:AJ8,2)</f>
        <v>3</v>
      </c>
      <c r="F12" s="100" t="s">
        <v>258</v>
      </c>
      <c r="G12" s="96"/>
      <c r="H12" s="96"/>
      <c r="I12" s="96"/>
      <c r="J12" s="98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104">
        <f>100*(+AD6/$E$9)</f>
        <v>288.19676205803029</v>
      </c>
      <c r="W12" s="111">
        <f>EXP(5.70827-(0.68367*LN(+V12)))</f>
        <v>6.2726999977078783</v>
      </c>
      <c r="X12" s="105">
        <f>(+W12*V12)/100</f>
        <v>18.077718287008246</v>
      </c>
      <c r="Y12" s="104">
        <f>100*((((X12/100)-((X12/100)-0.03574)*$E$21)-0.03574-0.00619)/0.344)</f>
        <v>26.027482759957682</v>
      </c>
      <c r="Z12" s="96">
        <f>$E$20</f>
        <v>0.25</v>
      </c>
      <c r="AA12" s="104">
        <f>Y12+Z12</f>
        <v>26.277482759957682</v>
      </c>
      <c r="AB12" s="104">
        <f>100*($E$17*$E$19+($E$18*(AA12/100))/(1-$E$21))</f>
        <v>26.148620690870622</v>
      </c>
      <c r="AC12" s="105">
        <f>AB12/V12</f>
        <v>9.0731833710211596E-2</v>
      </c>
      <c r="AD12" s="103">
        <f>$E$8/(1-AC12)</f>
        <v>15273.468857060039</v>
      </c>
      <c r="AE12" s="96" t="str">
        <f>IF(AD12=AD6,"yes","not yet")</f>
        <v>not yet</v>
      </c>
      <c r="AF12" s="104">
        <f>100*(1-AC12)</f>
        <v>90.926816628978841</v>
      </c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45"/>
      <c r="BD12" s="45"/>
    </row>
    <row r="13" spans="1:56" ht="13.5" x14ac:dyDescent="0.25">
      <c r="A13" s="95"/>
      <c r="B13" s="98"/>
      <c r="C13" s="96"/>
      <c r="D13" s="96"/>
      <c r="E13" s="96"/>
      <c r="F13" s="96"/>
      <c r="G13" s="96"/>
      <c r="H13" s="96"/>
      <c r="I13" s="96"/>
      <c r="J13" s="98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104">
        <f>100*(+AD7/$E$9)</f>
        <v>287.89234744464409</v>
      </c>
      <c r="W13" s="111">
        <f>EXP(5.6985-(0.68367*LN(V13)))</f>
        <v>6.2162038553274854</v>
      </c>
      <c r="X13" s="105">
        <f>(+W13*V13)/100</f>
        <v>17.895975201046767</v>
      </c>
      <c r="Y13" s="104">
        <f>100*((((X13/100)-((X13/100)-0.03574)*$E$21)-0.03574-0.00619)/0.344)</f>
        <v>25.678789629915304</v>
      </c>
      <c r="Z13" s="96">
        <f>$E$20</f>
        <v>0.25</v>
      </c>
      <c r="AA13" s="104">
        <f>Y13+Z13</f>
        <v>25.928789629915304</v>
      </c>
      <c r="AB13" s="104">
        <f>100*($E$17*$E$19+($E$18*(AA13/100))/(1-$E$21))</f>
        <v>25.831626936286646</v>
      </c>
      <c r="AC13" s="105">
        <f>AB13/V13</f>
        <v>8.9726688345731553E-2</v>
      </c>
      <c r="AD13" s="103">
        <f>$E$8/(1-AC13)</f>
        <v>15256.603530762264</v>
      </c>
      <c r="AE13" s="96" t="str">
        <f>IF(AD13=AD7,"yes","not yet")</f>
        <v>not yet</v>
      </c>
      <c r="AF13" s="104">
        <f>100*(1-AC13)</f>
        <v>91.027331165426844</v>
      </c>
      <c r="AG13" s="96"/>
      <c r="AH13" s="96"/>
      <c r="AI13" s="96"/>
      <c r="AJ13" s="96">
        <v>1</v>
      </c>
      <c r="AK13" s="96">
        <v>2</v>
      </c>
      <c r="AL13" s="96">
        <v>3</v>
      </c>
      <c r="AM13" s="96">
        <v>4</v>
      </c>
      <c r="AN13" s="96">
        <v>5</v>
      </c>
      <c r="AO13" s="96">
        <v>6</v>
      </c>
      <c r="AP13" s="96">
        <v>7</v>
      </c>
      <c r="AQ13" s="96">
        <v>8</v>
      </c>
      <c r="AR13" s="96">
        <v>9</v>
      </c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45"/>
      <c r="BD13" s="45"/>
    </row>
    <row r="14" spans="1:56" ht="13.5" x14ac:dyDescent="0.25">
      <c r="A14" s="95"/>
      <c r="B14" s="98"/>
      <c r="C14" s="100" t="s">
        <v>263</v>
      </c>
      <c r="D14" s="96"/>
      <c r="E14" s="96"/>
      <c r="F14" s="96"/>
      <c r="G14" s="96"/>
      <c r="H14" s="96"/>
      <c r="I14" s="96"/>
      <c r="J14" s="98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104">
        <f>100*(+AD8/$E$9)</f>
        <v>287.69795982468486</v>
      </c>
      <c r="W14" s="111">
        <f>EXP(5.6922-(0.68367*LN(V14)))</f>
        <v>6.1800180001682952</v>
      </c>
      <c r="X14" s="105">
        <f>(+W14*V14)/100</f>
        <v>17.779785703282474</v>
      </c>
      <c r="Y14" s="104">
        <f>100*((((X14/100)-((X14/100)-0.03574)*$E$21)-0.03574-0.00619)/0.344)</f>
        <v>25.455867919088469</v>
      </c>
      <c r="Z14" s="96">
        <f>$E$20</f>
        <v>0.25</v>
      </c>
      <c r="AA14" s="104">
        <f>Y14+Z14</f>
        <v>25.705867919088469</v>
      </c>
      <c r="AB14" s="104">
        <f>100*($E$17*$E$19+($E$18*(AA14/100))/(1-$E$21))</f>
        <v>25.628970835534975</v>
      </c>
      <c r="AC14" s="105">
        <f>AB14/V14</f>
        <v>8.9082907821635429E-2</v>
      </c>
      <c r="AD14" s="103">
        <f>$E$8/(1-AC14)</f>
        <v>15245.821095893825</v>
      </c>
      <c r="AE14" s="96" t="str">
        <f>IF(AD14=AD8,"yes","not yet")</f>
        <v>not yet</v>
      </c>
      <c r="AF14" s="104">
        <f>100*(1-AC14)</f>
        <v>91.091709217836453</v>
      </c>
      <c r="AG14" s="96"/>
      <c r="AH14" s="96"/>
      <c r="AI14" s="96"/>
      <c r="AJ14" s="96" t="str">
        <f>AE5</f>
        <v>not yet</v>
      </c>
      <c r="AK14" s="96" t="str">
        <f>AE11</f>
        <v>not yet</v>
      </c>
      <c r="AL14" s="96" t="str">
        <f>AE17</f>
        <v>not yet</v>
      </c>
      <c r="AM14" s="96" t="str">
        <f>AE23</f>
        <v>not yet</v>
      </c>
      <c r="AN14" s="96" t="str">
        <f>AE29</f>
        <v>not yet</v>
      </c>
      <c r="AO14" s="96" t="str">
        <f>AE35</f>
        <v>not yet</v>
      </c>
      <c r="AP14" s="96" t="str">
        <f>AE41</f>
        <v>yes</v>
      </c>
      <c r="AQ14" s="96" t="str">
        <f>AE47</f>
        <v>yes</v>
      </c>
      <c r="AR14" s="96" t="str">
        <f>AE53</f>
        <v>yes</v>
      </c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45"/>
      <c r="BD14" s="45"/>
    </row>
    <row r="15" spans="1:56" ht="13.5" x14ac:dyDescent="0.25">
      <c r="A15" s="95"/>
      <c r="B15" s="98"/>
      <c r="C15" s="100" t="s">
        <v>264</v>
      </c>
      <c r="D15" s="96"/>
      <c r="E15" s="109" t="s">
        <v>239</v>
      </c>
      <c r="F15" s="100" t="s">
        <v>265</v>
      </c>
      <c r="G15" s="96"/>
      <c r="H15" s="104">
        <f>HLOOKUP($AJ$25,$AJ$19:$AR$23,($E$12)+1)</f>
        <v>91.06915750908999</v>
      </c>
      <c r="I15" s="100" t="s">
        <v>241</v>
      </c>
      <c r="J15" s="95"/>
      <c r="K15" s="112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104"/>
      <c r="AB15" s="96"/>
      <c r="AC15" s="96"/>
      <c r="AD15" s="96"/>
      <c r="AE15" s="96"/>
      <c r="AF15" s="96"/>
      <c r="AG15" s="96"/>
      <c r="AH15" s="96"/>
      <c r="AI15" s="96"/>
      <c r="AJ15" s="96" t="str">
        <f>AE6</f>
        <v>not yet</v>
      </c>
      <c r="AK15" s="96" t="str">
        <f>AE12</f>
        <v>not yet</v>
      </c>
      <c r="AL15" s="96" t="str">
        <f>AE18</f>
        <v>not yet</v>
      </c>
      <c r="AM15" s="96" t="str">
        <f>AE24</f>
        <v>not yet</v>
      </c>
      <c r="AN15" s="96" t="str">
        <f>AE30</f>
        <v>not yet</v>
      </c>
      <c r="AO15" s="96" t="str">
        <f>AE36</f>
        <v>not yet</v>
      </c>
      <c r="AP15" s="96" t="str">
        <f>AE42</f>
        <v>yes</v>
      </c>
      <c r="AQ15" s="96" t="str">
        <f>AE48</f>
        <v>yes</v>
      </c>
      <c r="AR15" s="96" t="str">
        <f>AE54</f>
        <v>yes</v>
      </c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45"/>
      <c r="BD15" s="45"/>
    </row>
    <row r="16" spans="1:56" ht="13.5" x14ac:dyDescent="0.25">
      <c r="A16" s="95"/>
      <c r="B16" s="98"/>
      <c r="C16" s="113"/>
      <c r="D16" s="113"/>
      <c r="E16" s="114"/>
      <c r="F16" s="96"/>
      <c r="G16" s="96"/>
      <c r="H16" s="113"/>
      <c r="I16" s="98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00" t="s">
        <v>266</v>
      </c>
      <c r="W16" s="110" t="s">
        <v>230</v>
      </c>
      <c r="X16" s="110" t="s">
        <v>231</v>
      </c>
      <c r="Y16" s="110" t="s">
        <v>232</v>
      </c>
      <c r="Z16" s="96"/>
      <c r="AA16" s="104"/>
      <c r="AB16" s="96"/>
      <c r="AC16" s="96"/>
      <c r="AD16" s="96"/>
      <c r="AE16" s="96"/>
      <c r="AF16" s="96"/>
      <c r="AG16" s="96"/>
      <c r="AH16" s="96"/>
      <c r="AI16" s="96"/>
      <c r="AJ16" s="96" t="str">
        <f>AE7</f>
        <v>not yet</v>
      </c>
      <c r="AK16" s="96" t="str">
        <f>AE13</f>
        <v>not yet</v>
      </c>
      <c r="AL16" s="96" t="str">
        <f>AE19</f>
        <v>not yet</v>
      </c>
      <c r="AM16" s="96" t="str">
        <f>AE25</f>
        <v>not yet</v>
      </c>
      <c r="AN16" s="96" t="str">
        <f>AE31</f>
        <v>not yet</v>
      </c>
      <c r="AO16" s="96" t="str">
        <f>AE37</f>
        <v>not yet</v>
      </c>
      <c r="AP16" s="96" t="str">
        <f>AE43</f>
        <v>yes</v>
      </c>
      <c r="AQ16" s="96" t="str">
        <f>AE49</f>
        <v>yes</v>
      </c>
      <c r="AR16" s="96" t="str">
        <f>AE55</f>
        <v>yes</v>
      </c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45"/>
      <c r="BD16" s="45"/>
    </row>
    <row r="17" spans="1:56" ht="13.5" x14ac:dyDescent="0.25">
      <c r="A17" s="95"/>
      <c r="B17" s="109" t="s">
        <v>248</v>
      </c>
      <c r="C17" s="100" t="s">
        <v>267</v>
      </c>
      <c r="D17" s="96"/>
      <c r="E17" s="102">
        <v>0.4</v>
      </c>
      <c r="F17" s="100" t="s">
        <v>268</v>
      </c>
      <c r="G17" s="96"/>
      <c r="H17" s="96"/>
      <c r="I17" s="98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04">
        <f>100*(+AD11/$E$9)</f>
        <v>291.0007784789197</v>
      </c>
      <c r="W17" s="111">
        <f>EXP(5.7226-(0.68367*LN(+V17)))</f>
        <v>6.3212517672910762</v>
      </c>
      <c r="X17" s="105">
        <f>(+W17*V17)/100</f>
        <v>18.394891852429499</v>
      </c>
      <c r="Y17" s="104">
        <f>100*((((X17/100)-((X17/100)-0.03574)*$E$21)-0.03574-0.00619)/0.344)</f>
        <v>26.636013437800781</v>
      </c>
      <c r="Z17" s="96">
        <f>$E$20</f>
        <v>0.25</v>
      </c>
      <c r="AA17" s="104">
        <f>Y17+Z17</f>
        <v>26.886013437800781</v>
      </c>
      <c r="AB17" s="104">
        <f>100*($E$17*$E$19+($E$18*(AA17/100))/(1-$E$21))</f>
        <v>26.701830398000716</v>
      </c>
      <c r="AC17" s="105">
        <f>AB17/V17</f>
        <v>9.1758621875765931E-2</v>
      </c>
      <c r="AD17" s="103">
        <f>$E$8/(1-AC17)</f>
        <v>15290.735871586265</v>
      </c>
      <c r="AE17" s="96" t="str">
        <f>IF(AD17=AD11,"yes","not yet")</f>
        <v>not yet</v>
      </c>
      <c r="AF17" s="104">
        <f>100*(1-AC17)</f>
        <v>90.824137812423416</v>
      </c>
      <c r="AG17" s="96"/>
      <c r="AH17" s="96"/>
      <c r="AI17" s="96"/>
      <c r="AJ17" s="96" t="str">
        <f>AE8</f>
        <v>not yet</v>
      </c>
      <c r="AK17" s="96" t="str">
        <f>AE14</f>
        <v>not yet</v>
      </c>
      <c r="AL17" s="96" t="str">
        <f>AE20</f>
        <v>not yet</v>
      </c>
      <c r="AM17" s="96" t="str">
        <f>AE26</f>
        <v>not yet</v>
      </c>
      <c r="AN17" s="96" t="str">
        <f>AE32</f>
        <v>not yet</v>
      </c>
      <c r="AO17" s="96" t="str">
        <f>AE38</f>
        <v>not yet</v>
      </c>
      <c r="AP17" s="96" t="str">
        <f>AE44</f>
        <v>yes</v>
      </c>
      <c r="AQ17" s="96" t="str">
        <f>AE50</f>
        <v>yes</v>
      </c>
      <c r="AR17" s="96" t="str">
        <f>AE56</f>
        <v>yes</v>
      </c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45"/>
      <c r="BD17" s="45"/>
    </row>
    <row r="18" spans="1:56" ht="13.5" x14ac:dyDescent="0.25">
      <c r="A18" s="95"/>
      <c r="B18" s="109" t="s">
        <v>248</v>
      </c>
      <c r="C18" s="100" t="s">
        <v>269</v>
      </c>
      <c r="D18" s="96"/>
      <c r="E18" s="102">
        <v>0.6</v>
      </c>
      <c r="F18" s="100" t="s">
        <v>270</v>
      </c>
      <c r="G18" s="96"/>
      <c r="H18" s="115">
        <v>1.7999999999999999E-2</v>
      </c>
      <c r="I18" s="100" t="s">
        <v>248</v>
      </c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04">
        <f>100*(+AD12/$E$9)</f>
        <v>290.52415289820345</v>
      </c>
      <c r="W18" s="111">
        <f>EXP(5.70827-(0.68367*LN(+V18)))</f>
        <v>6.2383014594832886</v>
      </c>
      <c r="X18" s="105">
        <f>(+W18*V18)/100</f>
        <v>18.123772470400088</v>
      </c>
      <c r="Y18" s="104">
        <f>100*((((X18/100)-((X18/100)-0.03574)*$E$21)-0.03574-0.00619)/0.344)</f>
        <v>26.115842530418774</v>
      </c>
      <c r="Z18" s="96">
        <f>$E$20</f>
        <v>0.25</v>
      </c>
      <c r="AA18" s="104">
        <f>Y18+Z18</f>
        <v>26.365842530418774</v>
      </c>
      <c r="AB18" s="104">
        <f>100*($E$17*$E$19+($E$18*(AA18/100))/(1-$E$21))</f>
        <v>26.228947754926164</v>
      </c>
      <c r="AC18" s="105">
        <f>AB18/V18</f>
        <v>9.0281470553384618E-2</v>
      </c>
      <c r="AD18" s="103">
        <f>$E$8/(1-AC18)</f>
        <v>15265.907608797515</v>
      </c>
      <c r="AE18" s="96" t="str">
        <f>IF(AD18=AD12,"yes","not yet")</f>
        <v>not yet</v>
      </c>
      <c r="AF18" s="104">
        <f>100*(1-AC18)</f>
        <v>90.971852944661535</v>
      </c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45"/>
      <c r="BD18" s="45"/>
    </row>
    <row r="19" spans="1:56" ht="13.5" x14ac:dyDescent="0.25">
      <c r="A19" s="95"/>
      <c r="B19" s="109" t="s">
        <v>248</v>
      </c>
      <c r="C19" s="100" t="s">
        <v>271</v>
      </c>
      <c r="D19" s="96"/>
      <c r="E19" s="102">
        <v>5.6500000000000002E-2</v>
      </c>
      <c r="F19" s="100" t="s">
        <v>272</v>
      </c>
      <c r="G19" s="96"/>
      <c r="H19" s="115">
        <v>4.0000000000000001E-3</v>
      </c>
      <c r="I19" s="100" t="s">
        <v>248</v>
      </c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04">
        <f>100*(+AD13/$E$9)</f>
        <v>290.20334924306343</v>
      </c>
      <c r="W19" s="111">
        <f>EXP(5.6985-(0.68367*LN(V19)))</f>
        <v>6.1823180185368694</v>
      </c>
      <c r="X19" s="105">
        <f>(+W19*V19)/100</f>
        <v>17.941293950651392</v>
      </c>
      <c r="Y19" s="104">
        <f>100*((((X19/100)-((X19/100)-0.03574)*$E$21)-0.03574-0.00619)/0.344)</f>
        <v>25.765738393691635</v>
      </c>
      <c r="Z19" s="96">
        <f>$E$20</f>
        <v>0.25</v>
      </c>
      <c r="AA19" s="104">
        <f>Y19+Z19</f>
        <v>26.015738393691635</v>
      </c>
      <c r="AB19" s="104">
        <f>100*($E$17*$E$19+($E$18*(AA19/100))/(1-$E$21))</f>
        <v>25.910671266992395</v>
      </c>
      <c r="AC19" s="105">
        <f>AB19/V19</f>
        <v>8.9284535600898912E-2</v>
      </c>
      <c r="AD19" s="103">
        <f>$E$8/(1-AC19)</f>
        <v>15249.196443267159</v>
      </c>
      <c r="AE19" s="96" t="str">
        <f>IF(AD19=AD13,"yes","not yet")</f>
        <v>not yet</v>
      </c>
      <c r="AF19" s="104">
        <f>100*(1-AC19)</f>
        <v>91.071546439910108</v>
      </c>
      <c r="AG19" s="96"/>
      <c r="AH19" s="96"/>
      <c r="AI19" s="96"/>
      <c r="AJ19" s="96" t="str">
        <f>HLOOKUP(1,$AJ$13:$AR$17,($E$12)+1)</f>
        <v>not yet</v>
      </c>
      <c r="AK19" s="96" t="str">
        <f>HLOOKUP(2,$AJ$13:$AR$17,($E$12)+1)</f>
        <v>not yet</v>
      </c>
      <c r="AL19" s="96" t="str">
        <f>HLOOKUP(3,$AJ$13:$AR$17,($E$12)+1)</f>
        <v>not yet</v>
      </c>
      <c r="AM19" s="96" t="str">
        <f>HLOOKUP(4,$AJ$13:$AR$17,($E$12)+1)</f>
        <v>not yet</v>
      </c>
      <c r="AN19" s="96" t="str">
        <f>HLOOKUP(5,$AJ$13:$AR$17,($E$12)+1)</f>
        <v>not yet</v>
      </c>
      <c r="AO19" s="96" t="str">
        <f>HLOOKUP(6,$AJ$13:$AR$17,($E$12)+1)</f>
        <v>not yet</v>
      </c>
      <c r="AP19" s="96" t="str">
        <f>HLOOKUP(7,$AJ$13:$AR$17,($E$12)+1)</f>
        <v>yes</v>
      </c>
      <c r="AQ19" s="96" t="str">
        <f>HLOOKUP(8,$AJ$13:$AR$17,($E$12)+1)</f>
        <v>yes</v>
      </c>
      <c r="AR19" s="96" t="str">
        <f>HLOOKUP(9,$AJ$13:$AR$17,($E$12)+1)</f>
        <v>yes</v>
      </c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45"/>
      <c r="BD19" s="45"/>
    </row>
    <row r="20" spans="1:56" ht="13.5" x14ac:dyDescent="0.25">
      <c r="A20" s="95"/>
      <c r="B20" s="109" t="s">
        <v>248</v>
      </c>
      <c r="C20" s="100" t="s">
        <v>273</v>
      </c>
      <c r="D20" s="96"/>
      <c r="E20" s="116">
        <v>0.25</v>
      </c>
      <c r="F20" s="100" t="s">
        <v>274</v>
      </c>
      <c r="G20" s="96"/>
      <c r="H20" s="102">
        <v>0</v>
      </c>
      <c r="I20" s="100" t="s">
        <v>248</v>
      </c>
      <c r="J20" s="95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04">
        <f>100*(+AD14/$E$9)</f>
        <v>289.99825125349406</v>
      </c>
      <c r="W20" s="111">
        <f>EXP(5.6922-(0.68367*LN(V20)))</f>
        <v>6.1464620019185796</v>
      </c>
      <c r="X20" s="105">
        <f>(+W20*V20)/100</f>
        <v>17.824632319524383</v>
      </c>
      <c r="Y20" s="104">
        <f>100*((((X20/100)-((X20/100)-0.03574)*$E$21)-0.03574-0.00619)/0.344)</f>
        <v>25.541910845599109</v>
      </c>
      <c r="Z20" s="96">
        <f>$E$20</f>
        <v>0.25</v>
      </c>
      <c r="AA20" s="104">
        <f>Y20+Z20</f>
        <v>25.791910845599109</v>
      </c>
      <c r="AB20" s="104">
        <f>100*($E$17*$E$19+($E$18*(AA20/100))/(1-$E$21))</f>
        <v>25.70719167781737</v>
      </c>
      <c r="AC20" s="105">
        <f>AB20/V20</f>
        <v>8.8646023093932824E-2</v>
      </c>
      <c r="AD20" s="103">
        <f>$E$8/(1-AC20)</f>
        <v>15238.512556548121</v>
      </c>
      <c r="AE20" s="96" t="str">
        <f>IF(AD20=AD14,"yes","not yet")</f>
        <v>not yet</v>
      </c>
      <c r="AF20" s="104">
        <f>100*(1-AC20)</f>
        <v>91.135397690606723</v>
      </c>
      <c r="AG20" s="96"/>
      <c r="AH20" s="96"/>
      <c r="AI20" s="96">
        <v>1</v>
      </c>
      <c r="AJ20" s="104">
        <f>AF5</f>
        <v>91.517232100119827</v>
      </c>
      <c r="AK20" s="104">
        <f>AF11</f>
        <v>90.777889031585474</v>
      </c>
      <c r="AL20" s="104">
        <f>AF17</f>
        <v>90.824137812423416</v>
      </c>
      <c r="AM20" s="104">
        <f>AF23</f>
        <v>90.821240151545751</v>
      </c>
      <c r="AN20" s="104">
        <f>AF29</f>
        <v>90.821421682783267</v>
      </c>
      <c r="AO20" s="104">
        <f>AF35</f>
        <v>90.821410310232039</v>
      </c>
      <c r="AP20" s="104">
        <f>AF41</f>
        <v>90.821338435585247</v>
      </c>
      <c r="AQ20" s="104">
        <f>AF47</f>
        <v>90.821338435585247</v>
      </c>
      <c r="AR20" s="104">
        <f>AF53</f>
        <v>90.821338435585247</v>
      </c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45"/>
      <c r="BD20" s="45"/>
    </row>
    <row r="21" spans="1:56" ht="13.5" x14ac:dyDescent="0.25">
      <c r="A21" s="95"/>
      <c r="B21" s="109" t="s">
        <v>248</v>
      </c>
      <c r="C21" s="100" t="s">
        <v>162</v>
      </c>
      <c r="D21" s="96"/>
      <c r="E21" s="116">
        <v>0.34</v>
      </c>
      <c r="F21" s="100" t="s">
        <v>275</v>
      </c>
      <c r="G21" s="96"/>
      <c r="H21" s="117">
        <f>'[2]2188 Restating Expl'!C261</f>
        <v>8.6717475952765195E-3</v>
      </c>
      <c r="I21" s="100" t="s">
        <v>248</v>
      </c>
      <c r="J21" s="95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104"/>
      <c r="AB21" s="96"/>
      <c r="AC21" s="96"/>
      <c r="AD21" s="96"/>
      <c r="AE21" s="96"/>
      <c r="AF21" s="96"/>
      <c r="AG21" s="96"/>
      <c r="AH21" s="96"/>
      <c r="AI21" s="96">
        <v>2</v>
      </c>
      <c r="AJ21" s="104">
        <f>AF6</f>
        <v>91.661114400533208</v>
      </c>
      <c r="AK21" s="104">
        <f>AF12</f>
        <v>90.926816628978841</v>
      </c>
      <c r="AL21" s="104">
        <f>AF18</f>
        <v>90.971852944661535</v>
      </c>
      <c r="AM21" s="104">
        <f>AF24</f>
        <v>90.969086353987947</v>
      </c>
      <c r="AN21" s="104">
        <f>AF30</f>
        <v>90.969256289620091</v>
      </c>
      <c r="AO21" s="104">
        <f>AF36</f>
        <v>90.969245851396266</v>
      </c>
      <c r="AP21" s="104">
        <f>AF42</f>
        <v>90.969120172127873</v>
      </c>
      <c r="AQ21" s="104">
        <f>AF48</f>
        <v>90.969120172127873</v>
      </c>
      <c r="AR21" s="104">
        <f>AF54</f>
        <v>90.969120172127873</v>
      </c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45"/>
      <c r="BD21" s="45"/>
    </row>
    <row r="22" spans="1:56" ht="13.5" x14ac:dyDescent="0.25">
      <c r="A22" s="95"/>
      <c r="B22" s="98"/>
      <c r="C22" s="96"/>
      <c r="D22" s="96"/>
      <c r="E22" s="96"/>
      <c r="F22" s="96"/>
      <c r="G22" s="96"/>
      <c r="H22" s="113"/>
      <c r="I22" s="113"/>
      <c r="J22" s="98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00" t="s">
        <v>276</v>
      </c>
      <c r="W22" s="110" t="s">
        <v>230</v>
      </c>
      <c r="X22" s="110" t="s">
        <v>231</v>
      </c>
      <c r="Y22" s="110" t="s">
        <v>232</v>
      </c>
      <c r="Z22" s="96"/>
      <c r="AA22" s="104"/>
      <c r="AB22" s="96"/>
      <c r="AC22" s="96"/>
      <c r="AD22" s="96"/>
      <c r="AE22" s="96"/>
      <c r="AF22" s="96"/>
      <c r="AG22" s="96"/>
      <c r="AH22" s="96"/>
      <c r="AI22" s="96">
        <v>3</v>
      </c>
      <c r="AJ22" s="104">
        <f>AF7</f>
        <v>91.758035985807879</v>
      </c>
      <c r="AK22" s="104">
        <f>AF13</f>
        <v>91.027331165426844</v>
      </c>
      <c r="AL22" s="104">
        <f>AF19</f>
        <v>91.071546439910108</v>
      </c>
      <c r="AM22" s="104">
        <f>AF25</f>
        <v>91.068866698481955</v>
      </c>
      <c r="AN22" s="104">
        <f>AF31</f>
        <v>91.069029093083273</v>
      </c>
      <c r="AO22" s="104">
        <f>AF37</f>
        <v>91.06901925177533</v>
      </c>
      <c r="AP22" s="104">
        <f>AF43</f>
        <v>91.06915750908999</v>
      </c>
      <c r="AQ22" s="104">
        <f>AF49</f>
        <v>91.06915750908999</v>
      </c>
      <c r="AR22" s="104">
        <f>AF55</f>
        <v>91.06915750908999</v>
      </c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45"/>
      <c r="BD22" s="45"/>
    </row>
    <row r="23" spans="1:56" ht="13.5" x14ac:dyDescent="0.25">
      <c r="A23" s="95"/>
      <c r="B23" s="98"/>
      <c r="C23" s="96"/>
      <c r="D23" s="96"/>
      <c r="E23" s="96"/>
      <c r="F23" s="100" t="s">
        <v>277</v>
      </c>
      <c r="G23" s="96"/>
      <c r="H23" s="102">
        <f>SUM(H18:H21)</f>
        <v>3.0671747595276518E-2</v>
      </c>
      <c r="I23" s="102"/>
      <c r="J23" s="98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104">
        <f>100*(+AD17/$E$9)</f>
        <v>290.85259726243146</v>
      </c>
      <c r="W23" s="111">
        <f>EXP(5.7226-(0.68367*LN(+V23)))</f>
        <v>6.3234533491163347</v>
      </c>
      <c r="X23" s="105">
        <f>(+W23*V23)/100</f>
        <v>18.391928302583068</v>
      </c>
      <c r="Y23" s="104">
        <f>100*((((X23/100)-((X23/100)-0.03574)*$E$21)-0.03574-0.00619)/0.344)</f>
        <v>26.630327557281468</v>
      </c>
      <c r="Z23" s="96">
        <f>$E$20</f>
        <v>0.25</v>
      </c>
      <c r="AA23" s="104">
        <f>Y23+Z23</f>
        <v>26.880327557281468</v>
      </c>
      <c r="AB23" s="104">
        <f>100*($E$17*$E$19+($E$18*(AA23/100))/(1-$E$21))</f>
        <v>26.696661415710427</v>
      </c>
      <c r="AC23" s="105">
        <f>AB23/V23</f>
        <v>9.1787598484542585E-2</v>
      </c>
      <c r="AD23" s="103">
        <f>$E$8/(1-AC23)</f>
        <v>15291.223724064957</v>
      </c>
      <c r="AE23" s="96" t="str">
        <f>IF(AD23=AD17,"yes","not yet")</f>
        <v>not yet</v>
      </c>
      <c r="AF23" s="104">
        <f>100*(1-AC23)</f>
        <v>90.821240151545751</v>
      </c>
      <c r="AG23" s="96"/>
      <c r="AH23" s="96"/>
      <c r="AI23" s="96">
        <v>4</v>
      </c>
      <c r="AJ23" s="104">
        <f>AF8</f>
        <v>91.820033735942388</v>
      </c>
      <c r="AK23" s="104">
        <f>AF14</f>
        <v>91.091709217836453</v>
      </c>
      <c r="AL23" s="104">
        <f>AF20</f>
        <v>91.135397690606723</v>
      </c>
      <c r="AM23" s="104">
        <f>AF26</f>
        <v>91.132772878715471</v>
      </c>
      <c r="AN23" s="104">
        <f>AF32</f>
        <v>91.132930562869348</v>
      </c>
      <c r="AO23" s="104">
        <f>AF38</f>
        <v>91.132921090024823</v>
      </c>
      <c r="AP23" s="104">
        <f>AF44</f>
        <v>91.132948002455976</v>
      </c>
      <c r="AQ23" s="104">
        <f>AF50</f>
        <v>91.132948002455976</v>
      </c>
      <c r="AR23" s="104">
        <f>AF56</f>
        <v>91.132948002455976</v>
      </c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45"/>
      <c r="BD23" s="45"/>
    </row>
    <row r="24" spans="1:56" ht="13.5" x14ac:dyDescent="0.25">
      <c r="A24" s="95"/>
      <c r="B24" s="98"/>
      <c r="C24" s="96"/>
      <c r="D24" s="96"/>
      <c r="E24" s="96"/>
      <c r="F24" s="96"/>
      <c r="G24" s="96"/>
      <c r="H24" s="96"/>
      <c r="I24" s="96"/>
      <c r="J24" s="98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104">
        <f>100*(+AD18/$E$9)</f>
        <v>290.38032668119405</v>
      </c>
      <c r="W24" s="111">
        <f>EXP(5.70827-(0.68367*LN(+V24)))</f>
        <v>6.2404137309504168</v>
      </c>
      <c r="X24" s="105">
        <f>(+W24*V24)/100</f>
        <v>18.120933778191912</v>
      </c>
      <c r="Y24" s="104">
        <f>100*((((X24/100)-((X24/100)-0.03574)*$E$21)-0.03574-0.00619)/0.344)</f>
        <v>26.110396202344948</v>
      </c>
      <c r="Z24" s="96">
        <f>$E$20</f>
        <v>0.25</v>
      </c>
      <c r="AA24" s="104">
        <f>Y24+Z24</f>
        <v>26.360396202344948</v>
      </c>
      <c r="AB24" s="104">
        <f>100*($E$17*$E$19+($E$18*(AA24/100))/(1-$E$21))</f>
        <v>26.223996547586321</v>
      </c>
      <c r="AC24" s="105">
        <f>AB24/V24</f>
        <v>9.0309136460120495E-2</v>
      </c>
      <c r="AD24" s="103">
        <f>$E$8/(1-AC24)</f>
        <v>15266.371882094159</v>
      </c>
      <c r="AE24" s="96" t="str">
        <f>IF(AD24=AD18,"yes","not yet")</f>
        <v>not yet</v>
      </c>
      <c r="AF24" s="104">
        <f>100*(1-AC24)</f>
        <v>90.969086353987947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45"/>
      <c r="BD24" s="45"/>
    </row>
    <row r="25" spans="1:56" ht="13.5" x14ac:dyDescent="0.25">
      <c r="A25" s="95"/>
      <c r="B25" s="98"/>
      <c r="C25" s="96"/>
      <c r="D25" s="96"/>
      <c r="E25" s="96"/>
      <c r="F25" s="100" t="s">
        <v>278</v>
      </c>
      <c r="G25" s="96"/>
      <c r="H25" s="105">
        <f>((+H15/100)-H23)</f>
        <v>0.88001982749562346</v>
      </c>
      <c r="I25" s="105"/>
      <c r="J25" s="98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104">
        <f>100*(+AD19/$E$9)</f>
        <v>290.06245539372918</v>
      </c>
      <c r="W25" s="111">
        <f>EXP(5.6985-(0.68367*LN(V25)))</f>
        <v>6.1843709054239309</v>
      </c>
      <c r="X25" s="105">
        <f>(+W25*V25)/100</f>
        <v>17.938538098928053</v>
      </c>
      <c r="Y25" s="104">
        <f>100*((((X25/100)-((X25/100)-0.03574)*$E$21)-0.03574-0.00619)/0.344)</f>
        <v>25.760451003757311</v>
      </c>
      <c r="Z25" s="96">
        <f>$E$20</f>
        <v>0.25</v>
      </c>
      <c r="AA25" s="104">
        <f>Y25+Z25</f>
        <v>26.010451003757311</v>
      </c>
      <c r="AB25" s="104">
        <f>100*($E$17*$E$19+($E$18*(AA25/100))/(1-$E$21))</f>
        <v>25.905864548870287</v>
      </c>
      <c r="AC25" s="105">
        <f>AB25/V25</f>
        <v>8.9311333015180502E-2</v>
      </c>
      <c r="AD25" s="103">
        <f>$E$8/(1-AC25)</f>
        <v>15249.645157574656</v>
      </c>
      <c r="AE25" s="96" t="str">
        <f>IF(AD25=AD19,"yes","not yet")</f>
        <v>not yet</v>
      </c>
      <c r="AF25" s="104">
        <f>100*(1-AC25)</f>
        <v>91.068866698481955</v>
      </c>
      <c r="AG25" s="96"/>
      <c r="AH25" s="96"/>
      <c r="AI25" s="96"/>
      <c r="AJ25" s="96" t="s">
        <v>279</v>
      </c>
      <c r="AK25" s="96"/>
      <c r="AL25" s="96"/>
      <c r="AM25" s="96"/>
      <c r="AN25" s="96"/>
      <c r="AO25" s="96"/>
      <c r="AP25" s="96"/>
      <c r="AQ25" s="96"/>
      <c r="AR25" s="96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45"/>
      <c r="BD25" s="45"/>
    </row>
    <row r="26" spans="1:56" ht="13.5" x14ac:dyDescent="0.25">
      <c r="A26" s="95"/>
      <c r="B26" s="98"/>
      <c r="C26" s="96"/>
      <c r="D26" s="96"/>
      <c r="E26" s="96"/>
      <c r="F26" s="96"/>
      <c r="G26" s="96"/>
      <c r="H26" s="96"/>
      <c r="I26" s="96"/>
      <c r="J26" s="98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104">
        <f>100*(+AD20/$E$9)</f>
        <v>289.85923193691281</v>
      </c>
      <c r="W26" s="111">
        <f>EXP(5.6922-(0.68367*LN(V26)))</f>
        <v>6.1484772420241507</v>
      </c>
      <c r="X26" s="105">
        <f>(+W26*V26)/100</f>
        <v>17.821928909547083</v>
      </c>
      <c r="Y26" s="104">
        <f>100*((((X26/100)-((X26/100)-0.03574)*$E$21)-0.03574-0.00619)/0.344)</f>
        <v>25.536724070642659</v>
      </c>
      <c r="Z26" s="96">
        <f>$E$20</f>
        <v>0.25</v>
      </c>
      <c r="AA26" s="104">
        <f>Y26+Z26</f>
        <v>25.786724070642659</v>
      </c>
      <c r="AB26" s="104">
        <f>100*($E$17*$E$19+($E$18*(AA26/100))/(1-$E$21))</f>
        <v>25.702476427856961</v>
      </c>
      <c r="AC26" s="105">
        <f>AB26/V26</f>
        <v>8.8672271212845294E-2</v>
      </c>
      <c r="AD26" s="103">
        <f>$E$8/(1-AC26)</f>
        <v>15238.951457151054</v>
      </c>
      <c r="AE26" s="96" t="str">
        <f>IF(AD26=AD20,"yes","not yet")</f>
        <v>not yet</v>
      </c>
      <c r="AF26" s="104">
        <f>100*(1-AC26)</f>
        <v>91.132772878715471</v>
      </c>
      <c r="AG26" s="96"/>
      <c r="AH26" s="96"/>
      <c r="AI26" s="96"/>
      <c r="AJ26" s="104">
        <f>HLOOKUP($AJ$25,$AJ$19:$AR$23,($E$12)+1)</f>
        <v>91.06915750908999</v>
      </c>
      <c r="AK26" s="96"/>
      <c r="AL26" s="96"/>
      <c r="AM26" s="96"/>
      <c r="AN26" s="96"/>
      <c r="AO26" s="96"/>
      <c r="AP26" s="96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45"/>
      <c r="BD26" s="45"/>
    </row>
    <row r="27" spans="1:56" ht="14.25" x14ac:dyDescent="0.3">
      <c r="A27" s="95"/>
      <c r="B27" s="123"/>
      <c r="C27" s="216" t="s">
        <v>281</v>
      </c>
      <c r="D27" s="216"/>
      <c r="E27" s="216"/>
      <c r="F27" s="216"/>
      <c r="G27" s="216"/>
      <c r="H27" s="216"/>
      <c r="I27" s="96"/>
      <c r="J27" s="98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104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45"/>
      <c r="BD27" s="45"/>
    </row>
    <row r="28" spans="1:56" ht="13.5" x14ac:dyDescent="0.25">
      <c r="A28" s="95"/>
      <c r="B28" s="123"/>
      <c r="C28" s="123" t="s">
        <v>240</v>
      </c>
      <c r="D28" s="123"/>
      <c r="E28" s="124">
        <v>15880.211587173582</v>
      </c>
      <c r="F28" s="123" t="s">
        <v>241</v>
      </c>
      <c r="G28" s="123"/>
      <c r="H28" s="123"/>
      <c r="I28" s="9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00" t="s">
        <v>280</v>
      </c>
      <c r="W28" s="110" t="s">
        <v>230</v>
      </c>
      <c r="X28" s="110" t="s">
        <v>231</v>
      </c>
      <c r="Y28" s="110" t="s">
        <v>232</v>
      </c>
      <c r="Z28" s="96"/>
      <c r="AA28" s="104"/>
      <c r="AB28" s="96"/>
      <c r="AC28" s="96"/>
      <c r="AD28" s="96"/>
      <c r="AE28" s="96"/>
      <c r="AF28" s="96"/>
      <c r="AG28" s="96"/>
      <c r="AH28" s="96"/>
      <c r="AI28" s="96"/>
      <c r="AJ28" s="96" t="str">
        <f>HLOOKUP(1,$AJ$13:$AR$17,($E$12)+1)</f>
        <v>not yet</v>
      </c>
      <c r="AK28" s="96" t="str">
        <f>HLOOKUP(2,$AJ$13:$AR$17,($E$12)+1)</f>
        <v>not yet</v>
      </c>
      <c r="AL28" s="96" t="str">
        <f>HLOOKUP(3,$AJ$13:$AR$17,($E$12)+1)</f>
        <v>not yet</v>
      </c>
      <c r="AM28" s="96" t="str">
        <f>HLOOKUP(4,$AJ$13:$AR$17,($E$12)+1)</f>
        <v>not yet</v>
      </c>
      <c r="AN28" s="96" t="str">
        <f>HLOOKUP(5,$AJ$13:$AR$17,($E$12)+1)</f>
        <v>not yet</v>
      </c>
      <c r="AO28" s="96" t="str">
        <f>HLOOKUP(6,$AJ$13:$AR$17,($E$12)+1)</f>
        <v>not yet</v>
      </c>
      <c r="AP28" s="96" t="str">
        <f>HLOOKUP(7,$AJ$13:$AR$17,($E$12)+1)</f>
        <v>yes</v>
      </c>
      <c r="AQ28" s="96" t="str">
        <f>HLOOKUP(8,$AJ$13:$AR$17,($E$12)+1)</f>
        <v>yes</v>
      </c>
      <c r="AR28" s="96" t="str">
        <f>HLOOKUP(9,$AJ$13:$AR$17,($E$12)+1)</f>
        <v>yes</v>
      </c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45"/>
      <c r="BD28" s="45"/>
    </row>
    <row r="29" spans="1:56" ht="13.5" x14ac:dyDescent="0.25">
      <c r="A29" s="95"/>
      <c r="B29" s="118"/>
      <c r="C29" s="118" t="s">
        <v>245</v>
      </c>
      <c r="D29" s="118"/>
      <c r="E29" s="119">
        <v>978.40998717358218</v>
      </c>
      <c r="F29" s="118" t="s">
        <v>241</v>
      </c>
      <c r="G29" s="118"/>
      <c r="H29" s="125">
        <v>6.5657161022300958E-2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104">
        <f>100*(+AD23/$E$9)</f>
        <v>290.8618769440439</v>
      </c>
      <c r="W29" s="111">
        <f>EXP(5.7226-(0.68367*LN(+V29)))</f>
        <v>6.3233154221109773</v>
      </c>
      <c r="X29" s="105">
        <f>(+W29*V29)/100</f>
        <v>18.392113921844182</v>
      </c>
      <c r="Y29" s="104">
        <f>100*((((X29/100)-((X29/100)-0.03574)*$E$21)-0.03574-0.00619)/0.344)</f>
        <v>26.630683687259182</v>
      </c>
      <c r="Z29" s="96">
        <f>$E$20</f>
        <v>0.25</v>
      </c>
      <c r="AA29" s="104">
        <f>Y29+Z29</f>
        <v>26.880683687259182</v>
      </c>
      <c r="AB29" s="104">
        <f>100*($E$17*$E$19+($E$18*(AA29/100))/(1-$E$21))</f>
        <v>26.696985170235621</v>
      </c>
      <c r="AC29" s="105">
        <f>AB29/V29</f>
        <v>9.1785783172167304E-2</v>
      </c>
      <c r="AD29" s="103">
        <f>$E$8/(1-AC29)</f>
        <v>15291.19316040812</v>
      </c>
      <c r="AE29" s="96" t="str">
        <f>IF(AD29=AD23,"yes","not yet")</f>
        <v>not yet</v>
      </c>
      <c r="AF29" s="104">
        <f>100*(1-AC29)</f>
        <v>90.821421682783267</v>
      </c>
      <c r="AG29" s="96"/>
      <c r="AH29" s="96"/>
      <c r="AI29" s="96">
        <v>1</v>
      </c>
      <c r="AJ29" s="104">
        <f>V5</f>
        <v>330.20545471080453</v>
      </c>
      <c r="AK29" s="104">
        <f>V11</f>
        <v>288.64986156885493</v>
      </c>
      <c r="AL29" s="104">
        <f>V17</f>
        <v>291.0007784789197</v>
      </c>
      <c r="AM29" s="104">
        <f>V23</f>
        <v>290.85259726243146</v>
      </c>
      <c r="AN29" s="104">
        <f>V29</f>
        <v>290.8618769440439</v>
      </c>
      <c r="AO29" s="104">
        <f>V35</f>
        <v>290.86129557771545</v>
      </c>
      <c r="AP29" s="104">
        <f>V41</f>
        <v>290.85762137871927</v>
      </c>
      <c r="AQ29" s="104">
        <f>V47</f>
        <v>290.85762137871927</v>
      </c>
      <c r="AR29" s="104">
        <f>V53</f>
        <v>290.85762137871927</v>
      </c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45"/>
      <c r="BD29" s="45"/>
    </row>
    <row r="30" spans="1:56" ht="13.5" x14ac:dyDescent="0.25">
      <c r="A30" s="95"/>
      <c r="B30" s="118"/>
      <c r="C30" s="118"/>
      <c r="D30" s="118" t="s">
        <v>28</v>
      </c>
      <c r="E30" s="119">
        <f>E6-E29</f>
        <v>-618.49326728734263</v>
      </c>
      <c r="F30" s="118"/>
      <c r="G30" s="118" t="s">
        <v>28</v>
      </c>
      <c r="H30" s="118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04">
        <f>100*(+AD24/$E$9)</f>
        <v>290.38915785160356</v>
      </c>
      <c r="W30" s="111">
        <f>EXP(5.70827-(0.68367*LN(+V30)))</f>
        <v>6.2402839831919152</v>
      </c>
      <c r="X30" s="105">
        <f>(+W30*V30)/100</f>
        <v>18.121108106339506</v>
      </c>
      <c r="Y30" s="104">
        <f>100*((((X30/100)-((X30/100)-0.03574)*$E$21)-0.03574-0.00619)/0.344)</f>
        <v>26.110730669139752</v>
      </c>
      <c r="Z30" s="96">
        <f>$E$20</f>
        <v>0.25</v>
      </c>
      <c r="AA30" s="104">
        <f>Y30+Z30</f>
        <v>26.360730669139752</v>
      </c>
      <c r="AB30" s="104">
        <f>100*($E$17*$E$19+($E$18*(AA30/100))/(1-$E$21))</f>
        <v>26.224300608308869</v>
      </c>
      <c r="AC30" s="105">
        <f>AB30/V30</f>
        <v>9.0307437103799071E-2</v>
      </c>
      <c r="AD30" s="103">
        <f>$E$8/(1-AC30)</f>
        <v>15266.343363662087</v>
      </c>
      <c r="AE30" s="96" t="str">
        <f>IF(AD30=AD24,"yes","not yet")</f>
        <v>not yet</v>
      </c>
      <c r="AF30" s="104">
        <f>100*(1-AC30)</f>
        <v>90.969256289620091</v>
      </c>
      <c r="AG30" s="96"/>
      <c r="AH30" s="96"/>
      <c r="AI30" s="96">
        <v>2</v>
      </c>
      <c r="AJ30" s="104">
        <f>V6</f>
        <v>330.20545471080453</v>
      </c>
      <c r="AK30" s="104">
        <f>V12</f>
        <v>288.19676205803029</v>
      </c>
      <c r="AL30" s="104">
        <f>V18</f>
        <v>290.52415289820345</v>
      </c>
      <c r="AM30" s="104">
        <f>V24</f>
        <v>290.38032668119405</v>
      </c>
      <c r="AN30" s="104">
        <f>V30</f>
        <v>290.38915785160356</v>
      </c>
      <c r="AO30" s="104">
        <f>V36</f>
        <v>290.38861538849983</v>
      </c>
      <c r="AP30" s="104">
        <f>V42</f>
        <v>290.38208409963568</v>
      </c>
      <c r="AQ30" s="104">
        <f>V48</f>
        <v>290.38208409963568</v>
      </c>
      <c r="AR30" s="104">
        <f>V54</f>
        <v>290.38208409963568</v>
      </c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45"/>
      <c r="BD30" s="45"/>
    </row>
    <row r="31" spans="1:56" ht="13.5" x14ac:dyDescent="0.25">
      <c r="A31" s="95"/>
      <c r="B31" s="118"/>
      <c r="C31" s="118"/>
      <c r="D31" s="118" t="s">
        <v>28</v>
      </c>
      <c r="E31" s="119" t="s">
        <v>28</v>
      </c>
      <c r="F31" s="118"/>
      <c r="G31" s="118" t="s">
        <v>28</v>
      </c>
      <c r="H31" s="118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04">
        <f>100*(+AD25/$E$9)</f>
        <v>290.07099060896405</v>
      </c>
      <c r="W31" s="111">
        <f>EXP(5.6985-(0.68367*LN(V31)))</f>
        <v>6.184246495721335</v>
      </c>
      <c r="X31" s="105">
        <f>(+W31*V31)/100</f>
        <v>17.938705071839021</v>
      </c>
      <c r="Y31" s="104">
        <f>100*((((X31/100)-((X31/100)-0.03574)*$E$21)-0.03574-0.00619)/0.344)</f>
        <v>25.760771358760913</v>
      </c>
      <c r="Z31" s="96">
        <f>$E$20</f>
        <v>0.25</v>
      </c>
      <c r="AA31" s="104">
        <f>Y31+Z31</f>
        <v>26.010771358760913</v>
      </c>
      <c r="AB31" s="104">
        <f>100*($E$17*$E$19+($E$18*(AA31/100))/(1-$E$21))</f>
        <v>25.906155780691741</v>
      </c>
      <c r="AC31" s="105">
        <f>AB31/V31</f>
        <v>8.9309709069167298E-2</v>
      </c>
      <c r="AD31" s="103">
        <f>$E$8/(1-AC31)</f>
        <v>15249.617964355728</v>
      </c>
      <c r="AE31" s="96" t="str">
        <f>IF(AD31=AD25,"yes","not yet")</f>
        <v>not yet</v>
      </c>
      <c r="AF31" s="104">
        <f>100*(1-AC31)</f>
        <v>91.069029093083273</v>
      </c>
      <c r="AG31" s="96"/>
      <c r="AH31" s="96"/>
      <c r="AI31" s="96">
        <v>3</v>
      </c>
      <c r="AJ31" s="104">
        <f>V7</f>
        <v>330.20545471080453</v>
      </c>
      <c r="AK31" s="104">
        <f>V13</f>
        <v>287.89234744464409</v>
      </c>
      <c r="AL31" s="104">
        <f>V19</f>
        <v>290.20334924306343</v>
      </c>
      <c r="AM31" s="104">
        <f>V25</f>
        <v>290.06245539372918</v>
      </c>
      <c r="AN31" s="104">
        <f>V31</f>
        <v>290.07099060896405</v>
      </c>
      <c r="AO31" s="104">
        <f>V37</f>
        <v>290.07047335339053</v>
      </c>
      <c r="AP31" s="104">
        <f>V43</f>
        <v>290.07774024102213</v>
      </c>
      <c r="AQ31" s="104">
        <f>V49</f>
        <v>290.07774024102213</v>
      </c>
      <c r="AR31" s="104">
        <f>V55</f>
        <v>290.07774024102213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45"/>
      <c r="BD31" s="45"/>
    </row>
    <row r="32" spans="1:56" ht="13.5" x14ac:dyDescent="0.25">
      <c r="A32" s="95"/>
      <c r="B32" s="118"/>
      <c r="C32" s="118"/>
      <c r="D32" s="121" t="s">
        <v>282</v>
      </c>
      <c r="E32" s="122">
        <f>E30/'Joe''s Priceout'!J67</f>
        <v>-0.16036557369232921</v>
      </c>
      <c r="F32" s="126"/>
      <c r="G32" s="118"/>
      <c r="H32" s="118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04">
        <f>100*(+AD26/$E$9)</f>
        <v>289.86758048085306</v>
      </c>
      <c r="W32" s="111">
        <f>EXP(5.6922-(0.68367*LN(V32)))</f>
        <v>6.1483561746388045</v>
      </c>
      <c r="X32" s="105">
        <f>(+W32*V32)/100</f>
        <v>17.822091282770636</v>
      </c>
      <c r="Y32" s="104">
        <f>100*((((X32/100)-((X32/100)-0.03574)*$E$21)-0.03574-0.00619)/0.344)</f>
        <v>25.537035600664591</v>
      </c>
      <c r="Z32" s="96">
        <f>$E$20</f>
        <v>0.25</v>
      </c>
      <c r="AA32" s="104">
        <f>Y32+Z32</f>
        <v>25.787035600664591</v>
      </c>
      <c r="AB32" s="104">
        <f>100*($E$17*$E$19+($E$18*(AA32/100))/(1-$E$21))</f>
        <v>25.702759636967816</v>
      </c>
      <c r="AC32" s="105">
        <f>AB32/V32</f>
        <v>8.8670694371306508E-2</v>
      </c>
      <c r="AD32" s="103">
        <f>$E$8/(1-AC32)</f>
        <v>15238.925089721062</v>
      </c>
      <c r="AE32" s="96" t="str">
        <f>IF(AD32=AD26,"yes","not yet")</f>
        <v>not yet</v>
      </c>
      <c r="AF32" s="104">
        <f>100*(1-AC32)</f>
        <v>91.132930562869348</v>
      </c>
      <c r="AG32" s="96"/>
      <c r="AH32" s="96"/>
      <c r="AI32" s="96">
        <v>4</v>
      </c>
      <c r="AJ32" s="104">
        <f>V8</f>
        <v>330.20545471080453</v>
      </c>
      <c r="AK32" s="104">
        <f>V14</f>
        <v>287.69795982468486</v>
      </c>
      <c r="AL32" s="104">
        <f>V20</f>
        <v>289.99825125349406</v>
      </c>
      <c r="AM32" s="104">
        <f>V26</f>
        <v>289.85923193691281</v>
      </c>
      <c r="AN32" s="104">
        <f>V32</f>
        <v>289.86758048085306</v>
      </c>
      <c r="AO32" s="104">
        <f>V38</f>
        <v>289.8670789330165</v>
      </c>
      <c r="AP32" s="104">
        <f>V44</f>
        <v>289.86850383822531</v>
      </c>
      <c r="AQ32" s="104">
        <f>V50</f>
        <v>289.86850383822531</v>
      </c>
      <c r="AR32" s="104">
        <f>V56</f>
        <v>289.86850383822531</v>
      </c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45"/>
      <c r="BD32" s="45"/>
    </row>
    <row r="33" spans="1:56" ht="13.5" x14ac:dyDescent="0.25">
      <c r="A33" s="95"/>
      <c r="B33" s="96"/>
      <c r="C33" s="96"/>
      <c r="D33" s="96"/>
      <c r="E33" s="103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104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45"/>
      <c r="BD33" s="45"/>
    </row>
    <row r="34" spans="1:56" ht="13.5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00" t="s">
        <v>283</v>
      </c>
      <c r="W34" s="110" t="s">
        <v>230</v>
      </c>
      <c r="X34" s="110" t="s">
        <v>231</v>
      </c>
      <c r="Y34" s="110" t="s">
        <v>232</v>
      </c>
      <c r="Z34" s="96"/>
      <c r="AA34" s="104"/>
      <c r="AB34" s="96"/>
      <c r="AC34" s="96"/>
      <c r="AD34" s="96"/>
      <c r="AE34" s="96"/>
      <c r="AF34" s="96"/>
      <c r="AG34" s="96"/>
      <c r="AH34" s="96"/>
      <c r="AI34" s="96"/>
      <c r="AJ34" s="96" t="s">
        <v>279</v>
      </c>
      <c r="AK34" s="96"/>
      <c r="AL34" s="96"/>
      <c r="AM34" s="96"/>
      <c r="AN34" s="96"/>
      <c r="AO34" s="96"/>
      <c r="AP34" s="96"/>
      <c r="AQ34" s="96"/>
      <c r="AR34" s="96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45"/>
      <c r="BD34" s="45"/>
    </row>
    <row r="35" spans="1:56" ht="13.5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04">
        <f>100*(+AD29/$E$9)</f>
        <v>290.86129557771545</v>
      </c>
      <c r="W35" s="111">
        <f>EXP(5.7226-(0.68367*LN(+V35)))</f>
        <v>6.3233240629352361</v>
      </c>
      <c r="X35" s="105">
        <f>(+W35*V35)/100</f>
        <v>18.392102293030863</v>
      </c>
      <c r="Y35" s="104">
        <f>100*((((X35/100)-((X35/100)-0.03574)*$E$21)-0.03574-0.00619)/0.344)</f>
        <v>26.630661376163868</v>
      </c>
      <c r="Z35" s="96">
        <f>$E$20</f>
        <v>0.25</v>
      </c>
      <c r="AA35" s="104">
        <f>Y35+Z35</f>
        <v>26.880661376163868</v>
      </c>
      <c r="AB35" s="104">
        <f>100*($E$17*$E$19+($E$18*(AA35/100))/(1-$E$21))</f>
        <v>26.696964887421696</v>
      </c>
      <c r="AC35" s="105">
        <f>AB35/V35</f>
        <v>9.1785896897679575E-2</v>
      </c>
      <c r="AD35" s="103">
        <f>ROUND($E$8/(1-AC35),0)</f>
        <v>15291</v>
      </c>
      <c r="AE35" s="96" t="str">
        <f>IF(AD35=AD29,"yes","not yet")</f>
        <v>not yet</v>
      </c>
      <c r="AF35" s="104">
        <f>100*(1-AC35)</f>
        <v>90.821410310232039</v>
      </c>
      <c r="AG35" s="96"/>
      <c r="AH35" s="96"/>
      <c r="AI35" s="96"/>
      <c r="AJ35" s="104">
        <f>HLOOKUP($AJ$34,$AJ$28:$AR$32,($E$12)+1)</f>
        <v>290.07774024102213</v>
      </c>
      <c r="AK35" s="96"/>
      <c r="AL35" s="96"/>
      <c r="AM35" s="96"/>
      <c r="AN35" s="96"/>
      <c r="AO35" s="96"/>
      <c r="AP35" s="96"/>
      <c r="AQ35" s="96"/>
      <c r="AR35" s="96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45"/>
      <c r="BD35" s="45"/>
    </row>
    <row r="36" spans="1:56" ht="13.5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104">
        <f>100*(+AD30/$E$9)</f>
        <v>290.38861538849983</v>
      </c>
      <c r="W36" s="111">
        <f>EXP(5.70827-(0.68367*LN(+V36)))</f>
        <v>6.2402919528807868</v>
      </c>
      <c r="X36" s="105">
        <f>(+W36*V36)/100</f>
        <v>18.121097398170495</v>
      </c>
      <c r="Y36" s="104">
        <f>100*((((X36/100)-((X36/100)-0.03574)*$E$21)-0.03574-0.00619)/0.344)</f>
        <v>26.110710124396881</v>
      </c>
      <c r="Z36" s="96">
        <f>$E$20</f>
        <v>0.25</v>
      </c>
      <c r="AA36" s="104">
        <f>Y36+Z36</f>
        <v>26.360710124396881</v>
      </c>
      <c r="AB36" s="104">
        <f>100*($E$17*$E$19+($E$18*(AA36/100))/(1-$E$21))</f>
        <v>26.224281931269889</v>
      </c>
      <c r="AC36" s="105">
        <f>AB36/V36</f>
        <v>9.030754148603734E-2</v>
      </c>
      <c r="AD36" s="103">
        <f>ROUND($E$8/(1-AC36),0)</f>
        <v>15266</v>
      </c>
      <c r="AE36" s="96" t="str">
        <f>IF(AD36=AD30,"yes","not yet")</f>
        <v>not yet</v>
      </c>
      <c r="AF36" s="104">
        <f>100*(1-AC36)</f>
        <v>90.969245851396266</v>
      </c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45"/>
      <c r="BD36" s="45"/>
    </row>
    <row r="37" spans="1:56" ht="13.5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104">
        <f>100*(+AD31/$E$9)</f>
        <v>290.07047335339053</v>
      </c>
      <c r="W37" s="111">
        <f>EXP(5.6985-(0.68367*LN(V37)))</f>
        <v>6.1842540350876982</v>
      </c>
      <c r="X37" s="105">
        <f>(+W37*V37)/100</f>
        <v>17.938694952955039</v>
      </c>
      <c r="Y37" s="104">
        <f>100*((((X37/100)-((X37/100)-0.03574)*$E$21)-0.03574-0.00619)/0.344)</f>
        <v>25.760751944623046</v>
      </c>
      <c r="Z37" s="96">
        <f>$E$20</f>
        <v>0.25</v>
      </c>
      <c r="AA37" s="104">
        <f>Y37+Z37</f>
        <v>26.010751944623046</v>
      </c>
      <c r="AB37" s="104">
        <f>100*($E$17*$E$19+($E$18*(AA37/100))/(1-$E$21))</f>
        <v>25.906138131475497</v>
      </c>
      <c r="AC37" s="105">
        <f>AB37/V37</f>
        <v>8.9309807482246761E-2</v>
      </c>
      <c r="AD37" s="103">
        <f>ROUND($E$8/(1-AC37),0)</f>
        <v>15250</v>
      </c>
      <c r="AE37" s="96" t="str">
        <f>IF(AD37=AD31,"yes","not yet")</f>
        <v>not yet</v>
      </c>
      <c r="AF37" s="104">
        <f>100*(1-AC37)</f>
        <v>91.06901925177533</v>
      </c>
      <c r="AG37" s="96"/>
      <c r="AH37" s="96"/>
      <c r="AI37" s="96"/>
      <c r="AJ37" s="96" t="str">
        <f>HLOOKUP(1,$AJ$13:$AR$17,($E$12)+1)</f>
        <v>not yet</v>
      </c>
      <c r="AK37" s="96" t="str">
        <f>HLOOKUP(2,$AJ$13:$AR$17,($E$12)+1)</f>
        <v>not yet</v>
      </c>
      <c r="AL37" s="96" t="str">
        <f>HLOOKUP(3,$AJ$13:$AR$17,($E$12)+1)</f>
        <v>not yet</v>
      </c>
      <c r="AM37" s="96" t="str">
        <f>HLOOKUP(4,$AJ$13:$AR$17,($E$12)+1)</f>
        <v>not yet</v>
      </c>
      <c r="AN37" s="96" t="str">
        <f>HLOOKUP(5,$AJ$13:$AR$17,($E$12)+1)</f>
        <v>not yet</v>
      </c>
      <c r="AO37" s="96" t="str">
        <f>HLOOKUP(6,$AJ$13:$AR$17,($E$12)+1)</f>
        <v>not yet</v>
      </c>
      <c r="AP37" s="96" t="str">
        <f>HLOOKUP(7,$AJ$13:$AR$17,($E$12)+1)</f>
        <v>yes</v>
      </c>
      <c r="AQ37" s="96" t="str">
        <f>HLOOKUP(8,$AJ$13:$AR$17,($E$12)+1)</f>
        <v>yes</v>
      </c>
      <c r="AR37" s="96" t="str">
        <f>HLOOKUP(9,$AJ$13:$AR$17,($E$12)+1)</f>
        <v>yes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45"/>
      <c r="BD37" s="45"/>
    </row>
    <row r="38" spans="1:56" ht="13.5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04">
        <f>100*(+AD32/$E$9)</f>
        <v>289.8670789330165</v>
      </c>
      <c r="W38" s="111">
        <f>EXP(5.6922-(0.68367*LN(V38)))</f>
        <v>6.1483634477276006</v>
      </c>
      <c r="X38" s="105">
        <f>(+W38*V38)/100</f>
        <v>17.822081528113298</v>
      </c>
      <c r="Y38" s="104">
        <f>100*((((X38/100)-((X38/100)-0.03574)*$E$21)-0.03574-0.00619)/0.344)</f>
        <v>25.537016885333653</v>
      </c>
      <c r="Z38" s="96">
        <f>$E$20</f>
        <v>0.25</v>
      </c>
      <c r="AA38" s="104">
        <f>Y38+Z38</f>
        <v>25.787016885333653</v>
      </c>
      <c r="AB38" s="104">
        <f>100*($E$17*$E$19+($E$18*(AA38/100))/(1-$E$21))</f>
        <v>25.702742623030595</v>
      </c>
      <c r="AC38" s="105">
        <f>AB38/V38</f>
        <v>8.8670789099751735E-2</v>
      </c>
      <c r="AD38" s="103">
        <f>ROUND($E$8/(1-AC38),0)</f>
        <v>15239</v>
      </c>
      <c r="AE38" s="96" t="str">
        <f>IF(AD38=AD32,"yes","not yet")</f>
        <v>not yet</v>
      </c>
      <c r="AF38" s="104">
        <f>100*(1-AC38)</f>
        <v>91.132921090024823</v>
      </c>
      <c r="AG38" s="96"/>
      <c r="AH38" s="96"/>
      <c r="AI38" s="96">
        <v>1</v>
      </c>
      <c r="AJ38" s="103">
        <f>AD5</f>
        <v>15174.93339981049</v>
      </c>
      <c r="AK38" s="103">
        <f>AD11</f>
        <v>15298.526071377424</v>
      </c>
      <c r="AL38" s="103">
        <f>AD17</f>
        <v>15290.735871586265</v>
      </c>
      <c r="AM38" s="103">
        <f>AD23</f>
        <v>15291.223724064957</v>
      </c>
      <c r="AN38" s="103">
        <f>AD29</f>
        <v>15291.19316040812</v>
      </c>
      <c r="AO38" s="103">
        <f>AD35</f>
        <v>15291</v>
      </c>
      <c r="AP38" s="103">
        <f>AD41</f>
        <v>15291</v>
      </c>
      <c r="AQ38" s="103">
        <f>AD47</f>
        <v>15291</v>
      </c>
      <c r="AR38" s="103">
        <f>AD53</f>
        <v>15291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45"/>
      <c r="BD38" s="45"/>
    </row>
    <row r="39" spans="1:56" ht="13.5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104"/>
      <c r="AB39" s="96"/>
      <c r="AC39" s="96"/>
      <c r="AD39" s="96"/>
      <c r="AE39" s="96"/>
      <c r="AF39" s="96"/>
      <c r="AG39" s="96"/>
      <c r="AH39" s="96"/>
      <c r="AI39" s="96">
        <v>2</v>
      </c>
      <c r="AJ39" s="103">
        <f>AD6</f>
        <v>15151.113000719077</v>
      </c>
      <c r="AK39" s="103">
        <f>AD12</f>
        <v>15273.468857060039</v>
      </c>
      <c r="AL39" s="103">
        <f>AD18</f>
        <v>15265.907608797515</v>
      </c>
      <c r="AM39" s="103">
        <f>AD24</f>
        <v>15266.371882094159</v>
      </c>
      <c r="AN39" s="103">
        <f>AD30</f>
        <v>15266.343363662087</v>
      </c>
      <c r="AO39" s="103">
        <f>AD36</f>
        <v>15266</v>
      </c>
      <c r="AP39" s="103">
        <f>AD42</f>
        <v>15266</v>
      </c>
      <c r="AQ39" s="103">
        <f>AD48</f>
        <v>15266</v>
      </c>
      <c r="AR39" s="103">
        <f>AD54</f>
        <v>15266</v>
      </c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45"/>
      <c r="BD39" s="45"/>
    </row>
    <row r="40" spans="1:56" ht="13.5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100" t="s">
        <v>284</v>
      </c>
      <c r="W40" s="110" t="s">
        <v>230</v>
      </c>
      <c r="X40" s="110" t="s">
        <v>231</v>
      </c>
      <c r="Y40" s="110" t="s">
        <v>232</v>
      </c>
      <c r="Z40" s="96"/>
      <c r="AA40" s="104"/>
      <c r="AB40" s="96"/>
      <c r="AC40" s="96"/>
      <c r="AD40" s="96"/>
      <c r="AE40" s="96"/>
      <c r="AF40" s="96"/>
      <c r="AG40" s="96"/>
      <c r="AH40" s="96"/>
      <c r="AI40" s="96">
        <v>3</v>
      </c>
      <c r="AJ40" s="103">
        <f>AD7</f>
        <v>15135.109280991112</v>
      </c>
      <c r="AK40" s="103">
        <f>AD13</f>
        <v>15256.603530762264</v>
      </c>
      <c r="AL40" s="103">
        <f>AD19</f>
        <v>15249.196443267159</v>
      </c>
      <c r="AM40" s="103">
        <f>AD25</f>
        <v>15249.645157574656</v>
      </c>
      <c r="AN40" s="103">
        <f>AD31</f>
        <v>15249.617964355728</v>
      </c>
      <c r="AO40" s="103">
        <f>AD37</f>
        <v>15250</v>
      </c>
      <c r="AP40" s="103">
        <f>AD43</f>
        <v>15250</v>
      </c>
      <c r="AQ40" s="103">
        <f>AD49</f>
        <v>15250</v>
      </c>
      <c r="AR40" s="103">
        <f>AD55</f>
        <v>15250</v>
      </c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45"/>
      <c r="BD40" s="45"/>
    </row>
    <row r="41" spans="1:56" ht="13.5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104">
        <f>100*(+AD35/$E$9)</f>
        <v>290.85762137871927</v>
      </c>
      <c r="W41" s="111">
        <f>EXP(5.7226-(0.68367*LN(+V41)))</f>
        <v>6.323378673079131</v>
      </c>
      <c r="X41" s="105">
        <f>(+W41*V41)/100</f>
        <v>18.392028799287182</v>
      </c>
      <c r="Y41" s="104">
        <f>100*((((X41/100)-((X41/100)-0.03574)*$E$21)-0.03574-0.00619)/0.344)</f>
        <v>26.630520370725414</v>
      </c>
      <c r="Z41" s="96">
        <f>$E$20</f>
        <v>0.25</v>
      </c>
      <c r="AA41" s="104">
        <f>Y41+Z41</f>
        <v>26.880520370725414</v>
      </c>
      <c r="AB41" s="104">
        <f>100*($E$17*$E$19+($E$18*(AA41/100))/(1-$E$21))</f>
        <v>26.696836700659471</v>
      </c>
      <c r="AC41" s="105">
        <f>AB41/V41</f>
        <v>9.178661564414746E-2</v>
      </c>
      <c r="AD41" s="103">
        <f>ROUND($E$8/(1-AC41),0)</f>
        <v>15291</v>
      </c>
      <c r="AE41" s="96" t="str">
        <f>IF(OR(OR(AD41=AD35,AD41=(AD35+1)),AD41=(AD27-1)),"yes","not yet")</f>
        <v>yes</v>
      </c>
      <c r="AF41" s="104">
        <f>100*(1-AC41)</f>
        <v>90.821338435585247</v>
      </c>
      <c r="AG41" s="96"/>
      <c r="AH41" s="96"/>
      <c r="AI41" s="96">
        <v>4</v>
      </c>
      <c r="AJ41" s="103">
        <f>AD8</f>
        <v>15124.889912893732</v>
      </c>
      <c r="AK41" s="103">
        <f>AD14</f>
        <v>15245.821095893825</v>
      </c>
      <c r="AL41" s="103">
        <f>AD20</f>
        <v>15238.512556548121</v>
      </c>
      <c r="AM41" s="103">
        <f>AD26</f>
        <v>15238.951457151054</v>
      </c>
      <c r="AN41" s="103">
        <f>AD32</f>
        <v>15238.925089721062</v>
      </c>
      <c r="AO41" s="103">
        <f>AD38</f>
        <v>15239</v>
      </c>
      <c r="AP41" s="103">
        <f>AD44</f>
        <v>15239</v>
      </c>
      <c r="AQ41" s="103">
        <f>AD50</f>
        <v>15239</v>
      </c>
      <c r="AR41" s="103">
        <f>AD56</f>
        <v>15239</v>
      </c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45"/>
      <c r="BD41" s="45"/>
    </row>
    <row r="42" spans="1:56" ht="13.5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104">
        <f>100*(+AD36/$E$9)</f>
        <v>290.38208409963568</v>
      </c>
      <c r="W42" s="111">
        <f>EXP(5.70827-(0.68367*LN(+V42)))</f>
        <v>6.2403879103888098</v>
      </c>
      <c r="X42" s="105">
        <f>(+W42*V42)/100</f>
        <v>18.12096847008873</v>
      </c>
      <c r="Y42" s="104">
        <f>100*((((X42/100)-((X42/100)-0.03574)*$E$21)-0.03574-0.00619)/0.344)</f>
        <v>26.110462762379548</v>
      </c>
      <c r="Z42" s="96">
        <f>$E$20</f>
        <v>0.25</v>
      </c>
      <c r="AA42" s="104">
        <f>Y42+Z42</f>
        <v>26.360462762379548</v>
      </c>
      <c r="AB42" s="104">
        <f>100*($E$17*$E$19+($E$18*(AA42/100))/(1-$E$21))</f>
        <v>26.224057056708684</v>
      </c>
      <c r="AC42" s="105">
        <f>AB42/V42</f>
        <v>9.0308798278721306E-2</v>
      </c>
      <c r="AD42" s="103">
        <f>ROUND($E$8/(1-AC42),0)</f>
        <v>15266</v>
      </c>
      <c r="AE42" s="96" t="str">
        <f>IF(OR(OR(AD42=AD36,AD42=(AD36+5)),AD42=(AD28-5)),"yes","not yet")</f>
        <v>yes</v>
      </c>
      <c r="AF42" s="104">
        <f>100*(1-AC42)</f>
        <v>90.969120172127873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45"/>
      <c r="BD42" s="45"/>
    </row>
    <row r="43" spans="1:56" ht="13.5" x14ac:dyDescent="0.2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104">
        <f>100*(+AD37/$E$9)</f>
        <v>290.07774024102213</v>
      </c>
      <c r="W43" s="111">
        <f>EXP(5.6985-(0.68367*LN(V43)))</f>
        <v>6.1841481171280277</v>
      </c>
      <c r="X43" s="105">
        <f>(+W43*V43)/100</f>
        <v>17.938837111322702</v>
      </c>
      <c r="Y43" s="104">
        <f>100*((((X43/100)-((X43/100)-0.03574)*$E$21)-0.03574-0.00619)/0.344)</f>
        <v>25.761024690328444</v>
      </c>
      <c r="Z43" s="96">
        <f>$E$20</f>
        <v>0.25</v>
      </c>
      <c r="AA43" s="104">
        <f>Y43+Z43</f>
        <v>26.011024690328444</v>
      </c>
      <c r="AB43" s="104">
        <f>100*($E$17*$E$19+($E$18*(AA43/100))/(1-$E$21))</f>
        <v>25.906386082116768</v>
      </c>
      <c r="AC43" s="105">
        <f>AB43/V43</f>
        <v>8.9308424909100098E-2</v>
      </c>
      <c r="AD43" s="103">
        <f>ROUND($E$8/(1-AC43),0)</f>
        <v>15250</v>
      </c>
      <c r="AE43" s="96" t="str">
        <f>IF(OR(OR(AD43=AD37,AD43=(AD37+5)),AD43=(AD29-5)),"yes","not yet")</f>
        <v>yes</v>
      </c>
      <c r="AF43" s="104">
        <f>100*(1-AC43)</f>
        <v>91.06915750908999</v>
      </c>
      <c r="AG43" s="96"/>
      <c r="AH43" s="96"/>
      <c r="AI43" s="96"/>
      <c r="AJ43" s="96" t="s">
        <v>279</v>
      </c>
      <c r="AK43" s="96"/>
      <c r="AL43" s="96"/>
      <c r="AM43" s="96"/>
      <c r="AN43" s="96"/>
      <c r="AO43" s="96"/>
      <c r="AP43" s="96"/>
      <c r="AQ43" s="96"/>
      <c r="AR43" s="96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45"/>
      <c r="BD43" s="45"/>
    </row>
    <row r="44" spans="1:56" ht="13.5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104">
        <f>100*(+AD38/$E$9)</f>
        <v>289.86850383822531</v>
      </c>
      <c r="W44" s="111">
        <f>EXP(5.6922-(0.68367*LN(V44)))</f>
        <v>6.1483427848245533</v>
      </c>
      <c r="X44" s="105">
        <f>(+W44*V44)/100</f>
        <v>17.82210924121641</v>
      </c>
      <c r="Y44" s="104">
        <f>100*((((X44/100)-((X44/100)-0.03574)*$E$21)-0.03574-0.00619)/0.344)</f>
        <v>25.537070055822188</v>
      </c>
      <c r="Z44" s="96">
        <f>$E$20</f>
        <v>0.25</v>
      </c>
      <c r="AA44" s="104">
        <f>Y44+Z44</f>
        <v>25.787070055822188</v>
      </c>
      <c r="AB44" s="104">
        <f>100*($E$17*$E$19+($E$18*(AA44/100))/(1-$E$21))</f>
        <v>25.702790959838349</v>
      </c>
      <c r="AC44" s="105">
        <f>AB44/V44</f>
        <v>8.8670519975440301E-2</v>
      </c>
      <c r="AD44" s="103">
        <f>ROUND($E$8/(1-AC44),0)</f>
        <v>15239</v>
      </c>
      <c r="AE44" s="96" t="str">
        <f>IF(OR(OR(AD44=AD38,AD44=(AD38+5)),AD44=(AD30-5)),"yes","not yet")</f>
        <v>yes</v>
      </c>
      <c r="AF44" s="104">
        <f>100*(1-AC44)</f>
        <v>91.132948002455976</v>
      </c>
      <c r="AG44" s="96"/>
      <c r="AH44" s="96"/>
      <c r="AI44" s="96"/>
      <c r="AJ44" s="103">
        <f>HLOOKUP($AJ$34,$AJ$37:$AR$41,($E$12)+1)</f>
        <v>15250</v>
      </c>
      <c r="AK44" s="96"/>
      <c r="AL44" s="96"/>
      <c r="AM44" s="96"/>
      <c r="AN44" s="96"/>
      <c r="AO44" s="96"/>
      <c r="AP44" s="96"/>
      <c r="AQ44" s="96"/>
      <c r="AR44" s="96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45"/>
      <c r="BD44" s="45"/>
    </row>
    <row r="45" spans="1:56" ht="13.5" x14ac:dyDescent="0.2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104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45"/>
      <c r="BD45" s="45"/>
    </row>
    <row r="46" spans="1:56" ht="13.5" x14ac:dyDescent="0.25">
      <c r="A46" s="95"/>
      <c r="B46" s="96"/>
      <c r="C46" s="96"/>
      <c r="D46" s="103"/>
      <c r="E46" s="103"/>
      <c r="F46" s="103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100" t="s">
        <v>285</v>
      </c>
      <c r="W46" s="110" t="s">
        <v>230</v>
      </c>
      <c r="X46" s="110" t="s">
        <v>231</v>
      </c>
      <c r="Y46" s="110" t="s">
        <v>232</v>
      </c>
      <c r="Z46" s="96"/>
      <c r="AA46" s="104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45"/>
      <c r="BD46" s="45"/>
    </row>
    <row r="47" spans="1:56" ht="13.5" x14ac:dyDescent="0.25">
      <c r="A47" s="95"/>
      <c r="B47" s="96"/>
      <c r="C47" s="96"/>
      <c r="D47" s="103"/>
      <c r="E47" s="103"/>
      <c r="F47" s="103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104">
        <f>100*(+AD41/$E$9)</f>
        <v>290.85762137871927</v>
      </c>
      <c r="W47" s="111">
        <f>EXP(5.7226-(0.68367*LN(+V47)))</f>
        <v>6.323378673079131</v>
      </c>
      <c r="X47" s="105">
        <f>(+W47*V47)/100</f>
        <v>18.392028799287182</v>
      </c>
      <c r="Y47" s="104">
        <f>100*((((X47/100)-((X47/100)-0.03574)*$E$21)-0.03574-0.00619)/0.344)</f>
        <v>26.630520370725414</v>
      </c>
      <c r="Z47" s="96">
        <f>$E$20</f>
        <v>0.25</v>
      </c>
      <c r="AA47" s="104">
        <f>Y47+Z47</f>
        <v>26.880520370725414</v>
      </c>
      <c r="AB47" s="104">
        <f>100*($E$17*$E$19+($E$18*(AA47/100))/(1-$E$21))</f>
        <v>26.696836700659471</v>
      </c>
      <c r="AC47" s="105">
        <f>AB47/V47</f>
        <v>9.178661564414746E-2</v>
      </c>
      <c r="AD47" s="103">
        <f>ROUND($E$8/(1-AC47),0)</f>
        <v>15291</v>
      </c>
      <c r="AE47" s="96" t="str">
        <f>IF(OR(OR(AD47=AD41,AD47=(AD41+1)),AD47=(AD33-1)),"yes","not yet")</f>
        <v>yes</v>
      </c>
      <c r="AF47" s="104">
        <f>100*(1-AC47)</f>
        <v>90.821338435585247</v>
      </c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45"/>
      <c r="BD47" s="45"/>
    </row>
    <row r="48" spans="1:56" ht="13.5" x14ac:dyDescent="0.25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4">
        <f>100*(+AD42/$E$9)</f>
        <v>290.38208409963568</v>
      </c>
      <c r="W48" s="111">
        <f>EXP(5.70827-(0.68367*LN(+V48)))</f>
        <v>6.2403879103888098</v>
      </c>
      <c r="X48" s="105">
        <f>(+W48*V48)/100</f>
        <v>18.12096847008873</v>
      </c>
      <c r="Y48" s="104">
        <f>100*((((X48/100)-((X48/100)-0.03574)*$E$21)-0.03574-0.00619)/0.344)</f>
        <v>26.110462762379548</v>
      </c>
      <c r="Z48" s="96">
        <f>$E$20</f>
        <v>0.25</v>
      </c>
      <c r="AA48" s="104">
        <f>Y48+Z48</f>
        <v>26.360462762379548</v>
      </c>
      <c r="AB48" s="104">
        <f>100*($E$17*$E$19+($E$18*(AA48/100))/(1-$E$21))</f>
        <v>26.224057056708684</v>
      </c>
      <c r="AC48" s="105">
        <f>AB48/V48</f>
        <v>9.0308798278721306E-2</v>
      </c>
      <c r="AD48" s="103">
        <f>ROUND($E$8/(1-AC48),0)</f>
        <v>15266</v>
      </c>
      <c r="AE48" s="96" t="str">
        <f>IF(OR(OR(AD48=AD42,AD48=(AD42+1)),AD48=(AD42-1)),"yes","not yet")</f>
        <v>yes</v>
      </c>
      <c r="AF48" s="104">
        <f>100*(1-AC48)</f>
        <v>90.969120172127873</v>
      </c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45"/>
      <c r="BD48" s="45"/>
    </row>
    <row r="49" spans="1:56" ht="13.5" x14ac:dyDescent="0.2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104">
        <f>100*(+AD43/$E$9)</f>
        <v>290.07774024102213</v>
      </c>
      <c r="W49" s="111">
        <f>EXP(5.6985-(0.68367*LN(V49)))</f>
        <v>6.1841481171280277</v>
      </c>
      <c r="X49" s="105">
        <f>(+W49*V49)/100</f>
        <v>17.938837111322702</v>
      </c>
      <c r="Y49" s="104">
        <f>100*((((X49/100)-((X49/100)-0.03574)*$E$21)-0.03574-0.00619)/0.344)</f>
        <v>25.761024690328444</v>
      </c>
      <c r="Z49" s="96">
        <f>$E$20</f>
        <v>0.25</v>
      </c>
      <c r="AA49" s="104">
        <f>Y49+Z49</f>
        <v>26.011024690328444</v>
      </c>
      <c r="AB49" s="104">
        <f>100*($E$17*$E$19+($E$18*(AA49/100))/(1-$E$21))</f>
        <v>25.906386082116768</v>
      </c>
      <c r="AC49" s="105">
        <f>AB49/V49</f>
        <v>8.9308424909100098E-2</v>
      </c>
      <c r="AD49" s="103">
        <f>ROUND($E$8/(1-AC49),0)</f>
        <v>15250</v>
      </c>
      <c r="AE49" s="96" t="str">
        <f>IF(OR(OR(AD49=AD43,AD49=(AD43+1)),AD49=(AD43-1)),"yes","not yet")</f>
        <v>yes</v>
      </c>
      <c r="AF49" s="104">
        <f>100*(1-AC49)</f>
        <v>91.06915750908999</v>
      </c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45"/>
      <c r="BD49" s="45"/>
    </row>
    <row r="50" spans="1:56" ht="13.5" x14ac:dyDescent="0.2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104">
        <f>100*(+AD44/$E$9)</f>
        <v>289.86850383822531</v>
      </c>
      <c r="W50" s="111">
        <f>EXP(5.6922-(0.68367*LN(V50)))</f>
        <v>6.1483427848245533</v>
      </c>
      <c r="X50" s="105">
        <f>(+W50*V50)/100</f>
        <v>17.82210924121641</v>
      </c>
      <c r="Y50" s="104">
        <f>100*((((X50/100)-((X50/100)-0.03574)*$E$21)-0.03574-0.00619)/0.344)</f>
        <v>25.537070055822188</v>
      </c>
      <c r="Z50" s="96">
        <f>$E$20</f>
        <v>0.25</v>
      </c>
      <c r="AA50" s="104">
        <f>Y50+Z50</f>
        <v>25.787070055822188</v>
      </c>
      <c r="AB50" s="104">
        <f>100*($E$17*$E$19+($E$18*(AA50/100))/(1-$E$21))</f>
        <v>25.702790959838349</v>
      </c>
      <c r="AC50" s="105">
        <f>AB50/V50</f>
        <v>8.8670519975440301E-2</v>
      </c>
      <c r="AD50" s="103">
        <f>ROUND($E$8/(1-AC50),0)</f>
        <v>15239</v>
      </c>
      <c r="AE50" s="96" t="str">
        <f>IF(OR(OR(AD50=AD44,AD50=(AD44+1)),AD50=(AD44-1)),"yes","not yet")</f>
        <v>yes</v>
      </c>
      <c r="AF50" s="104">
        <f>100*(1-AC50)</f>
        <v>91.132948002455976</v>
      </c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45"/>
      <c r="BD50" s="45"/>
    </row>
    <row r="51" spans="1:56" ht="13.5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104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45"/>
      <c r="BD51" s="45"/>
    </row>
    <row r="52" spans="1:56" ht="13.5" x14ac:dyDescent="0.2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100" t="s">
        <v>286</v>
      </c>
      <c r="W52" s="110" t="s">
        <v>230</v>
      </c>
      <c r="X52" s="110" t="s">
        <v>231</v>
      </c>
      <c r="Y52" s="110" t="s">
        <v>232</v>
      </c>
      <c r="Z52" s="96"/>
      <c r="AA52" s="104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45"/>
      <c r="BD52" s="45"/>
    </row>
    <row r="53" spans="1:56" ht="13.5" x14ac:dyDescent="0.2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104">
        <f>100*(+AD47/$E$9)</f>
        <v>290.85762137871927</v>
      </c>
      <c r="W53" s="111">
        <f>EXP(5.7226-(0.68367*LN(+V53)))</f>
        <v>6.323378673079131</v>
      </c>
      <c r="X53" s="105">
        <f>(+W53*V53)/100</f>
        <v>18.392028799287182</v>
      </c>
      <c r="Y53" s="104">
        <f>100*((((X53/100)-((X53/100)-0.03574)*$E$21)-0.03574-0.00619)/0.344)</f>
        <v>26.630520370725414</v>
      </c>
      <c r="Z53" s="96">
        <f>$E$20</f>
        <v>0.25</v>
      </c>
      <c r="AA53" s="104">
        <f>Y53+Z53</f>
        <v>26.880520370725414</v>
      </c>
      <c r="AB53" s="104">
        <f>100*($E$17*$E$19+($E$18*(AA53/100))/(1-$E$21))</f>
        <v>26.696836700659471</v>
      </c>
      <c r="AC53" s="105">
        <f>AB53/V53</f>
        <v>9.178661564414746E-2</v>
      </c>
      <c r="AD53" s="103">
        <f>ROUND($E$8/(1-AC53),0)</f>
        <v>15291</v>
      </c>
      <c r="AE53" s="96" t="str">
        <f>IF(OR(OR(AD53=AD47,AD53=(AD47+1)),AD53=(AD39-1)),"yes","not yet")</f>
        <v>yes</v>
      </c>
      <c r="AF53" s="104">
        <f>100*(1-AC53)</f>
        <v>90.821338435585247</v>
      </c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45"/>
      <c r="BD53" s="45"/>
    </row>
    <row r="54" spans="1:56" ht="13.5" x14ac:dyDescent="0.2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104">
        <f>100*(+AD48/$E$9)</f>
        <v>290.38208409963568</v>
      </c>
      <c r="W54" s="111">
        <f>EXP(5.70827-(0.68367*LN(+V54)))</f>
        <v>6.2403879103888098</v>
      </c>
      <c r="X54" s="105">
        <f>(+W54*V54)/100</f>
        <v>18.12096847008873</v>
      </c>
      <c r="Y54" s="104">
        <f>100*((((X54/100)-((X54/100)-0.03574)*$E$21)-0.03574-0.00619)/0.344)</f>
        <v>26.110462762379548</v>
      </c>
      <c r="Z54" s="96">
        <f>$E$20</f>
        <v>0.25</v>
      </c>
      <c r="AA54" s="104">
        <f>Y54+Z54</f>
        <v>26.360462762379548</v>
      </c>
      <c r="AB54" s="104">
        <f>100*($E$17*$E$19+($E$18*(AA54/100))/(1-$E$21))</f>
        <v>26.224057056708684</v>
      </c>
      <c r="AC54" s="105">
        <f>AB54/V54</f>
        <v>9.0308798278721306E-2</v>
      </c>
      <c r="AD54" s="103">
        <f>ROUND($E$8/(1-AC54),0)</f>
        <v>15266</v>
      </c>
      <c r="AE54" s="96" t="str">
        <f>IF(OR(OR(AD54=AD48,AD54=(AD48+1)),AD54=(AD48-1)),"yes","not yet")</f>
        <v>yes</v>
      </c>
      <c r="AF54" s="104">
        <f>100*(1-AC54)</f>
        <v>90.969120172127873</v>
      </c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45"/>
      <c r="BD54" s="45"/>
    </row>
    <row r="55" spans="1:56" ht="13.5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104">
        <f>100*(+AD49/$E$9)</f>
        <v>290.07774024102213</v>
      </c>
      <c r="W55" s="111">
        <f>EXP(5.6985-(0.68367*LN(V55)))</f>
        <v>6.1841481171280277</v>
      </c>
      <c r="X55" s="105">
        <f>(+W55*V55)/100</f>
        <v>17.938837111322702</v>
      </c>
      <c r="Y55" s="104">
        <f>100*((((X55/100)-((X55/100)-0.03574)*$E$21)-0.03574-0.00619)/0.344)</f>
        <v>25.761024690328444</v>
      </c>
      <c r="Z55" s="96">
        <f>$E$20</f>
        <v>0.25</v>
      </c>
      <c r="AA55" s="104">
        <f>Y55+Z55</f>
        <v>26.011024690328444</v>
      </c>
      <c r="AB55" s="104">
        <f>100*($E$17*$E$19+($E$18*(AA55/100))/(1-$E$21))</f>
        <v>25.906386082116768</v>
      </c>
      <c r="AC55" s="105">
        <f>AB55/V55</f>
        <v>8.9308424909100098E-2</v>
      </c>
      <c r="AD55" s="103">
        <f>ROUND($E$8/(1-AC55),0)</f>
        <v>15250</v>
      </c>
      <c r="AE55" s="96" t="str">
        <f>IF(OR(OR(AD55=AD49,AD55=(AD49+1)),AD55=(AD49-1)),"yes","not yet")</f>
        <v>yes</v>
      </c>
      <c r="AF55" s="104">
        <f>100*(1-AC55)</f>
        <v>91.06915750908999</v>
      </c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45"/>
      <c r="BD55" s="45"/>
    </row>
    <row r="56" spans="1:56" ht="13.5" x14ac:dyDescent="0.2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104">
        <f>100*(+AD50/$E$9)</f>
        <v>289.86850383822531</v>
      </c>
      <c r="W56" s="111">
        <f>EXP(5.6922-(0.68367*LN(V56)))</f>
        <v>6.1483427848245533</v>
      </c>
      <c r="X56" s="105">
        <f>(+W56*V56)/100</f>
        <v>17.82210924121641</v>
      </c>
      <c r="Y56" s="104">
        <f>100*((((X56/100)-((X56/100)-0.03574)*$E$21)-0.03574-0.00619)/0.344)</f>
        <v>25.537070055822188</v>
      </c>
      <c r="Z56" s="96">
        <f>$E$20</f>
        <v>0.25</v>
      </c>
      <c r="AA56" s="104">
        <f>Y56+Z56</f>
        <v>25.787070055822188</v>
      </c>
      <c r="AB56" s="104">
        <f>100*($E$17*$E$19+($E$18*(AA56/100))/(1-$E$21))</f>
        <v>25.702790959838349</v>
      </c>
      <c r="AC56" s="105">
        <f>AB56/V56</f>
        <v>8.8670519975440301E-2</v>
      </c>
      <c r="AD56" s="103">
        <f>ROUND($E$8/(1-AC56),0)</f>
        <v>15239</v>
      </c>
      <c r="AE56" s="96" t="str">
        <f>IF(OR(OR(AD56=AD50,AD56=(AD50+1)),AD56=(AD50-1)),"yes","not yet")</f>
        <v>yes</v>
      </c>
      <c r="AF56" s="104">
        <f>100*(1-AC56)</f>
        <v>91.132948002455976</v>
      </c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45"/>
      <c r="BD56" s="45"/>
    </row>
    <row r="57" spans="1:56" ht="13.5" x14ac:dyDescent="0.25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104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45"/>
      <c r="BD57" s="45"/>
    </row>
    <row r="58" spans="1:56" ht="13.5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45"/>
      <c r="BD58" s="45"/>
    </row>
    <row r="59" spans="1:56" ht="13.5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45"/>
      <c r="BD59" s="45"/>
    </row>
    <row r="60" spans="1:56" ht="13.5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45"/>
      <c r="BD60" s="45"/>
    </row>
    <row r="61" spans="1:56" ht="13.5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45"/>
      <c r="BD61" s="45"/>
    </row>
    <row r="62" spans="1:56" ht="13.5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45"/>
      <c r="BD62" s="45"/>
    </row>
    <row r="63" spans="1:56" ht="13.5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45"/>
      <c r="BD63" s="45"/>
    </row>
    <row r="64" spans="1:56" ht="13.5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45"/>
      <c r="BD64" s="45"/>
    </row>
    <row r="65" spans="1:56" ht="13.5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45"/>
      <c r="BD65" s="45"/>
    </row>
    <row r="66" spans="1:56" ht="13.5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45"/>
      <c r="BD66" s="45"/>
    </row>
    <row r="67" spans="1:56" ht="13.5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45"/>
      <c r="BD67" s="45"/>
    </row>
    <row r="68" spans="1:56" ht="13.5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45"/>
      <c r="BD68" s="45"/>
    </row>
    <row r="69" spans="1:56" ht="13.5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45"/>
      <c r="BD69" s="45"/>
    </row>
    <row r="70" spans="1:56" ht="13.5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45"/>
      <c r="BD70" s="45"/>
    </row>
    <row r="71" spans="1:56" ht="13.5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45"/>
      <c r="BD71" s="45"/>
    </row>
    <row r="72" spans="1:56" ht="13.5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45"/>
      <c r="BD72" s="45"/>
    </row>
    <row r="73" spans="1:56" ht="13.5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45"/>
      <c r="BD73" s="45"/>
    </row>
    <row r="74" spans="1:56" ht="13.5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45"/>
      <c r="BD74" s="45"/>
    </row>
    <row r="75" spans="1:56" ht="13.5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45"/>
      <c r="BD75" s="45"/>
    </row>
    <row r="76" spans="1:56" ht="13.5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45"/>
      <c r="BD76" s="45"/>
    </row>
    <row r="77" spans="1:56" ht="13.5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45"/>
      <c r="BD77" s="45"/>
    </row>
    <row r="78" spans="1:56" ht="13.5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45"/>
      <c r="BD78" s="45"/>
    </row>
    <row r="79" spans="1:56" ht="13.5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45"/>
      <c r="BD79" s="45"/>
    </row>
    <row r="80" spans="1:56" ht="13.5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45"/>
      <c r="BD80" s="45"/>
    </row>
    <row r="81" spans="1:56" ht="13.5" x14ac:dyDescent="0.2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45"/>
      <c r="BD81" s="45"/>
    </row>
    <row r="82" spans="1:56" ht="13.5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45"/>
      <c r="BD82" s="45"/>
    </row>
    <row r="83" spans="1:56" ht="13.5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45"/>
      <c r="BD83" s="45"/>
    </row>
    <row r="84" spans="1:56" ht="13.5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45"/>
      <c r="BD84" s="45"/>
    </row>
    <row r="85" spans="1:56" ht="13.5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45"/>
      <c r="BD85" s="45"/>
    </row>
    <row r="86" spans="1:56" ht="13.5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45"/>
      <c r="BD86" s="45"/>
    </row>
    <row r="87" spans="1:56" ht="13.5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45"/>
      <c r="BD87" s="45"/>
    </row>
    <row r="88" spans="1:56" ht="13.5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45"/>
      <c r="BD88" s="45"/>
    </row>
    <row r="89" spans="1:56" ht="13.5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45"/>
      <c r="BD89" s="45"/>
    </row>
    <row r="90" spans="1:56" ht="13.5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45"/>
      <c r="BD90" s="45"/>
    </row>
    <row r="91" spans="1:56" ht="13.5" x14ac:dyDescent="0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45"/>
      <c r="BD91" s="45"/>
    </row>
    <row r="92" spans="1:56" ht="13.5" x14ac:dyDescent="0.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45"/>
      <c r="BD92" s="45"/>
    </row>
    <row r="93" spans="1:56" ht="13.5" x14ac:dyDescent="0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45"/>
      <c r="BD93" s="45"/>
    </row>
    <row r="94" spans="1:56" ht="13.5" x14ac:dyDescent="0.2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45"/>
      <c r="BD94" s="45"/>
    </row>
    <row r="95" spans="1:56" ht="13.5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45"/>
      <c r="BD95" s="45"/>
    </row>
    <row r="96" spans="1:56" ht="13.5" x14ac:dyDescent="0.2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45"/>
      <c r="BD96" s="45"/>
    </row>
    <row r="97" spans="1:56" ht="13.5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45"/>
      <c r="BD97" s="45"/>
    </row>
    <row r="98" spans="1:56" ht="13.5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45"/>
      <c r="BD98" s="45"/>
    </row>
    <row r="99" spans="1:56" ht="13.5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45"/>
      <c r="BD99" s="45"/>
    </row>
    <row r="100" spans="1:56" ht="13.5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45"/>
      <c r="BD100" s="45"/>
    </row>
    <row r="101" spans="1:56" ht="13.5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45"/>
      <c r="BD101" s="45"/>
    </row>
    <row r="102" spans="1:56" ht="13.5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45"/>
      <c r="BD102" s="45"/>
    </row>
    <row r="103" spans="1:56" ht="13.5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45"/>
      <c r="BD103" s="45"/>
    </row>
    <row r="104" spans="1:56" ht="13.5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45"/>
      <c r="BD104" s="45"/>
    </row>
    <row r="105" spans="1:56" ht="13.5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45"/>
      <c r="BD105" s="45"/>
    </row>
    <row r="106" spans="1:56" ht="13.5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45"/>
      <c r="BD106" s="45"/>
    </row>
    <row r="107" spans="1:56" ht="13.5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45"/>
      <c r="BD107" s="45"/>
    </row>
    <row r="108" spans="1:56" ht="13.5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45"/>
      <c r="BD108" s="45"/>
    </row>
    <row r="109" spans="1:56" ht="13.5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45"/>
      <c r="BD109" s="45"/>
    </row>
    <row r="110" spans="1:56" ht="13.5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45"/>
      <c r="BD110" s="45"/>
    </row>
    <row r="111" spans="1:56" ht="13.5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45"/>
      <c r="BD111" s="45"/>
    </row>
    <row r="112" spans="1:56" ht="13.5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45"/>
      <c r="BD112" s="45"/>
    </row>
    <row r="113" spans="1:56" ht="13.5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45"/>
      <c r="BD113" s="45"/>
    </row>
    <row r="114" spans="1:56" ht="13.5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45"/>
      <c r="BD114" s="45"/>
    </row>
    <row r="115" spans="1:56" ht="13.5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45"/>
      <c r="BD115" s="45"/>
    </row>
    <row r="116" spans="1:56" ht="13.5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45"/>
      <c r="BD116" s="45"/>
    </row>
    <row r="117" spans="1:56" ht="13.5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45"/>
      <c r="BD117" s="45"/>
    </row>
    <row r="118" spans="1:56" ht="13.5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45"/>
      <c r="BD118" s="45"/>
    </row>
    <row r="119" spans="1:56" ht="13.5" x14ac:dyDescent="0.2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45"/>
      <c r="BD119" s="45"/>
    </row>
    <row r="120" spans="1:56" ht="13.5" x14ac:dyDescent="0.2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45"/>
      <c r="BD120" s="45"/>
    </row>
    <row r="121" spans="1:56" ht="13.5" x14ac:dyDescent="0.2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45"/>
      <c r="BD121" s="45"/>
    </row>
    <row r="122" spans="1:56" ht="13.5" x14ac:dyDescent="0.2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45"/>
      <c r="BD122" s="45"/>
    </row>
    <row r="123" spans="1:56" ht="13.5" x14ac:dyDescent="0.2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45"/>
      <c r="BD123" s="45"/>
    </row>
    <row r="124" spans="1:56" ht="13.5" x14ac:dyDescent="0.2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45"/>
      <c r="BD124" s="45"/>
    </row>
    <row r="125" spans="1:56" ht="13.5" x14ac:dyDescent="0.2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45"/>
      <c r="BD125" s="45"/>
    </row>
    <row r="126" spans="1:56" ht="13.5" x14ac:dyDescent="0.2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45"/>
      <c r="BD126" s="45"/>
    </row>
    <row r="127" spans="1:56" ht="13.5" x14ac:dyDescent="0.2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45"/>
      <c r="BD127" s="45"/>
    </row>
    <row r="128" spans="1:56" ht="13.5" x14ac:dyDescent="0.2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45"/>
      <c r="BD128" s="45"/>
    </row>
    <row r="129" spans="1:56" ht="13.5" x14ac:dyDescent="0.2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45"/>
      <c r="BD129" s="45"/>
    </row>
    <row r="130" spans="1:56" ht="13.5" x14ac:dyDescent="0.2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45"/>
      <c r="BD130" s="45"/>
    </row>
    <row r="131" spans="1:56" ht="13.5" x14ac:dyDescent="0.2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45"/>
      <c r="BD131" s="45"/>
    </row>
    <row r="132" spans="1:56" ht="13.5" x14ac:dyDescent="0.2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45"/>
      <c r="BD132" s="45"/>
    </row>
    <row r="133" spans="1:56" ht="13.5" x14ac:dyDescent="0.2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45"/>
      <c r="BD133" s="45"/>
    </row>
    <row r="134" spans="1:56" ht="13.5" x14ac:dyDescent="0.2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45"/>
      <c r="BD134" s="45"/>
    </row>
    <row r="135" spans="1:56" ht="13.5" x14ac:dyDescent="0.2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45"/>
      <c r="BD135" s="45"/>
    </row>
    <row r="136" spans="1:56" ht="13.5" x14ac:dyDescent="0.2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45"/>
      <c r="BD136" s="45"/>
    </row>
    <row r="137" spans="1:56" ht="13.5" x14ac:dyDescent="0.2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45"/>
      <c r="BD137" s="45"/>
    </row>
    <row r="138" spans="1:56" ht="13.5" x14ac:dyDescent="0.2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45"/>
      <c r="BD138" s="45"/>
    </row>
    <row r="139" spans="1:56" ht="13.5" x14ac:dyDescent="0.2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45"/>
      <c r="BD139" s="45"/>
    </row>
    <row r="140" spans="1:56" ht="13.5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45"/>
      <c r="BD140" s="45"/>
    </row>
    <row r="141" spans="1:56" ht="13.5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45"/>
      <c r="BD141" s="45"/>
    </row>
    <row r="142" spans="1:56" ht="13.5" x14ac:dyDescent="0.2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45"/>
      <c r="BD142" s="45"/>
    </row>
    <row r="143" spans="1:56" ht="13.5" x14ac:dyDescent="0.2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45"/>
      <c r="BD143" s="45"/>
    </row>
    <row r="144" spans="1:56" ht="13.5" x14ac:dyDescent="0.2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45"/>
      <c r="BD144" s="45"/>
    </row>
    <row r="145" spans="1:56" ht="13.5" x14ac:dyDescent="0.2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45"/>
      <c r="BD145" s="45"/>
    </row>
    <row r="146" spans="1:56" ht="13.5" x14ac:dyDescent="0.2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45"/>
      <c r="BD146" s="45"/>
    </row>
    <row r="147" spans="1:56" ht="13.5" x14ac:dyDescent="0.2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45"/>
      <c r="BD147" s="45"/>
    </row>
    <row r="148" spans="1:56" ht="13.5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45"/>
      <c r="BD148" s="45"/>
    </row>
    <row r="149" spans="1:56" ht="13.5" x14ac:dyDescent="0.2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45"/>
      <c r="BD149" s="45"/>
    </row>
    <row r="150" spans="1:56" ht="13.5" x14ac:dyDescent="0.2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45"/>
      <c r="BD150" s="45"/>
    </row>
    <row r="151" spans="1:56" ht="13.5" x14ac:dyDescent="0.2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45"/>
      <c r="BD151" s="45"/>
    </row>
    <row r="152" spans="1:56" ht="13.5" x14ac:dyDescent="0.2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45"/>
      <c r="BD152" s="45"/>
    </row>
    <row r="153" spans="1:56" ht="13.5" x14ac:dyDescent="0.2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45"/>
      <c r="BD153" s="45"/>
    </row>
    <row r="154" spans="1:56" ht="13.5" x14ac:dyDescent="0.2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45"/>
      <c r="BD154" s="45"/>
    </row>
    <row r="155" spans="1:56" ht="13.5" x14ac:dyDescent="0.2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45"/>
      <c r="BD155" s="45"/>
    </row>
    <row r="156" spans="1:56" ht="13.5" x14ac:dyDescent="0.2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45"/>
      <c r="BD156" s="45"/>
    </row>
    <row r="157" spans="1:56" ht="13.5" x14ac:dyDescent="0.2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45"/>
      <c r="BD157" s="45"/>
    </row>
    <row r="158" spans="1:56" ht="13.5" x14ac:dyDescent="0.2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45"/>
      <c r="BD158" s="45"/>
    </row>
    <row r="159" spans="1:56" ht="13.5" x14ac:dyDescent="0.2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45"/>
      <c r="BD159" s="45"/>
    </row>
    <row r="160" spans="1:56" ht="13.5" x14ac:dyDescent="0.2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45"/>
      <c r="BD160" s="45"/>
    </row>
    <row r="161" spans="1:56" ht="13.5" x14ac:dyDescent="0.2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45"/>
      <c r="BD161" s="45"/>
    </row>
    <row r="162" spans="1:56" ht="13.5" x14ac:dyDescent="0.2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45"/>
      <c r="BD162" s="45"/>
    </row>
    <row r="163" spans="1:56" ht="13.5" x14ac:dyDescent="0.2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45"/>
      <c r="BD163" s="45"/>
    </row>
    <row r="164" spans="1:56" ht="13.5" x14ac:dyDescent="0.2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45"/>
      <c r="BD164" s="45"/>
    </row>
    <row r="165" spans="1:56" ht="13.5" x14ac:dyDescent="0.2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45"/>
      <c r="BD165" s="45"/>
    </row>
    <row r="166" spans="1:56" ht="13.5" x14ac:dyDescent="0.2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45"/>
      <c r="BD166" s="45"/>
    </row>
    <row r="167" spans="1:56" ht="13.5" x14ac:dyDescent="0.2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45"/>
      <c r="BD167" s="45"/>
    </row>
    <row r="168" spans="1:56" ht="13.5" x14ac:dyDescent="0.2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45"/>
      <c r="BD168" s="45"/>
    </row>
    <row r="169" spans="1:56" ht="13.5" x14ac:dyDescent="0.2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45"/>
      <c r="BD169" s="45"/>
    </row>
    <row r="170" spans="1:56" ht="13.5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45"/>
      <c r="BD170" s="45"/>
    </row>
    <row r="171" spans="1:56" ht="13.5" x14ac:dyDescent="0.2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45"/>
      <c r="BD171" s="45"/>
    </row>
    <row r="172" spans="1:56" ht="13.5" x14ac:dyDescent="0.2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45"/>
      <c r="BD172" s="45"/>
    </row>
    <row r="173" spans="1:56" ht="13.5" x14ac:dyDescent="0.2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45"/>
      <c r="BD173" s="45"/>
    </row>
    <row r="174" spans="1:56" ht="13.5" x14ac:dyDescent="0.2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45"/>
      <c r="BD174" s="45"/>
    </row>
    <row r="175" spans="1:56" ht="13.5" x14ac:dyDescent="0.2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45"/>
      <c r="BD175" s="45"/>
    </row>
    <row r="176" spans="1:56" ht="13.5" x14ac:dyDescent="0.2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45"/>
      <c r="BD176" s="45"/>
    </row>
    <row r="177" spans="1:56" ht="13.5" x14ac:dyDescent="0.2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45"/>
      <c r="BD177" s="45"/>
    </row>
    <row r="178" spans="1:56" ht="13.5" x14ac:dyDescent="0.2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45"/>
      <c r="BD178" s="45"/>
    </row>
    <row r="179" spans="1:56" ht="13.5" x14ac:dyDescent="0.2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45"/>
      <c r="BD179" s="45"/>
    </row>
    <row r="180" spans="1:56" ht="13.5" x14ac:dyDescent="0.2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45"/>
      <c r="BD180" s="45"/>
    </row>
    <row r="181" spans="1:56" ht="13.5" x14ac:dyDescent="0.2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45"/>
      <c r="BD181" s="45"/>
    </row>
    <row r="182" spans="1:56" ht="13.5" x14ac:dyDescent="0.2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45"/>
      <c r="BD182" s="45"/>
    </row>
    <row r="183" spans="1:56" ht="13.5" x14ac:dyDescent="0.2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45"/>
      <c r="BD183" s="45"/>
    </row>
    <row r="184" spans="1:56" ht="13.5" x14ac:dyDescent="0.2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45"/>
      <c r="BD184" s="45"/>
    </row>
    <row r="185" spans="1:56" ht="13.5" x14ac:dyDescent="0.2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45"/>
      <c r="BD185" s="45"/>
    </row>
    <row r="186" spans="1:56" ht="13.5" x14ac:dyDescent="0.2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45"/>
      <c r="BD186" s="45"/>
    </row>
    <row r="187" spans="1:56" ht="13.5" x14ac:dyDescent="0.2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45"/>
      <c r="BD187" s="45"/>
    </row>
    <row r="188" spans="1:56" ht="13.5" x14ac:dyDescent="0.2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45"/>
      <c r="BD188" s="45"/>
    </row>
    <row r="189" spans="1:56" ht="13.5" x14ac:dyDescent="0.2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45"/>
      <c r="BD189" s="45"/>
    </row>
    <row r="190" spans="1:56" ht="13.5" x14ac:dyDescent="0.2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45"/>
      <c r="BD190" s="45"/>
    </row>
    <row r="191" spans="1:56" ht="13.5" x14ac:dyDescent="0.2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45"/>
      <c r="BD191" s="45"/>
    </row>
    <row r="192" spans="1:56" ht="13.5" x14ac:dyDescent="0.2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45"/>
      <c r="BD192" s="45"/>
    </row>
    <row r="193" spans="1:56" ht="13.5" x14ac:dyDescent="0.2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45"/>
      <c r="BD193" s="45"/>
    </row>
    <row r="194" spans="1:56" ht="13.5" x14ac:dyDescent="0.2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45"/>
      <c r="BD194" s="45"/>
    </row>
    <row r="195" spans="1:56" ht="13.5" x14ac:dyDescent="0.2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45"/>
      <c r="BD195" s="45"/>
    </row>
    <row r="196" spans="1:56" ht="13.5" x14ac:dyDescent="0.2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45"/>
      <c r="BD196" s="45"/>
    </row>
    <row r="197" spans="1:56" ht="13.5" x14ac:dyDescent="0.2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45"/>
      <c r="BD197" s="45"/>
    </row>
    <row r="198" spans="1:56" ht="13.5" x14ac:dyDescent="0.2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45"/>
      <c r="BD198" s="45"/>
    </row>
    <row r="199" spans="1:56" ht="13.5" x14ac:dyDescent="0.2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45"/>
      <c r="BD199" s="45"/>
    </row>
    <row r="200" spans="1:56" ht="13.5" x14ac:dyDescent="0.2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45"/>
      <c r="BD200" s="45"/>
    </row>
    <row r="201" spans="1:56" ht="13.5" x14ac:dyDescent="0.2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45"/>
      <c r="BD201" s="45"/>
    </row>
    <row r="202" spans="1:56" ht="13.5" x14ac:dyDescent="0.2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45"/>
      <c r="BD202" s="45"/>
    </row>
    <row r="203" spans="1:56" ht="13.5" x14ac:dyDescent="0.2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45"/>
      <c r="BD203" s="45"/>
    </row>
    <row r="204" spans="1:56" ht="13.5" x14ac:dyDescent="0.2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45"/>
      <c r="BD204" s="45"/>
    </row>
    <row r="205" spans="1:56" ht="13.5" x14ac:dyDescent="0.2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45"/>
      <c r="BD205" s="45"/>
    </row>
    <row r="206" spans="1:56" ht="13.5" x14ac:dyDescent="0.2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45"/>
      <c r="BD206" s="45"/>
    </row>
    <row r="207" spans="1:56" ht="13.5" x14ac:dyDescent="0.2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45"/>
      <c r="BD207" s="45"/>
    </row>
    <row r="208" spans="1:56" ht="13.5" x14ac:dyDescent="0.2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45"/>
      <c r="BD208" s="45"/>
    </row>
    <row r="209" spans="1:56" ht="13.5" x14ac:dyDescent="0.2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45"/>
      <c r="BD209" s="45"/>
    </row>
    <row r="210" spans="1:56" ht="13.5" x14ac:dyDescent="0.2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45"/>
      <c r="BD210" s="45"/>
    </row>
    <row r="211" spans="1:56" ht="13.5" x14ac:dyDescent="0.2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45"/>
      <c r="BD211" s="45"/>
    </row>
    <row r="212" spans="1:56" ht="13.5" x14ac:dyDescent="0.2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45"/>
      <c r="BD212" s="45"/>
    </row>
    <row r="213" spans="1:56" ht="13.5" x14ac:dyDescent="0.2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45"/>
      <c r="BD213" s="45"/>
    </row>
    <row r="214" spans="1:56" ht="13.5" x14ac:dyDescent="0.2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45"/>
      <c r="BD214" s="45"/>
    </row>
    <row r="215" spans="1:56" ht="13.5" x14ac:dyDescent="0.2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45"/>
      <c r="BD215" s="45"/>
    </row>
    <row r="216" spans="1:56" ht="13.5" x14ac:dyDescent="0.2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45"/>
      <c r="BD216" s="45"/>
    </row>
    <row r="217" spans="1:56" ht="13.5" x14ac:dyDescent="0.2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45"/>
      <c r="BD217" s="45"/>
    </row>
    <row r="218" spans="1:56" ht="13.5" x14ac:dyDescent="0.2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45"/>
      <c r="BD218" s="45"/>
    </row>
    <row r="219" spans="1:56" ht="13.5" x14ac:dyDescent="0.2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45"/>
      <c r="BD219" s="45"/>
    </row>
    <row r="220" spans="1:56" ht="13.5" x14ac:dyDescent="0.2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45"/>
      <c r="BD220" s="45"/>
    </row>
    <row r="221" spans="1:56" ht="13.5" x14ac:dyDescent="0.2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45"/>
      <c r="BD221" s="45"/>
    </row>
    <row r="222" spans="1:56" ht="13.5" x14ac:dyDescent="0.2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45"/>
      <c r="BD222" s="45"/>
    </row>
    <row r="223" spans="1:56" ht="13.5" x14ac:dyDescent="0.2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45"/>
      <c r="BD223" s="45"/>
    </row>
    <row r="224" spans="1:56" ht="13.5" x14ac:dyDescent="0.2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45"/>
      <c r="BD224" s="45"/>
    </row>
    <row r="225" spans="1:56" ht="13.5" x14ac:dyDescent="0.2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45"/>
      <c r="BD225" s="45"/>
    </row>
    <row r="226" spans="1:56" ht="13.5" x14ac:dyDescent="0.2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45"/>
      <c r="BD226" s="45"/>
    </row>
    <row r="227" spans="1:56" ht="13.5" x14ac:dyDescent="0.2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45"/>
      <c r="BD227" s="45"/>
    </row>
    <row r="228" spans="1:56" ht="13.5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45"/>
      <c r="BD228" s="45"/>
    </row>
    <row r="229" spans="1:56" ht="13.5" x14ac:dyDescent="0.2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45"/>
      <c r="BD229" s="45"/>
    </row>
    <row r="230" spans="1:56" ht="13.5" x14ac:dyDescent="0.2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45"/>
      <c r="BD230" s="45"/>
    </row>
    <row r="231" spans="1:56" ht="13.5" x14ac:dyDescent="0.2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45"/>
      <c r="BD231" s="45"/>
    </row>
    <row r="232" spans="1:56" ht="13.5" x14ac:dyDescent="0.2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45"/>
      <c r="BD232" s="45"/>
    </row>
    <row r="233" spans="1:56" ht="13.5" x14ac:dyDescent="0.2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45"/>
      <c r="BD233" s="45"/>
    </row>
    <row r="234" spans="1:56" ht="13.5" x14ac:dyDescent="0.2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45"/>
      <c r="BD234" s="45"/>
    </row>
    <row r="235" spans="1:56" ht="13.5" x14ac:dyDescent="0.2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45"/>
      <c r="BD235" s="45"/>
    </row>
    <row r="236" spans="1:56" ht="13.5" x14ac:dyDescent="0.2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45"/>
      <c r="BD236" s="45"/>
    </row>
    <row r="237" spans="1:56" ht="13.5" x14ac:dyDescent="0.2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45"/>
      <c r="BD237" s="45"/>
    </row>
    <row r="238" spans="1:56" ht="13.5" x14ac:dyDescent="0.2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45"/>
      <c r="BD238" s="45"/>
    </row>
    <row r="239" spans="1:56" ht="13.5" x14ac:dyDescent="0.2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45"/>
      <c r="BD239" s="45"/>
    </row>
    <row r="240" spans="1:56" ht="13.5" x14ac:dyDescent="0.2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45"/>
      <c r="BD240" s="45"/>
    </row>
    <row r="241" spans="1:56" ht="13.5" x14ac:dyDescent="0.2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45"/>
      <c r="BD241" s="45"/>
    </row>
    <row r="242" spans="1:56" ht="13.5" x14ac:dyDescent="0.2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45"/>
      <c r="BD242" s="45"/>
    </row>
    <row r="243" spans="1:56" ht="13.5" x14ac:dyDescent="0.2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45"/>
      <c r="BD243" s="45"/>
    </row>
    <row r="244" spans="1:56" ht="13.5" x14ac:dyDescent="0.2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45"/>
      <c r="BD244" s="45"/>
    </row>
    <row r="245" spans="1:56" ht="13.5" x14ac:dyDescent="0.2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45"/>
      <c r="BD245" s="45"/>
    </row>
    <row r="246" spans="1:56" ht="13.5" x14ac:dyDescent="0.2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45"/>
      <c r="BD246" s="45"/>
    </row>
    <row r="247" spans="1:56" ht="13.5" x14ac:dyDescent="0.2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45"/>
      <c r="BD247" s="45"/>
    </row>
    <row r="248" spans="1:56" ht="13.5" x14ac:dyDescent="0.2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45"/>
      <c r="BD248" s="45"/>
    </row>
    <row r="249" spans="1:56" ht="13.5" x14ac:dyDescent="0.2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45"/>
      <c r="BD249" s="45"/>
    </row>
    <row r="250" spans="1:56" ht="13.5" x14ac:dyDescent="0.2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45"/>
      <c r="BD250" s="45"/>
    </row>
  </sheetData>
  <mergeCells count="1">
    <mergeCell ref="C27:H27"/>
  </mergeCells>
  <pageMargins left="0.7" right="0.7" top="0.75" bottom="0.75" header="0.3" footer="0.3"/>
  <pageSetup scale="76" orientation="portrait" r:id="rId1"/>
  <headerFooter>
    <oddFooter>Page &amp;P of &amp;N</oddFooter>
  </headerFooter>
  <colBreaks count="3" manualBreakCount="3">
    <brk id="13" max="1048575" man="1"/>
    <brk id="20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64"/>
  <sheetViews>
    <sheetView tabSelected="1" view="pageBreakPreview" zoomScaleNormal="85" zoomScaleSheetLayoutView="100" workbookViewId="0">
      <pane xSplit="1" ySplit="7" topLeftCell="C8" activePane="bottomRight" state="frozen"/>
      <selection activeCell="D79" sqref="D79"/>
      <selection pane="topRight" activeCell="D79" sqref="D79"/>
      <selection pane="bottomLeft" activeCell="D79" sqref="D79"/>
      <selection pane="bottomRight" activeCell="D79" sqref="D79"/>
    </sheetView>
  </sheetViews>
  <sheetFormatPr defaultRowHeight="12.75" x14ac:dyDescent="0.2"/>
  <cols>
    <col min="1" max="1" width="30.140625" style="134" customWidth="1"/>
    <col min="2" max="2" width="10.28515625" style="128" hidden="1" customWidth="1"/>
    <col min="3" max="3" width="10" style="129" customWidth="1"/>
    <col min="4" max="4" width="9.7109375" style="130" customWidth="1"/>
    <col min="5" max="5" width="11.28515625" style="131" hidden="1" customWidth="1"/>
    <col min="6" max="6" width="8.7109375" style="132" hidden="1" customWidth="1"/>
    <col min="7" max="7" width="9" style="132" hidden="1" customWidth="1"/>
    <col min="8" max="8" width="12.5703125" style="133" customWidth="1"/>
    <col min="9" max="9" width="11.28515625" style="132" hidden="1" customWidth="1"/>
    <col min="10" max="10" width="9" style="134" customWidth="1"/>
    <col min="11" max="11" width="8.140625" style="134" customWidth="1"/>
    <col min="12" max="12" width="9" style="134" customWidth="1"/>
    <col min="13" max="13" width="8.140625" style="134" customWidth="1"/>
    <col min="14" max="14" width="8.140625" style="130" customWidth="1"/>
    <col min="15" max="15" width="8.140625" style="134" customWidth="1"/>
    <col min="16" max="16" width="9" style="134" customWidth="1"/>
    <col min="17" max="18" width="8.140625" style="134" customWidth="1"/>
    <col min="19" max="22" width="9.5703125" style="134" customWidth="1"/>
    <col min="23" max="24" width="8.140625" style="134" customWidth="1"/>
    <col min="25" max="26" width="9.85546875" style="295" customWidth="1"/>
    <col min="27" max="27" width="9.85546875" style="134" customWidth="1"/>
    <col min="28" max="16384" width="9.140625" style="134"/>
  </cols>
  <sheetData>
    <row r="1" spans="1:26" x14ac:dyDescent="0.2">
      <c r="A1" s="127" t="s">
        <v>288</v>
      </c>
    </row>
    <row r="2" spans="1:26" x14ac:dyDescent="0.2">
      <c r="A2" s="127" t="s">
        <v>289</v>
      </c>
      <c r="K2" s="135"/>
      <c r="O2" s="136"/>
      <c r="P2" s="135"/>
    </row>
    <row r="3" spans="1:26" s="145" customFormat="1" x14ac:dyDescent="0.2">
      <c r="A3" s="137"/>
      <c r="B3" s="138" t="s">
        <v>290</v>
      </c>
      <c r="C3" s="139" t="s">
        <v>290</v>
      </c>
      <c r="D3" s="140"/>
      <c r="E3" s="141"/>
      <c r="F3" s="142"/>
      <c r="G3" s="142"/>
      <c r="H3" s="143"/>
      <c r="I3" s="142"/>
      <c r="J3" s="144"/>
      <c r="K3" s="144"/>
      <c r="L3" s="137"/>
      <c r="N3" s="146"/>
      <c r="O3" s="147"/>
      <c r="P3" s="147"/>
      <c r="Q3" s="147"/>
      <c r="Y3" s="296"/>
      <c r="Z3" s="296"/>
    </row>
    <row r="4" spans="1:26" s="145" customFormat="1" x14ac:dyDescent="0.2">
      <c r="A4" s="137"/>
      <c r="B4" s="148" t="s">
        <v>291</v>
      </c>
      <c r="C4" s="149" t="s">
        <v>292</v>
      </c>
      <c r="D4" s="150" t="s">
        <v>293</v>
      </c>
      <c r="E4" s="151"/>
      <c r="F4" s="152"/>
      <c r="G4" s="153" t="s">
        <v>294</v>
      </c>
      <c r="H4" s="154"/>
      <c r="I4" s="153"/>
      <c r="J4" s="155"/>
      <c r="K4" s="155"/>
      <c r="L4" s="137"/>
      <c r="N4" s="146"/>
      <c r="O4" s="156"/>
      <c r="P4" s="157" t="s">
        <v>295</v>
      </c>
      <c r="Q4"/>
      <c r="R4" s="157" t="s">
        <v>295</v>
      </c>
      <c r="S4" s="158"/>
      <c r="T4"/>
      <c r="Y4" s="296"/>
      <c r="Z4" s="296"/>
    </row>
    <row r="5" spans="1:26" s="145" customFormat="1" x14ac:dyDescent="0.2">
      <c r="A5" s="137"/>
      <c r="B5" s="138" t="s">
        <v>296</v>
      </c>
      <c r="C5" s="139" t="s">
        <v>297</v>
      </c>
      <c r="D5" s="140" t="s">
        <v>297</v>
      </c>
      <c r="E5" s="159" t="s">
        <v>296</v>
      </c>
      <c r="F5" s="142" t="s">
        <v>297</v>
      </c>
      <c r="G5" s="159" t="s">
        <v>298</v>
      </c>
      <c r="H5" s="160">
        <v>2009</v>
      </c>
      <c r="I5" s="142" t="s">
        <v>299</v>
      </c>
      <c r="J5" s="137" t="s">
        <v>300</v>
      </c>
      <c r="K5" s="137" t="s">
        <v>301</v>
      </c>
      <c r="L5" s="145" t="s">
        <v>302</v>
      </c>
      <c r="M5" s="145" t="s">
        <v>303</v>
      </c>
      <c r="N5" s="146" t="s">
        <v>304</v>
      </c>
      <c r="O5" s="156" t="s">
        <v>71</v>
      </c>
      <c r="P5" s="157" t="s">
        <v>79</v>
      </c>
      <c r="Q5" s="156" t="s">
        <v>71</v>
      </c>
      <c r="R5" s="157" t="s">
        <v>79</v>
      </c>
      <c r="S5" s="145" t="s">
        <v>305</v>
      </c>
      <c r="T5" s="161" t="s">
        <v>306</v>
      </c>
      <c r="V5" s="145" t="s">
        <v>307</v>
      </c>
      <c r="Y5" s="296"/>
      <c r="Z5" s="296"/>
    </row>
    <row r="6" spans="1:26" s="145" customFormat="1" ht="13.5" thickBot="1" x14ac:dyDescent="0.25">
      <c r="A6" s="162" t="s">
        <v>308</v>
      </c>
      <c r="B6" s="163" t="s">
        <v>309</v>
      </c>
      <c r="C6" s="164" t="s">
        <v>290</v>
      </c>
      <c r="D6" s="165" t="s">
        <v>307</v>
      </c>
      <c r="E6" s="166" t="s">
        <v>310</v>
      </c>
      <c r="F6" s="167" t="s">
        <v>310</v>
      </c>
      <c r="G6" s="166" t="s">
        <v>310</v>
      </c>
      <c r="H6" s="168" t="s">
        <v>79</v>
      </c>
      <c r="I6" s="167" t="s">
        <v>310</v>
      </c>
      <c r="J6" s="162" t="s">
        <v>311</v>
      </c>
      <c r="K6" s="162" t="s">
        <v>312</v>
      </c>
      <c r="L6" s="162" t="s">
        <v>79</v>
      </c>
      <c r="M6" s="162" t="s">
        <v>313</v>
      </c>
      <c r="N6" s="165" t="s">
        <v>311</v>
      </c>
      <c r="O6" s="169" t="s">
        <v>314</v>
      </c>
      <c r="P6" s="170" t="s">
        <v>71</v>
      </c>
      <c r="Q6" s="169" t="s">
        <v>314</v>
      </c>
      <c r="R6" s="170" t="s">
        <v>71</v>
      </c>
      <c r="S6" s="171" t="s">
        <v>315</v>
      </c>
      <c r="T6" s="172" t="s">
        <v>79</v>
      </c>
      <c r="V6" s="145" t="s">
        <v>309</v>
      </c>
      <c r="W6" s="145" t="s">
        <v>71</v>
      </c>
      <c r="X6" s="145" t="s">
        <v>316</v>
      </c>
      <c r="Y6" s="296"/>
      <c r="Z6" s="296"/>
    </row>
    <row r="7" spans="1:26" s="145" customFormat="1" x14ac:dyDescent="0.2">
      <c r="A7" s="173" t="s">
        <v>29</v>
      </c>
      <c r="B7" s="138"/>
      <c r="C7" s="139"/>
      <c r="D7" s="140"/>
      <c r="E7" s="159"/>
      <c r="F7" s="142"/>
      <c r="G7" s="159"/>
      <c r="H7" s="143"/>
      <c r="I7" s="142"/>
      <c r="J7" s="137"/>
      <c r="K7" s="137"/>
      <c r="L7" s="137"/>
      <c r="M7" s="137"/>
      <c r="N7" s="140"/>
      <c r="O7" s="157">
        <v>0.14979999999999999</v>
      </c>
      <c r="P7" s="157"/>
      <c r="Q7" s="157"/>
      <c r="R7" s="157"/>
      <c r="S7" s="157"/>
      <c r="T7" s="161"/>
      <c r="V7" s="174" t="s">
        <v>317</v>
      </c>
      <c r="X7" s="145" t="s">
        <v>309</v>
      </c>
      <c r="Y7" s="296"/>
      <c r="Z7" s="296"/>
    </row>
    <row r="8" spans="1:26" x14ac:dyDescent="0.2">
      <c r="A8" s="134" t="s">
        <v>318</v>
      </c>
      <c r="B8" s="128">
        <v>17.11</v>
      </c>
      <c r="C8" s="129">
        <v>17.46</v>
      </c>
      <c r="E8" s="131">
        <v>73861.069999999439</v>
      </c>
      <c r="F8" s="132">
        <v>154132.43999999692</v>
      </c>
      <c r="G8" s="175">
        <f>0+165309.14</f>
        <v>165309.14000000001</v>
      </c>
      <c r="H8" s="133">
        <v>249533</v>
      </c>
      <c r="I8" s="132">
        <f t="shared" ref="I8:I39" si="0">+H8-G8</f>
        <v>84223.859999999986</v>
      </c>
      <c r="J8" s="176">
        <f t="shared" ref="J8:J39" si="1">+H8/C8</f>
        <v>14291.695303550972</v>
      </c>
      <c r="K8" s="176">
        <f t="shared" ref="K8:K19" si="2">J8/12</f>
        <v>1190.9746086292478</v>
      </c>
      <c r="L8" s="176">
        <f t="shared" ref="L8:L39" si="3">+J8*C8</f>
        <v>249533</v>
      </c>
      <c r="M8" s="134">
        <v>47</v>
      </c>
      <c r="N8" s="130">
        <f>13/3</f>
        <v>4.333333333333333</v>
      </c>
      <c r="O8" s="177">
        <f>C8*$O$7</f>
        <v>2.6155079999999997</v>
      </c>
      <c r="P8" s="136">
        <f t="shared" ref="P8:P21" si="4">J8*O8</f>
        <v>37380.043399999995</v>
      </c>
      <c r="Q8" s="136"/>
      <c r="R8" s="136"/>
      <c r="S8" s="177">
        <v>2.84</v>
      </c>
      <c r="T8" s="176">
        <f>ROUND(J8*S8,2)</f>
        <v>40588.410000000003</v>
      </c>
      <c r="V8" s="177">
        <f>C8+S8</f>
        <v>20.3</v>
      </c>
      <c r="W8" s="177">
        <f>O8</f>
        <v>2.6155079999999997</v>
      </c>
      <c r="X8" s="177">
        <f>SUM(V8:W8)</f>
        <v>22.915507999999999</v>
      </c>
    </row>
    <row r="9" spans="1:26" x14ac:dyDescent="0.2">
      <c r="A9" s="134" t="s">
        <v>319</v>
      </c>
      <c r="B9" s="128">
        <v>17.11</v>
      </c>
      <c r="C9" s="129">
        <v>17.46</v>
      </c>
      <c r="E9" s="131">
        <v>17916.16</v>
      </c>
      <c r="F9" s="132">
        <v>28302.960000000094</v>
      </c>
      <c r="G9" s="175">
        <v>18289.3</v>
      </c>
      <c r="H9" s="133">
        <v>26688</v>
      </c>
      <c r="I9" s="132">
        <f t="shared" si="0"/>
        <v>8398.7000000000007</v>
      </c>
      <c r="J9" s="176">
        <f t="shared" si="1"/>
        <v>1528.5223367697595</v>
      </c>
      <c r="K9" s="176">
        <f t="shared" si="2"/>
        <v>127.37686139747996</v>
      </c>
      <c r="L9" s="176">
        <f t="shared" si="3"/>
        <v>26688</v>
      </c>
      <c r="M9" s="134">
        <v>47</v>
      </c>
      <c r="N9" s="130">
        <f>+N8</f>
        <v>4.333333333333333</v>
      </c>
      <c r="O9" s="177">
        <f t="shared" ref="O9:O31" si="5">C9*$O$7</f>
        <v>2.6155079999999997</v>
      </c>
      <c r="P9" s="136">
        <f t="shared" si="4"/>
        <v>3997.8623999999995</v>
      </c>
      <c r="Q9" s="136"/>
      <c r="R9" s="136"/>
      <c r="S9" s="177">
        <v>2.84</v>
      </c>
      <c r="T9" s="176">
        <f t="shared" ref="T9:T25" si="6">ROUND(J9*S9,2)</f>
        <v>4341</v>
      </c>
      <c r="V9" s="177">
        <f t="shared" ref="V9:V39" si="7">C9+S9</f>
        <v>20.3</v>
      </c>
      <c r="W9" s="177">
        <f t="shared" ref="W9:W35" si="8">O9</f>
        <v>2.6155079999999997</v>
      </c>
      <c r="X9" s="177">
        <f t="shared" ref="X9:X39" si="9">SUM(V9:W9)</f>
        <v>22.915507999999999</v>
      </c>
    </row>
    <row r="10" spans="1:26" x14ac:dyDescent="0.2">
      <c r="A10" s="134" t="s">
        <v>320</v>
      </c>
      <c r="B10" s="128">
        <v>11.92</v>
      </c>
      <c r="C10" s="129">
        <v>12.096537436412358</v>
      </c>
      <c r="E10" s="131">
        <v>48180.000000000662</v>
      </c>
      <c r="F10" s="132">
        <v>99807.120000001363</v>
      </c>
      <c r="G10" s="175">
        <v>120715.92</v>
      </c>
      <c r="H10" s="133">
        <v>186400</v>
      </c>
      <c r="I10" s="132">
        <f t="shared" si="0"/>
        <v>65684.08</v>
      </c>
      <c r="J10" s="176">
        <f t="shared" si="1"/>
        <v>15409.36825763946</v>
      </c>
      <c r="K10" s="176">
        <f t="shared" si="2"/>
        <v>1284.1140214699551</v>
      </c>
      <c r="L10" s="176">
        <f t="shared" si="3"/>
        <v>186400</v>
      </c>
      <c r="M10" s="134">
        <v>47</v>
      </c>
      <c r="N10" s="130">
        <f>+N9/2</f>
        <v>2.1666666666666665</v>
      </c>
      <c r="O10" s="177">
        <f t="shared" si="5"/>
        <v>1.8120613079745711</v>
      </c>
      <c r="P10" s="136">
        <f t="shared" si="4"/>
        <v>27922.719999999998</v>
      </c>
      <c r="Q10" s="136"/>
      <c r="R10" s="136"/>
      <c r="S10" s="177">
        <v>1.42</v>
      </c>
      <c r="T10" s="176">
        <f t="shared" si="6"/>
        <v>21881.3</v>
      </c>
      <c r="V10" s="177">
        <f t="shared" si="7"/>
        <v>13.516537436412358</v>
      </c>
      <c r="W10" s="177">
        <f t="shared" si="8"/>
        <v>1.8120613079745711</v>
      </c>
      <c r="X10" s="177">
        <f t="shared" si="9"/>
        <v>15.32859874438693</v>
      </c>
    </row>
    <row r="11" spans="1:26" x14ac:dyDescent="0.2">
      <c r="A11" s="134" t="s">
        <v>321</v>
      </c>
      <c r="B11" s="128">
        <v>11.92</v>
      </c>
      <c r="C11" s="129">
        <v>12.096537436412358</v>
      </c>
      <c r="E11" s="131">
        <v>14284.019999999942</v>
      </c>
      <c r="F11" s="132">
        <v>23661.120000000134</v>
      </c>
      <c r="G11" s="175">
        <v>17829.349999999999</v>
      </c>
      <c r="H11" s="133">
        <v>26209</v>
      </c>
      <c r="I11" s="132">
        <f t="shared" si="0"/>
        <v>8379.6500000000015</v>
      </c>
      <c r="J11" s="176">
        <f t="shared" si="1"/>
        <v>2166.653072234295</v>
      </c>
      <c r="K11" s="176">
        <f t="shared" si="2"/>
        <v>180.55442268619126</v>
      </c>
      <c r="L11" s="176">
        <f t="shared" si="3"/>
        <v>26209</v>
      </c>
      <c r="M11" s="134">
        <v>47</v>
      </c>
      <c r="N11" s="130">
        <f>+N10</f>
        <v>2.1666666666666665</v>
      </c>
      <c r="O11" s="177">
        <f t="shared" si="5"/>
        <v>1.8120613079745711</v>
      </c>
      <c r="P11" s="136">
        <f t="shared" si="4"/>
        <v>3926.1081999999997</v>
      </c>
      <c r="Q11" s="136"/>
      <c r="R11" s="136"/>
      <c r="S11" s="177">
        <v>1.42</v>
      </c>
      <c r="T11" s="176">
        <f t="shared" si="6"/>
        <v>3076.65</v>
      </c>
      <c r="V11" s="177">
        <f t="shared" si="7"/>
        <v>13.516537436412358</v>
      </c>
      <c r="W11" s="177">
        <f t="shared" si="8"/>
        <v>1.8120613079745711</v>
      </c>
      <c r="X11" s="177">
        <f t="shared" si="9"/>
        <v>15.32859874438693</v>
      </c>
    </row>
    <row r="12" spans="1:26" x14ac:dyDescent="0.2">
      <c r="A12" s="134" t="s">
        <v>322</v>
      </c>
      <c r="B12" s="128">
        <v>4.55</v>
      </c>
      <c r="C12" s="129">
        <v>4.6314788168057044</v>
      </c>
      <c r="D12" s="130" t="s">
        <v>323</v>
      </c>
      <c r="E12" s="131">
        <v>2558.75</v>
      </c>
      <c r="F12" s="132">
        <v>5797.12</v>
      </c>
      <c r="G12" s="175">
        <v>9176.58</v>
      </c>
      <c r="H12" s="133">
        <v>14029</v>
      </c>
      <c r="I12" s="132">
        <f t="shared" si="0"/>
        <v>4852.42</v>
      </c>
      <c r="J12" s="176">
        <f t="shared" si="1"/>
        <v>3029.05412178387</v>
      </c>
      <c r="K12" s="176">
        <f t="shared" si="2"/>
        <v>252.4211768153225</v>
      </c>
      <c r="L12" s="176">
        <f t="shared" si="3"/>
        <v>14029</v>
      </c>
      <c r="M12" s="134">
        <v>47</v>
      </c>
      <c r="N12" s="129">
        <v>1</v>
      </c>
      <c r="O12" s="177">
        <f t="shared" si="5"/>
        <v>0.69379552675749445</v>
      </c>
      <c r="P12" s="136">
        <f t="shared" si="4"/>
        <v>2101.5441999999998</v>
      </c>
      <c r="Q12" s="136"/>
      <c r="R12" s="136"/>
      <c r="S12" s="177">
        <v>0.66</v>
      </c>
      <c r="T12" s="176">
        <f t="shared" si="6"/>
        <v>1999.18</v>
      </c>
      <c r="V12" s="177">
        <f t="shared" si="7"/>
        <v>5.2914788168057045</v>
      </c>
      <c r="W12" s="177">
        <f t="shared" si="8"/>
        <v>0.69379552675749445</v>
      </c>
      <c r="X12" s="177">
        <f t="shared" si="9"/>
        <v>5.9852743435631988</v>
      </c>
    </row>
    <row r="13" spans="1:26" x14ac:dyDescent="0.2">
      <c r="A13" s="134" t="s">
        <v>324</v>
      </c>
      <c r="B13" s="128">
        <v>4.55</v>
      </c>
      <c r="C13" s="129">
        <v>4.6314788168057044</v>
      </c>
      <c r="E13" s="131">
        <v>664.9</v>
      </c>
      <c r="F13" s="132">
        <v>988.06</v>
      </c>
      <c r="G13" s="175">
        <v>685.24</v>
      </c>
      <c r="H13" s="133">
        <v>972</v>
      </c>
      <c r="I13" s="132">
        <f t="shared" si="0"/>
        <v>286.76</v>
      </c>
      <c r="J13" s="176">
        <f t="shared" si="1"/>
        <v>209.86817352440812</v>
      </c>
      <c r="K13" s="176">
        <f t="shared" si="2"/>
        <v>17.489014460367343</v>
      </c>
      <c r="L13" s="176">
        <f t="shared" si="3"/>
        <v>972</v>
      </c>
      <c r="M13" s="134">
        <v>47</v>
      </c>
      <c r="N13" s="129">
        <v>1</v>
      </c>
      <c r="O13" s="177">
        <f t="shared" si="5"/>
        <v>0.69379552675749445</v>
      </c>
      <c r="P13" s="136">
        <f t="shared" si="4"/>
        <v>145.60559999999998</v>
      </c>
      <c r="Q13" s="136"/>
      <c r="R13" s="136"/>
      <c r="S13" s="177">
        <v>0.66</v>
      </c>
      <c r="T13" s="176">
        <f t="shared" si="6"/>
        <v>138.51</v>
      </c>
      <c r="V13" s="177">
        <f t="shared" si="7"/>
        <v>5.2914788168057045</v>
      </c>
      <c r="W13" s="177">
        <f t="shared" si="8"/>
        <v>0.69379552675749445</v>
      </c>
      <c r="X13" s="177">
        <f t="shared" si="9"/>
        <v>5.9852743435631988</v>
      </c>
    </row>
    <row r="14" spans="1:26" x14ac:dyDescent="0.2">
      <c r="A14" s="134" t="s">
        <v>325</v>
      </c>
      <c r="B14" s="128">
        <v>24.16</v>
      </c>
      <c r="C14" s="129">
        <v>24.663319499558643</v>
      </c>
      <c r="E14" s="131">
        <v>14268.06</v>
      </c>
      <c r="F14" s="132">
        <v>33079.949999999873</v>
      </c>
      <c r="G14" s="175">
        <v>44742.46</v>
      </c>
      <c r="H14" s="133">
        <v>67326</v>
      </c>
      <c r="I14" s="132">
        <f t="shared" si="0"/>
        <v>22583.54</v>
      </c>
      <c r="J14" s="176">
        <f t="shared" si="1"/>
        <v>2729.8028556620216</v>
      </c>
      <c r="K14" s="176">
        <f t="shared" si="2"/>
        <v>227.48357130516845</v>
      </c>
      <c r="L14" s="176">
        <f t="shared" si="3"/>
        <v>67326</v>
      </c>
      <c r="M14" s="178">
        <v>67</v>
      </c>
      <c r="N14" s="130">
        <f>13/3</f>
        <v>4.333333333333333</v>
      </c>
      <c r="O14" s="177">
        <f t="shared" si="5"/>
        <v>3.6945652610338846</v>
      </c>
      <c r="P14" s="136">
        <f t="shared" si="4"/>
        <v>10085.434800000001</v>
      </c>
      <c r="Q14" s="136"/>
      <c r="R14" s="136"/>
      <c r="S14" s="177">
        <v>4.05</v>
      </c>
      <c r="T14" s="176">
        <f t="shared" si="6"/>
        <v>11055.7</v>
      </c>
      <c r="V14" s="177">
        <f t="shared" si="7"/>
        <v>28.713319499558644</v>
      </c>
      <c r="W14" s="177">
        <f t="shared" si="8"/>
        <v>3.6945652610338846</v>
      </c>
      <c r="X14" s="177">
        <f t="shared" si="9"/>
        <v>32.40788476059253</v>
      </c>
    </row>
    <row r="15" spans="1:26" x14ac:dyDescent="0.2">
      <c r="A15" s="134" t="s">
        <v>326</v>
      </c>
      <c r="B15" s="128">
        <v>24.16</v>
      </c>
      <c r="C15" s="129">
        <v>24.663319499558643</v>
      </c>
      <c r="E15" s="131">
        <v>3933.94</v>
      </c>
      <c r="F15" s="132">
        <v>6352.22</v>
      </c>
      <c r="G15" s="175">
        <v>2863.87</v>
      </c>
      <c r="H15" s="133">
        <v>4091</v>
      </c>
      <c r="I15" s="132">
        <f t="shared" si="0"/>
        <v>1227.1300000000001</v>
      </c>
      <c r="J15" s="176">
        <f t="shared" si="1"/>
        <v>165.87385976462778</v>
      </c>
      <c r="K15" s="176">
        <f t="shared" si="2"/>
        <v>13.822821647052315</v>
      </c>
      <c r="L15" s="176">
        <f t="shared" si="3"/>
        <v>4091</v>
      </c>
      <c r="M15" s="178">
        <v>67</v>
      </c>
      <c r="N15" s="130">
        <f>+N14</f>
        <v>4.333333333333333</v>
      </c>
      <c r="O15" s="177">
        <f t="shared" si="5"/>
        <v>3.6945652610338846</v>
      </c>
      <c r="P15" s="136">
        <f t="shared" si="4"/>
        <v>612.83180000000004</v>
      </c>
      <c r="Q15" s="136"/>
      <c r="R15" s="136"/>
      <c r="S15" s="177">
        <v>4.05</v>
      </c>
      <c r="T15" s="176">
        <f t="shared" si="6"/>
        <v>671.79</v>
      </c>
      <c r="V15" s="177">
        <f t="shared" si="7"/>
        <v>28.713319499558644</v>
      </c>
      <c r="W15" s="177">
        <f t="shared" si="8"/>
        <v>3.6945652610338846</v>
      </c>
      <c r="X15" s="177">
        <f t="shared" si="9"/>
        <v>32.40788476059253</v>
      </c>
    </row>
    <row r="16" spans="1:26" x14ac:dyDescent="0.2">
      <c r="A16" s="134" t="s">
        <v>327</v>
      </c>
      <c r="B16" s="128">
        <v>17.510000000000002</v>
      </c>
      <c r="C16" s="129">
        <v>17.761659749779323</v>
      </c>
      <c r="E16" s="131">
        <v>2980.73</v>
      </c>
      <c r="F16" s="132">
        <v>7633.52</v>
      </c>
      <c r="G16" s="175">
        <v>13683.83</v>
      </c>
      <c r="H16" s="133">
        <v>21170</v>
      </c>
      <c r="I16" s="132">
        <f t="shared" si="0"/>
        <v>7486.17</v>
      </c>
      <c r="J16" s="176">
        <f t="shared" si="1"/>
        <v>1191.8931168728768</v>
      </c>
      <c r="K16" s="176">
        <f t="shared" si="2"/>
        <v>99.324426406073073</v>
      </c>
      <c r="L16" s="176">
        <f t="shared" si="3"/>
        <v>21170</v>
      </c>
      <c r="M16" s="178">
        <v>67</v>
      </c>
      <c r="N16" s="130">
        <f>+N15/2</f>
        <v>2.1666666666666665</v>
      </c>
      <c r="O16" s="177">
        <f t="shared" si="5"/>
        <v>2.6606966305169424</v>
      </c>
      <c r="P16" s="136">
        <f t="shared" si="4"/>
        <v>3171.2659999999996</v>
      </c>
      <c r="Q16" s="136"/>
      <c r="R16" s="136"/>
      <c r="S16" s="177">
        <v>2.0299999999999998</v>
      </c>
      <c r="T16" s="176">
        <f t="shared" si="6"/>
        <v>2419.54</v>
      </c>
      <c r="V16" s="177">
        <f t="shared" si="7"/>
        <v>19.791659749779324</v>
      </c>
      <c r="W16" s="177">
        <f t="shared" si="8"/>
        <v>2.6606966305169424</v>
      </c>
      <c r="X16" s="177">
        <f t="shared" si="9"/>
        <v>22.452356380296266</v>
      </c>
    </row>
    <row r="17" spans="1:24" x14ac:dyDescent="0.2">
      <c r="A17" s="134" t="s">
        <v>328</v>
      </c>
      <c r="B17" s="128">
        <v>17.510000000000002</v>
      </c>
      <c r="C17" s="129">
        <v>17.761659749779323</v>
      </c>
      <c r="E17" s="131">
        <v>469.91</v>
      </c>
      <c r="F17" s="132">
        <v>622.44000000000005</v>
      </c>
      <c r="G17" s="175">
        <v>399.6</v>
      </c>
      <c r="H17" s="133">
        <v>542</v>
      </c>
      <c r="I17" s="132">
        <f t="shared" si="0"/>
        <v>142.39999999999998</v>
      </c>
      <c r="J17" s="176">
        <f t="shared" si="1"/>
        <v>30.515166242092551</v>
      </c>
      <c r="K17" s="176">
        <f t="shared" si="2"/>
        <v>2.5429305201743793</v>
      </c>
      <c r="L17" s="176">
        <f t="shared" si="3"/>
        <v>542</v>
      </c>
      <c r="M17" s="178">
        <v>67</v>
      </c>
      <c r="N17" s="130">
        <f>+N16</f>
        <v>2.1666666666666665</v>
      </c>
      <c r="O17" s="177">
        <f t="shared" si="5"/>
        <v>2.6606966305169424</v>
      </c>
      <c r="P17" s="136">
        <f t="shared" si="4"/>
        <v>81.191599999999994</v>
      </c>
      <c r="Q17" s="136"/>
      <c r="R17" s="136"/>
      <c r="S17" s="177">
        <v>2.0299999999999998</v>
      </c>
      <c r="T17" s="176">
        <f t="shared" si="6"/>
        <v>61.95</v>
      </c>
      <c r="V17" s="177">
        <f t="shared" si="7"/>
        <v>19.791659749779324</v>
      </c>
      <c r="W17" s="177">
        <f t="shared" si="8"/>
        <v>2.6606966305169424</v>
      </c>
      <c r="X17" s="177">
        <f t="shared" si="9"/>
        <v>22.452356380296266</v>
      </c>
    </row>
    <row r="18" spans="1:24" x14ac:dyDescent="0.2">
      <c r="A18" s="134" t="s">
        <v>329</v>
      </c>
      <c r="B18" s="128">
        <v>7.22</v>
      </c>
      <c r="C18" s="129">
        <v>7.3361506537443013</v>
      </c>
      <c r="E18" s="131">
        <v>1512.98</v>
      </c>
      <c r="F18" s="132">
        <v>2997.52</v>
      </c>
      <c r="G18" s="175">
        <v>3589.26</v>
      </c>
      <c r="H18" s="133">
        <v>5344</v>
      </c>
      <c r="I18" s="132">
        <f t="shared" si="0"/>
        <v>1754.7399999999998</v>
      </c>
      <c r="J18" s="176">
        <f t="shared" si="1"/>
        <v>728.44741775749571</v>
      </c>
      <c r="K18" s="176">
        <f t="shared" si="2"/>
        <v>60.703951479791307</v>
      </c>
      <c r="L18" s="176">
        <f t="shared" si="3"/>
        <v>5344</v>
      </c>
      <c r="M18" s="178">
        <v>67</v>
      </c>
      <c r="N18" s="129">
        <v>1</v>
      </c>
      <c r="O18" s="177">
        <f t="shared" si="5"/>
        <v>1.0989553679308963</v>
      </c>
      <c r="P18" s="136">
        <f t="shared" si="4"/>
        <v>800.53120000000001</v>
      </c>
      <c r="Q18" s="136"/>
      <c r="R18" s="136"/>
      <c r="S18" s="177">
        <v>0.94</v>
      </c>
      <c r="T18" s="176">
        <f t="shared" si="6"/>
        <v>684.74</v>
      </c>
      <c r="V18" s="177">
        <f t="shared" si="7"/>
        <v>8.2761506537443008</v>
      </c>
      <c r="W18" s="177">
        <f t="shared" si="8"/>
        <v>1.0989553679308963</v>
      </c>
      <c r="X18" s="177">
        <f t="shared" si="9"/>
        <v>9.3751060216751974</v>
      </c>
    </row>
    <row r="19" spans="1:24" x14ac:dyDescent="0.2">
      <c r="A19" s="134" t="s">
        <v>330</v>
      </c>
      <c r="B19" s="128">
        <v>7.22</v>
      </c>
      <c r="C19" s="129">
        <v>7.3361506537443013</v>
      </c>
      <c r="E19" s="131">
        <v>137.19</v>
      </c>
      <c r="F19" s="132">
        <v>139.55000000000001</v>
      </c>
      <c r="G19" s="175">
        <v>58.72</v>
      </c>
      <c r="H19" s="133">
        <f>15+73</f>
        <v>88</v>
      </c>
      <c r="I19" s="132">
        <f t="shared" si="0"/>
        <v>29.28</v>
      </c>
      <c r="J19" s="176">
        <f t="shared" si="1"/>
        <v>11.995391609779121</v>
      </c>
      <c r="K19" s="176">
        <f t="shared" si="2"/>
        <v>0.99961596748159343</v>
      </c>
      <c r="L19" s="176">
        <f t="shared" si="3"/>
        <v>88</v>
      </c>
      <c r="M19" s="178">
        <v>67</v>
      </c>
      <c r="N19" s="129">
        <v>1</v>
      </c>
      <c r="O19" s="177">
        <f t="shared" si="5"/>
        <v>1.0989553679308963</v>
      </c>
      <c r="P19" s="136">
        <f t="shared" si="4"/>
        <v>13.182400000000001</v>
      </c>
      <c r="Q19" s="136"/>
      <c r="R19" s="136"/>
      <c r="S19" s="177">
        <v>0.94</v>
      </c>
      <c r="T19" s="176">
        <f t="shared" si="6"/>
        <v>11.28</v>
      </c>
      <c r="V19" s="177">
        <f t="shared" si="7"/>
        <v>8.2761506537443008</v>
      </c>
      <c r="W19" s="177">
        <f t="shared" si="8"/>
        <v>1.0989553679308963</v>
      </c>
      <c r="X19" s="177">
        <f t="shared" si="9"/>
        <v>9.3751060216751974</v>
      </c>
    </row>
    <row r="20" spans="1:24" x14ac:dyDescent="0.2">
      <c r="A20" s="134" t="s">
        <v>331</v>
      </c>
      <c r="B20" s="128">
        <v>4.09</v>
      </c>
      <c r="C20" s="129">
        <v>4.1489421227956154</v>
      </c>
      <c r="E20" s="131">
        <f>1475.34+8.04</f>
        <v>1483.3799999999999</v>
      </c>
      <c r="F20" s="132">
        <v>4508.6399999999849</v>
      </c>
      <c r="G20" s="175">
        <v>1671.31</v>
      </c>
      <c r="H20" s="133">
        <v>2090</v>
      </c>
      <c r="I20" s="132">
        <f t="shared" si="0"/>
        <v>418.69000000000005</v>
      </c>
      <c r="J20" s="176">
        <f t="shared" si="1"/>
        <v>503.74286701105598</v>
      </c>
      <c r="K20" s="176"/>
      <c r="L20" s="176">
        <f t="shared" si="3"/>
        <v>2090</v>
      </c>
      <c r="M20" s="178">
        <v>34</v>
      </c>
      <c r="N20" s="130">
        <v>1</v>
      </c>
      <c r="O20" s="177">
        <f t="shared" si="5"/>
        <v>0.6215115299947831</v>
      </c>
      <c r="P20" s="136">
        <f t="shared" si="4"/>
        <v>313.08199999999994</v>
      </c>
      <c r="Q20" s="136"/>
      <c r="R20" s="136"/>
      <c r="S20" s="177">
        <v>0.47</v>
      </c>
      <c r="T20" s="176">
        <f t="shared" si="6"/>
        <v>236.76</v>
      </c>
      <c r="V20" s="177">
        <f t="shared" si="7"/>
        <v>4.6189421227956151</v>
      </c>
      <c r="W20" s="177">
        <f t="shared" si="8"/>
        <v>0.6215115299947831</v>
      </c>
      <c r="X20" s="177">
        <f t="shared" si="9"/>
        <v>5.2404536527903982</v>
      </c>
    </row>
    <row r="21" spans="1:24" x14ac:dyDescent="0.2">
      <c r="A21" s="134" t="s">
        <v>332</v>
      </c>
      <c r="B21" s="128">
        <v>5.46</v>
      </c>
      <c r="C21" s="129">
        <v>5.5414788168057045</v>
      </c>
      <c r="E21" s="131">
        <v>84</v>
      </c>
      <c r="F21" s="132">
        <v>350.35</v>
      </c>
      <c r="G21" s="175">
        <v>902.72</v>
      </c>
      <c r="H21" s="133">
        <v>1066</v>
      </c>
      <c r="I21" s="132">
        <f t="shared" si="0"/>
        <v>163.27999999999997</v>
      </c>
      <c r="J21" s="176">
        <f t="shared" si="1"/>
        <v>192.36742307254337</v>
      </c>
      <c r="K21" s="176">
        <f>J21/12</f>
        <v>16.030618589378616</v>
      </c>
      <c r="L21" s="176">
        <f t="shared" si="3"/>
        <v>1066</v>
      </c>
      <c r="M21" s="178">
        <v>47</v>
      </c>
      <c r="N21" s="129">
        <v>1</v>
      </c>
      <c r="O21" s="177">
        <f t="shared" si="5"/>
        <v>0.8301135267574945</v>
      </c>
      <c r="P21" s="136">
        <f t="shared" si="4"/>
        <v>159.68680000000001</v>
      </c>
      <c r="Q21" s="136"/>
      <c r="R21" s="136"/>
      <c r="S21" s="177">
        <v>0.66</v>
      </c>
      <c r="T21" s="176">
        <f t="shared" si="6"/>
        <v>126.96</v>
      </c>
      <c r="V21" s="177">
        <f t="shared" si="7"/>
        <v>6.2014788168057047</v>
      </c>
      <c r="W21" s="177">
        <f t="shared" si="8"/>
        <v>0.8301135267574945</v>
      </c>
      <c r="X21" s="177">
        <f t="shared" si="9"/>
        <v>7.0315923435631991</v>
      </c>
    </row>
    <row r="22" spans="1:24" x14ac:dyDescent="0.2">
      <c r="A22" s="134" t="s">
        <v>332</v>
      </c>
      <c r="B22" s="128">
        <v>5.46</v>
      </c>
      <c r="C22" s="129">
        <v>5.5414788168057045</v>
      </c>
      <c r="E22" s="131">
        <v>48.6</v>
      </c>
      <c r="G22" s="175"/>
      <c r="I22" s="132">
        <f t="shared" si="0"/>
        <v>0</v>
      </c>
      <c r="J22" s="176">
        <f t="shared" si="1"/>
        <v>0</v>
      </c>
      <c r="K22" s="176">
        <f>J22/12</f>
        <v>0</v>
      </c>
      <c r="L22" s="176">
        <f t="shared" si="3"/>
        <v>0</v>
      </c>
      <c r="M22" s="178">
        <v>47</v>
      </c>
      <c r="N22" s="129">
        <v>1</v>
      </c>
      <c r="O22" s="177">
        <f t="shared" si="5"/>
        <v>0.8301135267574945</v>
      </c>
      <c r="S22" s="177">
        <v>0</v>
      </c>
      <c r="T22" s="176">
        <f t="shared" si="6"/>
        <v>0</v>
      </c>
      <c r="V22" s="177">
        <f t="shared" si="7"/>
        <v>5.5414788168057045</v>
      </c>
      <c r="W22" s="177">
        <f t="shared" si="8"/>
        <v>0.8301135267574945</v>
      </c>
      <c r="X22" s="177">
        <f t="shared" si="9"/>
        <v>6.3715923435631989</v>
      </c>
    </row>
    <row r="23" spans="1:24" x14ac:dyDescent="0.2">
      <c r="A23" s="178" t="s">
        <v>333</v>
      </c>
      <c r="B23" s="128">
        <v>6.8</v>
      </c>
      <c r="C23" s="129">
        <v>6.9161506537443014</v>
      </c>
      <c r="F23" s="132">
        <v>40.200000000000003</v>
      </c>
      <c r="G23" s="175"/>
      <c r="I23" s="132">
        <f t="shared" si="0"/>
        <v>0</v>
      </c>
      <c r="J23" s="176">
        <f t="shared" si="1"/>
        <v>0</v>
      </c>
      <c r="K23" s="176">
        <f>J23/12</f>
        <v>0</v>
      </c>
      <c r="L23" s="176">
        <f t="shared" si="3"/>
        <v>0</v>
      </c>
      <c r="M23" s="178">
        <v>67</v>
      </c>
      <c r="N23" s="129">
        <v>1</v>
      </c>
      <c r="O23" s="177">
        <f t="shared" si="5"/>
        <v>1.0360393679308963</v>
      </c>
      <c r="S23" s="177">
        <v>0</v>
      </c>
      <c r="T23" s="176">
        <f t="shared" si="6"/>
        <v>0</v>
      </c>
      <c r="V23" s="177">
        <f t="shared" si="7"/>
        <v>6.9161506537443014</v>
      </c>
      <c r="W23" s="177">
        <f t="shared" si="8"/>
        <v>1.0360393679308963</v>
      </c>
      <c r="X23" s="177">
        <f t="shared" si="9"/>
        <v>7.9521900216751975</v>
      </c>
    </row>
    <row r="24" spans="1:24" x14ac:dyDescent="0.2">
      <c r="A24" s="134" t="s">
        <v>334</v>
      </c>
      <c r="B24" s="128">
        <v>4.33</v>
      </c>
      <c r="C24" s="129">
        <v>4.3889421227956156</v>
      </c>
      <c r="E24" s="131">
        <v>63.7</v>
      </c>
      <c r="F24" s="132">
        <v>85.6</v>
      </c>
      <c r="G24" s="175">
        <v>43.9</v>
      </c>
      <c r="H24" s="133">
        <v>44</v>
      </c>
      <c r="I24" s="132">
        <f t="shared" si="0"/>
        <v>0.10000000000000142</v>
      </c>
      <c r="J24" s="176">
        <f t="shared" si="1"/>
        <v>10.025194857655906</v>
      </c>
      <c r="K24" s="176"/>
      <c r="L24" s="176">
        <f t="shared" si="3"/>
        <v>44</v>
      </c>
      <c r="M24" s="178">
        <v>34</v>
      </c>
      <c r="N24" s="129">
        <v>1</v>
      </c>
      <c r="O24" s="177">
        <f t="shared" si="5"/>
        <v>0.65746352999478319</v>
      </c>
      <c r="P24" s="136">
        <f>J24*O24</f>
        <v>6.5911999999999997</v>
      </c>
      <c r="Q24" s="136"/>
      <c r="R24" s="136"/>
      <c r="S24" s="177">
        <v>0.47</v>
      </c>
      <c r="T24" s="176">
        <f t="shared" si="6"/>
        <v>4.71</v>
      </c>
      <c r="V24" s="177">
        <f t="shared" si="7"/>
        <v>4.8589421227956153</v>
      </c>
      <c r="W24" s="177">
        <f t="shared" si="8"/>
        <v>0.65746352999478319</v>
      </c>
      <c r="X24" s="177">
        <f t="shared" si="9"/>
        <v>5.5164056527903984</v>
      </c>
    </row>
    <row r="25" spans="1:24" x14ac:dyDescent="0.2">
      <c r="A25" s="178" t="s">
        <v>335</v>
      </c>
      <c r="B25" s="128">
        <v>4.6399999999999997</v>
      </c>
      <c r="C25" s="129">
        <v>4.6989421227956152</v>
      </c>
      <c r="E25" s="131">
        <v>13.71</v>
      </c>
      <c r="F25" s="132">
        <v>13.77</v>
      </c>
      <c r="G25" s="175">
        <v>42.3</v>
      </c>
      <c r="H25" s="133">
        <v>52</v>
      </c>
      <c r="I25" s="132">
        <f t="shared" si="0"/>
        <v>9.7000000000000028</v>
      </c>
      <c r="J25" s="176">
        <f t="shared" si="1"/>
        <v>11.066320597509899</v>
      </c>
      <c r="K25" s="176"/>
      <c r="L25" s="176">
        <f t="shared" si="3"/>
        <v>52.000000000000007</v>
      </c>
      <c r="M25" s="178">
        <v>34</v>
      </c>
      <c r="N25" s="129">
        <v>1</v>
      </c>
      <c r="O25" s="177">
        <f t="shared" si="5"/>
        <v>0.70390152999478306</v>
      </c>
      <c r="P25" s="136">
        <f>J25*O25</f>
        <v>7.7895999999999992</v>
      </c>
      <c r="Q25" s="136"/>
      <c r="R25" s="136"/>
      <c r="S25" s="177">
        <v>0.47</v>
      </c>
      <c r="T25" s="176">
        <f t="shared" si="6"/>
        <v>5.2</v>
      </c>
      <c r="V25" s="177">
        <f t="shared" si="7"/>
        <v>5.1689421227956149</v>
      </c>
      <c r="W25" s="177">
        <f t="shared" si="8"/>
        <v>0.70390152999478306</v>
      </c>
      <c r="X25" s="177">
        <f t="shared" si="9"/>
        <v>5.8728436527903982</v>
      </c>
    </row>
    <row r="26" spans="1:24" x14ac:dyDescent="0.2">
      <c r="A26" s="134" t="s">
        <v>336</v>
      </c>
      <c r="B26" s="128">
        <v>1.85</v>
      </c>
      <c r="C26" s="129">
        <v>1.85</v>
      </c>
      <c r="F26" s="132">
        <v>21.74</v>
      </c>
      <c r="G26" s="175">
        <v>88.8</v>
      </c>
      <c r="H26" s="133">
        <v>133</v>
      </c>
      <c r="I26" s="132">
        <f t="shared" si="0"/>
        <v>44.2</v>
      </c>
      <c r="J26" s="176">
        <f t="shared" si="1"/>
        <v>71.891891891891888</v>
      </c>
      <c r="K26" s="176"/>
      <c r="L26" s="176">
        <f t="shared" si="3"/>
        <v>133</v>
      </c>
      <c r="O26" s="177">
        <f t="shared" si="5"/>
        <v>0.27712999999999999</v>
      </c>
      <c r="P26" s="136">
        <f>J26*O26</f>
        <v>19.923399999999997</v>
      </c>
      <c r="Q26" s="136"/>
      <c r="R26" s="136"/>
      <c r="S26" s="177"/>
      <c r="T26" s="176">
        <f t="shared" ref="T26:T33" si="10">+S26*J26</f>
        <v>0</v>
      </c>
      <c r="V26" s="177">
        <f t="shared" si="7"/>
        <v>1.85</v>
      </c>
      <c r="W26" s="177">
        <f t="shared" si="8"/>
        <v>0.27712999999999999</v>
      </c>
      <c r="X26" s="177">
        <f t="shared" si="9"/>
        <v>2.1271300000000002</v>
      </c>
    </row>
    <row r="27" spans="1:24" x14ac:dyDescent="0.2">
      <c r="A27" s="134" t="s">
        <v>337</v>
      </c>
      <c r="B27" s="128">
        <v>6.25</v>
      </c>
      <c r="C27" s="129">
        <v>6.25</v>
      </c>
      <c r="F27" s="132">
        <v>1091.8699999999999</v>
      </c>
      <c r="G27" s="175">
        <v>585</v>
      </c>
      <c r="H27" s="133">
        <v>873</v>
      </c>
      <c r="I27" s="132">
        <f t="shared" si="0"/>
        <v>288</v>
      </c>
      <c r="J27" s="176">
        <f t="shared" si="1"/>
        <v>139.68</v>
      </c>
      <c r="K27" s="176"/>
      <c r="L27" s="176">
        <f t="shared" si="3"/>
        <v>873</v>
      </c>
      <c r="O27" s="177">
        <f t="shared" si="5"/>
        <v>0.93624999999999992</v>
      </c>
      <c r="P27" s="136">
        <f>J27*O27</f>
        <v>130.77539999999999</v>
      </c>
      <c r="Q27" s="136"/>
      <c r="R27" s="136"/>
      <c r="S27" s="177"/>
      <c r="T27" s="176">
        <f t="shared" si="10"/>
        <v>0</v>
      </c>
      <c r="V27" s="177">
        <f t="shared" si="7"/>
        <v>6.25</v>
      </c>
      <c r="W27" s="177">
        <f t="shared" si="8"/>
        <v>0.93624999999999992</v>
      </c>
      <c r="X27" s="177">
        <f t="shared" si="9"/>
        <v>7.1862500000000002</v>
      </c>
    </row>
    <row r="28" spans="1:24" x14ac:dyDescent="0.2">
      <c r="A28" s="134" t="s">
        <v>338</v>
      </c>
      <c r="B28" s="128">
        <v>90</v>
      </c>
      <c r="C28" s="129">
        <v>90</v>
      </c>
      <c r="E28" s="179"/>
      <c r="F28" s="132">
        <v>-90</v>
      </c>
      <c r="G28" s="175">
        <v>270</v>
      </c>
      <c r="H28" s="133">
        <v>270</v>
      </c>
      <c r="I28" s="132">
        <f t="shared" si="0"/>
        <v>0</v>
      </c>
      <c r="J28" s="176">
        <f t="shared" si="1"/>
        <v>3</v>
      </c>
      <c r="K28" s="176"/>
      <c r="L28" s="176">
        <f t="shared" si="3"/>
        <v>270</v>
      </c>
      <c r="O28" s="177"/>
      <c r="P28" s="136"/>
      <c r="Q28" s="136"/>
      <c r="R28" s="136"/>
      <c r="S28" s="177"/>
      <c r="T28" s="176">
        <f t="shared" si="10"/>
        <v>0</v>
      </c>
      <c r="V28" s="177">
        <f t="shared" si="7"/>
        <v>90</v>
      </c>
      <c r="W28" s="177">
        <f t="shared" si="8"/>
        <v>0</v>
      </c>
      <c r="X28" s="177">
        <f t="shared" si="9"/>
        <v>90</v>
      </c>
    </row>
    <row r="29" spans="1:24" x14ac:dyDescent="0.2">
      <c r="A29" s="134" t="s">
        <v>339</v>
      </c>
      <c r="B29" s="128">
        <v>20</v>
      </c>
      <c r="C29" s="129">
        <v>20</v>
      </c>
      <c r="E29" s="179"/>
      <c r="F29" s="132">
        <v>10</v>
      </c>
      <c r="G29" s="175">
        <v>20</v>
      </c>
      <c r="H29" s="133">
        <v>40</v>
      </c>
      <c r="I29" s="132">
        <f t="shared" si="0"/>
        <v>20</v>
      </c>
      <c r="J29" s="176">
        <f t="shared" si="1"/>
        <v>2</v>
      </c>
      <c r="K29" s="176"/>
      <c r="L29" s="176">
        <f t="shared" si="3"/>
        <v>40</v>
      </c>
      <c r="O29" s="177">
        <f t="shared" si="5"/>
        <v>2.9959999999999996</v>
      </c>
      <c r="P29" s="136">
        <f>J29*O29</f>
        <v>5.9919999999999991</v>
      </c>
      <c r="Q29" s="136"/>
      <c r="R29" s="136"/>
      <c r="S29" s="177"/>
      <c r="T29" s="176">
        <f t="shared" si="10"/>
        <v>0</v>
      </c>
      <c r="V29" s="177">
        <f t="shared" si="7"/>
        <v>20</v>
      </c>
      <c r="W29" s="177">
        <f t="shared" si="8"/>
        <v>2.9959999999999996</v>
      </c>
      <c r="X29" s="177">
        <f t="shared" si="9"/>
        <v>22.995999999999999</v>
      </c>
    </row>
    <row r="30" spans="1:24" x14ac:dyDescent="0.2">
      <c r="A30" s="134" t="s">
        <v>340</v>
      </c>
      <c r="B30" s="128">
        <v>20</v>
      </c>
      <c r="C30" s="129">
        <v>20</v>
      </c>
      <c r="E30" s="131">
        <v>75</v>
      </c>
      <c r="F30" s="132">
        <v>480</v>
      </c>
      <c r="G30" s="175">
        <v>700</v>
      </c>
      <c r="H30" s="180">
        <v>900</v>
      </c>
      <c r="I30" s="132">
        <f t="shared" si="0"/>
        <v>200</v>
      </c>
      <c r="J30" s="176">
        <f t="shared" si="1"/>
        <v>45</v>
      </c>
      <c r="K30" s="176"/>
      <c r="L30" s="176">
        <f t="shared" si="3"/>
        <v>900</v>
      </c>
      <c r="O30" s="177">
        <f t="shared" si="5"/>
        <v>2.9959999999999996</v>
      </c>
      <c r="P30" s="136">
        <f>J30*O30</f>
        <v>134.82</v>
      </c>
      <c r="Q30" s="136"/>
      <c r="R30" s="136"/>
      <c r="S30" s="177"/>
      <c r="T30" s="176">
        <f t="shared" si="10"/>
        <v>0</v>
      </c>
      <c r="V30" s="177">
        <f t="shared" si="7"/>
        <v>20</v>
      </c>
      <c r="W30" s="177">
        <f t="shared" si="8"/>
        <v>2.9959999999999996</v>
      </c>
      <c r="X30" s="177">
        <f t="shared" si="9"/>
        <v>22.995999999999999</v>
      </c>
    </row>
    <row r="31" spans="1:24" x14ac:dyDescent="0.2">
      <c r="A31" s="178" t="s">
        <v>341</v>
      </c>
      <c r="B31" s="128">
        <v>12</v>
      </c>
      <c r="C31" s="129">
        <v>12</v>
      </c>
      <c r="E31" s="131">
        <v>210</v>
      </c>
      <c r="F31" s="132">
        <v>1319</v>
      </c>
      <c r="G31" s="175">
        <v>2868</v>
      </c>
      <c r="H31" s="180">
        <v>3972</v>
      </c>
      <c r="I31" s="132">
        <f t="shared" si="0"/>
        <v>1104</v>
      </c>
      <c r="J31" s="176">
        <f t="shared" si="1"/>
        <v>331</v>
      </c>
      <c r="K31" s="176"/>
      <c r="L31" s="176">
        <f t="shared" si="3"/>
        <v>3972</v>
      </c>
      <c r="O31" s="177">
        <f t="shared" si="5"/>
        <v>1.7975999999999999</v>
      </c>
      <c r="P31" s="136">
        <f>J31*O31</f>
        <v>595.00559999999996</v>
      </c>
      <c r="Q31" s="136"/>
      <c r="R31" s="136"/>
      <c r="S31" s="177"/>
      <c r="T31" s="176">
        <f t="shared" si="10"/>
        <v>0</v>
      </c>
      <c r="V31" s="177">
        <f t="shared" si="7"/>
        <v>12</v>
      </c>
      <c r="W31" s="177">
        <f t="shared" si="8"/>
        <v>1.7975999999999999</v>
      </c>
      <c r="X31" s="177">
        <f t="shared" si="9"/>
        <v>13.797599999999999</v>
      </c>
    </row>
    <row r="32" spans="1:24" x14ac:dyDescent="0.2">
      <c r="A32" s="134" t="s">
        <v>342</v>
      </c>
      <c r="B32" s="128">
        <v>1</v>
      </c>
      <c r="C32" s="129">
        <v>1</v>
      </c>
      <c r="E32" s="181"/>
      <c r="F32" s="132">
        <f>-485.82-175.26</f>
        <v>-661.07999999999993</v>
      </c>
      <c r="G32" s="175">
        <v>577.30999999999995</v>
      </c>
      <c r="H32" s="133">
        <v>-1592</v>
      </c>
      <c r="I32" s="132">
        <f t="shared" si="0"/>
        <v>-2169.31</v>
      </c>
      <c r="J32" s="176">
        <f t="shared" si="1"/>
        <v>-1592</v>
      </c>
      <c r="K32" s="176"/>
      <c r="L32" s="176">
        <f t="shared" si="3"/>
        <v>-1592</v>
      </c>
      <c r="S32" s="177"/>
      <c r="T32" s="176">
        <f t="shared" si="10"/>
        <v>0</v>
      </c>
      <c r="V32" s="177"/>
      <c r="W32" s="177">
        <f t="shared" si="8"/>
        <v>0</v>
      </c>
      <c r="X32" s="177">
        <f t="shared" si="9"/>
        <v>0</v>
      </c>
    </row>
    <row r="33" spans="1:27" x14ac:dyDescent="0.2">
      <c r="A33" s="134" t="s">
        <v>343</v>
      </c>
      <c r="B33" s="128">
        <v>1</v>
      </c>
      <c r="C33" s="129">
        <v>1</v>
      </c>
      <c r="F33" s="132">
        <v>10933.459999999397</v>
      </c>
      <c r="G33" s="175"/>
      <c r="I33" s="132">
        <f t="shared" si="0"/>
        <v>0</v>
      </c>
      <c r="J33" s="176">
        <f t="shared" si="1"/>
        <v>0</v>
      </c>
      <c r="K33" s="176">
        <f t="shared" ref="K33:K39" si="11">J33/12</f>
        <v>0</v>
      </c>
      <c r="L33" s="176">
        <f t="shared" si="3"/>
        <v>0</v>
      </c>
      <c r="S33" s="177"/>
      <c r="T33" s="176">
        <f t="shared" si="10"/>
        <v>0</v>
      </c>
      <c r="V33" s="177"/>
      <c r="W33" s="177">
        <f t="shared" si="8"/>
        <v>0</v>
      </c>
      <c r="X33" s="177">
        <f t="shared" si="9"/>
        <v>0</v>
      </c>
    </row>
    <row r="34" spans="1:27" x14ac:dyDescent="0.2">
      <c r="A34" s="178" t="s">
        <v>344</v>
      </c>
      <c r="C34" s="129">
        <v>-2.34</v>
      </c>
      <c r="G34" s="175"/>
      <c r="H34" s="133">
        <v>-81026</v>
      </c>
      <c r="I34" s="132">
        <f t="shared" si="0"/>
        <v>-81026</v>
      </c>
      <c r="J34" s="176">
        <f t="shared" si="1"/>
        <v>34626.495726495727</v>
      </c>
      <c r="K34" s="182"/>
      <c r="L34" s="176">
        <f t="shared" si="3"/>
        <v>-81026</v>
      </c>
      <c r="R34" s="136"/>
      <c r="S34" s="177"/>
      <c r="T34" s="176"/>
      <c r="V34" s="177"/>
      <c r="W34" s="177">
        <f t="shared" si="8"/>
        <v>0</v>
      </c>
      <c r="X34" s="177">
        <f t="shared" si="9"/>
        <v>0</v>
      </c>
    </row>
    <row r="35" spans="1:27" x14ac:dyDescent="0.2">
      <c r="A35" s="178" t="s">
        <v>345</v>
      </c>
      <c r="C35" s="129">
        <v>1</v>
      </c>
      <c r="G35" s="175"/>
      <c r="H35" s="180">
        <f>5572-12</f>
        <v>5560</v>
      </c>
      <c r="I35" s="132">
        <f t="shared" si="0"/>
        <v>5560</v>
      </c>
      <c r="J35" s="176">
        <f t="shared" si="1"/>
        <v>5560</v>
      </c>
      <c r="K35" s="176"/>
      <c r="L35" s="176">
        <f t="shared" si="3"/>
        <v>5560</v>
      </c>
      <c r="O35" s="177"/>
      <c r="P35" s="136"/>
      <c r="Q35" s="136"/>
      <c r="R35" s="136"/>
      <c r="S35" s="177"/>
      <c r="T35" s="176"/>
      <c r="V35" s="177">
        <f t="shared" si="7"/>
        <v>1</v>
      </c>
      <c r="W35" s="177">
        <f t="shared" si="8"/>
        <v>0</v>
      </c>
      <c r="X35" s="177">
        <f t="shared" si="9"/>
        <v>1</v>
      </c>
    </row>
    <row r="36" spans="1:27" x14ac:dyDescent="0.2">
      <c r="A36" s="178" t="s">
        <v>346</v>
      </c>
      <c r="C36" s="129">
        <v>7.22</v>
      </c>
      <c r="G36" s="175"/>
      <c r="H36" s="183">
        <v>2293</v>
      </c>
      <c r="I36" s="184">
        <f t="shared" si="0"/>
        <v>2293</v>
      </c>
      <c r="J36" s="133">
        <f t="shared" si="1"/>
        <v>317.59002770083106</v>
      </c>
      <c r="K36" s="133">
        <f t="shared" si="11"/>
        <v>26.465835641735922</v>
      </c>
      <c r="L36" s="133">
        <f t="shared" si="3"/>
        <v>2293</v>
      </c>
      <c r="M36" s="178"/>
      <c r="N36" s="129"/>
      <c r="O36" s="178"/>
      <c r="P36" s="178"/>
      <c r="Q36" s="185">
        <f>C36*0.182-0.01</f>
        <v>1.3040399999999999</v>
      </c>
      <c r="R36" s="186">
        <f>J36*Q36</f>
        <v>414.15009972299168</v>
      </c>
      <c r="S36" s="185"/>
      <c r="T36" s="133"/>
      <c r="U36" s="178"/>
      <c r="V36" s="185">
        <f t="shared" si="7"/>
        <v>7.22</v>
      </c>
      <c r="W36" s="185">
        <f>Q36</f>
        <v>1.3040399999999999</v>
      </c>
      <c r="X36" s="185">
        <f t="shared" si="9"/>
        <v>8.5240399999999994</v>
      </c>
      <c r="Y36" s="297" t="s">
        <v>347</v>
      </c>
      <c r="Z36" s="297"/>
      <c r="AA36" s="187"/>
    </row>
    <row r="37" spans="1:27" x14ac:dyDescent="0.2">
      <c r="A37" s="178" t="s">
        <v>348</v>
      </c>
      <c r="C37" s="129">
        <v>6.22</v>
      </c>
      <c r="G37" s="175"/>
      <c r="H37" s="183">
        <v>254451</v>
      </c>
      <c r="I37" s="184">
        <f t="shared" si="0"/>
        <v>254451</v>
      </c>
      <c r="J37" s="133">
        <f t="shared" si="1"/>
        <v>40908.520900321542</v>
      </c>
      <c r="K37" s="133">
        <f t="shared" si="11"/>
        <v>3409.0434083601285</v>
      </c>
      <c r="L37" s="133">
        <f t="shared" si="3"/>
        <v>254450.99999999997</v>
      </c>
      <c r="M37" s="178"/>
      <c r="N37" s="129"/>
      <c r="O37" s="178"/>
      <c r="P37" s="178"/>
      <c r="Q37" s="185">
        <f>C37*0.1814</f>
        <v>1.1283080000000001</v>
      </c>
      <c r="R37" s="186">
        <f>J37*Q37</f>
        <v>46157.411400000005</v>
      </c>
      <c r="S37" s="185"/>
      <c r="T37" s="133"/>
      <c r="U37" s="178"/>
      <c r="V37" s="185">
        <f t="shared" si="7"/>
        <v>6.22</v>
      </c>
      <c r="W37" s="185">
        <f>Q37</f>
        <v>1.1283080000000001</v>
      </c>
      <c r="X37" s="185">
        <f t="shared" si="9"/>
        <v>7.3483079999999994</v>
      </c>
      <c r="Y37" s="297" t="s">
        <v>347</v>
      </c>
      <c r="Z37" s="297"/>
      <c r="AA37" s="188"/>
    </row>
    <row r="38" spans="1:27" x14ac:dyDescent="0.2">
      <c r="A38" s="178"/>
      <c r="G38" s="175"/>
      <c r="H38" s="183"/>
      <c r="I38" s="184"/>
      <c r="J38" s="133"/>
      <c r="K38" s="133"/>
      <c r="L38" s="133"/>
      <c r="M38" s="178"/>
      <c r="N38" s="129"/>
      <c r="O38" s="178"/>
      <c r="P38" s="178"/>
      <c r="Q38" s="185"/>
      <c r="R38" s="186"/>
      <c r="S38" s="185"/>
      <c r="T38" s="133"/>
      <c r="U38" s="178"/>
      <c r="V38" s="185">
        <f t="shared" si="7"/>
        <v>0</v>
      </c>
      <c r="W38" s="185"/>
      <c r="X38" s="185">
        <f t="shared" si="9"/>
        <v>0</v>
      </c>
      <c r="Y38" s="298"/>
      <c r="Z38" s="298"/>
      <c r="AA38" s="178"/>
    </row>
    <row r="39" spans="1:27" x14ac:dyDescent="0.2">
      <c r="A39" s="178" t="s">
        <v>349</v>
      </c>
      <c r="C39" s="129">
        <v>7.5</v>
      </c>
      <c r="G39" s="175"/>
      <c r="H39" s="189">
        <v>1910</v>
      </c>
      <c r="I39" s="132">
        <f t="shared" si="0"/>
        <v>1910</v>
      </c>
      <c r="J39" s="176">
        <f t="shared" si="1"/>
        <v>254.66666666666666</v>
      </c>
      <c r="K39" s="176">
        <f t="shared" si="11"/>
        <v>21.222222222222221</v>
      </c>
      <c r="L39" s="176">
        <f t="shared" si="3"/>
        <v>1910</v>
      </c>
      <c r="Q39" s="190">
        <v>14.93</v>
      </c>
      <c r="R39" s="136">
        <f>J39*Q39</f>
        <v>3802.1733333333332</v>
      </c>
      <c r="S39" s="177"/>
      <c r="T39" s="176"/>
      <c r="V39" s="177">
        <f t="shared" si="7"/>
        <v>7.5</v>
      </c>
      <c r="W39" s="177">
        <f>Q39</f>
        <v>14.93</v>
      </c>
      <c r="X39" s="177">
        <f t="shared" si="9"/>
        <v>22.43</v>
      </c>
    </row>
    <row r="40" spans="1:27" x14ac:dyDescent="0.2">
      <c r="G40" s="175"/>
      <c r="J40" s="176"/>
      <c r="K40" s="176"/>
      <c r="S40" s="177"/>
      <c r="T40" s="176"/>
    </row>
    <row r="41" spans="1:27" x14ac:dyDescent="0.2">
      <c r="A41" s="191" t="s">
        <v>350</v>
      </c>
      <c r="E41" s="131">
        <f>SUM(E6:E33)</f>
        <v>182746.10000000006</v>
      </c>
      <c r="F41" s="132">
        <f>SUM(F6:F35)</f>
        <v>381617.56999999774</v>
      </c>
      <c r="G41" s="175">
        <f>SUM(G6:G33)</f>
        <v>405112.60999999993</v>
      </c>
      <c r="H41" s="192">
        <f>SUM(H8:H39)</f>
        <v>793428</v>
      </c>
      <c r="J41" s="176"/>
      <c r="K41" s="176">
        <f>SUM(K8:K19)+K21</f>
        <v>3473.8380413736841</v>
      </c>
      <c r="L41" s="176">
        <f>SUM(L8:L40)</f>
        <v>793428</v>
      </c>
      <c r="O41" s="192"/>
      <c r="P41" s="192">
        <f>SUM(P8:P39)</f>
        <v>91611.987600000008</v>
      </c>
      <c r="Q41" s="192"/>
      <c r="R41" s="192">
        <f>SUM(R36:R40)</f>
        <v>50373.734833056325</v>
      </c>
      <c r="S41" s="177"/>
      <c r="T41" s="193">
        <f>SUM(T8:T40)</f>
        <v>87303.679999999978</v>
      </c>
    </row>
    <row r="42" spans="1:27" x14ac:dyDescent="0.2">
      <c r="D42" s="130">
        <f>D44+16.44*3.33</f>
        <v>80.865200000000002</v>
      </c>
      <c r="G42" s="175"/>
      <c r="H42" s="133">
        <f>H41-H34</f>
        <v>874454</v>
      </c>
      <c r="J42" s="176"/>
      <c r="K42" s="176">
        <f>K36+K37</f>
        <v>3435.5092440018643</v>
      </c>
      <c r="S42" s="177"/>
      <c r="T42" s="176"/>
    </row>
    <row r="43" spans="1:27" x14ac:dyDescent="0.2">
      <c r="A43" s="127" t="s">
        <v>351</v>
      </c>
      <c r="G43" s="175"/>
      <c r="J43" s="176"/>
      <c r="K43" s="176"/>
      <c r="S43" s="177"/>
      <c r="T43" s="176"/>
    </row>
    <row r="44" spans="1:27" x14ac:dyDescent="0.2">
      <c r="A44" s="134" t="s">
        <v>352</v>
      </c>
      <c r="B44" s="128">
        <v>79.569999999999993</v>
      </c>
      <c r="C44" s="129">
        <v>80.87</v>
      </c>
      <c r="D44" s="130">
        <v>26.12</v>
      </c>
      <c r="E44" s="131">
        <v>6900.52</v>
      </c>
      <c r="F44" s="132">
        <v>23563.119999999999</v>
      </c>
      <c r="G44" s="175">
        <f>21110.71-1272</f>
        <v>19838.71</v>
      </c>
      <c r="H44" s="133">
        <f>27632-1825</f>
        <v>25807</v>
      </c>
      <c r="I44" s="132">
        <f t="shared" ref="I44:I107" si="12">+H44-G44</f>
        <v>5968.2900000000009</v>
      </c>
      <c r="J44" s="176">
        <f t="shared" ref="J44:J107" si="13">+H44/C44</f>
        <v>319.11710152095952</v>
      </c>
      <c r="K44" s="176">
        <f>J44/12</f>
        <v>26.593091793413294</v>
      </c>
      <c r="L44" s="176">
        <f>+J44*C44</f>
        <v>25806.999999999996</v>
      </c>
      <c r="M44" s="134">
        <v>175</v>
      </c>
      <c r="N44" s="130">
        <f>13/3</f>
        <v>4.333333333333333</v>
      </c>
      <c r="O44" s="177">
        <f>D44*$O$7</f>
        <v>3.912776</v>
      </c>
      <c r="P44" s="136">
        <f>J44*O44+J44*3.33*O45</f>
        <v>3865.659142039322</v>
      </c>
      <c r="Q44" s="136"/>
      <c r="R44" s="136"/>
      <c r="S44" s="177">
        <v>2.44</v>
      </c>
      <c r="T44" s="136">
        <f>J44*N44*S44</f>
        <v>3374.1314867482788</v>
      </c>
      <c r="V44" s="177">
        <f>D44+S44</f>
        <v>28.560000000000002</v>
      </c>
      <c r="W44" s="177">
        <f>O44</f>
        <v>3.912776</v>
      </c>
      <c r="X44" s="177">
        <f>SUM(V44:W44)</f>
        <v>32.472776000000003</v>
      </c>
    </row>
    <row r="45" spans="1:27" x14ac:dyDescent="0.2">
      <c r="A45" s="134" t="s">
        <v>353</v>
      </c>
      <c r="B45" s="128">
        <v>149.46</v>
      </c>
      <c r="C45" s="129">
        <v>152.06</v>
      </c>
      <c r="D45" s="130">
        <v>16.440000000000001</v>
      </c>
      <c r="E45" s="131">
        <v>438</v>
      </c>
      <c r="F45" s="132">
        <v>1232.1300000000001</v>
      </c>
      <c r="G45" s="175">
        <v>1272</v>
      </c>
      <c r="H45" s="133">
        <f>152.06*12</f>
        <v>1824.72</v>
      </c>
      <c r="I45" s="132">
        <f t="shared" si="12"/>
        <v>552.72</v>
      </c>
      <c r="J45" s="176">
        <f t="shared" si="13"/>
        <v>12</v>
      </c>
      <c r="K45" s="176">
        <f>J45/12</f>
        <v>1</v>
      </c>
      <c r="L45" s="176">
        <f>+J45*C45</f>
        <v>1824.72</v>
      </c>
      <c r="M45" s="134">
        <v>175</v>
      </c>
      <c r="N45" s="130">
        <f>+N44*2</f>
        <v>8.6666666666666661</v>
      </c>
      <c r="O45" s="177">
        <f t="shared" ref="O45:O64" si="14">D45*$O$7</f>
        <v>2.4627119999999998</v>
      </c>
      <c r="P45" s="136">
        <f>J45*O44+J45*7.67*O45</f>
        <v>273.62132447999994</v>
      </c>
      <c r="Q45" s="136"/>
      <c r="R45" s="136"/>
      <c r="S45" s="177">
        <v>2.4440765906624704</v>
      </c>
      <c r="T45" s="136">
        <f t="shared" ref="T45:T65" si="15">J45*N45*S45</f>
        <v>254.18396542889693</v>
      </c>
      <c r="V45" s="177">
        <f t="shared" ref="V45:V57" si="16">D45+S45</f>
        <v>18.88407659066247</v>
      </c>
      <c r="W45" s="177">
        <f t="shared" ref="W45:W57" si="17">O45</f>
        <v>2.4627119999999998</v>
      </c>
      <c r="X45" s="177">
        <f t="shared" ref="X45:X57" si="18">SUM(V45:W45)</f>
        <v>21.34678859066247</v>
      </c>
    </row>
    <row r="46" spans="1:27" x14ac:dyDescent="0.2">
      <c r="A46" s="134" t="s">
        <v>354</v>
      </c>
      <c r="B46" s="128">
        <v>110.94</v>
      </c>
      <c r="C46" s="129">
        <v>112.8</v>
      </c>
      <c r="D46" s="130">
        <v>37.97</v>
      </c>
      <c r="E46" s="131">
        <v>7399.93</v>
      </c>
      <c r="F46" s="132">
        <v>14890.77</v>
      </c>
      <c r="G46" s="175">
        <v>14122.56</v>
      </c>
      <c r="H46" s="133">
        <v>18635</v>
      </c>
      <c r="I46" s="132">
        <f t="shared" si="12"/>
        <v>4512.4400000000005</v>
      </c>
      <c r="J46" s="176">
        <f t="shared" si="13"/>
        <v>165.20390070921985</v>
      </c>
      <c r="K46" s="176">
        <f>J46/12</f>
        <v>13.766991725768321</v>
      </c>
      <c r="L46" s="176">
        <f>+J46*C46</f>
        <v>18635</v>
      </c>
      <c r="M46" s="134">
        <v>250</v>
      </c>
      <c r="N46" s="130">
        <f>13/3</f>
        <v>4.333333333333333</v>
      </c>
      <c r="O46" s="177">
        <f t="shared" si="14"/>
        <v>5.687905999999999</v>
      </c>
      <c r="P46" s="136">
        <f>J46*O46+J46*3.33*O47</f>
        <v>2791.4017370328011</v>
      </c>
      <c r="Q46" s="136"/>
      <c r="R46" s="136"/>
      <c r="S46" s="177">
        <v>3.4915379866606733</v>
      </c>
      <c r="T46" s="136">
        <f t="shared" si="15"/>
        <v>2499.5346777732902</v>
      </c>
      <c r="V46" s="177">
        <f t="shared" si="16"/>
        <v>41.461537986660673</v>
      </c>
      <c r="W46" s="177">
        <f t="shared" si="17"/>
        <v>5.687905999999999</v>
      </c>
      <c r="X46" s="177">
        <f t="shared" si="18"/>
        <v>47.149443986660671</v>
      </c>
    </row>
    <row r="47" spans="1:27" x14ac:dyDescent="0.2">
      <c r="B47" s="128">
        <v>206.38</v>
      </c>
      <c r="C47" s="129">
        <v>210.1</v>
      </c>
      <c r="D47" s="130">
        <v>22.47</v>
      </c>
      <c r="G47" s="175"/>
      <c r="I47" s="132">
        <f t="shared" si="12"/>
        <v>0</v>
      </c>
      <c r="J47" s="176">
        <f t="shared" si="13"/>
        <v>0</v>
      </c>
      <c r="K47" s="176"/>
      <c r="L47" s="176"/>
      <c r="N47" s="130">
        <f>+N46*2</f>
        <v>8.6666666666666661</v>
      </c>
      <c r="O47" s="177">
        <f t="shared" si="14"/>
        <v>3.3660059999999996</v>
      </c>
      <c r="P47" s="136">
        <f>J47*O46+J47*7.67*O47</f>
        <v>0</v>
      </c>
      <c r="Q47" s="136"/>
      <c r="R47" s="136"/>
      <c r="S47" s="177">
        <v>3.4915379866606733</v>
      </c>
      <c r="T47" s="136">
        <f t="shared" si="15"/>
        <v>0</v>
      </c>
      <c r="V47" s="177"/>
      <c r="W47" s="177"/>
      <c r="X47" s="177"/>
    </row>
    <row r="48" spans="1:27" x14ac:dyDescent="0.2">
      <c r="A48" s="134" t="s">
        <v>355</v>
      </c>
      <c r="B48" s="128">
        <v>137.86000000000001</v>
      </c>
      <c r="C48" s="129">
        <v>140.28</v>
      </c>
      <c r="D48" s="130">
        <v>47.01</v>
      </c>
      <c r="E48" s="131">
        <v>14341.29</v>
      </c>
      <c r="F48" s="132">
        <v>44733.52</v>
      </c>
      <c r="G48" s="175">
        <f>48150.75-5264</f>
        <v>42886.75</v>
      </c>
      <c r="H48" s="133">
        <f>64846-6277</f>
        <v>58569</v>
      </c>
      <c r="I48" s="132">
        <f t="shared" si="12"/>
        <v>15682.25</v>
      </c>
      <c r="J48" s="176">
        <f t="shared" si="13"/>
        <v>417.51497005988023</v>
      </c>
      <c r="K48" s="176">
        <f t="shared" ref="K48:K67" si="19">J48/12</f>
        <v>34.792914171656683</v>
      </c>
      <c r="L48" s="176">
        <f>+J48*C48</f>
        <v>58569</v>
      </c>
      <c r="M48" s="178">
        <v>324</v>
      </c>
      <c r="N48" s="130">
        <f>13/3</f>
        <v>4.333333333333333</v>
      </c>
      <c r="O48" s="177">
        <f t="shared" si="14"/>
        <v>7.0420979999999993</v>
      </c>
      <c r="P48" s="136">
        <f>J48*O48+J48*3.33*O49</f>
        <v>8773.8425943502989</v>
      </c>
      <c r="Q48" s="136"/>
      <c r="R48" s="136"/>
      <c r="S48" s="177">
        <v>4.525033230712233</v>
      </c>
      <c r="T48" s="136">
        <f t="shared" si="15"/>
        <v>8186.8328266433837</v>
      </c>
      <c r="V48" s="177">
        <f t="shared" si="16"/>
        <v>51.53503323071223</v>
      </c>
      <c r="W48" s="177">
        <f t="shared" si="17"/>
        <v>7.0420979999999993</v>
      </c>
      <c r="X48" s="177">
        <f t="shared" si="18"/>
        <v>58.577131230712226</v>
      </c>
    </row>
    <row r="49" spans="1:24" x14ac:dyDescent="0.2">
      <c r="A49" s="178" t="s">
        <v>356</v>
      </c>
      <c r="B49" s="128">
        <v>256.72000000000003</v>
      </c>
      <c r="C49" s="129">
        <v>261.56</v>
      </c>
      <c r="D49" s="130">
        <v>28.01</v>
      </c>
      <c r="E49" s="131">
        <v>1501.92</v>
      </c>
      <c r="F49" s="132">
        <v>5244.29</v>
      </c>
      <c r="G49" s="175">
        <v>5264</v>
      </c>
      <c r="H49" s="133">
        <f>261.56*2*12</f>
        <v>6277.4400000000005</v>
      </c>
      <c r="I49" s="132">
        <f t="shared" si="12"/>
        <v>1013.4400000000005</v>
      </c>
      <c r="J49" s="176">
        <f t="shared" si="13"/>
        <v>24</v>
      </c>
      <c r="K49" s="176">
        <f t="shared" si="19"/>
        <v>2</v>
      </c>
      <c r="L49" s="176">
        <f>+J49*C49</f>
        <v>6277.4400000000005</v>
      </c>
      <c r="M49" s="178">
        <v>324</v>
      </c>
      <c r="N49" s="130">
        <f>+N48*2</f>
        <v>8.6666666666666661</v>
      </c>
      <c r="O49" s="177">
        <f t="shared" si="14"/>
        <v>4.1958979999999997</v>
      </c>
      <c r="P49" s="136">
        <f>J49*O48+J49*7.67*O49</f>
        <v>941.39125583999987</v>
      </c>
      <c r="Q49" s="136"/>
      <c r="R49" s="136"/>
      <c r="S49" s="177">
        <v>4.525033230712233</v>
      </c>
      <c r="T49" s="136">
        <f t="shared" si="15"/>
        <v>941.2069119881445</v>
      </c>
      <c r="V49" s="177">
        <f t="shared" si="16"/>
        <v>32.535033230712237</v>
      </c>
      <c r="W49" s="177">
        <f t="shared" si="17"/>
        <v>4.1958979999999997</v>
      </c>
      <c r="X49" s="177">
        <f t="shared" si="18"/>
        <v>36.730931230712237</v>
      </c>
    </row>
    <row r="50" spans="1:24" x14ac:dyDescent="0.2">
      <c r="A50" s="134" t="s">
        <v>357</v>
      </c>
      <c r="B50" s="128">
        <v>185.21</v>
      </c>
      <c r="C50" s="129">
        <v>188.75328542225725</v>
      </c>
      <c r="D50" s="130">
        <v>55.92</v>
      </c>
      <c r="E50" s="131">
        <v>5281.67</v>
      </c>
      <c r="F50" s="132">
        <v>16806.919999999998</v>
      </c>
      <c r="G50" s="175">
        <v>16638.310000000001</v>
      </c>
      <c r="H50" s="133">
        <v>22065</v>
      </c>
      <c r="I50" s="132">
        <f t="shared" si="12"/>
        <v>5426.6899999999987</v>
      </c>
      <c r="J50" s="176">
        <f t="shared" si="13"/>
        <v>116.89862748952267</v>
      </c>
      <c r="K50" s="176">
        <f t="shared" si="19"/>
        <v>9.741552290793555</v>
      </c>
      <c r="L50" s="176">
        <f>+J50*C50</f>
        <v>22065</v>
      </c>
      <c r="M50" s="178">
        <v>473</v>
      </c>
      <c r="N50" s="130">
        <f>13/3</f>
        <v>4.333333333333333</v>
      </c>
      <c r="O50" s="177">
        <f t="shared" si="14"/>
        <v>8.3768159999999998</v>
      </c>
      <c r="P50" s="136">
        <f>J50*O50+J50*3.33*O51</f>
        <v>3305.3442598426532</v>
      </c>
      <c r="Q50" s="136"/>
      <c r="R50" s="136"/>
      <c r="S50" s="177">
        <v>6.6059898707619924</v>
      </c>
      <c r="T50" s="136">
        <f t="shared" si="15"/>
        <v>3346.3349794409864</v>
      </c>
      <c r="V50" s="177">
        <f t="shared" si="16"/>
        <v>62.525989870761997</v>
      </c>
      <c r="W50" s="177">
        <f t="shared" si="17"/>
        <v>8.3768159999999998</v>
      </c>
      <c r="X50" s="177">
        <f t="shared" si="18"/>
        <v>70.902805870761995</v>
      </c>
    </row>
    <row r="51" spans="1:24" x14ac:dyDescent="0.2">
      <c r="B51" s="128">
        <v>354.39</v>
      </c>
      <c r="C51" s="129">
        <v>361.47</v>
      </c>
      <c r="D51" s="130">
        <v>39.89</v>
      </c>
      <c r="G51" s="175"/>
      <c r="I51" s="132">
        <f t="shared" si="12"/>
        <v>0</v>
      </c>
      <c r="J51" s="176">
        <f t="shared" si="13"/>
        <v>0</v>
      </c>
      <c r="K51" s="176">
        <f t="shared" si="19"/>
        <v>0</v>
      </c>
      <c r="L51" s="176"/>
      <c r="M51" s="178"/>
      <c r="N51" s="130">
        <f>+N50*2</f>
        <v>8.6666666666666661</v>
      </c>
      <c r="O51" s="177">
        <f t="shared" si="14"/>
        <v>5.9755219999999998</v>
      </c>
      <c r="P51" s="136">
        <f>J51*O50+J51*7.67*O51</f>
        <v>0</v>
      </c>
      <c r="Q51" s="136"/>
      <c r="R51" s="136"/>
      <c r="S51" s="177">
        <v>6.6059898707619924</v>
      </c>
      <c r="T51" s="136">
        <f t="shared" si="15"/>
        <v>0</v>
      </c>
      <c r="V51" s="177"/>
      <c r="W51" s="177"/>
      <c r="X51" s="177"/>
    </row>
    <row r="52" spans="1:24" x14ac:dyDescent="0.2">
      <c r="A52" s="134" t="s">
        <v>358</v>
      </c>
      <c r="B52" s="128">
        <v>232.67</v>
      </c>
      <c r="C52" s="129">
        <v>237.26</v>
      </c>
      <c r="D52" s="130">
        <v>74.09</v>
      </c>
      <c r="E52" s="131">
        <v>14506.24</v>
      </c>
      <c r="F52" s="132">
        <v>44645.58</v>
      </c>
      <c r="G52" s="175">
        <v>49456.85</v>
      </c>
      <c r="H52" s="133">
        <v>66421</v>
      </c>
      <c r="I52" s="132">
        <f t="shared" si="12"/>
        <v>16964.150000000001</v>
      </c>
      <c r="J52" s="176">
        <f t="shared" si="13"/>
        <v>279.95026553148443</v>
      </c>
      <c r="K52" s="176">
        <f t="shared" si="19"/>
        <v>23.329188794290371</v>
      </c>
      <c r="L52" s="176">
        <f>+J52*C52</f>
        <v>66421</v>
      </c>
      <c r="M52" s="178">
        <v>613</v>
      </c>
      <c r="N52" s="130">
        <f>13/3</f>
        <v>4.333333333333333</v>
      </c>
      <c r="O52" s="177">
        <f t="shared" si="14"/>
        <v>11.098682</v>
      </c>
      <c r="P52" s="136">
        <f>J52*O52+J52*3.33*O53</f>
        <v>9949.8657999999996</v>
      </c>
      <c r="Q52" s="136"/>
      <c r="R52" s="136"/>
      <c r="S52" s="177">
        <v>8.5612511432919707</v>
      </c>
      <c r="T52" s="136">
        <f t="shared" si="15"/>
        <v>10385.806300334018</v>
      </c>
      <c r="V52" s="177">
        <f t="shared" si="16"/>
        <v>82.651251143291972</v>
      </c>
      <c r="W52" s="177">
        <f t="shared" si="17"/>
        <v>11.098682</v>
      </c>
      <c r="X52" s="177">
        <f t="shared" si="18"/>
        <v>93.749933143291969</v>
      </c>
    </row>
    <row r="53" spans="1:24" x14ac:dyDescent="0.2">
      <c r="B53" s="128">
        <v>440.25</v>
      </c>
      <c r="C53" s="129">
        <v>449.43</v>
      </c>
      <c r="D53" s="130">
        <v>49</v>
      </c>
      <c r="G53" s="175"/>
      <c r="I53" s="132">
        <f t="shared" si="12"/>
        <v>0</v>
      </c>
      <c r="J53" s="176">
        <f t="shared" si="13"/>
        <v>0</v>
      </c>
      <c r="K53" s="176">
        <f t="shared" si="19"/>
        <v>0</v>
      </c>
      <c r="L53" s="176"/>
      <c r="M53" s="178"/>
      <c r="N53" s="130">
        <f>+N52*2</f>
        <v>8.6666666666666661</v>
      </c>
      <c r="O53" s="177">
        <f t="shared" si="14"/>
        <v>7.3401999999999994</v>
      </c>
      <c r="P53" s="136">
        <f>J53*O52+J53*7.67*O53</f>
        <v>0</v>
      </c>
      <c r="Q53" s="136"/>
      <c r="R53" s="136"/>
      <c r="S53" s="177">
        <v>8.5612511432919707</v>
      </c>
      <c r="T53" s="136">
        <f t="shared" si="15"/>
        <v>0</v>
      </c>
      <c r="V53" s="177"/>
      <c r="W53" s="177"/>
      <c r="X53" s="177"/>
    </row>
    <row r="54" spans="1:24" x14ac:dyDescent="0.2">
      <c r="A54" s="134" t="s">
        <v>359</v>
      </c>
      <c r="B54" s="128">
        <v>271.47000000000003</v>
      </c>
      <c r="C54" s="129">
        <v>277.10000000000002</v>
      </c>
      <c r="D54" s="130">
        <v>92.94</v>
      </c>
      <c r="E54" s="131">
        <v>2378.9699999999998</v>
      </c>
      <c r="F54" s="132">
        <v>7199.82</v>
      </c>
      <c r="G54" s="175">
        <v>7315.44</v>
      </c>
      <c r="H54" s="133">
        <v>10225</v>
      </c>
      <c r="I54" s="132">
        <f t="shared" si="12"/>
        <v>2909.5600000000004</v>
      </c>
      <c r="J54" s="176">
        <f t="shared" si="13"/>
        <v>36.900036088054854</v>
      </c>
      <c r="K54" s="176">
        <f t="shared" si="19"/>
        <v>3.0750030073379047</v>
      </c>
      <c r="L54" s="176">
        <f>+J54*C54</f>
        <v>10225.000000000002</v>
      </c>
      <c r="M54" s="178">
        <v>725</v>
      </c>
      <c r="N54" s="130">
        <f>13/3</f>
        <v>4.333333333333333</v>
      </c>
      <c r="O54" s="177">
        <f t="shared" si="14"/>
        <v>13.922411999999998</v>
      </c>
      <c r="P54" s="136">
        <f>J54*O54+J54*3.33*O55</f>
        <v>1530.7238464904362</v>
      </c>
      <c r="Q54" s="136"/>
      <c r="R54" s="136"/>
      <c r="S54" s="177">
        <v>10.125460161315955</v>
      </c>
      <c r="T54" s="136">
        <f t="shared" si="15"/>
        <v>1619.0626632297888</v>
      </c>
      <c r="V54" s="177">
        <f t="shared" si="16"/>
        <v>103.06546016131595</v>
      </c>
      <c r="W54" s="177">
        <f t="shared" si="17"/>
        <v>13.922411999999998</v>
      </c>
      <c r="X54" s="177">
        <f t="shared" si="18"/>
        <v>116.98787216131595</v>
      </c>
    </row>
    <row r="55" spans="1:24" x14ac:dyDescent="0.2">
      <c r="B55" s="128">
        <v>505.25</v>
      </c>
      <c r="C55" s="129">
        <v>516.51</v>
      </c>
      <c r="D55" s="130">
        <v>55.25</v>
      </c>
      <c r="G55" s="175"/>
      <c r="I55" s="132">
        <f t="shared" si="12"/>
        <v>0</v>
      </c>
      <c r="J55" s="176">
        <f t="shared" si="13"/>
        <v>0</v>
      </c>
      <c r="K55" s="176">
        <f t="shared" si="19"/>
        <v>0</v>
      </c>
      <c r="L55" s="176"/>
      <c r="M55" s="178"/>
      <c r="N55" s="130">
        <f>+N54*2</f>
        <v>8.6666666666666661</v>
      </c>
      <c r="O55" s="177">
        <f t="shared" si="14"/>
        <v>8.2764499999999988</v>
      </c>
      <c r="P55" s="136">
        <f>J55*O54+J55*7.67*O55</f>
        <v>0</v>
      </c>
      <c r="Q55" s="136"/>
      <c r="R55" s="136"/>
      <c r="S55" s="177">
        <v>10.125460161315955</v>
      </c>
      <c r="T55" s="136">
        <f t="shared" si="15"/>
        <v>0</v>
      </c>
      <c r="V55" s="177"/>
      <c r="W55" s="177"/>
      <c r="X55" s="177"/>
    </row>
    <row r="56" spans="1:24" x14ac:dyDescent="0.2">
      <c r="A56" s="134" t="s">
        <v>360</v>
      </c>
      <c r="B56" s="128">
        <v>310.25</v>
      </c>
      <c r="C56" s="129">
        <v>316.57</v>
      </c>
      <c r="D56" s="130">
        <v>111.81</v>
      </c>
      <c r="E56" s="131">
        <v>23856.42</v>
      </c>
      <c r="F56" s="132">
        <v>78741.97</v>
      </c>
      <c r="G56" s="175">
        <f>77613.29-5128</f>
        <v>72485.289999999994</v>
      </c>
      <c r="H56" s="133">
        <f>101363-6994</f>
        <v>94369</v>
      </c>
      <c r="I56" s="132">
        <f t="shared" si="12"/>
        <v>21883.710000000006</v>
      </c>
      <c r="J56" s="176">
        <f t="shared" si="13"/>
        <v>298.0983668698866</v>
      </c>
      <c r="K56" s="176">
        <f t="shared" si="19"/>
        <v>24.841530572490552</v>
      </c>
      <c r="L56" s="176">
        <f t="shared" ref="L56:L62" si="20">+J56*C56</f>
        <v>94369</v>
      </c>
      <c r="M56" s="178">
        <v>840</v>
      </c>
      <c r="N56" s="130">
        <f>13/3</f>
        <v>4.333333333333333</v>
      </c>
      <c r="O56" s="177">
        <f t="shared" si="14"/>
        <v>16.749137999999999</v>
      </c>
      <c r="P56" s="136">
        <f>J56*O56+J56*3.33*O57</f>
        <v>14136.552113730106</v>
      </c>
      <c r="Q56" s="136"/>
      <c r="R56" s="136"/>
      <c r="S56" s="177">
        <v>11.731567635179863</v>
      </c>
      <c r="T56" s="136">
        <f t="shared" si="15"/>
        <v>15154.364995773181</v>
      </c>
      <c r="V56" s="177">
        <f t="shared" si="16"/>
        <v>123.54156763517986</v>
      </c>
      <c r="W56" s="177">
        <f t="shared" si="17"/>
        <v>16.749137999999999</v>
      </c>
      <c r="X56" s="177">
        <f t="shared" si="18"/>
        <v>140.29070563517985</v>
      </c>
    </row>
    <row r="57" spans="1:24" x14ac:dyDescent="0.2">
      <c r="A57" s="178" t="s">
        <v>361</v>
      </c>
      <c r="B57" s="128">
        <v>570.17999999999995</v>
      </c>
      <c r="C57" s="129">
        <v>582.82000000000005</v>
      </c>
      <c r="D57" s="130">
        <v>61.49</v>
      </c>
      <c r="E57" s="131">
        <v>1660.92</v>
      </c>
      <c r="F57" s="132">
        <v>5031.2700000000004</v>
      </c>
      <c r="G57" s="175">
        <v>5128</v>
      </c>
      <c r="H57" s="133">
        <f>582.82*12</f>
        <v>6993.84</v>
      </c>
      <c r="I57" s="132">
        <f t="shared" si="12"/>
        <v>1865.8400000000001</v>
      </c>
      <c r="J57" s="176">
        <f t="shared" si="13"/>
        <v>12</v>
      </c>
      <c r="K57" s="176">
        <f t="shared" si="19"/>
        <v>1</v>
      </c>
      <c r="L57" s="176">
        <f t="shared" si="20"/>
        <v>6993.84</v>
      </c>
      <c r="M57" s="178">
        <v>840</v>
      </c>
      <c r="N57" s="130">
        <f>+N56*2</f>
        <v>8.6666666666666661</v>
      </c>
      <c r="O57" s="177">
        <f t="shared" si="14"/>
        <v>9.2112020000000001</v>
      </c>
      <c r="P57" s="136">
        <f>J57*O56+J57*7.67*O57</f>
        <v>1048.7886880799999</v>
      </c>
      <c r="Q57" s="190"/>
      <c r="R57" s="136"/>
      <c r="S57" s="177">
        <v>11.731567635179861</v>
      </c>
      <c r="T57" s="136">
        <f t="shared" si="15"/>
        <v>1220.0830340587056</v>
      </c>
      <c r="V57" s="177">
        <f t="shared" si="16"/>
        <v>73.221567635179866</v>
      </c>
      <c r="W57" s="177">
        <f t="shared" si="17"/>
        <v>9.2112020000000001</v>
      </c>
      <c r="X57" s="177">
        <f t="shared" si="18"/>
        <v>82.432769635179866</v>
      </c>
    </row>
    <row r="58" spans="1:24" x14ac:dyDescent="0.2">
      <c r="A58" s="134" t="s">
        <v>362</v>
      </c>
      <c r="B58" s="128">
        <v>44.71</v>
      </c>
      <c r="C58" s="129">
        <v>45.357320241960913</v>
      </c>
      <c r="E58" s="131">
        <v>7145.92</v>
      </c>
      <c r="F58" s="132">
        <v>22523.26</v>
      </c>
      <c r="G58" s="175">
        <v>23541.68</v>
      </c>
      <c r="H58" s="133">
        <v>31321</v>
      </c>
      <c r="I58" s="132">
        <f t="shared" si="12"/>
        <v>7779.32</v>
      </c>
      <c r="J58" s="176">
        <f t="shared" si="13"/>
        <v>690.53903169139062</v>
      </c>
      <c r="K58" s="176">
        <f t="shared" si="19"/>
        <v>57.544919307615885</v>
      </c>
      <c r="L58" s="176">
        <f t="shared" si="20"/>
        <v>31321</v>
      </c>
      <c r="M58" s="178">
        <v>175</v>
      </c>
      <c r="N58" s="130">
        <f>+N56/2</f>
        <v>2.1666666666666665</v>
      </c>
      <c r="O58" s="177">
        <f t="shared" si="14"/>
        <v>0</v>
      </c>
      <c r="P58" s="136">
        <f>J58*O44+J58*1.17*O45</f>
        <v>4691.6250992485911</v>
      </c>
      <c r="Q58" s="136"/>
      <c r="R58" s="136"/>
      <c r="S58" s="194">
        <v>2.4440765906624713</v>
      </c>
      <c r="T58" s="136">
        <f t="shared" si="15"/>
        <v>3656.748944973926</v>
      </c>
    </row>
    <row r="59" spans="1:24" x14ac:dyDescent="0.2">
      <c r="A59" s="134" t="s">
        <v>363</v>
      </c>
      <c r="B59" s="128">
        <v>63.33</v>
      </c>
      <c r="C59" s="129">
        <v>64.260000000000005</v>
      </c>
      <c r="E59" s="131">
        <v>962.38</v>
      </c>
      <c r="F59" s="132">
        <v>3219.24</v>
      </c>
      <c r="G59" s="175">
        <v>6522.39</v>
      </c>
      <c r="H59" s="133">
        <v>8932</v>
      </c>
      <c r="I59" s="132">
        <f t="shared" si="12"/>
        <v>2409.6099999999997</v>
      </c>
      <c r="J59" s="176">
        <f t="shared" si="13"/>
        <v>138.99782135076251</v>
      </c>
      <c r="K59" s="176">
        <f t="shared" si="19"/>
        <v>11.583151779230208</v>
      </c>
      <c r="L59" s="176">
        <f t="shared" si="20"/>
        <v>8932</v>
      </c>
      <c r="M59" s="178">
        <v>250</v>
      </c>
      <c r="N59" s="130">
        <f>+N58</f>
        <v>2.1666666666666665</v>
      </c>
      <c r="O59" s="177">
        <f t="shared" si="14"/>
        <v>0</v>
      </c>
      <c r="P59" s="136">
        <f>J59*O46+J59*1.17*O47</f>
        <v>1338.0115178126357</v>
      </c>
      <c r="Q59" s="136"/>
      <c r="R59" s="136"/>
      <c r="S59" s="194">
        <v>3.4915379866606733</v>
      </c>
      <c r="T59" s="136">
        <f t="shared" si="15"/>
        <v>1051.5183755033995</v>
      </c>
    </row>
    <row r="60" spans="1:24" x14ac:dyDescent="0.2">
      <c r="A60" s="134" t="s">
        <v>364</v>
      </c>
      <c r="B60" s="128">
        <v>78.569999999999993</v>
      </c>
      <c r="C60" s="129">
        <v>79.78</v>
      </c>
      <c r="E60" s="131">
        <v>5502.64</v>
      </c>
      <c r="F60" s="132">
        <v>18481.310000000001</v>
      </c>
      <c r="G60" s="175">
        <v>20624.349999999999</v>
      </c>
      <c r="H60" s="133">
        <v>27645</v>
      </c>
      <c r="I60" s="132">
        <f t="shared" si="12"/>
        <v>7020.6500000000015</v>
      </c>
      <c r="J60" s="176">
        <f t="shared" si="13"/>
        <v>346.51541739784409</v>
      </c>
      <c r="K60" s="176">
        <f t="shared" si="19"/>
        <v>28.876284783153675</v>
      </c>
      <c r="L60" s="176">
        <f t="shared" si="20"/>
        <v>27645.000000000004</v>
      </c>
      <c r="M60" s="178">
        <v>324</v>
      </c>
      <c r="N60" s="130">
        <f>+N59</f>
        <v>2.1666666666666665</v>
      </c>
      <c r="O60" s="177">
        <f t="shared" si="14"/>
        <v>0</v>
      </c>
      <c r="P60" s="136">
        <f>J60*O48+J60*1.17*O49</f>
        <v>4141.3092436161942</v>
      </c>
      <c r="Q60" s="136"/>
      <c r="R60" s="136"/>
      <c r="S60" s="194">
        <v>4.525033230712233</v>
      </c>
      <c r="T60" s="136">
        <f t="shared" si="15"/>
        <v>3397.3198538052893</v>
      </c>
    </row>
    <row r="61" spans="1:24" x14ac:dyDescent="0.2">
      <c r="A61" s="134" t="s">
        <v>365</v>
      </c>
      <c r="B61" s="128">
        <v>100.82</v>
      </c>
      <c r="C61" s="129">
        <v>102.58664271112863</v>
      </c>
      <c r="E61" s="131">
        <v>1772.82</v>
      </c>
      <c r="F61" s="132">
        <v>6054.25</v>
      </c>
      <c r="G61" s="175">
        <v>8822.73</v>
      </c>
      <c r="H61" s="133">
        <v>11593</v>
      </c>
      <c r="I61" s="132">
        <f t="shared" si="12"/>
        <v>2770.2700000000004</v>
      </c>
      <c r="J61" s="176">
        <f t="shared" si="13"/>
        <v>113.00691487335698</v>
      </c>
      <c r="K61" s="176">
        <f t="shared" si="19"/>
        <v>9.4172429061130813</v>
      </c>
      <c r="L61" s="176">
        <f t="shared" si="20"/>
        <v>11593</v>
      </c>
      <c r="M61" s="178">
        <v>473</v>
      </c>
      <c r="N61" s="130">
        <f>+N60</f>
        <v>2.1666666666666665</v>
      </c>
      <c r="O61" s="177">
        <f t="shared" si="14"/>
        <v>0</v>
      </c>
      <c r="P61" s="136">
        <f>J61*O50+J61*1.17*O51</f>
        <v>1736.7102406158847</v>
      </c>
      <c r="Q61" s="136"/>
      <c r="R61" s="136"/>
      <c r="S61" s="194">
        <v>6.6059898707619942</v>
      </c>
      <c r="T61" s="136">
        <f t="shared" si="15"/>
        <v>1617.4654924554948</v>
      </c>
    </row>
    <row r="62" spans="1:24" x14ac:dyDescent="0.2">
      <c r="A62" s="134" t="s">
        <v>366</v>
      </c>
      <c r="B62" s="128">
        <v>129.12</v>
      </c>
      <c r="C62" s="129">
        <v>131.42249890469736</v>
      </c>
      <c r="E62" s="131">
        <v>756.66</v>
      </c>
      <c r="F62" s="132">
        <v>2986.38</v>
      </c>
      <c r="G62" s="175">
        <v>5059.67</v>
      </c>
      <c r="H62" s="133">
        <v>7031</v>
      </c>
      <c r="I62" s="132">
        <f t="shared" si="12"/>
        <v>1971.33</v>
      </c>
      <c r="J62" s="176">
        <f t="shared" si="13"/>
        <v>53.499211007231082</v>
      </c>
      <c r="K62" s="176">
        <f t="shared" si="19"/>
        <v>4.4582675839359238</v>
      </c>
      <c r="L62" s="176">
        <f t="shared" si="20"/>
        <v>7031</v>
      </c>
      <c r="M62" s="178">
        <v>613</v>
      </c>
      <c r="N62" s="130">
        <f>+N61</f>
        <v>2.1666666666666665</v>
      </c>
      <c r="O62" s="177">
        <f t="shared" si="14"/>
        <v>0</v>
      </c>
      <c r="P62" s="136">
        <f>J62*O52+J62*1.17*O53</f>
        <v>1053.2237733234322</v>
      </c>
      <c r="Q62" s="136"/>
      <c r="R62" s="136"/>
      <c r="S62" s="194">
        <v>8.5612511432919707</v>
      </c>
      <c r="T62" s="136">
        <f t="shared" si="15"/>
        <v>992.37705970189688</v>
      </c>
    </row>
    <row r="63" spans="1:24" x14ac:dyDescent="0.2">
      <c r="A63" s="178" t="s">
        <v>367</v>
      </c>
      <c r="B63" s="128">
        <v>154.85</v>
      </c>
      <c r="C63" s="129">
        <v>157.66999999999999</v>
      </c>
      <c r="G63" s="175"/>
      <c r="I63" s="132">
        <f t="shared" si="12"/>
        <v>0</v>
      </c>
      <c r="J63" s="176">
        <f t="shared" si="13"/>
        <v>0</v>
      </c>
      <c r="K63" s="176">
        <f t="shared" si="19"/>
        <v>0</v>
      </c>
      <c r="L63" s="176"/>
      <c r="M63" s="178"/>
      <c r="O63" s="177">
        <f t="shared" si="14"/>
        <v>0</v>
      </c>
      <c r="P63" s="136">
        <f>J63*O54+J63*1.17*O55</f>
        <v>0</v>
      </c>
      <c r="Q63" s="136"/>
      <c r="R63" s="136"/>
      <c r="S63" s="194">
        <f>S54</f>
        <v>10.125460161315955</v>
      </c>
      <c r="T63" s="136">
        <f t="shared" si="15"/>
        <v>0</v>
      </c>
    </row>
    <row r="64" spans="1:24" x14ac:dyDescent="0.2">
      <c r="A64" s="134" t="s">
        <v>368</v>
      </c>
      <c r="B64" s="128">
        <v>180.59</v>
      </c>
      <c r="C64" s="129">
        <v>183.74513716141237</v>
      </c>
      <c r="E64" s="131">
        <v>1058.6400000000001</v>
      </c>
      <c r="F64" s="132">
        <v>4889.22</v>
      </c>
      <c r="G64" s="175">
        <v>2664.37</v>
      </c>
      <c r="H64" s="133">
        <v>3216</v>
      </c>
      <c r="I64" s="132">
        <f t="shared" si="12"/>
        <v>551.63000000000011</v>
      </c>
      <c r="J64" s="176">
        <f t="shared" si="13"/>
        <v>17.502504010078262</v>
      </c>
      <c r="K64" s="176">
        <f t="shared" si="19"/>
        <v>1.4585420008398551</v>
      </c>
      <c r="L64" s="176">
        <f t="shared" ref="L64:L78" si="21">+J64*C64</f>
        <v>3216.0000000000005</v>
      </c>
      <c r="M64" s="178">
        <v>840</v>
      </c>
      <c r="N64" s="130">
        <f>+N62</f>
        <v>2.1666666666666665</v>
      </c>
      <c r="O64" s="177">
        <f t="shared" si="14"/>
        <v>0</v>
      </c>
      <c r="P64" s="136">
        <f>J64*O56+J64*1.17*O57</f>
        <v>481.77820194324397</v>
      </c>
      <c r="Q64" s="136"/>
      <c r="R64" s="136"/>
      <c r="S64" s="194">
        <f>S56</f>
        <v>11.731567635179863</v>
      </c>
      <c r="T64" s="136">
        <f t="shared" si="15"/>
        <v>444.88558742168635</v>
      </c>
    </row>
    <row r="65" spans="1:27" x14ac:dyDescent="0.2">
      <c r="A65" s="134" t="s">
        <v>369</v>
      </c>
      <c r="B65" s="128">
        <v>6.25</v>
      </c>
      <c r="C65" s="129">
        <v>6.25</v>
      </c>
      <c r="E65" s="181"/>
      <c r="F65" s="132">
        <v>1482.2</v>
      </c>
      <c r="G65" s="175">
        <v>1006.25</v>
      </c>
      <c r="H65" s="183">
        <v>1344</v>
      </c>
      <c r="I65" s="132">
        <f t="shared" si="12"/>
        <v>337.75</v>
      </c>
      <c r="J65" s="176">
        <f t="shared" si="13"/>
        <v>215.04</v>
      </c>
      <c r="K65" s="176"/>
      <c r="L65" s="176">
        <f t="shared" si="21"/>
        <v>1344</v>
      </c>
      <c r="O65" s="177">
        <f t="shared" ref="O65:O107" si="22">C65*$O$7</f>
        <v>0.93624999999999992</v>
      </c>
      <c r="P65" s="136">
        <f>J65*O65</f>
        <v>201.33119999999997</v>
      </c>
      <c r="Q65" s="136"/>
      <c r="R65" s="136"/>
      <c r="S65" s="177"/>
      <c r="T65" s="136">
        <f t="shared" si="15"/>
        <v>0</v>
      </c>
    </row>
    <row r="66" spans="1:27" x14ac:dyDescent="0.2">
      <c r="A66" s="134" t="s">
        <v>370</v>
      </c>
      <c r="B66" s="128">
        <v>3.9</v>
      </c>
      <c r="C66" s="129">
        <v>3.9</v>
      </c>
      <c r="E66" s="181"/>
      <c r="F66" s="132">
        <v>18.54</v>
      </c>
      <c r="G66" s="175">
        <v>154.07</v>
      </c>
      <c r="I66" s="132">
        <f t="shared" si="12"/>
        <v>-154.07</v>
      </c>
      <c r="J66" s="176">
        <f t="shared" si="13"/>
        <v>0</v>
      </c>
      <c r="K66" s="176"/>
      <c r="L66" s="176">
        <f t="shared" si="21"/>
        <v>0</v>
      </c>
      <c r="O66" s="177">
        <f t="shared" si="22"/>
        <v>0.58421999999999996</v>
      </c>
      <c r="P66" s="136">
        <f>J66*O66</f>
        <v>0</v>
      </c>
      <c r="Q66" s="136"/>
      <c r="R66" s="136"/>
      <c r="S66" s="177"/>
      <c r="T66" s="176">
        <f t="shared" ref="T66:T73" si="23">+S66*J66</f>
        <v>0</v>
      </c>
    </row>
    <row r="67" spans="1:27" x14ac:dyDescent="0.2">
      <c r="A67" s="134" t="s">
        <v>371</v>
      </c>
      <c r="B67" s="128">
        <v>1</v>
      </c>
      <c r="C67" s="129">
        <v>3.84</v>
      </c>
      <c r="E67" s="181"/>
      <c r="F67" s="132">
        <v>12.2</v>
      </c>
      <c r="G67" s="175">
        <v>10140.5</v>
      </c>
      <c r="H67" s="180">
        <v>14810</v>
      </c>
      <c r="I67" s="184">
        <f t="shared" si="12"/>
        <v>4669.5</v>
      </c>
      <c r="J67" s="133">
        <f t="shared" si="13"/>
        <v>3856.7708333333335</v>
      </c>
      <c r="K67" s="180">
        <f t="shared" si="19"/>
        <v>321.39756944444446</v>
      </c>
      <c r="L67" s="133">
        <f t="shared" si="21"/>
        <v>14810</v>
      </c>
      <c r="M67" s="178"/>
      <c r="N67" s="129"/>
      <c r="O67" s="185"/>
      <c r="P67" s="186"/>
      <c r="Q67" s="195">
        <f>C67*0.0585</f>
        <v>0.22464000000000001</v>
      </c>
      <c r="R67" s="186">
        <f>J67*Q67</f>
        <v>866.3850000000001</v>
      </c>
      <c r="S67" s="185"/>
      <c r="T67" s="133">
        <f t="shared" si="23"/>
        <v>0</v>
      </c>
      <c r="U67" s="178"/>
      <c r="V67" s="185">
        <f>C67+S67</f>
        <v>3.84</v>
      </c>
      <c r="W67" s="185">
        <f>Q67</f>
        <v>0.22464000000000001</v>
      </c>
      <c r="X67" s="185">
        <f>SUM(V67:W67)</f>
        <v>4.0646399999999998</v>
      </c>
      <c r="Y67" s="297" t="s">
        <v>347</v>
      </c>
      <c r="Z67" s="297"/>
      <c r="AA67" s="187"/>
    </row>
    <row r="68" spans="1:27" x14ac:dyDescent="0.2">
      <c r="A68" s="134" t="s">
        <v>372</v>
      </c>
      <c r="B68" s="128">
        <v>1</v>
      </c>
      <c r="C68" s="129">
        <v>1</v>
      </c>
      <c r="E68" s="181"/>
      <c r="F68" s="132">
        <v>33</v>
      </c>
      <c r="G68" s="175"/>
      <c r="I68" s="184">
        <f t="shared" si="12"/>
        <v>0</v>
      </c>
      <c r="J68" s="133">
        <f t="shared" si="13"/>
        <v>0</v>
      </c>
      <c r="K68" s="133"/>
      <c r="L68" s="133">
        <f t="shared" si="21"/>
        <v>0</v>
      </c>
      <c r="M68" s="178"/>
      <c r="N68" s="129"/>
      <c r="O68" s="185"/>
      <c r="P68" s="186"/>
      <c r="Q68" s="195">
        <v>0.25</v>
      </c>
      <c r="R68" s="186">
        <f>J68*Q68</f>
        <v>0</v>
      </c>
      <c r="S68" s="185"/>
      <c r="T68" s="133">
        <f t="shared" si="23"/>
        <v>0</v>
      </c>
      <c r="U68" s="178"/>
      <c r="V68" s="185">
        <f>C68+S68</f>
        <v>1</v>
      </c>
      <c r="W68" s="185">
        <f>Q68</f>
        <v>0.25</v>
      </c>
      <c r="X68" s="185">
        <f>SUM(V68:W68)</f>
        <v>1.25</v>
      </c>
      <c r="Y68" s="297" t="s">
        <v>347</v>
      </c>
      <c r="Z68" s="297"/>
      <c r="AA68" s="187"/>
    </row>
    <row r="69" spans="1:27" x14ac:dyDescent="0.2">
      <c r="A69" s="134" t="s">
        <v>331</v>
      </c>
      <c r="B69" s="128">
        <v>3.74</v>
      </c>
      <c r="C69" s="129">
        <v>3.7989421227956162</v>
      </c>
      <c r="E69" s="131">
        <v>1029.1199999999999</v>
      </c>
      <c r="F69" s="132">
        <v>1062.72</v>
      </c>
      <c r="G69" s="175">
        <f>958.65+20.75</f>
        <v>979.4</v>
      </c>
      <c r="H69" s="183">
        <v>1112</v>
      </c>
      <c r="I69" s="132">
        <f t="shared" si="12"/>
        <v>132.60000000000002</v>
      </c>
      <c r="J69" s="176">
        <f t="shared" si="13"/>
        <v>292.71306696867669</v>
      </c>
      <c r="K69" s="176"/>
      <c r="L69" s="176">
        <f t="shared" si="21"/>
        <v>1112</v>
      </c>
      <c r="M69" s="134">
        <v>34</v>
      </c>
      <c r="N69" s="129">
        <v>1</v>
      </c>
      <c r="O69" s="177">
        <f t="shared" si="22"/>
        <v>0.56908152999478323</v>
      </c>
      <c r="P69" s="136">
        <f>J69*O69</f>
        <v>166.57759999999996</v>
      </c>
      <c r="Q69" s="136"/>
      <c r="R69" s="136"/>
      <c r="S69" s="177"/>
      <c r="T69" s="176">
        <f t="shared" si="23"/>
        <v>0</v>
      </c>
    </row>
    <row r="70" spans="1:27" x14ac:dyDescent="0.2">
      <c r="A70" s="134" t="s">
        <v>373</v>
      </c>
      <c r="B70" s="128">
        <v>80</v>
      </c>
      <c r="C70" s="129">
        <v>80</v>
      </c>
      <c r="E70" s="181"/>
      <c r="F70" s="132">
        <v>171.87</v>
      </c>
      <c r="G70" s="175">
        <v>31.25</v>
      </c>
      <c r="H70" s="133">
        <v>31</v>
      </c>
      <c r="I70" s="132">
        <f t="shared" si="12"/>
        <v>-0.25</v>
      </c>
      <c r="J70" s="176">
        <f t="shared" si="13"/>
        <v>0.38750000000000001</v>
      </c>
      <c r="K70" s="176"/>
      <c r="L70" s="176">
        <f t="shared" si="21"/>
        <v>31</v>
      </c>
      <c r="O70" s="177">
        <f t="shared" si="22"/>
        <v>11.983999999999998</v>
      </c>
      <c r="P70" s="136">
        <v>0</v>
      </c>
      <c r="Q70" s="136"/>
      <c r="R70" s="136"/>
      <c r="S70" s="177"/>
      <c r="T70" s="176">
        <f t="shared" si="23"/>
        <v>0</v>
      </c>
    </row>
    <row r="71" spans="1:27" x14ac:dyDescent="0.2">
      <c r="A71" s="134" t="s">
        <v>374</v>
      </c>
      <c r="B71" s="128">
        <v>23.58</v>
      </c>
      <c r="C71" s="129">
        <v>23.58</v>
      </c>
      <c r="E71" s="131">
        <v>445.55</v>
      </c>
      <c r="F71" s="132">
        <v>3286.62</v>
      </c>
      <c r="G71" s="175">
        <f>1226.16+70.74</f>
        <v>1296.9000000000001</v>
      </c>
      <c r="H71" s="133">
        <v>1462</v>
      </c>
      <c r="I71" s="132">
        <f t="shared" si="12"/>
        <v>165.09999999999991</v>
      </c>
      <c r="J71" s="176">
        <f t="shared" si="13"/>
        <v>62.001696352841392</v>
      </c>
      <c r="K71" s="176"/>
      <c r="L71" s="176">
        <f t="shared" si="21"/>
        <v>1462</v>
      </c>
      <c r="M71" s="134">
        <v>175</v>
      </c>
      <c r="N71" s="129">
        <v>1</v>
      </c>
      <c r="O71" s="177">
        <f t="shared" si="22"/>
        <v>3.5322839999999993</v>
      </c>
      <c r="P71" s="136">
        <f>J71*O71</f>
        <v>219.00759999999997</v>
      </c>
      <c r="Q71" s="136"/>
      <c r="R71" s="136"/>
      <c r="S71" s="177"/>
      <c r="T71" s="176">
        <f t="shared" si="23"/>
        <v>0</v>
      </c>
    </row>
    <row r="72" spans="1:27" x14ac:dyDescent="0.2">
      <c r="A72" s="134" t="s">
        <v>375</v>
      </c>
      <c r="B72" s="128">
        <v>6.8</v>
      </c>
      <c r="C72" s="129">
        <v>6.9161506537443014</v>
      </c>
      <c r="E72" s="181"/>
      <c r="F72" s="132">
        <v>6.7</v>
      </c>
      <c r="G72" s="175"/>
      <c r="H72" s="183">
        <v>6.92</v>
      </c>
      <c r="I72" s="132">
        <f t="shared" si="12"/>
        <v>6.92</v>
      </c>
      <c r="J72" s="176">
        <f t="shared" si="13"/>
        <v>1.0005565735115407</v>
      </c>
      <c r="K72" s="176"/>
      <c r="L72" s="176">
        <f t="shared" si="21"/>
        <v>6.9200000000000008</v>
      </c>
      <c r="M72" s="134">
        <v>67</v>
      </c>
      <c r="N72" s="130">
        <v>1</v>
      </c>
      <c r="O72" s="177">
        <f t="shared" si="22"/>
        <v>1.0360393679308963</v>
      </c>
      <c r="P72" s="136">
        <f>J72*O72</f>
        <v>1.036616</v>
      </c>
      <c r="Q72" s="136"/>
      <c r="R72" s="136"/>
      <c r="S72" s="177"/>
      <c r="T72" s="176">
        <f t="shared" si="23"/>
        <v>0</v>
      </c>
    </row>
    <row r="73" spans="1:27" x14ac:dyDescent="0.2">
      <c r="A73" s="134" t="s">
        <v>376</v>
      </c>
      <c r="B73" s="128">
        <v>0.1</v>
      </c>
      <c r="C73" s="129">
        <v>0.1</v>
      </c>
      <c r="E73" s="181"/>
      <c r="F73" s="132">
        <v>4916</v>
      </c>
      <c r="G73" s="175"/>
      <c r="I73" s="132">
        <f t="shared" si="12"/>
        <v>0</v>
      </c>
      <c r="J73" s="176">
        <f t="shared" si="13"/>
        <v>0</v>
      </c>
      <c r="K73" s="176"/>
      <c r="L73" s="176">
        <f t="shared" si="21"/>
        <v>0</v>
      </c>
      <c r="O73" s="177"/>
      <c r="P73" s="136"/>
      <c r="Q73" s="136"/>
      <c r="R73" s="136"/>
      <c r="S73" s="177"/>
      <c r="T73" s="176">
        <f t="shared" si="23"/>
        <v>0</v>
      </c>
    </row>
    <row r="74" spans="1:27" x14ac:dyDescent="0.2">
      <c r="A74" s="134" t="s">
        <v>377</v>
      </c>
      <c r="B74" s="128">
        <v>20.85</v>
      </c>
      <c r="C74" s="129">
        <v>21.153378573212731</v>
      </c>
      <c r="E74" s="131">
        <v>40.9</v>
      </c>
      <c r="F74" s="132">
        <v>246.96</v>
      </c>
      <c r="G74" s="175">
        <v>91.14</v>
      </c>
      <c r="H74" s="133">
        <v>132</v>
      </c>
      <c r="I74" s="132">
        <f t="shared" si="12"/>
        <v>40.86</v>
      </c>
      <c r="J74" s="176">
        <f t="shared" si="13"/>
        <v>6.2401379308341909</v>
      </c>
      <c r="K74" s="176">
        <f>J74/12</f>
        <v>0.52001149423618254</v>
      </c>
      <c r="L74" s="176">
        <f t="shared" si="21"/>
        <v>132</v>
      </c>
      <c r="M74" s="178">
        <v>175</v>
      </c>
      <c r="N74" s="129">
        <v>1</v>
      </c>
      <c r="O74" s="177">
        <f t="shared" si="22"/>
        <v>3.1687761102672667</v>
      </c>
      <c r="P74" s="136">
        <f>J74*O74</f>
        <v>19.773599999999998</v>
      </c>
      <c r="Q74" s="136"/>
      <c r="R74" s="136"/>
      <c r="S74" s="177">
        <f>S44</f>
        <v>2.44</v>
      </c>
      <c r="T74" s="176">
        <f>J74*S74</f>
        <v>15.225936551235426</v>
      </c>
      <c r="V74" s="177">
        <f>C74+S74</f>
        <v>23.593378573212732</v>
      </c>
      <c r="W74" s="177">
        <f>O74</f>
        <v>3.1687761102672667</v>
      </c>
      <c r="X74" s="177">
        <f>SUM(V74:W74)</f>
        <v>26.762154683479999</v>
      </c>
    </row>
    <row r="75" spans="1:27" x14ac:dyDescent="0.2">
      <c r="A75" s="178" t="s">
        <v>378</v>
      </c>
      <c r="B75" s="128">
        <v>26.93</v>
      </c>
      <c r="C75" s="129">
        <v>27.363397961732471</v>
      </c>
      <c r="E75" s="181"/>
      <c r="F75" s="132">
        <v>132.75</v>
      </c>
      <c r="G75" s="175">
        <v>48.98</v>
      </c>
      <c r="H75" s="133">
        <v>61</v>
      </c>
      <c r="I75" s="132">
        <f t="shared" si="12"/>
        <v>12.020000000000003</v>
      </c>
      <c r="J75" s="176">
        <f t="shared" si="13"/>
        <v>2.2292553024777146</v>
      </c>
      <c r="K75" s="176">
        <f>J75/12</f>
        <v>0.18577127520647621</v>
      </c>
      <c r="L75" s="176">
        <f t="shared" si="21"/>
        <v>61</v>
      </c>
      <c r="M75" s="178">
        <v>250</v>
      </c>
      <c r="N75" s="129">
        <v>1</v>
      </c>
      <c r="O75" s="177">
        <f t="shared" si="22"/>
        <v>4.0990370146675241</v>
      </c>
      <c r="P75" s="136">
        <f>J75*O75</f>
        <v>9.1378000000000004</v>
      </c>
      <c r="Q75" s="136"/>
      <c r="R75" s="136"/>
      <c r="S75" s="177">
        <f>S46</f>
        <v>3.4915379866606733</v>
      </c>
      <c r="T75" s="176">
        <f t="shared" ref="T75:T107" si="24">J75*S75</f>
        <v>7.78352957056567</v>
      </c>
      <c r="V75" s="177">
        <f t="shared" ref="V75:V80" si="25">C75+S75</f>
        <v>30.854935948393145</v>
      </c>
      <c r="W75" s="177">
        <f t="shared" ref="W75:W80" si="26">O75</f>
        <v>4.0990370146675241</v>
      </c>
      <c r="X75" s="177">
        <f t="shared" ref="X75:X80" si="27">SUM(V75:W75)</f>
        <v>34.953972963060671</v>
      </c>
    </row>
    <row r="76" spans="1:27" x14ac:dyDescent="0.2">
      <c r="A76" s="178" t="s">
        <v>379</v>
      </c>
      <c r="B76" s="128">
        <v>32.35</v>
      </c>
      <c r="C76" s="129">
        <v>32.911683758405282</v>
      </c>
      <c r="E76" s="131">
        <v>410.93</v>
      </c>
      <c r="F76" s="132">
        <v>1719.9</v>
      </c>
      <c r="G76" s="175">
        <f>7+691.01</f>
        <v>698.01</v>
      </c>
      <c r="H76" s="133">
        <v>857</v>
      </c>
      <c r="I76" s="132">
        <f t="shared" si="12"/>
        <v>158.99</v>
      </c>
      <c r="J76" s="176">
        <f t="shared" si="13"/>
        <v>26.039384866814409</v>
      </c>
      <c r="K76" s="176">
        <f>J76/12</f>
        <v>2.1699487389012009</v>
      </c>
      <c r="L76" s="176">
        <f t="shared" si="21"/>
        <v>857.00000000000011</v>
      </c>
      <c r="M76" s="178">
        <v>324</v>
      </c>
      <c r="N76" s="129">
        <v>1</v>
      </c>
      <c r="O76" s="177">
        <f t="shared" si="22"/>
        <v>4.9301702270091106</v>
      </c>
      <c r="P76" s="136">
        <f>J76*O76</f>
        <v>128.37860000000001</v>
      </c>
      <c r="Q76" s="136"/>
      <c r="R76" s="136"/>
      <c r="S76" s="177">
        <f>S48</f>
        <v>4.525033230712233</v>
      </c>
      <c r="T76" s="176">
        <f t="shared" si="24"/>
        <v>117.82908182964043</v>
      </c>
      <c r="V76" s="177">
        <f t="shared" si="25"/>
        <v>37.436716989117514</v>
      </c>
      <c r="W76" s="177">
        <f t="shared" si="26"/>
        <v>4.9301702270091106</v>
      </c>
      <c r="X76" s="177">
        <f t="shared" si="27"/>
        <v>42.366887216126628</v>
      </c>
    </row>
    <row r="77" spans="1:27" x14ac:dyDescent="0.2">
      <c r="A77" s="178" t="s">
        <v>380</v>
      </c>
      <c r="B77" s="128">
        <v>48.54</v>
      </c>
      <c r="C77" s="129">
        <v>49.359988943597834</v>
      </c>
      <c r="E77" s="131">
        <v>806.99</v>
      </c>
      <c r="F77" s="132">
        <v>1960.62</v>
      </c>
      <c r="G77" s="175">
        <v>8</v>
      </c>
      <c r="H77" s="133">
        <v>8</v>
      </c>
      <c r="I77" s="132">
        <f t="shared" si="12"/>
        <v>0</v>
      </c>
      <c r="J77" s="176">
        <f t="shared" si="13"/>
        <v>0.16207459059890306</v>
      </c>
      <c r="K77" s="176">
        <f>J77/12</f>
        <v>1.3506215883241921E-2</v>
      </c>
      <c r="L77" s="176">
        <f t="shared" si="21"/>
        <v>8</v>
      </c>
      <c r="M77" s="178">
        <v>473</v>
      </c>
      <c r="N77" s="129">
        <v>1</v>
      </c>
      <c r="O77" s="177">
        <f t="shared" si="22"/>
        <v>7.3941263437509548</v>
      </c>
      <c r="P77" s="136">
        <v>0</v>
      </c>
      <c r="Q77" s="136"/>
      <c r="R77" s="136"/>
      <c r="S77" s="177">
        <f>S50</f>
        <v>6.6059898707619924</v>
      </c>
      <c r="T77" s="176">
        <f t="shared" si="24"/>
        <v>1.0706631038042504</v>
      </c>
      <c r="V77" s="177">
        <f t="shared" si="25"/>
        <v>55.965978814359829</v>
      </c>
      <c r="W77" s="177">
        <f t="shared" si="26"/>
        <v>7.3941263437509548</v>
      </c>
      <c r="X77" s="177">
        <f t="shared" si="27"/>
        <v>63.360105158110784</v>
      </c>
    </row>
    <row r="78" spans="1:27" x14ac:dyDescent="0.2">
      <c r="A78" s="178" t="s">
        <v>381</v>
      </c>
      <c r="B78" s="128">
        <v>65.14</v>
      </c>
      <c r="C78" s="129">
        <v>66.202691802168019</v>
      </c>
      <c r="E78" s="131">
        <v>446.25</v>
      </c>
      <c r="F78" s="132">
        <v>385.2</v>
      </c>
      <c r="G78" s="175">
        <v>67.239999999999995</v>
      </c>
      <c r="H78" s="133">
        <v>67</v>
      </c>
      <c r="I78" s="132">
        <f t="shared" si="12"/>
        <v>-0.23999999999999488</v>
      </c>
      <c r="J78" s="176">
        <f t="shared" si="13"/>
        <v>1.0120434407745014</v>
      </c>
      <c r="K78" s="176">
        <f>J78/12</f>
        <v>8.4336953397875114E-2</v>
      </c>
      <c r="L78" s="176">
        <f t="shared" si="21"/>
        <v>67</v>
      </c>
      <c r="M78" s="178">
        <v>613</v>
      </c>
      <c r="N78" s="129">
        <v>1</v>
      </c>
      <c r="O78" s="177">
        <f t="shared" si="22"/>
        <v>9.9171632319647678</v>
      </c>
      <c r="P78" s="136">
        <f>J78*O78</f>
        <v>10.036599999999998</v>
      </c>
      <c r="Q78" s="136"/>
      <c r="R78" s="136"/>
      <c r="S78" s="177">
        <f>S52</f>
        <v>8.5612511432919707</v>
      </c>
      <c r="T78" s="176">
        <f t="shared" si="24"/>
        <v>8.6643580643918394</v>
      </c>
      <c r="V78" s="177">
        <f t="shared" si="25"/>
        <v>74.763942945459988</v>
      </c>
      <c r="W78" s="177">
        <f t="shared" si="26"/>
        <v>9.9171632319647678</v>
      </c>
      <c r="X78" s="177">
        <f t="shared" si="27"/>
        <v>84.681106177424752</v>
      </c>
    </row>
    <row r="79" spans="1:27" x14ac:dyDescent="0.2">
      <c r="A79" s="178" t="s">
        <v>382</v>
      </c>
      <c r="B79" s="128">
        <v>83.43</v>
      </c>
      <c r="C79" s="129">
        <v>84.69</v>
      </c>
      <c r="G79" s="175"/>
      <c r="I79" s="132">
        <f t="shared" si="12"/>
        <v>0</v>
      </c>
      <c r="J79" s="176">
        <f t="shared" si="13"/>
        <v>0</v>
      </c>
      <c r="K79" s="176"/>
      <c r="L79" s="176"/>
      <c r="M79" s="178"/>
      <c r="N79" s="129"/>
      <c r="O79" s="177">
        <f t="shared" si="22"/>
        <v>12.686561999999999</v>
      </c>
      <c r="P79" s="136">
        <f>J79*O79</f>
        <v>0</v>
      </c>
      <c r="Q79" s="136"/>
      <c r="R79" s="136"/>
      <c r="S79" s="177">
        <f>S54</f>
        <v>10.125460161315955</v>
      </c>
      <c r="T79" s="176">
        <f t="shared" si="24"/>
        <v>0</v>
      </c>
      <c r="V79" s="177">
        <f t="shared" si="25"/>
        <v>94.815460161315954</v>
      </c>
      <c r="W79" s="177">
        <f t="shared" si="26"/>
        <v>12.686561999999999</v>
      </c>
      <c r="X79" s="177">
        <f t="shared" si="27"/>
        <v>107.50202216131595</v>
      </c>
    </row>
    <row r="80" spans="1:27" x14ac:dyDescent="0.2">
      <c r="A80" s="178" t="s">
        <v>383</v>
      </c>
      <c r="B80" s="128">
        <v>97.27</v>
      </c>
      <c r="C80" s="129">
        <v>98.726217151421096</v>
      </c>
      <c r="E80" s="131">
        <v>2384</v>
      </c>
      <c r="F80" s="132">
        <v>4319.1000000000004</v>
      </c>
      <c r="G80" s="175">
        <f>5.4+119.88+3048.2</f>
        <v>3173.48</v>
      </c>
      <c r="H80" s="133">
        <f>5+4147</f>
        <v>4152</v>
      </c>
      <c r="I80" s="132">
        <f t="shared" si="12"/>
        <v>978.52</v>
      </c>
      <c r="J80" s="176">
        <f t="shared" si="13"/>
        <v>42.055698271431588</v>
      </c>
      <c r="K80" s="176">
        <f>J80/12</f>
        <v>3.5046415226192988</v>
      </c>
      <c r="L80" s="176">
        <f t="shared" ref="L80:L86" si="28">+J80*C80</f>
        <v>4152</v>
      </c>
      <c r="M80" s="178">
        <v>840</v>
      </c>
      <c r="N80" s="129">
        <v>1</v>
      </c>
      <c r="O80" s="177">
        <f t="shared" si="22"/>
        <v>14.789187329282878</v>
      </c>
      <c r="P80" s="136">
        <f>J80*O80</f>
        <v>621.9695999999999</v>
      </c>
      <c r="Q80" s="136"/>
      <c r="R80" s="136"/>
      <c r="S80" s="177">
        <f>S56</f>
        <v>11.731567635179863</v>
      </c>
      <c r="T80" s="176">
        <f t="shared" si="24"/>
        <v>493.3792687160165</v>
      </c>
      <c r="V80" s="177">
        <f t="shared" si="25"/>
        <v>110.45778478660095</v>
      </c>
      <c r="W80" s="177">
        <f t="shared" si="26"/>
        <v>14.789187329282878</v>
      </c>
      <c r="X80" s="177">
        <f t="shared" si="27"/>
        <v>125.24697211588384</v>
      </c>
    </row>
    <row r="81" spans="1:24" x14ac:dyDescent="0.2">
      <c r="A81" s="134" t="s">
        <v>384</v>
      </c>
      <c r="B81" s="128">
        <v>3</v>
      </c>
      <c r="C81" s="129">
        <v>3</v>
      </c>
      <c r="E81" s="181"/>
      <c r="F81" s="132">
        <v>-18</v>
      </c>
      <c r="G81" s="175">
        <v>18</v>
      </c>
      <c r="H81" s="133">
        <v>18</v>
      </c>
      <c r="I81" s="132">
        <f t="shared" si="12"/>
        <v>0</v>
      </c>
      <c r="J81" s="176">
        <f t="shared" si="13"/>
        <v>6</v>
      </c>
      <c r="K81" s="176"/>
      <c r="L81" s="176">
        <f t="shared" si="28"/>
        <v>18</v>
      </c>
      <c r="O81" s="177"/>
      <c r="P81" s="136"/>
      <c r="Q81" s="136"/>
      <c r="R81" s="136"/>
      <c r="S81" s="177"/>
      <c r="T81" s="176"/>
    </row>
    <row r="82" spans="1:24" x14ac:dyDescent="0.2">
      <c r="A82" s="134" t="s">
        <v>385</v>
      </c>
      <c r="B82" s="128">
        <v>20.85</v>
      </c>
      <c r="C82" s="129">
        <v>21.153378573212731</v>
      </c>
      <c r="E82" s="131">
        <v>20.45</v>
      </c>
      <c r="F82" s="132">
        <v>144.06</v>
      </c>
      <c r="G82" s="175">
        <f>319.57-30-104-65-90</f>
        <v>30.569999999999993</v>
      </c>
      <c r="H82" s="133">
        <f>385-27-165-66-99</f>
        <v>28</v>
      </c>
      <c r="I82" s="132">
        <f t="shared" si="12"/>
        <v>-2.5699999999999932</v>
      </c>
      <c r="J82" s="176">
        <f t="shared" si="13"/>
        <v>1.3236656216921012</v>
      </c>
      <c r="K82" s="176"/>
      <c r="L82" s="176">
        <f t="shared" si="28"/>
        <v>28.000000000000004</v>
      </c>
      <c r="M82" s="178">
        <v>175</v>
      </c>
      <c r="N82" s="129">
        <v>1</v>
      </c>
      <c r="O82" s="177">
        <f t="shared" si="22"/>
        <v>3.1687761102672667</v>
      </c>
      <c r="P82" s="136">
        <f t="shared" ref="P82:P89" si="29">J82*O82</f>
        <v>4.1943999999999999</v>
      </c>
      <c r="Q82" s="136"/>
      <c r="R82" s="136"/>
      <c r="S82" s="177">
        <f>S74</f>
        <v>2.44</v>
      </c>
      <c r="T82" s="176">
        <f t="shared" si="24"/>
        <v>3.2297441169287269</v>
      </c>
      <c r="V82" s="177">
        <f t="shared" ref="V82:V88" si="30">C82+S82</f>
        <v>23.593378573212732</v>
      </c>
      <c r="W82" s="177">
        <f t="shared" ref="W82:W88" si="31">O82</f>
        <v>3.1687761102672667</v>
      </c>
      <c r="X82" s="177">
        <f t="shared" ref="X82:X88" si="32">SUM(V82:W82)</f>
        <v>26.762154683479999</v>
      </c>
    </row>
    <row r="83" spans="1:24" x14ac:dyDescent="0.2">
      <c r="A83" s="178" t="s">
        <v>386</v>
      </c>
      <c r="B83" s="128">
        <v>26.93</v>
      </c>
      <c r="C83" s="129">
        <v>27.363397961732471</v>
      </c>
      <c r="E83" s="131">
        <v>26.36</v>
      </c>
      <c r="F83" s="132">
        <v>26.55</v>
      </c>
      <c r="G83" s="175">
        <v>30</v>
      </c>
      <c r="H83" s="133">
        <f>1*27.36</f>
        <v>27.36</v>
      </c>
      <c r="I83" s="132">
        <f t="shared" si="12"/>
        <v>-2.6400000000000006</v>
      </c>
      <c r="J83" s="176">
        <f t="shared" si="13"/>
        <v>0.99987582091459459</v>
      </c>
      <c r="K83" s="176"/>
      <c r="L83" s="176">
        <f t="shared" si="28"/>
        <v>27.36</v>
      </c>
      <c r="M83" s="178">
        <v>250</v>
      </c>
      <c r="N83" s="129">
        <v>1</v>
      </c>
      <c r="O83" s="177">
        <f t="shared" si="22"/>
        <v>4.0990370146675241</v>
      </c>
      <c r="P83" s="136">
        <f t="shared" si="29"/>
        <v>4.0985279999999999</v>
      </c>
      <c r="Q83" s="136"/>
      <c r="R83" s="136"/>
      <c r="S83" s="177">
        <f t="shared" ref="S83:S88" si="33">S75</f>
        <v>3.4915379866606733</v>
      </c>
      <c r="T83" s="176">
        <f t="shared" si="24"/>
        <v>3.4911044106668316</v>
      </c>
      <c r="V83" s="177">
        <f t="shared" si="30"/>
        <v>30.854935948393145</v>
      </c>
      <c r="W83" s="177">
        <f t="shared" si="31"/>
        <v>4.0990370146675241</v>
      </c>
      <c r="X83" s="177">
        <f t="shared" si="32"/>
        <v>34.953972963060671</v>
      </c>
    </row>
    <row r="84" spans="1:24" x14ac:dyDescent="0.2">
      <c r="A84" s="178" t="s">
        <v>387</v>
      </c>
      <c r="B84" s="128">
        <v>32.35</v>
      </c>
      <c r="C84" s="129">
        <v>32.911683758405282</v>
      </c>
      <c r="E84" s="181"/>
      <c r="F84" s="132">
        <v>95.55</v>
      </c>
      <c r="G84" s="175">
        <v>104</v>
      </c>
      <c r="H84" s="133">
        <f>5*32.91</f>
        <v>164.54999999999998</v>
      </c>
      <c r="I84" s="132">
        <f t="shared" si="12"/>
        <v>60.549999999999983</v>
      </c>
      <c r="J84" s="176">
        <f t="shared" si="13"/>
        <v>4.9997442005067798</v>
      </c>
      <c r="K84" s="176"/>
      <c r="L84" s="176">
        <f t="shared" si="28"/>
        <v>164.54999999999998</v>
      </c>
      <c r="M84" s="178">
        <v>324</v>
      </c>
      <c r="N84" s="129">
        <v>1</v>
      </c>
      <c r="O84" s="177">
        <f t="shared" si="22"/>
        <v>4.9301702270091106</v>
      </c>
      <c r="P84" s="136">
        <f t="shared" si="29"/>
        <v>24.649589999999996</v>
      </c>
      <c r="Q84" s="136"/>
      <c r="R84" s="136"/>
      <c r="S84" s="177">
        <f t="shared" si="33"/>
        <v>4.525033230712233</v>
      </c>
      <c r="T84" s="176">
        <f t="shared" si="24"/>
        <v>22.624008652353943</v>
      </c>
      <c r="V84" s="177">
        <f t="shared" si="30"/>
        <v>37.436716989117514</v>
      </c>
      <c r="W84" s="177">
        <f t="shared" si="31"/>
        <v>4.9301702270091106</v>
      </c>
      <c r="X84" s="177">
        <f t="shared" si="32"/>
        <v>42.366887216126628</v>
      </c>
    </row>
    <row r="85" spans="1:24" x14ac:dyDescent="0.2">
      <c r="A85" s="178" t="s">
        <v>388</v>
      </c>
      <c r="B85" s="128">
        <v>48.54</v>
      </c>
      <c r="C85" s="129">
        <v>49.359988943597834</v>
      </c>
      <c r="E85" s="131">
        <v>47.47</v>
      </c>
      <c r="G85" s="175"/>
      <c r="I85" s="132">
        <f t="shared" si="12"/>
        <v>0</v>
      </c>
      <c r="J85" s="176">
        <f t="shared" si="13"/>
        <v>0</v>
      </c>
      <c r="K85" s="176"/>
      <c r="L85" s="176">
        <f t="shared" si="28"/>
        <v>0</v>
      </c>
      <c r="M85" s="178">
        <v>473</v>
      </c>
      <c r="N85" s="129">
        <v>1</v>
      </c>
      <c r="O85" s="177">
        <f t="shared" si="22"/>
        <v>7.3941263437509548</v>
      </c>
      <c r="P85" s="136">
        <f t="shared" si="29"/>
        <v>0</v>
      </c>
      <c r="Q85" s="136"/>
      <c r="R85" s="136"/>
      <c r="S85" s="177">
        <f t="shared" si="33"/>
        <v>6.6059898707619924</v>
      </c>
      <c r="T85" s="176">
        <f t="shared" si="24"/>
        <v>0</v>
      </c>
      <c r="V85" s="177">
        <f t="shared" si="30"/>
        <v>55.965978814359829</v>
      </c>
      <c r="W85" s="177">
        <f t="shared" si="31"/>
        <v>7.3941263437509548</v>
      </c>
      <c r="X85" s="177">
        <f t="shared" si="32"/>
        <v>63.360105158110784</v>
      </c>
    </row>
    <row r="86" spans="1:24" x14ac:dyDescent="0.2">
      <c r="A86" s="178" t="s">
        <v>389</v>
      </c>
      <c r="B86" s="128">
        <v>65.14</v>
      </c>
      <c r="C86" s="129">
        <v>66.202691802168019</v>
      </c>
      <c r="E86" s="181"/>
      <c r="F86" s="132">
        <v>64.2</v>
      </c>
      <c r="G86" s="175">
        <v>65</v>
      </c>
      <c r="H86" s="133">
        <v>66.2</v>
      </c>
      <c r="I86" s="132">
        <f t="shared" si="12"/>
        <v>1.2000000000000028</v>
      </c>
      <c r="J86" s="176">
        <f t="shared" si="13"/>
        <v>0.99995933998913433</v>
      </c>
      <c r="K86" s="176"/>
      <c r="L86" s="176">
        <f t="shared" si="28"/>
        <v>66.2</v>
      </c>
      <c r="M86" s="178">
        <v>613</v>
      </c>
      <c r="N86" s="129">
        <v>1</v>
      </c>
      <c r="O86" s="177">
        <f t="shared" si="22"/>
        <v>9.9171632319647678</v>
      </c>
      <c r="P86" s="136">
        <f t="shared" si="29"/>
        <v>9.91676</v>
      </c>
      <c r="Q86" s="136"/>
      <c r="R86" s="136"/>
      <c r="S86" s="177">
        <f t="shared" si="33"/>
        <v>8.5612511432919707</v>
      </c>
      <c r="T86" s="176">
        <f t="shared" si="24"/>
        <v>8.5609030427274604</v>
      </c>
      <c r="V86" s="177">
        <f t="shared" si="30"/>
        <v>74.763942945459988</v>
      </c>
      <c r="W86" s="177">
        <f t="shared" si="31"/>
        <v>9.9171632319647678</v>
      </c>
      <c r="X86" s="177">
        <f t="shared" si="32"/>
        <v>84.681106177424752</v>
      </c>
    </row>
    <row r="87" spans="1:24" x14ac:dyDescent="0.2">
      <c r="A87" s="178" t="s">
        <v>390</v>
      </c>
      <c r="B87" s="128">
        <v>83.43</v>
      </c>
      <c r="C87" s="129">
        <v>84.69</v>
      </c>
      <c r="E87" s="181"/>
      <c r="G87" s="175"/>
      <c r="I87" s="132">
        <f t="shared" si="12"/>
        <v>0</v>
      </c>
      <c r="J87" s="176">
        <f t="shared" si="13"/>
        <v>0</v>
      </c>
      <c r="K87" s="176"/>
      <c r="L87" s="176"/>
      <c r="M87" s="178"/>
      <c r="N87" s="129"/>
      <c r="O87" s="177">
        <f t="shared" si="22"/>
        <v>12.686561999999999</v>
      </c>
      <c r="P87" s="136">
        <f t="shared" si="29"/>
        <v>0</v>
      </c>
      <c r="Q87" s="136"/>
      <c r="R87" s="136"/>
      <c r="S87" s="177">
        <f t="shared" si="33"/>
        <v>10.125460161315955</v>
      </c>
      <c r="T87" s="176">
        <f t="shared" si="24"/>
        <v>0</v>
      </c>
      <c r="V87" s="177">
        <f t="shared" si="30"/>
        <v>94.815460161315954</v>
      </c>
      <c r="W87" s="177">
        <f t="shared" si="31"/>
        <v>12.686561999999999</v>
      </c>
      <c r="X87" s="177">
        <f t="shared" si="32"/>
        <v>107.50202216131595</v>
      </c>
    </row>
    <row r="88" spans="1:24" x14ac:dyDescent="0.2">
      <c r="A88" s="178" t="s">
        <v>391</v>
      </c>
      <c r="B88" s="128">
        <v>97.27</v>
      </c>
      <c r="C88" s="129">
        <v>98.726217151421096</v>
      </c>
      <c r="E88" s="181"/>
      <c r="F88" s="132">
        <v>287.94</v>
      </c>
      <c r="G88" s="175">
        <v>90</v>
      </c>
      <c r="H88" s="133">
        <v>98.73</v>
      </c>
      <c r="I88" s="132">
        <f t="shared" si="12"/>
        <v>8.730000000000004</v>
      </c>
      <c r="J88" s="176">
        <f t="shared" si="13"/>
        <v>1.0000383165555011</v>
      </c>
      <c r="K88" s="176"/>
      <c r="L88" s="176">
        <f t="shared" ref="L88:L101" si="34">+J88*C88</f>
        <v>98.72999999999999</v>
      </c>
      <c r="M88" s="178">
        <v>840</v>
      </c>
      <c r="N88" s="129">
        <v>1</v>
      </c>
      <c r="O88" s="177">
        <f t="shared" si="22"/>
        <v>14.789187329282878</v>
      </c>
      <c r="P88" s="136">
        <f t="shared" si="29"/>
        <v>14.789753999999997</v>
      </c>
      <c r="Q88" s="136"/>
      <c r="R88" s="136"/>
      <c r="S88" s="177">
        <f t="shared" si="33"/>
        <v>11.731567635179863</v>
      </c>
      <c r="T88" s="176">
        <f t="shared" si="24"/>
        <v>11.732017148442271</v>
      </c>
      <c r="V88" s="177">
        <f t="shared" si="30"/>
        <v>110.45778478660095</v>
      </c>
      <c r="W88" s="177">
        <f t="shared" si="31"/>
        <v>14.789187329282878</v>
      </c>
      <c r="X88" s="177">
        <f t="shared" si="32"/>
        <v>125.24697211588384</v>
      </c>
    </row>
    <row r="89" spans="1:24" x14ac:dyDescent="0.2">
      <c r="A89" s="134" t="s">
        <v>392</v>
      </c>
      <c r="B89" s="128">
        <v>24</v>
      </c>
      <c r="C89" s="129">
        <v>24</v>
      </c>
      <c r="E89" s="181"/>
      <c r="F89" s="132">
        <v>1392</v>
      </c>
      <c r="G89" s="175">
        <f>24+720</f>
        <v>744</v>
      </c>
      <c r="H89" s="133">
        <v>888</v>
      </c>
      <c r="I89" s="132">
        <f t="shared" si="12"/>
        <v>144</v>
      </c>
      <c r="J89" s="176">
        <f t="shared" si="13"/>
        <v>37</v>
      </c>
      <c r="K89" s="176"/>
      <c r="L89" s="176">
        <f t="shared" si="34"/>
        <v>888</v>
      </c>
      <c r="O89" s="177">
        <f t="shared" si="22"/>
        <v>3.5951999999999997</v>
      </c>
      <c r="P89" s="136">
        <f t="shared" si="29"/>
        <v>133.02239999999998</v>
      </c>
      <c r="Q89" s="136"/>
      <c r="R89" s="136"/>
      <c r="S89" s="177"/>
      <c r="T89" s="176">
        <f t="shared" si="24"/>
        <v>0</v>
      </c>
      <c r="V89" s="177">
        <f>C89+S89</f>
        <v>24</v>
      </c>
      <c r="W89" s="177">
        <f>O89</f>
        <v>3.5951999999999997</v>
      </c>
      <c r="X89" s="177">
        <f>SUM(V89:W89)</f>
        <v>27.595199999999998</v>
      </c>
    </row>
    <row r="90" spans="1:24" x14ac:dyDescent="0.2">
      <c r="A90" s="134" t="s">
        <v>393</v>
      </c>
      <c r="B90" s="128">
        <v>10.23</v>
      </c>
      <c r="C90" s="129">
        <v>10.23</v>
      </c>
      <c r="E90" s="181"/>
      <c r="F90" s="132">
        <v>20</v>
      </c>
      <c r="G90" s="175">
        <v>10</v>
      </c>
      <c r="H90" s="133">
        <v>10</v>
      </c>
      <c r="I90" s="132">
        <f t="shared" si="12"/>
        <v>0</v>
      </c>
      <c r="J90" s="176">
        <f t="shared" si="13"/>
        <v>0.97751710654936452</v>
      </c>
      <c r="K90" s="176"/>
      <c r="L90" s="176">
        <f t="shared" si="34"/>
        <v>10</v>
      </c>
      <c r="O90" s="177"/>
      <c r="P90" s="136"/>
      <c r="Q90" s="136"/>
      <c r="R90" s="136"/>
      <c r="S90" s="177"/>
      <c r="T90" s="176">
        <f t="shared" si="24"/>
        <v>0</v>
      </c>
      <c r="V90" s="177">
        <f>C90+S90</f>
        <v>10.23</v>
      </c>
      <c r="W90" s="177">
        <f>O90</f>
        <v>0</v>
      </c>
      <c r="X90" s="177">
        <f>SUM(V90:W90)</f>
        <v>10.23</v>
      </c>
    </row>
    <row r="91" spans="1:24" x14ac:dyDescent="0.2">
      <c r="A91" s="134" t="s">
        <v>394</v>
      </c>
      <c r="B91" s="128">
        <v>20</v>
      </c>
      <c r="C91" s="129">
        <v>20</v>
      </c>
      <c r="E91" s="131">
        <v>135</v>
      </c>
      <c r="F91" s="132">
        <v>60</v>
      </c>
      <c r="G91" s="175">
        <v>60</v>
      </c>
      <c r="I91" s="132">
        <f t="shared" si="12"/>
        <v>-60</v>
      </c>
      <c r="J91" s="176">
        <f t="shared" si="13"/>
        <v>0</v>
      </c>
      <c r="K91" s="176"/>
      <c r="L91" s="176">
        <f t="shared" si="34"/>
        <v>0</v>
      </c>
      <c r="O91" s="177">
        <f t="shared" si="22"/>
        <v>2.9959999999999996</v>
      </c>
      <c r="P91" s="136">
        <f>J91*O91</f>
        <v>0</v>
      </c>
      <c r="Q91" s="136"/>
      <c r="R91" s="136"/>
      <c r="S91" s="177"/>
      <c r="T91" s="176">
        <f t="shared" si="24"/>
        <v>0</v>
      </c>
      <c r="V91" s="177">
        <f>C91+S91</f>
        <v>20</v>
      </c>
      <c r="W91" s="177">
        <f>O91</f>
        <v>2.9959999999999996</v>
      </c>
      <c r="X91" s="177">
        <f>SUM(V91:W91)</f>
        <v>22.995999999999999</v>
      </c>
    </row>
    <row r="92" spans="1:24" x14ac:dyDescent="0.2">
      <c r="A92" s="134" t="s">
        <v>341</v>
      </c>
      <c r="B92" s="128">
        <v>12</v>
      </c>
      <c r="C92" s="129">
        <v>12</v>
      </c>
      <c r="E92" s="131">
        <v>60</v>
      </c>
      <c r="F92" s="132">
        <v>156</v>
      </c>
      <c r="G92" s="175">
        <v>288</v>
      </c>
      <c r="I92" s="132">
        <f t="shared" si="12"/>
        <v>-288</v>
      </c>
      <c r="J92" s="176">
        <f t="shared" si="13"/>
        <v>0</v>
      </c>
      <c r="K92" s="176"/>
      <c r="L92" s="176">
        <f t="shared" si="34"/>
        <v>0</v>
      </c>
      <c r="O92" s="177">
        <f t="shared" si="22"/>
        <v>1.7975999999999999</v>
      </c>
      <c r="P92" s="136">
        <f>J92*O92</f>
        <v>0</v>
      </c>
      <c r="Q92" s="136"/>
      <c r="R92" s="136"/>
      <c r="S92" s="177"/>
      <c r="T92" s="176">
        <f t="shared" si="24"/>
        <v>0</v>
      </c>
      <c r="V92" s="177">
        <f>C92+S92</f>
        <v>12</v>
      </c>
      <c r="W92" s="177">
        <f>O92</f>
        <v>1.7975999999999999</v>
      </c>
      <c r="X92" s="177">
        <f>SUM(V92:W92)</f>
        <v>13.797599999999999</v>
      </c>
    </row>
    <row r="93" spans="1:24" x14ac:dyDescent="0.2">
      <c r="A93" s="134" t="s">
        <v>395</v>
      </c>
      <c r="B93" s="128">
        <v>1.96</v>
      </c>
      <c r="C93" s="129">
        <v>2.0189421227956159</v>
      </c>
      <c r="E93" s="131">
        <v>24.57</v>
      </c>
      <c r="F93" s="132">
        <v>0</v>
      </c>
      <c r="G93" s="175"/>
      <c r="I93" s="132">
        <f t="shared" si="12"/>
        <v>0</v>
      </c>
      <c r="J93" s="176">
        <f t="shared" si="13"/>
        <v>0</v>
      </c>
      <c r="K93" s="176"/>
      <c r="L93" s="176">
        <f t="shared" si="34"/>
        <v>0</v>
      </c>
      <c r="M93" s="134">
        <v>34</v>
      </c>
      <c r="N93" s="129">
        <v>1</v>
      </c>
      <c r="O93" s="177">
        <f t="shared" si="22"/>
        <v>0.30243752999478324</v>
      </c>
      <c r="P93" s="136">
        <f>J93*O93</f>
        <v>0</v>
      </c>
      <c r="Q93" s="136"/>
      <c r="R93" s="136"/>
      <c r="S93" s="177">
        <v>0.47</v>
      </c>
      <c r="T93" s="176">
        <f t="shared" si="24"/>
        <v>0</v>
      </c>
      <c r="V93" s="177">
        <f t="shared" ref="V93:V109" si="35">C93+S93</f>
        <v>2.4889421227956161</v>
      </c>
      <c r="W93" s="177">
        <f t="shared" ref="W93:W109" si="36">O93</f>
        <v>0.30243752999478324</v>
      </c>
      <c r="X93" s="177">
        <f t="shared" ref="X93:X109" si="37">SUM(V93:W93)</f>
        <v>2.7913796527903996</v>
      </c>
    </row>
    <row r="94" spans="1:24" x14ac:dyDescent="0.2">
      <c r="A94" s="134" t="s">
        <v>396</v>
      </c>
      <c r="B94" s="128">
        <v>4.53</v>
      </c>
      <c r="C94" s="129">
        <v>4.6114788168057048</v>
      </c>
      <c r="E94" s="131">
        <v>8542.2000000000007</v>
      </c>
      <c r="F94" s="132">
        <v>25368.48</v>
      </c>
      <c r="G94" s="175">
        <v>25805.27</v>
      </c>
      <c r="H94" s="183">
        <v>34265</v>
      </c>
      <c r="I94" s="132">
        <f t="shared" si="12"/>
        <v>8459.73</v>
      </c>
      <c r="J94" s="176">
        <f t="shared" si="13"/>
        <v>7430.3713323212878</v>
      </c>
      <c r="K94" s="176">
        <f>J94/12</f>
        <v>619.19761102677398</v>
      </c>
      <c r="L94" s="176">
        <f t="shared" si="34"/>
        <v>34265</v>
      </c>
      <c r="M94" s="134">
        <v>47</v>
      </c>
      <c r="N94" s="129">
        <v>1</v>
      </c>
      <c r="O94" s="177">
        <f t="shared" si="22"/>
        <v>0.69079952675749456</v>
      </c>
      <c r="P94" s="136">
        <f>J94*O94</f>
        <v>5132.8969999999999</v>
      </c>
      <c r="Q94" s="136"/>
      <c r="R94" s="136"/>
      <c r="S94" s="177">
        <v>0.66</v>
      </c>
      <c r="T94" s="176">
        <f t="shared" si="24"/>
        <v>4904.0450793320506</v>
      </c>
      <c r="V94" s="177">
        <f t="shared" si="35"/>
        <v>5.271478816805705</v>
      </c>
      <c r="W94" s="177">
        <f t="shared" si="36"/>
        <v>0.69079952675749456</v>
      </c>
      <c r="X94" s="177">
        <f t="shared" si="37"/>
        <v>5.9622783435631996</v>
      </c>
    </row>
    <row r="95" spans="1:24" x14ac:dyDescent="0.2">
      <c r="A95" s="134" t="s">
        <v>397</v>
      </c>
      <c r="B95" s="128">
        <v>6.85</v>
      </c>
      <c r="C95" s="129">
        <v>6.9661506537443012</v>
      </c>
      <c r="E95" s="131">
        <v>25.92</v>
      </c>
      <c r="G95" s="175"/>
      <c r="I95" s="132">
        <f t="shared" si="12"/>
        <v>0</v>
      </c>
      <c r="J95" s="176">
        <f t="shared" si="13"/>
        <v>0</v>
      </c>
      <c r="K95" s="176"/>
      <c r="L95" s="176">
        <f t="shared" si="34"/>
        <v>0</v>
      </c>
      <c r="M95" s="134">
        <v>67</v>
      </c>
      <c r="N95" s="130">
        <v>1</v>
      </c>
      <c r="O95" s="177">
        <f t="shared" si="22"/>
        <v>1.0435293679308963</v>
      </c>
      <c r="P95" s="136">
        <f>J95*O95</f>
        <v>0</v>
      </c>
      <c r="Q95" s="136"/>
      <c r="R95" s="136"/>
      <c r="S95" s="177">
        <v>0.94</v>
      </c>
      <c r="T95" s="176">
        <f t="shared" si="24"/>
        <v>0</v>
      </c>
      <c r="V95" s="177">
        <f t="shared" si="35"/>
        <v>7.9061506537443016</v>
      </c>
      <c r="W95" s="177">
        <f t="shared" si="36"/>
        <v>1.0435293679308963</v>
      </c>
      <c r="X95" s="177">
        <f t="shared" si="37"/>
        <v>8.9496800216751975</v>
      </c>
    </row>
    <row r="96" spans="1:24" x14ac:dyDescent="0.2">
      <c r="A96" s="134" t="s">
        <v>342</v>
      </c>
      <c r="B96" s="128">
        <v>1</v>
      </c>
      <c r="C96" s="129">
        <v>1</v>
      </c>
      <c r="E96" s="181"/>
      <c r="F96" s="132">
        <v>-22.26</v>
      </c>
      <c r="G96" s="175">
        <f>-544.68+716.95+273.25</f>
        <v>445.5200000000001</v>
      </c>
      <c r="H96" s="183">
        <v>-47</v>
      </c>
      <c r="I96" s="132">
        <f t="shared" si="12"/>
        <v>-492.5200000000001</v>
      </c>
      <c r="J96" s="176">
        <f t="shared" si="13"/>
        <v>-47</v>
      </c>
      <c r="K96" s="176"/>
      <c r="L96" s="176">
        <f t="shared" si="34"/>
        <v>-47</v>
      </c>
      <c r="O96" s="177"/>
      <c r="P96" s="136"/>
      <c r="Q96" s="136"/>
      <c r="R96" s="136"/>
      <c r="S96" s="177"/>
      <c r="T96" s="176">
        <f t="shared" si="24"/>
        <v>0</v>
      </c>
      <c r="V96" s="177">
        <f t="shared" si="35"/>
        <v>1</v>
      </c>
      <c r="W96" s="177">
        <f t="shared" si="36"/>
        <v>0</v>
      </c>
      <c r="X96" s="177">
        <f t="shared" si="37"/>
        <v>1</v>
      </c>
    </row>
    <row r="97" spans="1:24" x14ac:dyDescent="0.2">
      <c r="A97" s="134" t="s">
        <v>398</v>
      </c>
      <c r="B97" s="128">
        <v>0.45</v>
      </c>
      <c r="C97" s="129">
        <v>0.45</v>
      </c>
      <c r="E97" s="181"/>
      <c r="F97" s="132">
        <v>270.33999999999997</v>
      </c>
      <c r="G97" s="175"/>
      <c r="I97" s="132">
        <f t="shared" si="12"/>
        <v>0</v>
      </c>
      <c r="J97" s="176">
        <f t="shared" si="13"/>
        <v>0</v>
      </c>
      <c r="K97" s="176"/>
      <c r="L97" s="176">
        <f t="shared" si="34"/>
        <v>0</v>
      </c>
      <c r="O97" s="177">
        <f t="shared" si="22"/>
        <v>6.7409999999999998E-2</v>
      </c>
      <c r="P97" s="136">
        <f t="shared" ref="P97:P109" si="38">J97*O97</f>
        <v>0</v>
      </c>
      <c r="Q97" s="136"/>
      <c r="R97" s="136"/>
      <c r="S97" s="177">
        <f>S82</f>
        <v>2.44</v>
      </c>
      <c r="T97" s="176">
        <f t="shared" si="24"/>
        <v>0</v>
      </c>
      <c r="V97" s="177">
        <f t="shared" si="35"/>
        <v>2.89</v>
      </c>
      <c r="W97" s="177">
        <f t="shared" si="36"/>
        <v>6.7409999999999998E-2</v>
      </c>
      <c r="X97" s="177">
        <f t="shared" si="37"/>
        <v>2.9574100000000003</v>
      </c>
    </row>
    <row r="98" spans="1:24" x14ac:dyDescent="0.2">
      <c r="A98" s="134" t="s">
        <v>399</v>
      </c>
      <c r="B98" s="128">
        <v>0.45</v>
      </c>
      <c r="C98" s="129">
        <v>0.45</v>
      </c>
      <c r="E98" s="181"/>
      <c r="F98" s="132">
        <v>30.15</v>
      </c>
      <c r="G98" s="175"/>
      <c r="I98" s="132">
        <f t="shared" si="12"/>
        <v>0</v>
      </c>
      <c r="J98" s="176">
        <f t="shared" si="13"/>
        <v>0</v>
      </c>
      <c r="K98" s="176"/>
      <c r="L98" s="176">
        <f t="shared" si="34"/>
        <v>0</v>
      </c>
      <c r="O98" s="177">
        <f t="shared" si="22"/>
        <v>6.7409999999999998E-2</v>
      </c>
      <c r="P98" s="136">
        <f t="shared" si="38"/>
        <v>0</v>
      </c>
      <c r="Q98" s="136"/>
      <c r="R98" s="136"/>
      <c r="S98" s="177">
        <f t="shared" ref="S98:S103" si="39">S83</f>
        <v>3.4915379866606733</v>
      </c>
      <c r="T98" s="176">
        <f t="shared" si="24"/>
        <v>0</v>
      </c>
      <c r="V98" s="177">
        <f t="shared" si="35"/>
        <v>3.9415379866606735</v>
      </c>
      <c r="W98" s="177">
        <f t="shared" si="36"/>
        <v>6.7409999999999998E-2</v>
      </c>
      <c r="X98" s="177">
        <f t="shared" si="37"/>
        <v>4.0089479866606732</v>
      </c>
    </row>
    <row r="99" spans="1:24" x14ac:dyDescent="0.2">
      <c r="A99" s="134" t="s">
        <v>400</v>
      </c>
      <c r="B99" s="128">
        <v>0.5</v>
      </c>
      <c r="C99" s="129">
        <v>0.5</v>
      </c>
      <c r="E99" s="181"/>
      <c r="F99" s="132">
        <v>586.46</v>
      </c>
      <c r="G99" s="175"/>
      <c r="I99" s="132">
        <f t="shared" si="12"/>
        <v>0</v>
      </c>
      <c r="J99" s="176">
        <f t="shared" si="13"/>
        <v>0</v>
      </c>
      <c r="K99" s="176"/>
      <c r="L99" s="176">
        <f t="shared" si="34"/>
        <v>0</v>
      </c>
      <c r="O99" s="177">
        <f t="shared" si="22"/>
        <v>7.4899999999999994E-2</v>
      </c>
      <c r="P99" s="136">
        <f t="shared" si="38"/>
        <v>0</v>
      </c>
      <c r="Q99" s="136"/>
      <c r="R99" s="136"/>
      <c r="S99" s="177">
        <f t="shared" si="39"/>
        <v>4.525033230712233</v>
      </c>
      <c r="T99" s="176">
        <f t="shared" si="24"/>
        <v>0</v>
      </c>
      <c r="V99" s="177">
        <f t="shared" si="35"/>
        <v>5.025033230712233</v>
      </c>
      <c r="W99" s="177">
        <f t="shared" si="36"/>
        <v>7.4899999999999994E-2</v>
      </c>
      <c r="X99" s="177">
        <f t="shared" si="37"/>
        <v>5.0999332307122334</v>
      </c>
    </row>
    <row r="100" spans="1:24" x14ac:dyDescent="0.2">
      <c r="A100" s="134" t="s">
        <v>401</v>
      </c>
      <c r="B100" s="128">
        <v>0.5</v>
      </c>
      <c r="C100" s="129">
        <v>0.5</v>
      </c>
      <c r="E100" s="181"/>
      <c r="F100" s="132">
        <v>709.77</v>
      </c>
      <c r="G100" s="175"/>
      <c r="I100" s="132">
        <f t="shared" si="12"/>
        <v>0</v>
      </c>
      <c r="J100" s="176">
        <f t="shared" si="13"/>
        <v>0</v>
      </c>
      <c r="K100" s="176"/>
      <c r="L100" s="176">
        <f t="shared" si="34"/>
        <v>0</v>
      </c>
      <c r="O100" s="177">
        <f t="shared" si="22"/>
        <v>7.4899999999999994E-2</v>
      </c>
      <c r="P100" s="136">
        <f t="shared" si="38"/>
        <v>0</v>
      </c>
      <c r="Q100" s="136"/>
      <c r="R100" s="136"/>
      <c r="S100" s="177">
        <f t="shared" si="39"/>
        <v>6.6059898707619924</v>
      </c>
      <c r="T100" s="176">
        <f t="shared" si="24"/>
        <v>0</v>
      </c>
      <c r="V100" s="177">
        <f t="shared" si="35"/>
        <v>7.1059898707619924</v>
      </c>
      <c r="W100" s="177">
        <f t="shared" si="36"/>
        <v>7.4899999999999994E-2</v>
      </c>
      <c r="X100" s="177">
        <f t="shared" si="37"/>
        <v>7.1808898707619928</v>
      </c>
    </row>
    <row r="101" spans="1:24" x14ac:dyDescent="0.2">
      <c r="A101" s="134" t="s">
        <v>402</v>
      </c>
      <c r="B101" s="128">
        <v>0.55000000000000004</v>
      </c>
      <c r="C101" s="129">
        <v>0.55000000000000004</v>
      </c>
      <c r="E101" s="181"/>
      <c r="F101" s="132">
        <v>149.79</v>
      </c>
      <c r="G101" s="175"/>
      <c r="I101" s="132">
        <f t="shared" si="12"/>
        <v>0</v>
      </c>
      <c r="J101" s="176">
        <f t="shared" si="13"/>
        <v>0</v>
      </c>
      <c r="K101" s="176"/>
      <c r="L101" s="176">
        <f t="shared" si="34"/>
        <v>0</v>
      </c>
      <c r="O101" s="177">
        <f t="shared" si="22"/>
        <v>8.2390000000000005E-2</v>
      </c>
      <c r="P101" s="136">
        <f t="shared" si="38"/>
        <v>0</v>
      </c>
      <c r="Q101" s="136"/>
      <c r="R101" s="136"/>
      <c r="S101" s="177">
        <f t="shared" si="39"/>
        <v>8.5612511432919707</v>
      </c>
      <c r="T101" s="176">
        <f t="shared" si="24"/>
        <v>0</v>
      </c>
      <c r="V101" s="177">
        <f t="shared" si="35"/>
        <v>9.1112511432919714</v>
      </c>
      <c r="W101" s="177">
        <f t="shared" si="36"/>
        <v>8.2390000000000005E-2</v>
      </c>
      <c r="X101" s="177">
        <f t="shared" si="37"/>
        <v>9.1936411432919716</v>
      </c>
    </row>
    <row r="102" spans="1:24" x14ac:dyDescent="0.2">
      <c r="A102" s="178" t="s">
        <v>403</v>
      </c>
      <c r="B102" s="128">
        <v>0.55000000000000004</v>
      </c>
      <c r="C102" s="129">
        <v>0.55000000000000004</v>
      </c>
      <c r="E102" s="181"/>
      <c r="G102" s="175"/>
      <c r="I102" s="132">
        <f t="shared" si="12"/>
        <v>0</v>
      </c>
      <c r="J102" s="176">
        <f t="shared" si="13"/>
        <v>0</v>
      </c>
      <c r="K102" s="176"/>
      <c r="L102" s="176"/>
      <c r="O102" s="177">
        <f t="shared" si="22"/>
        <v>8.2390000000000005E-2</v>
      </c>
      <c r="P102" s="136">
        <f t="shared" si="38"/>
        <v>0</v>
      </c>
      <c r="Q102" s="136"/>
      <c r="R102" s="136"/>
      <c r="S102" s="177">
        <f t="shared" si="39"/>
        <v>10.125460161315955</v>
      </c>
      <c r="T102" s="176">
        <f t="shared" si="24"/>
        <v>0</v>
      </c>
      <c r="V102" s="177">
        <f t="shared" si="35"/>
        <v>10.675460161315955</v>
      </c>
      <c r="W102" s="177">
        <f t="shared" si="36"/>
        <v>8.2390000000000005E-2</v>
      </c>
      <c r="X102" s="177">
        <f t="shared" si="37"/>
        <v>10.757850161315956</v>
      </c>
    </row>
    <row r="103" spans="1:24" x14ac:dyDescent="0.2">
      <c r="A103" s="134" t="s">
        <v>404</v>
      </c>
      <c r="B103" s="128">
        <v>0.6</v>
      </c>
      <c r="C103" s="129">
        <v>0.6</v>
      </c>
      <c r="E103" s="181"/>
      <c r="F103" s="132">
        <v>1233.25</v>
      </c>
      <c r="G103" s="175"/>
      <c r="I103" s="132">
        <f t="shared" si="12"/>
        <v>0</v>
      </c>
      <c r="J103" s="176">
        <f t="shared" si="13"/>
        <v>0</v>
      </c>
      <c r="K103" s="176"/>
      <c r="L103" s="176">
        <f t="shared" ref="L103:L109" si="40">+J103*C103</f>
        <v>0</v>
      </c>
      <c r="O103" s="177">
        <f t="shared" si="22"/>
        <v>8.9879999999999988E-2</v>
      </c>
      <c r="P103" s="136">
        <f t="shared" si="38"/>
        <v>0</v>
      </c>
      <c r="Q103" s="136"/>
      <c r="R103" s="136"/>
      <c r="S103" s="177">
        <f t="shared" si="39"/>
        <v>11.731567635179863</v>
      </c>
      <c r="T103" s="176">
        <f t="shared" si="24"/>
        <v>0</v>
      </c>
      <c r="V103" s="177">
        <f t="shared" si="35"/>
        <v>12.331567635179862</v>
      </c>
      <c r="W103" s="177">
        <f t="shared" si="36"/>
        <v>8.9879999999999988E-2</v>
      </c>
      <c r="X103" s="177">
        <f t="shared" si="37"/>
        <v>12.421447635179863</v>
      </c>
    </row>
    <row r="104" spans="1:24" x14ac:dyDescent="0.2">
      <c r="A104" s="134" t="s">
        <v>318</v>
      </c>
      <c r="B104" s="128">
        <v>20.36</v>
      </c>
      <c r="C104" s="129">
        <v>20.703074872824718</v>
      </c>
      <c r="D104" s="130">
        <v>4.78</v>
      </c>
      <c r="E104" s="131">
        <v>2629.44</v>
      </c>
      <c r="F104" s="132">
        <v>7741.31</v>
      </c>
      <c r="G104" s="175">
        <f>7445.82+6.92</f>
        <v>7452.74</v>
      </c>
      <c r="H104" s="183">
        <v>9859</v>
      </c>
      <c r="I104" s="132">
        <f t="shared" si="12"/>
        <v>2406.2600000000002</v>
      </c>
      <c r="J104" s="176">
        <f t="shared" si="13"/>
        <v>476.20945490281377</v>
      </c>
      <c r="K104" s="176">
        <f>J104/12</f>
        <v>39.684121241901146</v>
      </c>
      <c r="L104" s="176">
        <f t="shared" si="40"/>
        <v>9859</v>
      </c>
      <c r="M104" s="134">
        <v>47</v>
      </c>
      <c r="N104" s="130">
        <f>13/3</f>
        <v>4.333333333333333</v>
      </c>
      <c r="O104" s="177">
        <f t="shared" si="22"/>
        <v>3.1013206159491427</v>
      </c>
      <c r="P104" s="136">
        <f t="shared" si="38"/>
        <v>1476.8781999999999</v>
      </c>
      <c r="Q104" s="136"/>
      <c r="R104" s="136"/>
      <c r="S104" s="177">
        <f>S8</f>
        <v>2.84</v>
      </c>
      <c r="T104" s="176">
        <f t="shared" si="24"/>
        <v>1352.4348519239911</v>
      </c>
      <c r="V104" s="177">
        <f t="shared" si="35"/>
        <v>23.543074872824718</v>
      </c>
      <c r="W104" s="177">
        <f t="shared" si="36"/>
        <v>3.1013206159491427</v>
      </c>
      <c r="X104" s="177">
        <f t="shared" si="37"/>
        <v>26.64439548877386</v>
      </c>
    </row>
    <row r="105" spans="1:24" x14ac:dyDescent="0.2">
      <c r="A105" s="134" t="s">
        <v>320</v>
      </c>
      <c r="B105" s="128">
        <v>14.23</v>
      </c>
      <c r="C105" s="129">
        <v>14.58</v>
      </c>
      <c r="E105" s="131">
        <v>1133.19</v>
      </c>
      <c r="F105" s="132">
        <v>2778.8</v>
      </c>
      <c r="G105" s="175">
        <v>2777.49</v>
      </c>
      <c r="H105" s="183"/>
      <c r="I105" s="132">
        <f t="shared" si="12"/>
        <v>-2777.49</v>
      </c>
      <c r="J105" s="176">
        <f t="shared" si="13"/>
        <v>0</v>
      </c>
      <c r="K105" s="176"/>
      <c r="L105" s="176">
        <f t="shared" si="40"/>
        <v>0</v>
      </c>
      <c r="M105" s="134">
        <v>47</v>
      </c>
      <c r="N105" s="130">
        <f>+N104/2</f>
        <v>2.1666666666666665</v>
      </c>
      <c r="O105" s="177">
        <f t="shared" si="22"/>
        <v>2.1840839999999999</v>
      </c>
      <c r="P105" s="136">
        <f t="shared" si="38"/>
        <v>0</v>
      </c>
      <c r="Q105" s="136"/>
      <c r="R105" s="136"/>
      <c r="S105" s="177">
        <f>S104/2</f>
        <v>1.42</v>
      </c>
      <c r="T105" s="176">
        <f t="shared" si="24"/>
        <v>0</v>
      </c>
      <c r="V105" s="177">
        <f t="shared" si="35"/>
        <v>16</v>
      </c>
      <c r="W105" s="177">
        <f t="shared" si="36"/>
        <v>2.1840839999999999</v>
      </c>
      <c r="X105" s="177">
        <f t="shared" si="37"/>
        <v>18.184083999999999</v>
      </c>
    </row>
    <row r="106" spans="1:24" x14ac:dyDescent="0.2">
      <c r="A106" s="134" t="s">
        <v>325</v>
      </c>
      <c r="B106" s="128">
        <v>28.71</v>
      </c>
      <c r="C106" s="129">
        <v>29.23</v>
      </c>
      <c r="D106" s="130">
        <v>6.75</v>
      </c>
      <c r="E106" s="131">
        <v>3792.31</v>
      </c>
      <c r="F106" s="132">
        <v>10876.49</v>
      </c>
      <c r="G106" s="175">
        <v>9916.2800000000007</v>
      </c>
      <c r="H106" s="183">
        <v>13459</v>
      </c>
      <c r="I106" s="132">
        <f t="shared" si="12"/>
        <v>3542.7199999999993</v>
      </c>
      <c r="J106" s="176">
        <f t="shared" si="13"/>
        <v>460.45159083133768</v>
      </c>
      <c r="K106" s="176">
        <f>J106/12</f>
        <v>38.370965902611474</v>
      </c>
      <c r="L106" s="176">
        <f t="shared" si="40"/>
        <v>13459</v>
      </c>
      <c r="M106" s="134">
        <v>67</v>
      </c>
      <c r="N106" s="130">
        <f>13/3</f>
        <v>4.333333333333333</v>
      </c>
      <c r="O106" s="177">
        <f t="shared" si="22"/>
        <v>4.378654</v>
      </c>
      <c r="P106" s="136">
        <f t="shared" si="38"/>
        <v>2016.1582000000001</v>
      </c>
      <c r="Q106" s="136"/>
      <c r="R106" s="136"/>
      <c r="S106" s="177">
        <v>4.05</v>
      </c>
      <c r="T106" s="176">
        <f t="shared" si="24"/>
        <v>1864.8289428669175</v>
      </c>
      <c r="V106" s="177">
        <f t="shared" si="35"/>
        <v>33.28</v>
      </c>
      <c r="W106" s="177">
        <f t="shared" si="36"/>
        <v>4.378654</v>
      </c>
      <c r="X106" s="177">
        <f t="shared" si="37"/>
        <v>37.658653999999999</v>
      </c>
    </row>
    <row r="107" spans="1:24" x14ac:dyDescent="0.2">
      <c r="A107" s="134" t="s">
        <v>327</v>
      </c>
      <c r="B107" s="128">
        <v>20.91</v>
      </c>
      <c r="C107" s="129">
        <v>21.41</v>
      </c>
      <c r="E107" s="131">
        <v>987.84</v>
      </c>
      <c r="F107" s="132">
        <v>2865.56</v>
      </c>
      <c r="G107" s="175">
        <v>2794</v>
      </c>
      <c r="H107" s="183">
        <v>3822</v>
      </c>
      <c r="I107" s="132">
        <f t="shared" si="12"/>
        <v>1028</v>
      </c>
      <c r="J107" s="176">
        <f t="shared" si="13"/>
        <v>178.51471275105092</v>
      </c>
      <c r="K107" s="176">
        <f>J107/12</f>
        <v>14.876226062587577</v>
      </c>
      <c r="L107" s="176">
        <f t="shared" si="40"/>
        <v>3822.0000000000005</v>
      </c>
      <c r="M107" s="178">
        <v>67</v>
      </c>
      <c r="N107" s="130">
        <f>+N106/2</f>
        <v>2.1666666666666665</v>
      </c>
      <c r="O107" s="177">
        <f t="shared" si="22"/>
        <v>3.2072179999999997</v>
      </c>
      <c r="P107" s="136">
        <f t="shared" si="38"/>
        <v>572.53559999999993</v>
      </c>
      <c r="Q107" s="136"/>
      <c r="R107" s="136"/>
      <c r="S107" s="177">
        <v>2.0299999999999998</v>
      </c>
      <c r="T107" s="176">
        <f t="shared" si="24"/>
        <v>362.38486688463331</v>
      </c>
      <c r="V107" s="177">
        <f t="shared" si="35"/>
        <v>23.44</v>
      </c>
      <c r="W107" s="177">
        <f t="shared" si="36"/>
        <v>3.2072179999999997</v>
      </c>
      <c r="X107" s="177">
        <f t="shared" si="37"/>
        <v>26.647218000000002</v>
      </c>
    </row>
    <row r="108" spans="1:24" x14ac:dyDescent="0.2">
      <c r="A108" s="134" t="s">
        <v>405</v>
      </c>
      <c r="B108" s="128">
        <v>1.85</v>
      </c>
      <c r="C108" s="129">
        <v>1.85</v>
      </c>
      <c r="E108" s="181"/>
      <c r="F108" s="132">
        <v>37</v>
      </c>
      <c r="G108" s="175"/>
      <c r="I108" s="132">
        <f>+H108-G108</f>
        <v>0</v>
      </c>
      <c r="J108" s="176">
        <f t="shared" ref="J108:J109" si="41">+H108/C108</f>
        <v>0</v>
      </c>
      <c r="K108" s="176"/>
      <c r="L108" s="176">
        <f t="shared" si="40"/>
        <v>0</v>
      </c>
      <c r="O108" s="177">
        <f>C108*$O$7</f>
        <v>0.27712999999999999</v>
      </c>
      <c r="P108" s="136">
        <f t="shared" si="38"/>
        <v>0</v>
      </c>
      <c r="Q108" s="136"/>
      <c r="R108" s="136"/>
      <c r="S108" s="177"/>
      <c r="T108" s="176">
        <f>+S108*J108</f>
        <v>0</v>
      </c>
      <c r="V108" s="177">
        <f t="shared" si="35"/>
        <v>1.85</v>
      </c>
      <c r="W108" s="177">
        <f t="shared" si="36"/>
        <v>0.27712999999999999</v>
      </c>
      <c r="X108" s="177">
        <f t="shared" si="37"/>
        <v>2.1271300000000002</v>
      </c>
    </row>
    <row r="109" spans="1:24" x14ac:dyDescent="0.2">
      <c r="A109" s="178" t="s">
        <v>339</v>
      </c>
      <c r="C109" s="129">
        <v>10</v>
      </c>
      <c r="H109" s="133">
        <v>10</v>
      </c>
      <c r="J109" s="176">
        <f t="shared" si="41"/>
        <v>1</v>
      </c>
      <c r="K109" s="176"/>
      <c r="L109" s="176">
        <f t="shared" si="40"/>
        <v>10</v>
      </c>
      <c r="O109" s="177">
        <f>C109*$O$7</f>
        <v>1.4979999999999998</v>
      </c>
      <c r="P109" s="136">
        <f t="shared" si="38"/>
        <v>1.4979999999999998</v>
      </c>
      <c r="Q109" s="136"/>
      <c r="R109" s="136"/>
      <c r="S109" s="177"/>
      <c r="V109" s="177">
        <f t="shared" si="35"/>
        <v>10</v>
      </c>
      <c r="W109" s="177">
        <f t="shared" si="36"/>
        <v>1.4979999999999998</v>
      </c>
      <c r="X109" s="177">
        <f t="shared" si="37"/>
        <v>11.497999999999999</v>
      </c>
    </row>
    <row r="110" spans="1:24" x14ac:dyDescent="0.2">
      <c r="J110" s="176"/>
      <c r="K110" s="176"/>
      <c r="L110" s="176"/>
    </row>
    <row r="111" spans="1:24" x14ac:dyDescent="0.2">
      <c r="A111" s="191" t="s">
        <v>406</v>
      </c>
      <c r="H111" s="192">
        <f>SUM(H44:H110)</f>
        <v>487636.76</v>
      </c>
      <c r="J111" s="176">
        <f>H111-H112</f>
        <v>423805.84</v>
      </c>
      <c r="K111" s="176">
        <f>SUM(K44:K64)+K74+K76+K80</f>
        <v>259.67328247239595</v>
      </c>
      <c r="L111" s="176"/>
      <c r="P111" s="192">
        <f>SUM(P44:P110)</f>
        <v>70827.736486445618</v>
      </c>
      <c r="Q111" s="192"/>
      <c r="R111" s="192">
        <f>SUM(R44:R110)</f>
        <v>866.3850000000001</v>
      </c>
      <c r="T111" s="196">
        <f>SUM(T44:T108)</f>
        <v>67319.141511494745</v>
      </c>
    </row>
    <row r="112" spans="1:24" x14ac:dyDescent="0.2">
      <c r="H112" s="133">
        <f>H65+H69+H94+H96+H104+H106+H107+H109+H72</f>
        <v>63830.92</v>
      </c>
      <c r="J112" s="176"/>
      <c r="K112" s="176">
        <f>K94+K104+K106+K107</f>
        <v>712.12892423387416</v>
      </c>
      <c r="L112" s="176"/>
      <c r="P112" s="135">
        <f>P41+P111</f>
        <v>162439.72408644564</v>
      </c>
    </row>
    <row r="113" spans="1:24" x14ac:dyDescent="0.2">
      <c r="J113" s="176"/>
      <c r="K113" s="176"/>
      <c r="L113" s="176"/>
      <c r="P113" s="135"/>
    </row>
    <row r="114" spans="1:24" x14ac:dyDescent="0.2">
      <c r="A114" s="127" t="s">
        <v>35</v>
      </c>
      <c r="J114" s="176"/>
      <c r="K114" s="176"/>
      <c r="L114" s="176"/>
      <c r="O114" s="134">
        <v>0.80500000000000005</v>
      </c>
      <c r="Q114" s="135"/>
    </row>
    <row r="115" spans="1:24" x14ac:dyDescent="0.2">
      <c r="A115" s="134" t="s">
        <v>407</v>
      </c>
      <c r="C115" s="129">
        <v>140</v>
      </c>
      <c r="H115" s="133">
        <v>220</v>
      </c>
      <c r="J115" s="176">
        <f t="shared" ref="J115:J146" si="42">+H115/C115</f>
        <v>1.5714285714285714</v>
      </c>
      <c r="K115" s="176"/>
      <c r="L115" s="176">
        <f t="shared" ref="L115:L146" si="43">+J115*C115</f>
        <v>220</v>
      </c>
      <c r="O115" s="177">
        <f>C115*$O$114</f>
        <v>112.7</v>
      </c>
      <c r="P115" s="136">
        <f>ROUND(J115*O115,2)</f>
        <v>177.1</v>
      </c>
      <c r="V115" s="177">
        <f t="shared" ref="V115:V145" si="44">C115+S115</f>
        <v>140</v>
      </c>
      <c r="W115" s="177">
        <f t="shared" ref="W115:W145" si="45">O115</f>
        <v>112.7</v>
      </c>
      <c r="X115" s="177">
        <f t="shared" ref="X115:X145" si="46">SUM(V115:W115)</f>
        <v>252.7</v>
      </c>
    </row>
    <row r="116" spans="1:24" x14ac:dyDescent="0.2">
      <c r="A116" s="134" t="s">
        <v>408</v>
      </c>
      <c r="C116" s="129">
        <v>65</v>
      </c>
      <c r="H116" s="133">
        <v>3230</v>
      </c>
      <c r="J116" s="176">
        <f t="shared" si="42"/>
        <v>49.692307692307693</v>
      </c>
      <c r="K116" s="176"/>
      <c r="L116" s="176">
        <f t="shared" si="43"/>
        <v>3230</v>
      </c>
      <c r="O116" s="177">
        <f t="shared" ref="O116:O145" si="47">C116*$O$114</f>
        <v>52.325000000000003</v>
      </c>
      <c r="P116" s="136">
        <f t="shared" ref="P116:P145" si="48">ROUND(J116*O116,2)</f>
        <v>2600.15</v>
      </c>
      <c r="V116" s="177">
        <f t="shared" si="44"/>
        <v>65</v>
      </c>
      <c r="W116" s="177">
        <f t="shared" si="45"/>
        <v>52.325000000000003</v>
      </c>
      <c r="X116" s="177">
        <f t="shared" si="46"/>
        <v>117.325</v>
      </c>
    </row>
    <row r="117" spans="1:24" x14ac:dyDescent="0.2">
      <c r="A117" s="134" t="s">
        <v>409</v>
      </c>
      <c r="C117" s="129">
        <v>175</v>
      </c>
      <c r="H117" s="133">
        <v>350</v>
      </c>
      <c r="J117" s="176">
        <f t="shared" si="42"/>
        <v>2</v>
      </c>
      <c r="K117" s="176"/>
      <c r="L117" s="176">
        <f t="shared" si="43"/>
        <v>350</v>
      </c>
      <c r="O117" s="177">
        <f t="shared" si="47"/>
        <v>140.875</v>
      </c>
      <c r="P117" s="136">
        <f t="shared" si="48"/>
        <v>281.75</v>
      </c>
      <c r="V117" s="177">
        <f t="shared" si="44"/>
        <v>175</v>
      </c>
      <c r="W117" s="177">
        <f t="shared" si="45"/>
        <v>140.875</v>
      </c>
      <c r="X117" s="177">
        <f t="shared" si="46"/>
        <v>315.875</v>
      </c>
    </row>
    <row r="118" spans="1:24" x14ac:dyDescent="0.2">
      <c r="A118" s="134" t="s">
        <v>410</v>
      </c>
      <c r="C118" s="129">
        <v>95</v>
      </c>
      <c r="H118" s="133">
        <v>760</v>
      </c>
      <c r="J118" s="176">
        <f t="shared" si="42"/>
        <v>8</v>
      </c>
      <c r="K118" s="176"/>
      <c r="L118" s="176">
        <f t="shared" si="43"/>
        <v>760</v>
      </c>
      <c r="O118" s="177">
        <f t="shared" si="47"/>
        <v>76.475000000000009</v>
      </c>
      <c r="P118" s="136">
        <f t="shared" si="48"/>
        <v>611.79999999999995</v>
      </c>
      <c r="V118" s="177">
        <f t="shared" si="44"/>
        <v>95</v>
      </c>
      <c r="W118" s="177">
        <f t="shared" si="45"/>
        <v>76.475000000000009</v>
      </c>
      <c r="X118" s="177">
        <f t="shared" si="46"/>
        <v>171.47500000000002</v>
      </c>
    </row>
    <row r="119" spans="1:24" x14ac:dyDescent="0.2">
      <c r="A119" s="134" t="s">
        <v>411</v>
      </c>
      <c r="C119" s="129">
        <v>210</v>
      </c>
      <c r="H119" s="133">
        <v>420</v>
      </c>
      <c r="J119" s="176">
        <f t="shared" si="42"/>
        <v>2</v>
      </c>
      <c r="K119" s="176"/>
      <c r="L119" s="176">
        <f t="shared" si="43"/>
        <v>420</v>
      </c>
      <c r="O119" s="177">
        <f t="shared" si="47"/>
        <v>169.05</v>
      </c>
      <c r="P119" s="136">
        <f t="shared" si="48"/>
        <v>338.1</v>
      </c>
      <c r="V119" s="177">
        <f t="shared" si="44"/>
        <v>210</v>
      </c>
      <c r="W119" s="177">
        <f t="shared" si="45"/>
        <v>169.05</v>
      </c>
      <c r="X119" s="177">
        <f t="shared" si="46"/>
        <v>379.05</v>
      </c>
    </row>
    <row r="120" spans="1:24" x14ac:dyDescent="0.2">
      <c r="A120" s="134" t="s">
        <v>412</v>
      </c>
      <c r="C120" s="129">
        <v>110</v>
      </c>
      <c r="H120" s="133">
        <v>1870</v>
      </c>
      <c r="J120" s="176">
        <f t="shared" si="42"/>
        <v>17</v>
      </c>
      <c r="K120" s="176"/>
      <c r="L120" s="176">
        <f t="shared" si="43"/>
        <v>1870</v>
      </c>
      <c r="O120" s="177">
        <f t="shared" si="47"/>
        <v>88.550000000000011</v>
      </c>
      <c r="P120" s="136">
        <f t="shared" si="48"/>
        <v>1505.35</v>
      </c>
      <c r="V120" s="177">
        <f t="shared" si="44"/>
        <v>110</v>
      </c>
      <c r="W120" s="177">
        <f t="shared" si="45"/>
        <v>88.550000000000011</v>
      </c>
      <c r="X120" s="177">
        <f t="shared" si="46"/>
        <v>198.55</v>
      </c>
    </row>
    <row r="121" spans="1:24" x14ac:dyDescent="0.2">
      <c r="A121" s="134" t="s">
        <v>413</v>
      </c>
      <c r="C121" s="129">
        <v>140</v>
      </c>
      <c r="H121" s="133">
        <f>18280-8240</f>
        <v>10040</v>
      </c>
      <c r="J121" s="176">
        <f t="shared" si="42"/>
        <v>71.714285714285708</v>
      </c>
      <c r="K121" s="176"/>
      <c r="L121" s="176">
        <f t="shared" si="43"/>
        <v>10040</v>
      </c>
      <c r="O121" s="177">
        <f t="shared" si="47"/>
        <v>112.7</v>
      </c>
      <c r="P121" s="136">
        <f t="shared" si="48"/>
        <v>8082.2</v>
      </c>
      <c r="V121" s="177">
        <f t="shared" si="44"/>
        <v>140</v>
      </c>
      <c r="W121" s="177">
        <f t="shared" si="45"/>
        <v>112.7</v>
      </c>
      <c r="X121" s="177">
        <f t="shared" si="46"/>
        <v>252.7</v>
      </c>
    </row>
    <row r="122" spans="1:24" x14ac:dyDescent="0.2">
      <c r="A122" s="134" t="s">
        <v>414</v>
      </c>
      <c r="C122" s="129">
        <v>80</v>
      </c>
      <c r="H122" s="133">
        <f>80*103</f>
        <v>8240</v>
      </c>
      <c r="J122" s="176">
        <f t="shared" si="42"/>
        <v>103</v>
      </c>
      <c r="K122" s="176"/>
      <c r="L122" s="176">
        <f t="shared" si="43"/>
        <v>8240</v>
      </c>
      <c r="O122" s="177">
        <f t="shared" si="47"/>
        <v>64.400000000000006</v>
      </c>
      <c r="P122" s="136">
        <f t="shared" si="48"/>
        <v>6633.2</v>
      </c>
      <c r="V122" s="177">
        <f t="shared" si="44"/>
        <v>80</v>
      </c>
      <c r="W122" s="177">
        <f t="shared" si="45"/>
        <v>64.400000000000006</v>
      </c>
      <c r="X122" s="177">
        <f t="shared" si="46"/>
        <v>144.4</v>
      </c>
    </row>
    <row r="123" spans="1:24" x14ac:dyDescent="0.2">
      <c r="A123" s="134" t="s">
        <v>415</v>
      </c>
      <c r="C123" s="129">
        <v>85</v>
      </c>
      <c r="H123" s="133">
        <v>6800</v>
      </c>
      <c r="J123" s="176">
        <f t="shared" si="42"/>
        <v>80</v>
      </c>
      <c r="K123" s="176"/>
      <c r="L123" s="176">
        <f t="shared" si="43"/>
        <v>6800</v>
      </c>
      <c r="O123" s="177">
        <f t="shared" si="47"/>
        <v>68.424999999999997</v>
      </c>
      <c r="P123" s="136">
        <f t="shared" si="48"/>
        <v>5474</v>
      </c>
      <c r="V123" s="177">
        <f t="shared" si="44"/>
        <v>85</v>
      </c>
      <c r="W123" s="177">
        <f t="shared" si="45"/>
        <v>68.424999999999997</v>
      </c>
      <c r="X123" s="177">
        <f t="shared" si="46"/>
        <v>153.42500000000001</v>
      </c>
    </row>
    <row r="124" spans="1:24" x14ac:dyDescent="0.2">
      <c r="A124" s="134" t="s">
        <v>416</v>
      </c>
      <c r="C124" s="129">
        <v>175</v>
      </c>
      <c r="H124" s="133">
        <f>1050-450</f>
        <v>600</v>
      </c>
      <c r="J124" s="176">
        <f t="shared" si="42"/>
        <v>3.4285714285714284</v>
      </c>
      <c r="K124" s="176"/>
      <c r="L124" s="176">
        <f t="shared" si="43"/>
        <v>600</v>
      </c>
      <c r="O124" s="177">
        <f t="shared" si="47"/>
        <v>140.875</v>
      </c>
      <c r="P124" s="136">
        <f t="shared" si="48"/>
        <v>483</v>
      </c>
      <c r="V124" s="177">
        <f t="shared" si="44"/>
        <v>175</v>
      </c>
      <c r="W124" s="177">
        <f t="shared" si="45"/>
        <v>140.875</v>
      </c>
      <c r="X124" s="177">
        <f t="shared" si="46"/>
        <v>315.875</v>
      </c>
    </row>
    <row r="125" spans="1:24" x14ac:dyDescent="0.2">
      <c r="A125" s="134" t="s">
        <v>417</v>
      </c>
      <c r="C125" s="129">
        <v>90</v>
      </c>
      <c r="H125" s="133">
        <f>5*90</f>
        <v>450</v>
      </c>
      <c r="J125" s="176">
        <f t="shared" si="42"/>
        <v>5</v>
      </c>
      <c r="K125" s="176"/>
      <c r="L125" s="176">
        <f t="shared" si="43"/>
        <v>450</v>
      </c>
      <c r="O125" s="177">
        <f t="shared" si="47"/>
        <v>72.45</v>
      </c>
      <c r="P125" s="136">
        <f t="shared" si="48"/>
        <v>362.25</v>
      </c>
      <c r="V125" s="177">
        <f t="shared" si="44"/>
        <v>90</v>
      </c>
      <c r="W125" s="177">
        <f t="shared" si="45"/>
        <v>72.45</v>
      </c>
      <c r="X125" s="177">
        <f t="shared" si="46"/>
        <v>162.44999999999999</v>
      </c>
    </row>
    <row r="126" spans="1:24" x14ac:dyDescent="0.2">
      <c r="A126" s="134" t="s">
        <v>418</v>
      </c>
      <c r="C126" s="129">
        <v>105</v>
      </c>
      <c r="H126" s="133">
        <v>11025</v>
      </c>
      <c r="J126" s="176">
        <f t="shared" si="42"/>
        <v>105</v>
      </c>
      <c r="K126" s="176"/>
      <c r="L126" s="176">
        <f t="shared" si="43"/>
        <v>11025</v>
      </c>
      <c r="O126" s="177">
        <f t="shared" si="47"/>
        <v>84.525000000000006</v>
      </c>
      <c r="P126" s="136">
        <f t="shared" si="48"/>
        <v>8875.1299999999992</v>
      </c>
      <c r="V126" s="177">
        <f t="shared" si="44"/>
        <v>105</v>
      </c>
      <c r="W126" s="177">
        <f t="shared" si="45"/>
        <v>84.525000000000006</v>
      </c>
      <c r="X126" s="177">
        <f t="shared" si="46"/>
        <v>189.52500000000001</v>
      </c>
    </row>
    <row r="127" spans="1:24" x14ac:dyDescent="0.2">
      <c r="A127" s="134" t="s">
        <v>419</v>
      </c>
      <c r="C127" s="129">
        <v>95</v>
      </c>
      <c r="H127" s="133">
        <v>1805</v>
      </c>
      <c r="J127" s="176">
        <f t="shared" si="42"/>
        <v>19</v>
      </c>
      <c r="K127" s="176"/>
      <c r="L127" s="176">
        <f t="shared" si="43"/>
        <v>1805</v>
      </c>
      <c r="O127" s="177">
        <f t="shared" si="47"/>
        <v>76.475000000000009</v>
      </c>
      <c r="P127" s="136">
        <f t="shared" si="48"/>
        <v>1453.03</v>
      </c>
      <c r="V127" s="177">
        <f t="shared" si="44"/>
        <v>95</v>
      </c>
      <c r="W127" s="177">
        <f t="shared" si="45"/>
        <v>76.475000000000009</v>
      </c>
      <c r="X127" s="177">
        <f t="shared" si="46"/>
        <v>171.47500000000002</v>
      </c>
    </row>
    <row r="128" spans="1:24" x14ac:dyDescent="0.2">
      <c r="A128" s="134" t="s">
        <v>420</v>
      </c>
      <c r="C128" s="129">
        <v>210</v>
      </c>
      <c r="H128" s="133">
        <f>16065-8820</f>
        <v>7245</v>
      </c>
      <c r="J128" s="176">
        <f t="shared" si="42"/>
        <v>34.5</v>
      </c>
      <c r="K128" s="176"/>
      <c r="L128" s="176">
        <f t="shared" si="43"/>
        <v>7245</v>
      </c>
      <c r="O128" s="177">
        <f t="shared" si="47"/>
        <v>169.05</v>
      </c>
      <c r="P128" s="136">
        <f t="shared" si="48"/>
        <v>5832.23</v>
      </c>
      <c r="V128" s="177">
        <f t="shared" si="44"/>
        <v>210</v>
      </c>
      <c r="W128" s="177">
        <f t="shared" si="45"/>
        <v>169.05</v>
      </c>
      <c r="X128" s="177">
        <f t="shared" si="46"/>
        <v>379.05</v>
      </c>
    </row>
    <row r="129" spans="1:24" x14ac:dyDescent="0.2">
      <c r="A129" s="134" t="s">
        <v>421</v>
      </c>
      <c r="C129" s="129">
        <v>105</v>
      </c>
      <c r="H129" s="133">
        <f>84*105</f>
        <v>8820</v>
      </c>
      <c r="J129" s="176">
        <f t="shared" si="42"/>
        <v>84</v>
      </c>
      <c r="K129" s="176"/>
      <c r="L129" s="176">
        <f t="shared" si="43"/>
        <v>8820</v>
      </c>
      <c r="O129" s="177">
        <f t="shared" si="47"/>
        <v>84.525000000000006</v>
      </c>
      <c r="P129" s="136">
        <f t="shared" si="48"/>
        <v>7100.1</v>
      </c>
      <c r="V129" s="177">
        <f t="shared" si="44"/>
        <v>105</v>
      </c>
      <c r="W129" s="177">
        <f t="shared" si="45"/>
        <v>84.525000000000006</v>
      </c>
      <c r="X129" s="177">
        <f t="shared" si="46"/>
        <v>189.52500000000001</v>
      </c>
    </row>
    <row r="130" spans="1:24" x14ac:dyDescent="0.2">
      <c r="A130" s="134" t="s">
        <v>422</v>
      </c>
      <c r="C130" s="129">
        <v>110</v>
      </c>
      <c r="H130" s="133">
        <v>4730</v>
      </c>
      <c r="J130" s="176">
        <f t="shared" si="42"/>
        <v>43</v>
      </c>
      <c r="K130" s="176"/>
      <c r="L130" s="176">
        <f t="shared" si="43"/>
        <v>4730</v>
      </c>
      <c r="O130" s="177">
        <f t="shared" si="47"/>
        <v>88.550000000000011</v>
      </c>
      <c r="P130" s="136">
        <f t="shared" si="48"/>
        <v>3807.65</v>
      </c>
      <c r="V130" s="177">
        <f t="shared" si="44"/>
        <v>110</v>
      </c>
      <c r="W130" s="177">
        <f t="shared" si="45"/>
        <v>88.550000000000011</v>
      </c>
      <c r="X130" s="177">
        <f t="shared" si="46"/>
        <v>198.55</v>
      </c>
    </row>
    <row r="131" spans="1:24" x14ac:dyDescent="0.2">
      <c r="A131" s="134" t="s">
        <v>423</v>
      </c>
      <c r="C131" s="129">
        <v>110</v>
      </c>
      <c r="H131" s="133">
        <v>8140</v>
      </c>
      <c r="J131" s="176">
        <f t="shared" si="42"/>
        <v>74</v>
      </c>
      <c r="K131" s="176"/>
      <c r="L131" s="176">
        <f t="shared" si="43"/>
        <v>8140</v>
      </c>
      <c r="O131" s="177">
        <f t="shared" si="47"/>
        <v>88.550000000000011</v>
      </c>
      <c r="P131" s="136">
        <f t="shared" si="48"/>
        <v>6552.7</v>
      </c>
      <c r="V131" s="177">
        <f t="shared" si="44"/>
        <v>110</v>
      </c>
      <c r="W131" s="177">
        <f t="shared" si="45"/>
        <v>88.550000000000011</v>
      </c>
      <c r="X131" s="177">
        <f t="shared" si="46"/>
        <v>198.55</v>
      </c>
    </row>
    <row r="132" spans="1:24" x14ac:dyDescent="0.2">
      <c r="A132" s="134" t="s">
        <v>424</v>
      </c>
      <c r="C132" s="129">
        <v>1.8</v>
      </c>
      <c r="H132" s="133">
        <v>24210</v>
      </c>
      <c r="J132" s="176">
        <f t="shared" si="42"/>
        <v>13450</v>
      </c>
      <c r="K132" s="176"/>
      <c r="L132" s="176">
        <f t="shared" si="43"/>
        <v>24210</v>
      </c>
      <c r="O132" s="177">
        <f t="shared" si="47"/>
        <v>1.4490000000000001</v>
      </c>
      <c r="P132" s="136">
        <f t="shared" si="48"/>
        <v>19489.05</v>
      </c>
      <c r="V132" s="177">
        <f t="shared" si="44"/>
        <v>1.8</v>
      </c>
      <c r="W132" s="177">
        <f t="shared" si="45"/>
        <v>1.4490000000000001</v>
      </c>
      <c r="X132" s="177">
        <f t="shared" si="46"/>
        <v>3.2490000000000001</v>
      </c>
    </row>
    <row r="133" spans="1:24" x14ac:dyDescent="0.2">
      <c r="A133" s="134" t="s">
        <v>425</v>
      </c>
      <c r="C133" s="129">
        <v>1.8</v>
      </c>
      <c r="H133" s="133">
        <v>8231</v>
      </c>
      <c r="J133" s="176">
        <f t="shared" si="42"/>
        <v>4572.7777777777774</v>
      </c>
      <c r="K133" s="176"/>
      <c r="L133" s="176">
        <f t="shared" si="43"/>
        <v>8231</v>
      </c>
      <c r="O133" s="177">
        <f t="shared" si="47"/>
        <v>1.4490000000000001</v>
      </c>
      <c r="P133" s="136">
        <f t="shared" si="48"/>
        <v>6625.96</v>
      </c>
      <c r="V133" s="177">
        <f t="shared" si="44"/>
        <v>1.8</v>
      </c>
      <c r="W133" s="177">
        <f t="shared" si="45"/>
        <v>1.4490000000000001</v>
      </c>
      <c r="X133" s="177">
        <f t="shared" si="46"/>
        <v>3.2490000000000001</v>
      </c>
    </row>
    <row r="134" spans="1:24" x14ac:dyDescent="0.2">
      <c r="A134" s="134" t="s">
        <v>426</v>
      </c>
      <c r="C134" s="129">
        <v>65</v>
      </c>
      <c r="H134" s="133">
        <v>2925</v>
      </c>
      <c r="J134" s="176">
        <f t="shared" si="42"/>
        <v>45</v>
      </c>
      <c r="K134" s="176"/>
      <c r="L134" s="176">
        <f t="shared" si="43"/>
        <v>2925</v>
      </c>
      <c r="O134" s="177">
        <f t="shared" si="47"/>
        <v>52.325000000000003</v>
      </c>
      <c r="P134" s="136">
        <f t="shared" si="48"/>
        <v>2354.63</v>
      </c>
      <c r="V134" s="177">
        <f t="shared" si="44"/>
        <v>65</v>
      </c>
      <c r="W134" s="177">
        <f t="shared" si="45"/>
        <v>52.325000000000003</v>
      </c>
      <c r="X134" s="177">
        <f t="shared" si="46"/>
        <v>117.325</v>
      </c>
    </row>
    <row r="135" spans="1:24" x14ac:dyDescent="0.2">
      <c r="A135" s="134" t="s">
        <v>427</v>
      </c>
      <c r="C135" s="129">
        <v>65</v>
      </c>
      <c r="H135" s="133">
        <v>585</v>
      </c>
      <c r="J135" s="176">
        <f t="shared" si="42"/>
        <v>9</v>
      </c>
      <c r="K135" s="176"/>
      <c r="L135" s="176">
        <f t="shared" si="43"/>
        <v>585</v>
      </c>
      <c r="O135" s="177">
        <f t="shared" si="47"/>
        <v>52.325000000000003</v>
      </c>
      <c r="P135" s="136">
        <f t="shared" si="48"/>
        <v>470.93</v>
      </c>
      <c r="V135" s="177">
        <f t="shared" si="44"/>
        <v>65</v>
      </c>
      <c r="W135" s="177">
        <f t="shared" si="45"/>
        <v>52.325000000000003</v>
      </c>
      <c r="X135" s="177">
        <f t="shared" si="46"/>
        <v>117.325</v>
      </c>
    </row>
    <row r="136" spans="1:24" x14ac:dyDescent="0.2">
      <c r="A136" s="134" t="s">
        <v>428</v>
      </c>
      <c r="C136" s="129">
        <v>65</v>
      </c>
      <c r="H136" s="133">
        <v>1300</v>
      </c>
      <c r="J136" s="176">
        <f t="shared" si="42"/>
        <v>20</v>
      </c>
      <c r="K136" s="176"/>
      <c r="L136" s="176">
        <f t="shared" si="43"/>
        <v>1300</v>
      </c>
      <c r="O136" s="177">
        <f t="shared" si="47"/>
        <v>52.325000000000003</v>
      </c>
      <c r="P136" s="136">
        <f t="shared" si="48"/>
        <v>1046.5</v>
      </c>
      <c r="V136" s="177">
        <f t="shared" si="44"/>
        <v>65</v>
      </c>
      <c r="W136" s="177">
        <f t="shared" si="45"/>
        <v>52.325000000000003</v>
      </c>
      <c r="X136" s="177">
        <f t="shared" si="46"/>
        <v>117.325</v>
      </c>
    </row>
    <row r="137" spans="1:24" x14ac:dyDescent="0.2">
      <c r="A137" s="134" t="s">
        <v>429</v>
      </c>
      <c r="C137" s="129">
        <v>3.9</v>
      </c>
      <c r="H137" s="133">
        <v>201</v>
      </c>
      <c r="J137" s="176">
        <f t="shared" si="42"/>
        <v>51.53846153846154</v>
      </c>
      <c r="K137" s="176"/>
      <c r="L137" s="176">
        <f t="shared" si="43"/>
        <v>201</v>
      </c>
      <c r="O137" s="177">
        <f t="shared" si="47"/>
        <v>3.1395</v>
      </c>
      <c r="P137" s="136">
        <f t="shared" si="48"/>
        <v>161.81</v>
      </c>
      <c r="V137" s="177">
        <f t="shared" si="44"/>
        <v>3.9</v>
      </c>
      <c r="W137" s="177">
        <f t="shared" si="45"/>
        <v>3.1395</v>
      </c>
      <c r="X137" s="177">
        <f t="shared" si="46"/>
        <v>7.0395000000000003</v>
      </c>
    </row>
    <row r="138" spans="1:24" x14ac:dyDescent="0.2">
      <c r="A138" s="134" t="s">
        <v>430</v>
      </c>
      <c r="C138" s="129">
        <v>4.5</v>
      </c>
      <c r="H138" s="133">
        <v>8721</v>
      </c>
      <c r="J138" s="176">
        <f t="shared" si="42"/>
        <v>1938</v>
      </c>
      <c r="K138" s="176"/>
      <c r="L138" s="176">
        <f t="shared" si="43"/>
        <v>8721</v>
      </c>
      <c r="N138" s="130">
        <f>J138/360</f>
        <v>5.3833333333333337</v>
      </c>
      <c r="O138" s="177">
        <f t="shared" si="47"/>
        <v>3.6225000000000001</v>
      </c>
      <c r="P138" s="136">
        <f t="shared" si="48"/>
        <v>7020.41</v>
      </c>
      <c r="V138" s="177">
        <f t="shared" si="44"/>
        <v>4.5</v>
      </c>
      <c r="W138" s="177">
        <f t="shared" si="45"/>
        <v>3.6225000000000001</v>
      </c>
      <c r="X138" s="177">
        <f t="shared" si="46"/>
        <v>8.1225000000000005</v>
      </c>
    </row>
    <row r="139" spans="1:24" x14ac:dyDescent="0.2">
      <c r="A139" s="134" t="s">
        <v>431</v>
      </c>
      <c r="C139" s="129">
        <v>5.5</v>
      </c>
      <c r="H139" s="133">
        <v>3179</v>
      </c>
      <c r="J139" s="176">
        <f t="shared" si="42"/>
        <v>578</v>
      </c>
      <c r="K139" s="176"/>
      <c r="L139" s="176">
        <f t="shared" si="43"/>
        <v>3179</v>
      </c>
      <c r="N139" s="130">
        <f>J139/360</f>
        <v>1.6055555555555556</v>
      </c>
      <c r="O139" s="177">
        <f t="shared" si="47"/>
        <v>4.4275000000000002</v>
      </c>
      <c r="P139" s="136">
        <f t="shared" si="48"/>
        <v>2559.1</v>
      </c>
      <c r="V139" s="177">
        <f t="shared" si="44"/>
        <v>5.5</v>
      </c>
      <c r="W139" s="177">
        <f t="shared" si="45"/>
        <v>4.4275000000000002</v>
      </c>
      <c r="X139" s="177">
        <f t="shared" si="46"/>
        <v>9.9275000000000002</v>
      </c>
    </row>
    <row r="140" spans="1:24" x14ac:dyDescent="0.2">
      <c r="A140" s="134" t="s">
        <v>432</v>
      </c>
      <c r="C140" s="129">
        <v>6.35</v>
      </c>
      <c r="H140" s="133">
        <v>5474</v>
      </c>
      <c r="J140" s="176">
        <f t="shared" si="42"/>
        <v>862.04724409448829</v>
      </c>
      <c r="K140" s="176"/>
      <c r="L140" s="176">
        <f t="shared" si="43"/>
        <v>5474</v>
      </c>
      <c r="N140" s="130">
        <f>J140/360</f>
        <v>2.3945756780402454</v>
      </c>
      <c r="O140" s="177">
        <f t="shared" si="47"/>
        <v>5.1117499999999998</v>
      </c>
      <c r="P140" s="136">
        <f t="shared" si="48"/>
        <v>4406.57</v>
      </c>
      <c r="V140" s="177">
        <f t="shared" si="44"/>
        <v>6.35</v>
      </c>
      <c r="W140" s="177">
        <f t="shared" si="45"/>
        <v>5.1117499999999998</v>
      </c>
      <c r="X140" s="177">
        <f t="shared" si="46"/>
        <v>11.461749999999999</v>
      </c>
    </row>
    <row r="141" spans="1:24" x14ac:dyDescent="0.2">
      <c r="A141" s="134" t="s">
        <v>433</v>
      </c>
      <c r="C141" s="129">
        <v>60</v>
      </c>
      <c r="H141" s="133">
        <v>420</v>
      </c>
      <c r="J141" s="176">
        <f t="shared" si="42"/>
        <v>7</v>
      </c>
      <c r="K141" s="176"/>
      <c r="L141" s="176">
        <f t="shared" si="43"/>
        <v>420</v>
      </c>
      <c r="O141" s="177">
        <f t="shared" si="47"/>
        <v>48.300000000000004</v>
      </c>
      <c r="P141" s="136">
        <f t="shared" si="48"/>
        <v>338.1</v>
      </c>
      <c r="V141" s="177">
        <f t="shared" si="44"/>
        <v>60</v>
      </c>
      <c r="W141" s="177">
        <f t="shared" si="45"/>
        <v>48.300000000000004</v>
      </c>
      <c r="X141" s="177">
        <f t="shared" si="46"/>
        <v>108.30000000000001</v>
      </c>
    </row>
    <row r="142" spans="1:24" x14ac:dyDescent="0.2">
      <c r="A142" s="134" t="s">
        <v>434</v>
      </c>
      <c r="C142" s="129">
        <v>85</v>
      </c>
      <c r="H142" s="133">
        <v>1105</v>
      </c>
      <c r="J142" s="176">
        <f t="shared" si="42"/>
        <v>13</v>
      </c>
      <c r="K142" s="176"/>
      <c r="L142" s="176">
        <f t="shared" si="43"/>
        <v>1105</v>
      </c>
      <c r="O142" s="177">
        <f t="shared" si="47"/>
        <v>68.424999999999997</v>
      </c>
      <c r="P142" s="136">
        <f t="shared" si="48"/>
        <v>889.53</v>
      </c>
      <c r="V142" s="177">
        <f t="shared" si="44"/>
        <v>85</v>
      </c>
      <c r="W142" s="177">
        <f t="shared" si="45"/>
        <v>68.424999999999997</v>
      </c>
      <c r="X142" s="177">
        <f t="shared" si="46"/>
        <v>153.42500000000001</v>
      </c>
    </row>
    <row r="143" spans="1:24" x14ac:dyDescent="0.2">
      <c r="A143" s="134" t="s">
        <v>435</v>
      </c>
      <c r="C143" s="129">
        <v>115</v>
      </c>
      <c r="H143" s="133">
        <v>345</v>
      </c>
      <c r="J143" s="176">
        <f t="shared" si="42"/>
        <v>3</v>
      </c>
      <c r="K143" s="176"/>
      <c r="L143" s="176">
        <f t="shared" si="43"/>
        <v>345</v>
      </c>
      <c r="O143" s="177">
        <f t="shared" si="47"/>
        <v>92.575000000000003</v>
      </c>
      <c r="P143" s="136">
        <f t="shared" si="48"/>
        <v>277.73</v>
      </c>
      <c r="V143" s="177">
        <f t="shared" si="44"/>
        <v>115</v>
      </c>
      <c r="W143" s="177">
        <f t="shared" si="45"/>
        <v>92.575000000000003</v>
      </c>
      <c r="X143" s="177">
        <f t="shared" si="46"/>
        <v>207.57499999999999</v>
      </c>
    </row>
    <row r="144" spans="1:24" x14ac:dyDescent="0.2">
      <c r="A144" s="134" t="s">
        <v>436</v>
      </c>
      <c r="C144" s="129">
        <v>4.93</v>
      </c>
      <c r="H144" s="133">
        <v>690</v>
      </c>
      <c r="J144" s="176">
        <f t="shared" si="42"/>
        <v>139.95943204868155</v>
      </c>
      <c r="K144" s="176"/>
      <c r="L144" s="176">
        <f t="shared" si="43"/>
        <v>690</v>
      </c>
      <c r="O144" s="177">
        <f t="shared" si="47"/>
        <v>3.9686500000000002</v>
      </c>
      <c r="P144" s="136">
        <f t="shared" si="48"/>
        <v>555.45000000000005</v>
      </c>
      <c r="V144" s="177">
        <f t="shared" si="44"/>
        <v>4.93</v>
      </c>
      <c r="W144" s="177">
        <f t="shared" si="45"/>
        <v>3.9686500000000002</v>
      </c>
      <c r="X144" s="177">
        <f t="shared" si="46"/>
        <v>8.8986499999999999</v>
      </c>
    </row>
    <row r="145" spans="1:24" x14ac:dyDescent="0.2">
      <c r="A145" s="134" t="s">
        <v>437</v>
      </c>
      <c r="C145" s="129">
        <v>50</v>
      </c>
      <c r="H145" s="133">
        <v>300</v>
      </c>
      <c r="J145" s="176">
        <f t="shared" si="42"/>
        <v>6</v>
      </c>
      <c r="K145" s="176"/>
      <c r="L145" s="176">
        <f t="shared" si="43"/>
        <v>300</v>
      </c>
      <c r="O145" s="177">
        <f t="shared" si="47"/>
        <v>40.25</v>
      </c>
      <c r="P145" s="136">
        <f t="shared" si="48"/>
        <v>241.5</v>
      </c>
      <c r="V145" s="177">
        <f t="shared" si="44"/>
        <v>50</v>
      </c>
      <c r="W145" s="177">
        <f t="shared" si="45"/>
        <v>40.25</v>
      </c>
      <c r="X145" s="177">
        <f t="shared" si="46"/>
        <v>90.25</v>
      </c>
    </row>
    <row r="146" spans="1:24" x14ac:dyDescent="0.2">
      <c r="A146" s="178" t="s">
        <v>438</v>
      </c>
      <c r="C146" s="129">
        <v>82.5</v>
      </c>
      <c r="H146" s="133">
        <v>195259</v>
      </c>
      <c r="J146" s="176">
        <f t="shared" si="42"/>
        <v>2366.7757575757578</v>
      </c>
      <c r="K146" s="176"/>
      <c r="L146" s="176">
        <f t="shared" si="43"/>
        <v>195259.00000000003</v>
      </c>
      <c r="P146" s="136"/>
    </row>
    <row r="147" spans="1:24" x14ac:dyDescent="0.2">
      <c r="P147" s="136"/>
    </row>
    <row r="148" spans="1:24" x14ac:dyDescent="0.2">
      <c r="A148" s="191" t="s">
        <v>439</v>
      </c>
      <c r="H148" s="192">
        <f>SUM(H115:H147)</f>
        <v>327690</v>
      </c>
      <c r="J148" s="135">
        <f>H148-H146</f>
        <v>132431</v>
      </c>
      <c r="P148" s="192">
        <f>SUM(P115:P147)</f>
        <v>106607.01000000001</v>
      </c>
    </row>
    <row r="149" spans="1:24" x14ac:dyDescent="0.2">
      <c r="A149" s="191" t="s">
        <v>440</v>
      </c>
      <c r="H149" s="197">
        <f>+H148+H111+H41</f>
        <v>1608754.76</v>
      </c>
      <c r="T149" s="135"/>
      <c r="U149" s="135"/>
      <c r="V149" s="135"/>
    </row>
    <row r="150" spans="1:24" x14ac:dyDescent="0.2">
      <c r="N150" s="134"/>
      <c r="U150" s="198" t="s">
        <v>317</v>
      </c>
    </row>
    <row r="151" spans="1:24" x14ac:dyDescent="0.2">
      <c r="H151" s="133">
        <f>H41+H111+H148</f>
        <v>1608754.76</v>
      </c>
      <c r="N151" s="199"/>
      <c r="R151" s="218" t="s">
        <v>441</v>
      </c>
      <c r="S151" s="157" t="s">
        <v>442</v>
      </c>
      <c r="T151" s="200" t="s">
        <v>443</v>
      </c>
      <c r="U151" s="157" t="s">
        <v>306</v>
      </c>
      <c r="V151" s="157" t="s">
        <v>4</v>
      </c>
    </row>
    <row r="152" spans="1:24" x14ac:dyDescent="0.2">
      <c r="N152" s="199"/>
      <c r="R152" s="218" t="s">
        <v>29</v>
      </c>
      <c r="S152" s="136"/>
      <c r="T152" s="135">
        <f>P41</f>
        <v>91611.987600000008</v>
      </c>
      <c r="U152" s="135">
        <f>T41</f>
        <v>87303.679999999978</v>
      </c>
      <c r="V152" s="135">
        <f>SUM(T152:U152)</f>
        <v>178915.66759999999</v>
      </c>
    </row>
    <row r="153" spans="1:24" x14ac:dyDescent="0.2">
      <c r="H153" s="133">
        <f>874454+487637+327690+'[2]2188 Restating Expl'!E19</f>
        <v>1608755</v>
      </c>
      <c r="N153" s="199"/>
      <c r="R153" s="218" t="s">
        <v>444</v>
      </c>
      <c r="S153" s="136"/>
      <c r="T153" s="135">
        <f>P111</f>
        <v>70827.736486445618</v>
      </c>
      <c r="U153" s="135">
        <f>T111</f>
        <v>67319.141511494745</v>
      </c>
      <c r="V153" s="135">
        <f>SUM(T153:U153)</f>
        <v>138146.87799794035</v>
      </c>
      <c r="W153" s="135"/>
    </row>
    <row r="154" spans="1:24" x14ac:dyDescent="0.2">
      <c r="N154" s="199"/>
      <c r="R154" s="218"/>
      <c r="S154" s="136">
        <f>'[2]LG-Joe''s T after DF'!E6</f>
        <v>321954.02367441094</v>
      </c>
      <c r="T154" s="136">
        <f>SUM(T152:T153)</f>
        <v>162439.72408644564</v>
      </c>
      <c r="U154" s="136">
        <f>SUM(U152:U153)</f>
        <v>154622.82151149472</v>
      </c>
      <c r="V154" s="136">
        <f>SUM(V152:V153)</f>
        <v>317062.54559794033</v>
      </c>
      <c r="W154" s="135"/>
    </row>
    <row r="155" spans="1:24" x14ac:dyDescent="0.2">
      <c r="J155" s="177"/>
      <c r="R155" s="218"/>
      <c r="S155" s="136"/>
      <c r="T155" s="135"/>
    </row>
    <row r="156" spans="1:24" x14ac:dyDescent="0.2">
      <c r="R156" s="219" t="s">
        <v>11</v>
      </c>
      <c r="S156" s="136">
        <f>'[2]LG-Joe''s T RO'!E6</f>
        <v>107683.66242328926</v>
      </c>
      <c r="T156" s="135">
        <f>P148</f>
        <v>106607.01000000001</v>
      </c>
      <c r="V156" s="135">
        <f>SUM(T156:U156)</f>
        <v>106607.01000000001</v>
      </c>
    </row>
    <row r="157" spans="1:24" x14ac:dyDescent="0.2">
      <c r="R157" s="218"/>
      <c r="S157" s="136"/>
    </row>
    <row r="158" spans="1:24" x14ac:dyDescent="0.2">
      <c r="R158" s="219" t="s">
        <v>445</v>
      </c>
      <c r="S158" s="136">
        <f>'LG-Joe''s T Recycl'!E6</f>
        <v>15482.982717202311</v>
      </c>
      <c r="T158" s="135">
        <f>R36+R37</f>
        <v>46571.561499722993</v>
      </c>
      <c r="V158" s="135">
        <f>SUM(T158:U158)</f>
        <v>46571.561499722993</v>
      </c>
    </row>
    <row r="159" spans="1:24" x14ac:dyDescent="0.2">
      <c r="R159" s="219"/>
      <c r="S159" s="136"/>
      <c r="T159" s="135"/>
    </row>
    <row r="160" spans="1:24" x14ac:dyDescent="0.2">
      <c r="R160" s="219" t="s">
        <v>446</v>
      </c>
      <c r="S160" s="136">
        <f>'LG-Joe''s T MF'!E6</f>
        <v>359.91671988623955</v>
      </c>
      <c r="T160" s="135">
        <f>R111</f>
        <v>866.3850000000001</v>
      </c>
      <c r="V160" s="135">
        <f>SUM(T160:U160)</f>
        <v>866.3850000000001</v>
      </c>
    </row>
    <row r="161" spans="18:22" x14ac:dyDescent="0.2">
      <c r="R161" s="218"/>
      <c r="S161" s="136"/>
    </row>
    <row r="162" spans="18:22" x14ac:dyDescent="0.2">
      <c r="R162" s="219" t="s">
        <v>21</v>
      </c>
      <c r="S162" s="136">
        <f>'[2]LG-Joe''s T YW'!E6</f>
        <v>3828.9110199539441</v>
      </c>
      <c r="T162" s="136">
        <f>R39</f>
        <v>3802.1733333333332</v>
      </c>
      <c r="V162" s="135">
        <f>SUM(T162:U162)</f>
        <v>3802.1733333333332</v>
      </c>
    </row>
    <row r="163" spans="18:22" x14ac:dyDescent="0.2">
      <c r="S163" s="136"/>
    </row>
    <row r="164" spans="18:22" x14ac:dyDescent="0.2">
      <c r="S164" s="201">
        <f>SUM(S154:S162)</f>
        <v>449309.49655474274</v>
      </c>
      <c r="T164" s="201">
        <f>SUM(T154:T162)</f>
        <v>320286.853919502</v>
      </c>
      <c r="U164" s="201">
        <f>SUM(U154:U162)</f>
        <v>154622.82151149472</v>
      </c>
      <c r="V164" s="201">
        <f>SUM(V154:V162)</f>
        <v>474909.67543099669</v>
      </c>
    </row>
  </sheetData>
  <pageMargins left="0.7" right="0.7" top="0.75" bottom="0.75" header="0.3" footer="0.3"/>
  <pageSetup scale="64" fitToHeight="2" pageOrder="overThenDown" orientation="portrait" r:id="rId1"/>
  <headerFooter>
    <oddFooter>Page &amp;P of &amp;N</oddFooter>
  </headerFooter>
  <rowBreaks count="2" manualBreakCount="2">
    <brk id="57" max="26" man="1"/>
    <brk id="112" max="26" man="1"/>
  </rowBreaks>
  <colBreaks count="1" manualBreakCount="1">
    <brk id="15" max="1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76"/>
  <sheetViews>
    <sheetView view="pageBreakPreview" topLeftCell="A52" zoomScaleNormal="100" zoomScaleSheetLayoutView="100" workbookViewId="0">
      <selection activeCell="D79" sqref="D79"/>
    </sheetView>
  </sheetViews>
  <sheetFormatPr defaultRowHeight="12.75" x14ac:dyDescent="0.2"/>
  <cols>
    <col min="1" max="1" width="28.5703125" customWidth="1"/>
    <col min="2" max="4" width="9.7109375" style="203" customWidth="1"/>
    <col min="5" max="5" width="2.7109375" customWidth="1"/>
    <col min="6" max="7" width="9.140625" style="203"/>
    <col min="8" max="8" width="2.7109375" customWidth="1"/>
    <col min="9" max="9" width="8" style="204" customWidth="1"/>
    <col min="10" max="10" width="2.7109375" customWidth="1"/>
    <col min="11" max="12" width="10.28515625" customWidth="1"/>
    <col min="13" max="13" width="11.28515625" bestFit="1" customWidth="1"/>
    <col min="14" max="14" width="12.28515625" customWidth="1"/>
    <col min="15" max="15" width="11.28515625" bestFit="1" customWidth="1"/>
  </cols>
  <sheetData>
    <row r="1" spans="1:9" x14ac:dyDescent="0.2">
      <c r="A1" s="202" t="s">
        <v>447</v>
      </c>
    </row>
    <row r="3" spans="1:9" x14ac:dyDescent="0.2">
      <c r="A3" s="202" t="s">
        <v>448</v>
      </c>
    </row>
    <row r="4" spans="1:9" x14ac:dyDescent="0.2">
      <c r="A4" s="202" t="s">
        <v>449</v>
      </c>
      <c r="B4" s="205"/>
      <c r="C4" s="205"/>
      <c r="D4" s="205"/>
      <c r="E4" s="202"/>
      <c r="F4" s="205"/>
      <c r="G4" s="205"/>
      <c r="H4" s="202"/>
      <c r="I4" s="206"/>
    </row>
    <row r="5" spans="1:9" x14ac:dyDescent="0.2">
      <c r="A5" s="202"/>
      <c r="B5" s="205"/>
      <c r="C5" s="205"/>
      <c r="D5" s="205"/>
      <c r="E5" s="202"/>
      <c r="F5" s="205"/>
      <c r="G5" s="205"/>
      <c r="H5" s="202"/>
      <c r="I5" s="206"/>
    </row>
    <row r="6" spans="1:9" x14ac:dyDescent="0.2">
      <c r="A6" s="202"/>
      <c r="B6" s="220" t="s">
        <v>290</v>
      </c>
      <c r="C6" s="220" t="s">
        <v>195</v>
      </c>
      <c r="D6" s="220" t="s">
        <v>290</v>
      </c>
      <c r="E6" s="202"/>
      <c r="F6" s="220" t="s">
        <v>295</v>
      </c>
      <c r="G6" s="220" t="s">
        <v>295</v>
      </c>
      <c r="H6" s="221"/>
      <c r="I6" s="222" t="s">
        <v>450</v>
      </c>
    </row>
    <row r="7" spans="1:9" x14ac:dyDescent="0.2">
      <c r="A7" s="202" t="s">
        <v>451</v>
      </c>
      <c r="B7" s="220" t="s">
        <v>452</v>
      </c>
      <c r="C7" s="220" t="s">
        <v>71</v>
      </c>
      <c r="D7" s="220" t="s">
        <v>452</v>
      </c>
      <c r="E7" s="202"/>
      <c r="F7" s="220" t="s">
        <v>71</v>
      </c>
      <c r="G7" s="220" t="s">
        <v>309</v>
      </c>
      <c r="H7" s="221"/>
      <c r="I7" s="222" t="s">
        <v>71</v>
      </c>
    </row>
    <row r="8" spans="1:9" x14ac:dyDescent="0.2">
      <c r="A8" s="202" t="s">
        <v>28</v>
      </c>
      <c r="B8" s="220" t="s">
        <v>453</v>
      </c>
      <c r="C8" s="220" t="s">
        <v>317</v>
      </c>
      <c r="D8" s="220" t="s">
        <v>317</v>
      </c>
    </row>
    <row r="9" spans="1:9" x14ac:dyDescent="0.2">
      <c r="A9" s="202" t="s">
        <v>454</v>
      </c>
    </row>
    <row r="10" spans="1:9" x14ac:dyDescent="0.2">
      <c r="A10" t="s">
        <v>455</v>
      </c>
      <c r="B10" s="203">
        <v>9.65</v>
      </c>
      <c r="C10" s="203">
        <v>1.32</v>
      </c>
      <c r="D10" s="203">
        <f t="shared" ref="D10:D18" si="0">B10+C10</f>
        <v>10.97</v>
      </c>
      <c r="F10" s="203">
        <f>B10*0.09+0.01</f>
        <v>0.87850000000000006</v>
      </c>
      <c r="G10" s="203">
        <f t="shared" ref="G10:G18" si="1">D10+F10</f>
        <v>11.848500000000001</v>
      </c>
      <c r="I10" s="204">
        <f t="shared" ref="I10:I18" si="2">F10/D10</f>
        <v>8.0082041932543299E-2</v>
      </c>
    </row>
    <row r="11" spans="1:9" x14ac:dyDescent="0.2">
      <c r="A11" t="s">
        <v>456</v>
      </c>
      <c r="B11" s="203">
        <v>12.1798</v>
      </c>
      <c r="C11" s="203">
        <v>2.04</v>
      </c>
      <c r="D11" s="203">
        <f t="shared" si="0"/>
        <v>14.219799999999999</v>
      </c>
      <c r="F11" s="203">
        <f>B11*0.09</f>
        <v>1.096182</v>
      </c>
      <c r="G11" s="203">
        <f t="shared" si="1"/>
        <v>15.315982</v>
      </c>
      <c r="I11" s="204">
        <f t="shared" si="2"/>
        <v>7.7088425997552709E-2</v>
      </c>
    </row>
    <row r="12" spans="1:9" x14ac:dyDescent="0.2">
      <c r="A12" t="s">
        <v>457</v>
      </c>
      <c r="B12" s="203">
        <v>17.46</v>
      </c>
      <c r="C12" s="203">
        <v>2.75</v>
      </c>
      <c r="D12" s="203">
        <f t="shared" si="0"/>
        <v>20.21</v>
      </c>
      <c r="F12" s="203">
        <f>B12*0.09+0.02</f>
        <v>1.5913999999999999</v>
      </c>
      <c r="G12" s="203">
        <f t="shared" si="1"/>
        <v>21.801400000000001</v>
      </c>
      <c r="I12" s="204">
        <f t="shared" si="2"/>
        <v>7.8743196437407223E-2</v>
      </c>
    </row>
    <row r="13" spans="1:9" x14ac:dyDescent="0.2">
      <c r="A13" t="s">
        <v>458</v>
      </c>
      <c r="B13" s="203">
        <v>24.68</v>
      </c>
      <c r="C13" s="203">
        <v>4.07</v>
      </c>
      <c r="D13" s="203">
        <f t="shared" si="0"/>
        <v>28.75</v>
      </c>
      <c r="F13" s="203">
        <f>B13*0.09+0.03</f>
        <v>2.2511999999999999</v>
      </c>
      <c r="G13" s="203">
        <f t="shared" si="1"/>
        <v>31.001200000000001</v>
      </c>
      <c r="I13" s="204">
        <f t="shared" si="2"/>
        <v>7.8302608695652171E-2</v>
      </c>
    </row>
    <row r="14" spans="1:9" x14ac:dyDescent="0.2">
      <c r="A14" t="s">
        <v>459</v>
      </c>
      <c r="B14" s="203">
        <v>4.54</v>
      </c>
      <c r="C14" s="203">
        <v>0.47</v>
      </c>
      <c r="D14" s="203">
        <f t="shared" si="0"/>
        <v>5.01</v>
      </c>
      <c r="F14" s="203">
        <f>B14*0.085</f>
        <v>0.38590000000000002</v>
      </c>
      <c r="G14" s="203">
        <f t="shared" si="1"/>
        <v>5.3959000000000001</v>
      </c>
      <c r="I14" s="204">
        <f t="shared" si="2"/>
        <v>7.7025948103792416E-2</v>
      </c>
    </row>
    <row r="15" spans="1:9" x14ac:dyDescent="0.2">
      <c r="A15" t="s">
        <v>460</v>
      </c>
      <c r="B15" s="203">
        <v>4.1500000000000004</v>
      </c>
      <c r="C15" s="203">
        <v>0.47</v>
      </c>
      <c r="D15" s="203">
        <f t="shared" si="0"/>
        <v>4.62</v>
      </c>
      <c r="F15" s="203">
        <f>'[3]Joe''s Priceout'!O20</f>
        <v>0.47692089701535595</v>
      </c>
      <c r="G15" s="203">
        <f t="shared" si="1"/>
        <v>5.0969208970153561</v>
      </c>
      <c r="I15" s="204">
        <f t="shared" si="2"/>
        <v>0.10322963138860518</v>
      </c>
    </row>
    <row r="16" spans="1:9" x14ac:dyDescent="0.2">
      <c r="A16" t="s">
        <v>461</v>
      </c>
      <c r="B16" s="203">
        <v>4.93</v>
      </c>
      <c r="C16" s="203">
        <v>0.47</v>
      </c>
      <c r="D16" s="203">
        <f t="shared" si="0"/>
        <v>5.3999999999999995</v>
      </c>
      <c r="F16" s="203">
        <f>'[3]Joe''s Priceout'!O20</f>
        <v>0.47692089701535595</v>
      </c>
      <c r="G16" s="203">
        <f t="shared" si="1"/>
        <v>5.8769208970153555</v>
      </c>
      <c r="I16" s="204">
        <f t="shared" si="2"/>
        <v>8.8318684632473332E-2</v>
      </c>
    </row>
    <row r="17" spans="1:9" x14ac:dyDescent="0.2">
      <c r="A17" t="s">
        <v>462</v>
      </c>
      <c r="B17" s="203">
        <v>4.3899999999999997</v>
      </c>
      <c r="C17" s="203">
        <v>0.47</v>
      </c>
      <c r="D17" s="203">
        <f t="shared" si="0"/>
        <v>4.8599999999999994</v>
      </c>
      <c r="F17" s="203">
        <f>'[3]Joe''s Priceout'!O24</f>
        <v>0.50450889701535595</v>
      </c>
      <c r="G17" s="203">
        <f t="shared" si="1"/>
        <v>5.3645088970153552</v>
      </c>
      <c r="I17" s="204">
        <f t="shared" si="2"/>
        <v>0.10380841502373581</v>
      </c>
    </row>
    <row r="18" spans="1:9" x14ac:dyDescent="0.2">
      <c r="A18" t="s">
        <v>463</v>
      </c>
      <c r="B18" s="203">
        <v>4.7</v>
      </c>
      <c r="C18" s="203">
        <v>0.47</v>
      </c>
      <c r="D18" s="203">
        <f t="shared" si="0"/>
        <v>5.17</v>
      </c>
      <c r="F18" s="203">
        <f>'[3]Joe''s Priceout'!O25</f>
        <v>0.54014339701535596</v>
      </c>
      <c r="G18" s="203">
        <f t="shared" si="1"/>
        <v>5.7101433970153561</v>
      </c>
      <c r="I18" s="204">
        <f t="shared" si="2"/>
        <v>0.10447647911322165</v>
      </c>
    </row>
    <row r="20" spans="1:9" x14ac:dyDescent="0.2">
      <c r="A20" s="202" t="s">
        <v>464</v>
      </c>
    </row>
    <row r="21" spans="1:9" x14ac:dyDescent="0.2">
      <c r="A21" t="s">
        <v>465</v>
      </c>
      <c r="B21" s="203">
        <f>'[3]Joe''s Priceout'!C8</f>
        <v>17.46</v>
      </c>
      <c r="C21" s="203">
        <v>2.84</v>
      </c>
      <c r="D21" s="203">
        <f>B21+C21</f>
        <v>20.3</v>
      </c>
      <c r="F21" s="203">
        <f>'[3]Joe''s Priceout'!O8</f>
        <v>2.0070269999999999</v>
      </c>
      <c r="G21" s="203">
        <f t="shared" ref="G21:G26" si="3">D21+F21</f>
        <v>22.307027000000001</v>
      </c>
      <c r="I21" s="204">
        <f t="shared" ref="I21:I26" si="4">F21/D21</f>
        <v>9.8868325123152703E-2</v>
      </c>
    </row>
    <row r="22" spans="1:9" x14ac:dyDescent="0.2">
      <c r="A22" t="s">
        <v>466</v>
      </c>
      <c r="B22" s="203">
        <f>'[3]Joe''s Priceout'!C10</f>
        <v>12.096537436412358</v>
      </c>
      <c r="C22" s="203">
        <v>1.42</v>
      </c>
      <c r="D22" s="203">
        <f t="shared" ref="D22:D34" si="5">B22+C22</f>
        <v>13.516537436412358</v>
      </c>
      <c r="F22" s="203">
        <f>'[3]Joe''s Priceout'!O10</f>
        <v>1.3904969783156005</v>
      </c>
      <c r="G22" s="203">
        <f t="shared" si="3"/>
        <v>14.907034414727958</v>
      </c>
      <c r="I22" s="204">
        <f t="shared" si="4"/>
        <v>0.10287375630460834</v>
      </c>
    </row>
    <row r="23" spans="1:9" x14ac:dyDescent="0.2">
      <c r="A23" t="s">
        <v>467</v>
      </c>
      <c r="B23" s="203">
        <f>'[3]Joe''s Priceout'!C12</f>
        <v>4.6314788168057044</v>
      </c>
      <c r="C23" s="203">
        <v>0.66</v>
      </c>
      <c r="D23" s="203">
        <f t="shared" si="5"/>
        <v>5.2914788168057045</v>
      </c>
      <c r="F23" s="203">
        <f>'[3]Joe''s Priceout'!O12</f>
        <v>0.53238848999181565</v>
      </c>
      <c r="G23" s="203">
        <f t="shared" si="3"/>
        <v>5.8238673067975206</v>
      </c>
      <c r="I23" s="204">
        <f t="shared" si="4"/>
        <v>0.10061242016144013</v>
      </c>
    </row>
    <row r="24" spans="1:9" x14ac:dyDescent="0.2">
      <c r="A24" t="s">
        <v>468</v>
      </c>
      <c r="B24" s="203">
        <f>'[3]Joe''s Priceout'!C14</f>
        <v>24.663319499558643</v>
      </c>
      <c r="C24" s="203">
        <v>4.05</v>
      </c>
      <c r="D24" s="203">
        <f t="shared" si="5"/>
        <v>28.713319499558644</v>
      </c>
      <c r="F24" s="203">
        <f>'[3]Joe''s Priceout'!O14</f>
        <v>2.8350485764742661</v>
      </c>
      <c r="G24" s="203">
        <f t="shared" si="3"/>
        <v>31.548368076032908</v>
      </c>
      <c r="I24" s="204">
        <f t="shared" si="4"/>
        <v>9.8736357407851916E-2</v>
      </c>
    </row>
    <row r="25" spans="1:9" x14ac:dyDescent="0.2">
      <c r="A25" t="s">
        <v>469</v>
      </c>
      <c r="B25" s="203">
        <f>'[3]Joe''s Priceout'!C16</f>
        <v>17.761659749779323</v>
      </c>
      <c r="C25" s="203">
        <v>2.0299999999999998</v>
      </c>
      <c r="D25" s="203">
        <f t="shared" si="5"/>
        <v>19.791659749779324</v>
      </c>
      <c r="F25" s="203">
        <f>'[3]Joe''s Priceout'!O16</f>
        <v>2.0417027882371332</v>
      </c>
      <c r="G25" s="203">
        <f t="shared" si="3"/>
        <v>21.833362538016459</v>
      </c>
      <c r="I25" s="204">
        <f t="shared" si="4"/>
        <v>0.10315975587948849</v>
      </c>
    </row>
    <row r="26" spans="1:9" x14ac:dyDescent="0.2">
      <c r="A26" t="s">
        <v>470</v>
      </c>
      <c r="B26" s="203">
        <f>'[3]Joe''s Priceout'!C18</f>
        <v>7.3361506537443013</v>
      </c>
      <c r="C26" s="203">
        <v>0.94</v>
      </c>
      <c r="D26" s="203">
        <f t="shared" si="5"/>
        <v>8.2761506537443008</v>
      </c>
      <c r="F26" s="203">
        <f>'[3]Joe''s Priceout'!O18</f>
        <v>0.84329051764790741</v>
      </c>
      <c r="G26" s="203">
        <f t="shared" si="3"/>
        <v>9.119441171392209</v>
      </c>
      <c r="I26" s="204">
        <f t="shared" si="4"/>
        <v>0.10189405110289836</v>
      </c>
    </row>
    <row r="27" spans="1:9" x14ac:dyDescent="0.2">
      <c r="A27" t="s">
        <v>471</v>
      </c>
      <c r="B27" s="203">
        <f>D27-C27</f>
        <v>8.26</v>
      </c>
      <c r="C27" s="203">
        <f>C23</f>
        <v>0.66</v>
      </c>
      <c r="D27" s="203">
        <v>8.92</v>
      </c>
      <c r="F27" s="203">
        <f>'[3]Joe''s Priceout'!O12</f>
        <v>0.53238848999181565</v>
      </c>
      <c r="G27" s="203">
        <f>D27+F27</f>
        <v>9.4523884899918151</v>
      </c>
      <c r="I27" s="204">
        <f>F27/D27</f>
        <v>5.9684808295046597E-2</v>
      </c>
    </row>
    <row r="28" spans="1:9" x14ac:dyDescent="0.2">
      <c r="A28" t="s">
        <v>472</v>
      </c>
      <c r="B28" s="203">
        <f>D28-C28</f>
        <v>12.33</v>
      </c>
      <c r="C28" s="203">
        <f>C26</f>
        <v>0.94</v>
      </c>
      <c r="D28" s="203">
        <v>13.27</v>
      </c>
      <c r="F28" s="203">
        <f>'[3]Joe''s Priceout'!O18</f>
        <v>0.84329051764790741</v>
      </c>
      <c r="G28" s="203">
        <f>D28+F28</f>
        <v>14.113290517647908</v>
      </c>
      <c r="I28" s="204">
        <f>F28/D28</f>
        <v>6.354864488680538E-2</v>
      </c>
    </row>
    <row r="30" spans="1:9" x14ac:dyDescent="0.2">
      <c r="A30" t="s">
        <v>473</v>
      </c>
      <c r="B30" s="203">
        <v>6.25</v>
      </c>
      <c r="D30" s="203">
        <f t="shared" si="5"/>
        <v>6.25</v>
      </c>
      <c r="F30" s="203">
        <f>'[3]Joe''s Priceout'!O27</f>
        <v>0.74843749999999998</v>
      </c>
      <c r="G30" s="203">
        <f>D30+F30</f>
        <v>6.9984374999999996</v>
      </c>
      <c r="I30" s="204">
        <f>F30/D30</f>
        <v>0.11975</v>
      </c>
    </row>
    <row r="31" spans="1:9" x14ac:dyDescent="0.2">
      <c r="A31" t="s">
        <v>474</v>
      </c>
      <c r="B31" s="203">
        <v>1.85</v>
      </c>
      <c r="D31" s="203">
        <f t="shared" si="5"/>
        <v>1.85</v>
      </c>
      <c r="F31" s="203">
        <f>'[3]Joe''s Priceout'!O26</f>
        <v>0.2126575</v>
      </c>
      <c r="G31" s="203">
        <f>D31+F31</f>
        <v>2.0626575000000003</v>
      </c>
      <c r="I31" s="204">
        <f>F31/D31</f>
        <v>0.11495</v>
      </c>
    </row>
    <row r="32" spans="1:9" x14ac:dyDescent="0.2">
      <c r="A32" t="s">
        <v>339</v>
      </c>
      <c r="B32" s="203">
        <v>20</v>
      </c>
      <c r="D32" s="203">
        <f t="shared" si="5"/>
        <v>20</v>
      </c>
      <c r="F32" s="203">
        <f>'[3]Joe''s Priceout'!O29</f>
        <v>2.2989999999999999</v>
      </c>
      <c r="G32" s="203">
        <f>D32+F32</f>
        <v>22.298999999999999</v>
      </c>
      <c r="I32" s="204">
        <f>F32/D32</f>
        <v>0.11495</v>
      </c>
    </row>
    <row r="33" spans="1:9" x14ac:dyDescent="0.2">
      <c r="A33" t="s">
        <v>394</v>
      </c>
      <c r="B33" s="203">
        <v>20</v>
      </c>
      <c r="D33" s="203">
        <f t="shared" si="5"/>
        <v>20</v>
      </c>
      <c r="F33" s="203">
        <f>'[3]Joe''s Priceout'!O30</f>
        <v>2.2989999999999999</v>
      </c>
      <c r="G33" s="203">
        <f>D33+F33</f>
        <v>22.298999999999999</v>
      </c>
      <c r="I33" s="204">
        <f>F33/D33</f>
        <v>0.11495</v>
      </c>
    </row>
    <row r="34" spans="1:9" x14ac:dyDescent="0.2">
      <c r="A34" t="s">
        <v>341</v>
      </c>
      <c r="B34" s="203">
        <v>12</v>
      </c>
      <c r="D34" s="203">
        <f t="shared" si="5"/>
        <v>12</v>
      </c>
      <c r="F34" s="203">
        <f>'[3]Joe''s Priceout'!O31</f>
        <v>1.3994</v>
      </c>
      <c r="G34" s="203">
        <f>D34+F34</f>
        <v>13.3994</v>
      </c>
      <c r="I34" s="204">
        <f>F34/D34</f>
        <v>0.11661666666666666</v>
      </c>
    </row>
    <row r="36" spans="1:9" x14ac:dyDescent="0.2">
      <c r="A36" s="202" t="s">
        <v>475</v>
      </c>
    </row>
    <row r="37" spans="1:9" x14ac:dyDescent="0.2">
      <c r="A37" s="202" t="s">
        <v>476</v>
      </c>
    </row>
    <row r="38" spans="1:9" x14ac:dyDescent="0.2">
      <c r="A38" t="s">
        <v>477</v>
      </c>
      <c r="B38" s="203">
        <v>26.12</v>
      </c>
      <c r="C38" s="203">
        <v>2.44</v>
      </c>
      <c r="D38" s="203">
        <f t="shared" ref="D38:D51" si="6">B38+C38</f>
        <v>28.560000000000002</v>
      </c>
      <c r="F38" s="203">
        <f>'[3]Joe''s Priceout'!O50</f>
        <v>3.002494</v>
      </c>
      <c r="G38" s="203">
        <f t="shared" ref="G38:G51" si="7">D38+F38</f>
        <v>31.562494000000001</v>
      </c>
      <c r="I38" s="204">
        <f t="shared" ref="I38:I51" si="8">F38/D38</f>
        <v>0.10512934173669466</v>
      </c>
    </row>
    <row r="39" spans="1:9" x14ac:dyDescent="0.2">
      <c r="A39" t="s">
        <v>478</v>
      </c>
      <c r="B39" s="203">
        <v>16.440000000000001</v>
      </c>
      <c r="C39" s="203">
        <v>2.44</v>
      </c>
      <c r="D39" s="203">
        <f t="shared" si="6"/>
        <v>18.880000000000003</v>
      </c>
      <c r="F39" s="203">
        <f>'[3]Joe''s Priceout'!O51</f>
        <v>1.8897780000000002</v>
      </c>
      <c r="G39" s="203">
        <f t="shared" si="7"/>
        <v>20.769778000000002</v>
      </c>
      <c r="I39" s="204">
        <f t="shared" si="8"/>
        <v>0.10009417372881356</v>
      </c>
    </row>
    <row r="40" spans="1:9" x14ac:dyDescent="0.2">
      <c r="A40" t="s">
        <v>479</v>
      </c>
      <c r="B40" s="203">
        <v>37.97</v>
      </c>
      <c r="C40" s="203">
        <v>3.49</v>
      </c>
      <c r="D40" s="203">
        <f t="shared" si="6"/>
        <v>41.46</v>
      </c>
      <c r="F40" s="203">
        <f>'[3]Joe''s Priceout'!O52</f>
        <v>4.3646514999999999</v>
      </c>
      <c r="G40" s="203">
        <f t="shared" si="7"/>
        <v>45.824651500000002</v>
      </c>
      <c r="I40" s="204">
        <f t="shared" si="8"/>
        <v>0.10527379401833091</v>
      </c>
    </row>
    <row r="41" spans="1:9" x14ac:dyDescent="0.2">
      <c r="A41" t="s">
        <v>478</v>
      </c>
      <c r="B41" s="203">
        <v>22.47</v>
      </c>
      <c r="C41" s="203">
        <v>3.49</v>
      </c>
      <c r="D41" s="203">
        <f t="shared" si="6"/>
        <v>25.96</v>
      </c>
      <c r="F41" s="203">
        <f>'[3]Joe''s Priceout'!O53</f>
        <v>2.5829264999999997</v>
      </c>
      <c r="G41" s="203">
        <f t="shared" si="7"/>
        <v>28.5429265</v>
      </c>
      <c r="I41" s="204">
        <f t="shared" si="8"/>
        <v>9.9496398305084735E-2</v>
      </c>
    </row>
    <row r="42" spans="1:9" x14ac:dyDescent="0.2">
      <c r="A42" t="s">
        <v>480</v>
      </c>
      <c r="B42" s="203">
        <v>47.01</v>
      </c>
      <c r="C42" s="203">
        <v>4.53</v>
      </c>
      <c r="D42" s="203">
        <f t="shared" si="6"/>
        <v>51.54</v>
      </c>
      <c r="F42" s="203">
        <f>'[3]Joe''s Priceout'!O54</f>
        <v>5.4037994999999999</v>
      </c>
      <c r="G42" s="203">
        <f t="shared" si="7"/>
        <v>56.943799499999997</v>
      </c>
      <c r="I42" s="204">
        <f t="shared" si="8"/>
        <v>0.10484671129220023</v>
      </c>
    </row>
    <row r="43" spans="1:9" x14ac:dyDescent="0.2">
      <c r="A43" t="s">
        <v>478</v>
      </c>
      <c r="B43" s="203">
        <v>28.01</v>
      </c>
      <c r="C43" s="203">
        <v>4.53</v>
      </c>
      <c r="D43" s="203">
        <f t="shared" si="6"/>
        <v>32.54</v>
      </c>
      <c r="F43" s="203">
        <f>'[3]Joe''s Priceout'!O55</f>
        <v>3.2197495000000003</v>
      </c>
      <c r="G43" s="203">
        <f t="shared" si="7"/>
        <v>35.759749499999998</v>
      </c>
      <c r="I43" s="204">
        <f t="shared" si="8"/>
        <v>9.8947433927473891E-2</v>
      </c>
    </row>
    <row r="44" spans="1:9" x14ac:dyDescent="0.2">
      <c r="A44" t="s">
        <v>481</v>
      </c>
      <c r="B44" s="203">
        <v>55.92</v>
      </c>
      <c r="C44" s="203">
        <v>6.61</v>
      </c>
      <c r="D44" s="203">
        <f t="shared" si="6"/>
        <v>62.53</v>
      </c>
      <c r="F44" s="203">
        <f>'[3]Joe''s Priceout'!O56</f>
        <v>6.4280039999999996</v>
      </c>
      <c r="G44" s="203">
        <f t="shared" si="7"/>
        <v>68.958004000000003</v>
      </c>
      <c r="I44" s="204">
        <f t="shared" si="8"/>
        <v>0.10279872061410522</v>
      </c>
    </row>
    <row r="45" spans="1:9" x14ac:dyDescent="0.2">
      <c r="A45" t="s">
        <v>478</v>
      </c>
      <c r="B45" s="203">
        <v>39.89</v>
      </c>
      <c r="C45" s="203">
        <v>6.61</v>
      </c>
      <c r="D45" s="203">
        <f t="shared" si="6"/>
        <v>46.5</v>
      </c>
      <c r="F45" s="203">
        <f>'[3]Joe''s Priceout'!O57</f>
        <v>4.5853555000000004</v>
      </c>
      <c r="G45" s="203">
        <f t="shared" si="7"/>
        <v>51.085355499999999</v>
      </c>
      <c r="I45" s="204">
        <f t="shared" si="8"/>
        <v>9.8609795698924738E-2</v>
      </c>
    </row>
    <row r="46" spans="1:9" x14ac:dyDescent="0.2">
      <c r="A46" t="s">
        <v>482</v>
      </c>
      <c r="B46" s="203">
        <v>74.09</v>
      </c>
      <c r="C46" s="203">
        <v>8.56</v>
      </c>
      <c r="D46" s="203">
        <f t="shared" si="6"/>
        <v>82.65</v>
      </c>
      <c r="F46" s="203">
        <f>'[3]Joe''s Priceout'!O58</f>
        <v>8.516645500000001</v>
      </c>
      <c r="G46" s="203">
        <f t="shared" si="7"/>
        <v>91.166645500000001</v>
      </c>
      <c r="I46" s="204">
        <f t="shared" si="8"/>
        <v>0.10304471264367816</v>
      </c>
    </row>
    <row r="47" spans="1:9" x14ac:dyDescent="0.2">
      <c r="A47" t="s">
        <v>478</v>
      </c>
      <c r="B47" s="203">
        <v>49</v>
      </c>
      <c r="C47" s="203">
        <v>8.56</v>
      </c>
      <c r="D47" s="203">
        <f t="shared" si="6"/>
        <v>57.56</v>
      </c>
      <c r="F47" s="203">
        <f>'[3]Joe''s Priceout'!O59</f>
        <v>5.6325500000000002</v>
      </c>
      <c r="G47" s="203">
        <f t="shared" si="7"/>
        <v>63.192550000000004</v>
      </c>
      <c r="I47" s="204">
        <f t="shared" si="8"/>
        <v>9.7855281445448222E-2</v>
      </c>
    </row>
    <row r="48" spans="1:9" x14ac:dyDescent="0.2">
      <c r="A48" t="s">
        <v>483</v>
      </c>
      <c r="B48" s="203">
        <v>92.94</v>
      </c>
      <c r="C48" s="203">
        <v>10.17</v>
      </c>
      <c r="D48" s="203">
        <f t="shared" si="6"/>
        <v>103.11</v>
      </c>
      <c r="F48" s="203">
        <f>'[3]Joe''s Priceout'!O60</f>
        <v>10.683453</v>
      </c>
      <c r="G48" s="203">
        <f t="shared" si="7"/>
        <v>113.793453</v>
      </c>
      <c r="I48" s="204">
        <f t="shared" si="8"/>
        <v>0.10361219086412569</v>
      </c>
    </row>
    <row r="49" spans="1:9" x14ac:dyDescent="0.2">
      <c r="A49" t="s">
        <v>478</v>
      </c>
      <c r="B49" s="203">
        <v>55.25</v>
      </c>
      <c r="C49" s="203">
        <v>10.17</v>
      </c>
      <c r="D49" s="203">
        <f t="shared" si="6"/>
        <v>65.42</v>
      </c>
      <c r="F49" s="203">
        <f>'[3]Joe''s Priceout'!O61</f>
        <v>6.3509874999999996</v>
      </c>
      <c r="G49" s="203">
        <f t="shared" si="7"/>
        <v>71.770987500000004</v>
      </c>
      <c r="I49" s="204">
        <f t="shared" si="8"/>
        <v>9.7080212473249758E-2</v>
      </c>
    </row>
    <row r="50" spans="1:9" x14ac:dyDescent="0.2">
      <c r="A50" t="s">
        <v>484</v>
      </c>
      <c r="B50" s="203">
        <v>111.81</v>
      </c>
      <c r="C50" s="203">
        <v>11.73</v>
      </c>
      <c r="D50" s="203">
        <f t="shared" si="6"/>
        <v>123.54</v>
      </c>
      <c r="F50" s="203">
        <f>'[3]Joe''s Priceout'!O62</f>
        <v>12.8525595</v>
      </c>
      <c r="G50" s="203">
        <f t="shared" si="7"/>
        <v>136.3925595</v>
      </c>
      <c r="I50" s="204">
        <f t="shared" si="8"/>
        <v>0.10403561194754735</v>
      </c>
    </row>
    <row r="51" spans="1:9" x14ac:dyDescent="0.2">
      <c r="A51" t="s">
        <v>478</v>
      </c>
      <c r="B51" s="203">
        <v>61.49</v>
      </c>
      <c r="C51" s="203">
        <v>11.73</v>
      </c>
      <c r="D51" s="203">
        <f t="shared" si="6"/>
        <v>73.22</v>
      </c>
      <c r="F51" s="203">
        <f>'[3]Joe''s Priceout'!O63</f>
        <v>7.0682755000000004</v>
      </c>
      <c r="G51" s="203">
        <f t="shared" si="7"/>
        <v>80.288275499999997</v>
      </c>
      <c r="I51" s="204">
        <f t="shared" si="8"/>
        <v>9.6534765091505062E-2</v>
      </c>
    </row>
    <row r="53" spans="1:9" x14ac:dyDescent="0.2">
      <c r="A53" s="202" t="s">
        <v>485</v>
      </c>
    </row>
    <row r="54" spans="1:9" x14ac:dyDescent="0.2">
      <c r="A54" t="s">
        <v>486</v>
      </c>
      <c r="B54" s="203">
        <v>21.15</v>
      </c>
      <c r="C54" s="203">
        <f>C38</f>
        <v>2.44</v>
      </c>
      <c r="D54" s="203">
        <f t="shared" ref="D54:D60" si="9">B54+C54</f>
        <v>23.59</v>
      </c>
      <c r="F54" s="203">
        <f>'[3]Joe''s Priceout'!O80</f>
        <v>2.4315808669908034</v>
      </c>
      <c r="G54" s="203">
        <f t="shared" ref="G54:G60" si="10">D54+F54</f>
        <v>26.021580866990803</v>
      </c>
      <c r="I54" s="204">
        <f t="shared" ref="I54:I60" si="11">F54/D54</f>
        <v>0.10307676417934733</v>
      </c>
    </row>
    <row r="55" spans="1:9" x14ac:dyDescent="0.2">
      <c r="A55" t="s">
        <v>487</v>
      </c>
      <c r="B55" s="203">
        <v>27.36</v>
      </c>
      <c r="C55" s="203">
        <f>C40</f>
        <v>3.49</v>
      </c>
      <c r="D55" s="203">
        <f t="shared" si="9"/>
        <v>30.85</v>
      </c>
      <c r="F55" s="203">
        <f>'[3]Joe''s Priceout'!O81</f>
        <v>3.1454225957011475</v>
      </c>
      <c r="G55" s="203">
        <f t="shared" si="10"/>
        <v>33.99542259570115</v>
      </c>
      <c r="I55" s="204">
        <f t="shared" si="11"/>
        <v>0.1019585930535218</v>
      </c>
    </row>
    <row r="56" spans="1:9" x14ac:dyDescent="0.2">
      <c r="A56" t="s">
        <v>488</v>
      </c>
      <c r="B56" s="203">
        <v>32.909999999999997</v>
      </c>
      <c r="C56" s="203">
        <f>C42</f>
        <v>4.53</v>
      </c>
      <c r="D56" s="203">
        <f t="shared" si="9"/>
        <v>37.44</v>
      </c>
      <c r="F56" s="203">
        <f>'[3]Joe''s Priceout'!O82</f>
        <v>3.7831980480286869</v>
      </c>
      <c r="G56" s="203">
        <f t="shared" si="10"/>
        <v>41.223198048028685</v>
      </c>
      <c r="I56" s="204">
        <f t="shared" si="11"/>
        <v>0.10104695641102263</v>
      </c>
    </row>
    <row r="57" spans="1:9" x14ac:dyDescent="0.2">
      <c r="A57" t="s">
        <v>489</v>
      </c>
      <c r="B57" s="203">
        <v>49.36</v>
      </c>
      <c r="C57" s="203">
        <f>C44</f>
        <v>6.61</v>
      </c>
      <c r="D57" s="203">
        <f t="shared" si="9"/>
        <v>55.97</v>
      </c>
      <c r="F57" s="203">
        <f>'[3]Joe''s Priceout'!O83</f>
        <v>5.673930729066571</v>
      </c>
      <c r="G57" s="203">
        <f t="shared" si="10"/>
        <v>61.643930729066568</v>
      </c>
      <c r="I57" s="204">
        <f t="shared" si="11"/>
        <v>0.10137449935798769</v>
      </c>
    </row>
    <row r="58" spans="1:9" x14ac:dyDescent="0.2">
      <c r="A58" t="s">
        <v>490</v>
      </c>
      <c r="B58" s="203">
        <v>66.2</v>
      </c>
      <c r="C58" s="203">
        <f>C46</f>
        <v>8.56</v>
      </c>
      <c r="D58" s="203">
        <f t="shared" si="9"/>
        <v>74.760000000000005</v>
      </c>
      <c r="F58" s="203">
        <f>'[3]Joe''s Priceout'!O84</f>
        <v>7.6099994226592136</v>
      </c>
      <c r="G58" s="203">
        <f t="shared" si="10"/>
        <v>82.36999942265922</v>
      </c>
      <c r="I58" s="204">
        <f t="shared" si="11"/>
        <v>0.10179239463161066</v>
      </c>
    </row>
    <row r="59" spans="1:9" x14ac:dyDescent="0.2">
      <c r="A59" t="s">
        <v>491</v>
      </c>
      <c r="B59" s="203">
        <v>84.69</v>
      </c>
      <c r="C59" s="203">
        <v>10.130000000000001</v>
      </c>
      <c r="D59" s="203">
        <f t="shared" si="9"/>
        <v>94.82</v>
      </c>
      <c r="F59" s="203">
        <f>'[3]Joe''s Priceout'!O85</f>
        <v>9.7351154999999991</v>
      </c>
      <c r="G59" s="203">
        <f t="shared" si="10"/>
        <v>104.5551155</v>
      </c>
      <c r="I59" s="204">
        <f t="shared" si="11"/>
        <v>0.10266943155452436</v>
      </c>
    </row>
    <row r="60" spans="1:9" x14ac:dyDescent="0.2">
      <c r="A60" t="s">
        <v>492</v>
      </c>
      <c r="B60" s="203">
        <v>98.73</v>
      </c>
      <c r="C60" s="203">
        <f>C50</f>
        <v>11.73</v>
      </c>
      <c r="D60" s="203">
        <f t="shared" si="9"/>
        <v>110.46000000000001</v>
      </c>
      <c r="F60" s="203">
        <f>'[3]Joe''s Priceout'!O86</f>
        <v>11.348578661555855</v>
      </c>
      <c r="G60" s="203">
        <f t="shared" si="10"/>
        <v>121.80857866155586</v>
      </c>
      <c r="I60" s="204">
        <f t="shared" si="11"/>
        <v>0.10273926001770645</v>
      </c>
    </row>
    <row r="62" spans="1:9" x14ac:dyDescent="0.2">
      <c r="A62" s="202" t="s">
        <v>493</v>
      </c>
    </row>
    <row r="63" spans="1:9" x14ac:dyDescent="0.2">
      <c r="A63" t="s">
        <v>486</v>
      </c>
      <c r="B63" s="203">
        <v>0.45</v>
      </c>
      <c r="D63" s="203">
        <f t="shared" ref="D63:D69" si="12">B63+C63</f>
        <v>0.45</v>
      </c>
      <c r="F63" s="203">
        <f>'[3]Joe''s Priceout'!O103</f>
        <v>5.1727500000000003E-2</v>
      </c>
      <c r="G63" s="203">
        <f t="shared" ref="G63:G69" si="13">D63+F63</f>
        <v>0.50172749999999999</v>
      </c>
      <c r="I63" s="204">
        <f t="shared" ref="I63:I69" si="14">F63/D63</f>
        <v>0.11495</v>
      </c>
    </row>
    <row r="64" spans="1:9" x14ac:dyDescent="0.2">
      <c r="A64" t="s">
        <v>487</v>
      </c>
      <c r="B64" s="203">
        <v>0.45</v>
      </c>
      <c r="D64" s="203">
        <f t="shared" si="12"/>
        <v>0.45</v>
      </c>
      <c r="F64" s="203">
        <f>'[3]Joe''s Priceout'!O104</f>
        <v>5.1727500000000003E-2</v>
      </c>
      <c r="G64" s="203">
        <f t="shared" si="13"/>
        <v>0.50172749999999999</v>
      </c>
      <c r="I64" s="204">
        <f t="shared" si="14"/>
        <v>0.11495</v>
      </c>
    </row>
    <row r="65" spans="1:9" x14ac:dyDescent="0.2">
      <c r="A65" t="s">
        <v>488</v>
      </c>
      <c r="B65" s="203">
        <v>0.5</v>
      </c>
      <c r="D65" s="203">
        <f t="shared" si="12"/>
        <v>0.5</v>
      </c>
      <c r="F65" s="203">
        <f>'[3]Joe''s Priceout'!O105</f>
        <v>5.7474999999999998E-2</v>
      </c>
      <c r="G65" s="203">
        <f t="shared" si="13"/>
        <v>0.55747499999999994</v>
      </c>
      <c r="I65" s="204">
        <f t="shared" si="14"/>
        <v>0.11495</v>
      </c>
    </row>
    <row r="66" spans="1:9" x14ac:dyDescent="0.2">
      <c r="A66" t="s">
        <v>489</v>
      </c>
      <c r="B66" s="203">
        <v>0.5</v>
      </c>
      <c r="D66" s="203">
        <f t="shared" si="12"/>
        <v>0.5</v>
      </c>
      <c r="F66" s="203">
        <f>'[3]Joe''s Priceout'!O106</f>
        <v>5.7474999999999998E-2</v>
      </c>
      <c r="G66" s="203">
        <f t="shared" si="13"/>
        <v>0.55747499999999994</v>
      </c>
      <c r="I66" s="204">
        <f t="shared" si="14"/>
        <v>0.11495</v>
      </c>
    </row>
    <row r="67" spans="1:9" x14ac:dyDescent="0.2">
      <c r="A67" t="s">
        <v>490</v>
      </c>
      <c r="B67" s="203">
        <v>0.55000000000000004</v>
      </c>
      <c r="D67" s="203">
        <f t="shared" si="12"/>
        <v>0.55000000000000004</v>
      </c>
      <c r="F67" s="203">
        <f>'[3]Joe''s Priceout'!O107</f>
        <v>6.3222500000000001E-2</v>
      </c>
      <c r="G67" s="203">
        <f t="shared" si="13"/>
        <v>0.6132225</v>
      </c>
      <c r="I67" s="204">
        <f t="shared" si="14"/>
        <v>0.11495</v>
      </c>
    </row>
    <row r="68" spans="1:9" x14ac:dyDescent="0.2">
      <c r="A68" t="s">
        <v>491</v>
      </c>
      <c r="B68" s="203">
        <v>0.55000000000000004</v>
      </c>
      <c r="D68" s="203">
        <f t="shared" si="12"/>
        <v>0.55000000000000004</v>
      </c>
      <c r="F68" s="203">
        <f>'[3]Joe''s Priceout'!O108</f>
        <v>6.3222500000000001E-2</v>
      </c>
      <c r="G68" s="203">
        <f t="shared" si="13"/>
        <v>0.6132225</v>
      </c>
      <c r="I68" s="204">
        <f t="shared" si="14"/>
        <v>0.11495</v>
      </c>
    </row>
    <row r="69" spans="1:9" x14ac:dyDescent="0.2">
      <c r="A69" t="s">
        <v>492</v>
      </c>
      <c r="B69" s="203">
        <v>0.6</v>
      </c>
      <c r="D69" s="203">
        <f t="shared" si="12"/>
        <v>0.6</v>
      </c>
      <c r="F69" s="203">
        <f>'[3]Joe''s Priceout'!O109</f>
        <v>6.896999999999999E-2</v>
      </c>
      <c r="G69" s="203">
        <f t="shared" si="13"/>
        <v>0.66896999999999995</v>
      </c>
      <c r="I69" s="204">
        <f t="shared" si="14"/>
        <v>0.11494999999999998</v>
      </c>
    </row>
    <row r="71" spans="1:9" x14ac:dyDescent="0.2">
      <c r="A71" s="202" t="s">
        <v>494</v>
      </c>
    </row>
    <row r="72" spans="1:9" x14ac:dyDescent="0.2">
      <c r="A72" t="s">
        <v>486</v>
      </c>
      <c r="B72" s="203">
        <v>21.153378573212731</v>
      </c>
      <c r="C72" s="203">
        <f>C54</f>
        <v>2.44</v>
      </c>
      <c r="D72" s="203">
        <f t="shared" ref="D72:D98" si="15">B72+C72</f>
        <v>23.593378573212732</v>
      </c>
      <c r="F72" s="203">
        <f>'[3]Joe''s Priceout'!O88</f>
        <v>2.4315808669908034</v>
      </c>
      <c r="G72" s="203">
        <f t="shared" ref="G72:G78" si="16">D72+F72</f>
        <v>26.024959440203535</v>
      </c>
      <c r="I72" s="204">
        <f t="shared" ref="I72:I78" si="17">F72/D72</f>
        <v>0.10306200358059582</v>
      </c>
    </row>
    <row r="73" spans="1:9" x14ac:dyDescent="0.2">
      <c r="A73" t="s">
        <v>487</v>
      </c>
      <c r="B73" s="203">
        <v>27.363397961732471</v>
      </c>
      <c r="C73" s="203">
        <f t="shared" ref="C73:C78" si="18">C55</f>
        <v>3.49</v>
      </c>
      <c r="D73" s="203">
        <f t="shared" si="15"/>
        <v>30.853397961732469</v>
      </c>
      <c r="F73" s="203">
        <f>'[3]Joe''s Priceout'!O89</f>
        <v>3.1454225957011475</v>
      </c>
      <c r="G73" s="203">
        <f t="shared" si="16"/>
        <v>33.998820557433618</v>
      </c>
      <c r="I73" s="204">
        <f t="shared" si="17"/>
        <v>0.10194736409916409</v>
      </c>
    </row>
    <row r="74" spans="1:9" x14ac:dyDescent="0.2">
      <c r="A74" t="s">
        <v>488</v>
      </c>
      <c r="B74" s="203">
        <v>32.911683758405282</v>
      </c>
      <c r="C74" s="203">
        <f t="shared" si="18"/>
        <v>4.53</v>
      </c>
      <c r="D74" s="203">
        <f t="shared" si="15"/>
        <v>37.441683758405283</v>
      </c>
      <c r="F74" s="203">
        <f>'[3]Joe''s Priceout'!O90</f>
        <v>3.7831980480286869</v>
      </c>
      <c r="G74" s="203">
        <f t="shared" si="16"/>
        <v>41.22488180643397</v>
      </c>
      <c r="I74" s="204">
        <f t="shared" si="17"/>
        <v>0.10104241231350598</v>
      </c>
    </row>
    <row r="75" spans="1:9" x14ac:dyDescent="0.2">
      <c r="A75" t="s">
        <v>489</v>
      </c>
      <c r="B75" s="203">
        <v>49.359988943597834</v>
      </c>
      <c r="C75" s="203">
        <f t="shared" si="18"/>
        <v>6.61</v>
      </c>
      <c r="D75" s="203">
        <f t="shared" si="15"/>
        <v>55.969988943597833</v>
      </c>
      <c r="F75" s="203">
        <f>'[3]Joe''s Priceout'!O91</f>
        <v>5.673930729066571</v>
      </c>
      <c r="G75" s="203">
        <f t="shared" si="16"/>
        <v>61.643919672664403</v>
      </c>
      <c r="I75" s="204">
        <f t="shared" si="17"/>
        <v>0.1013745193836703</v>
      </c>
    </row>
    <row r="76" spans="1:9" x14ac:dyDescent="0.2">
      <c r="A76" t="s">
        <v>490</v>
      </c>
      <c r="B76" s="203">
        <v>66.202691802168019</v>
      </c>
      <c r="C76" s="203">
        <f t="shared" si="18"/>
        <v>8.56</v>
      </c>
      <c r="D76" s="203">
        <f t="shared" si="15"/>
        <v>74.762691802168021</v>
      </c>
      <c r="F76" s="203">
        <f>'[3]Joe''s Priceout'!O92</f>
        <v>7.6099994226592136</v>
      </c>
      <c r="G76" s="203">
        <f t="shared" si="16"/>
        <v>82.372691224827236</v>
      </c>
      <c r="I76" s="204">
        <f t="shared" si="17"/>
        <v>0.10178872963531435</v>
      </c>
    </row>
    <row r="77" spans="1:9" x14ac:dyDescent="0.2">
      <c r="A77" t="s">
        <v>491</v>
      </c>
      <c r="B77" s="203">
        <v>84.69</v>
      </c>
      <c r="C77" s="203">
        <f t="shared" si="18"/>
        <v>10.130000000000001</v>
      </c>
      <c r="D77" s="203">
        <f t="shared" si="15"/>
        <v>94.82</v>
      </c>
      <c r="F77" s="203">
        <f>'[3]Joe''s Priceout'!O93</f>
        <v>9.7351154999999991</v>
      </c>
      <c r="G77" s="203">
        <f t="shared" si="16"/>
        <v>104.5551155</v>
      </c>
      <c r="I77" s="204">
        <f t="shared" si="17"/>
        <v>0.10266943155452436</v>
      </c>
    </row>
    <row r="78" spans="1:9" x14ac:dyDescent="0.2">
      <c r="A78" t="s">
        <v>492</v>
      </c>
      <c r="B78" s="203">
        <v>98.726217151421096</v>
      </c>
      <c r="C78" s="203">
        <f t="shared" si="18"/>
        <v>11.73</v>
      </c>
      <c r="D78" s="203">
        <f t="shared" si="15"/>
        <v>110.4562171514211</v>
      </c>
      <c r="F78" s="203">
        <f>'[3]Joe''s Priceout'!O94</f>
        <v>11.348578661555855</v>
      </c>
      <c r="G78" s="203">
        <f t="shared" si="16"/>
        <v>121.80479581297695</v>
      </c>
      <c r="I78" s="204">
        <f t="shared" si="17"/>
        <v>0.10274277857984608</v>
      </c>
    </row>
    <row r="80" spans="1:9" x14ac:dyDescent="0.2">
      <c r="A80" t="s">
        <v>495</v>
      </c>
      <c r="B80" s="203">
        <v>11.75</v>
      </c>
      <c r="C80" s="203">
        <f>C72</f>
        <v>2.44</v>
      </c>
      <c r="D80" s="203">
        <f>B80+C80</f>
        <v>14.19</v>
      </c>
      <c r="F80" s="203">
        <f>B80*0.16</f>
        <v>1.8800000000000001</v>
      </c>
      <c r="G80" s="203">
        <f t="shared" ref="G80:G87" si="19">D80+F80</f>
        <v>16.07</v>
      </c>
      <c r="I80" s="204">
        <f t="shared" ref="I80:I87" si="20">F80/D80</f>
        <v>0.13248766737138831</v>
      </c>
    </row>
    <row r="81" spans="1:9" x14ac:dyDescent="0.2">
      <c r="A81" t="s">
        <v>496</v>
      </c>
      <c r="B81" s="203">
        <v>23.58</v>
      </c>
      <c r="C81" s="203">
        <f>C72</f>
        <v>2.44</v>
      </c>
      <c r="D81" s="203">
        <f>B81+C81</f>
        <v>26.02</v>
      </c>
      <c r="F81" s="203">
        <f>'[3]Joe''s Priceout'!O77</f>
        <v>2.7305209999999995</v>
      </c>
      <c r="G81" s="203">
        <f t="shared" si="19"/>
        <v>28.750520999999999</v>
      </c>
      <c r="I81" s="204">
        <f t="shared" si="20"/>
        <v>0.1049393159108378</v>
      </c>
    </row>
    <row r="82" spans="1:9" x14ac:dyDescent="0.2">
      <c r="A82" t="s">
        <v>392</v>
      </c>
      <c r="B82" s="203">
        <v>24</v>
      </c>
      <c r="D82" s="203">
        <f t="shared" si="15"/>
        <v>24</v>
      </c>
      <c r="F82" s="203">
        <f>'[3]Joe''s Priceout'!O95</f>
        <v>2.7987999999999995</v>
      </c>
      <c r="G82" s="203">
        <f t="shared" si="19"/>
        <v>26.7988</v>
      </c>
      <c r="I82" s="204">
        <f t="shared" si="20"/>
        <v>0.11661666666666665</v>
      </c>
    </row>
    <row r="83" spans="1:9" x14ac:dyDescent="0.2">
      <c r="A83" t="s">
        <v>497</v>
      </c>
      <c r="B83" s="203">
        <v>3.9</v>
      </c>
      <c r="D83" s="203">
        <f t="shared" si="15"/>
        <v>3.9</v>
      </c>
      <c r="F83" s="203">
        <f>'[3]Joe''s Priceout'!O72</f>
        <v>0.498305</v>
      </c>
      <c r="G83" s="203">
        <f t="shared" si="19"/>
        <v>4.3983049999999997</v>
      </c>
      <c r="I83" s="204">
        <f t="shared" si="20"/>
        <v>0.12777051282051283</v>
      </c>
    </row>
    <row r="84" spans="1:9" x14ac:dyDescent="0.2">
      <c r="A84" t="s">
        <v>498</v>
      </c>
      <c r="B84" s="203">
        <v>0.9</v>
      </c>
      <c r="D84" s="203">
        <f t="shared" si="15"/>
        <v>0.9</v>
      </c>
      <c r="F84" s="203">
        <f>D84*0.1625</f>
        <v>0.14625000000000002</v>
      </c>
      <c r="G84" s="203">
        <f t="shared" si="19"/>
        <v>1.0462500000000001</v>
      </c>
      <c r="I84" s="204">
        <f t="shared" si="20"/>
        <v>0.16250000000000001</v>
      </c>
    </row>
    <row r="85" spans="1:9" x14ac:dyDescent="0.2">
      <c r="A85" t="s">
        <v>499</v>
      </c>
      <c r="B85" s="203">
        <v>25</v>
      </c>
      <c r="D85" s="203">
        <f t="shared" si="15"/>
        <v>25</v>
      </c>
      <c r="F85" s="203">
        <f>D85*0.11</f>
        <v>2.75</v>
      </c>
      <c r="G85" s="203">
        <f>D85+F85</f>
        <v>27.75</v>
      </c>
      <c r="I85" s="204">
        <f>F85/D85</f>
        <v>0.11</v>
      </c>
    </row>
    <row r="86" spans="1:9" x14ac:dyDescent="0.2">
      <c r="A86" t="s">
        <v>500</v>
      </c>
      <c r="B86" s="203">
        <v>3</v>
      </c>
      <c r="D86" s="203">
        <f t="shared" si="15"/>
        <v>3</v>
      </c>
      <c r="F86" s="203">
        <f>D86*0.16+0.02</f>
        <v>0.5</v>
      </c>
      <c r="G86" s="203">
        <f t="shared" si="19"/>
        <v>3.5</v>
      </c>
      <c r="I86" s="204">
        <f t="shared" si="20"/>
        <v>0.16666666666666666</v>
      </c>
    </row>
    <row r="87" spans="1:9" x14ac:dyDescent="0.2">
      <c r="A87" t="s">
        <v>501</v>
      </c>
      <c r="B87" s="203">
        <v>1.85</v>
      </c>
      <c r="D87" s="203">
        <f t="shared" si="15"/>
        <v>1.85</v>
      </c>
      <c r="F87" s="203">
        <f>D87*0.16</f>
        <v>0.29600000000000004</v>
      </c>
      <c r="G87" s="203">
        <f t="shared" si="19"/>
        <v>2.1459999999999999</v>
      </c>
      <c r="I87" s="204">
        <f t="shared" si="20"/>
        <v>0.16</v>
      </c>
    </row>
    <row r="89" spans="1:9" x14ac:dyDescent="0.2">
      <c r="A89" s="202" t="s">
        <v>502</v>
      </c>
    </row>
    <row r="90" spans="1:9" x14ac:dyDescent="0.2">
      <c r="A90" t="s">
        <v>503</v>
      </c>
      <c r="B90" s="203">
        <v>2.02</v>
      </c>
      <c r="C90" s="203">
        <v>0.47</v>
      </c>
      <c r="D90" s="203">
        <f t="shared" si="15"/>
        <v>2.4900000000000002</v>
      </c>
      <c r="F90" s="203">
        <f>'[3]Joe''s Priceout'!O99</f>
        <v>0.23207739701535604</v>
      </c>
      <c r="G90" s="203">
        <f t="shared" ref="G90:G98" si="21">D90+F90</f>
        <v>2.7220773970153562</v>
      </c>
      <c r="I90" s="204">
        <f t="shared" ref="I90:I98" si="22">F90/D90</f>
        <v>9.3203773901749401E-2</v>
      </c>
    </row>
    <row r="91" spans="1:9" x14ac:dyDescent="0.2">
      <c r="A91" t="s">
        <v>504</v>
      </c>
      <c r="B91" s="203">
        <f>2.31-0.47</f>
        <v>1.84</v>
      </c>
      <c r="C91" s="203">
        <v>0.47</v>
      </c>
      <c r="D91" s="203">
        <f t="shared" si="15"/>
        <v>2.31</v>
      </c>
      <c r="F91" s="203">
        <f>B91*0.16+0.01</f>
        <v>0.3044</v>
      </c>
      <c r="G91" s="203">
        <f t="shared" si="21"/>
        <v>2.6143999999999998</v>
      </c>
      <c r="I91" s="204">
        <f t="shared" si="22"/>
        <v>0.13177489177489177</v>
      </c>
    </row>
    <row r="92" spans="1:9" x14ac:dyDescent="0.2">
      <c r="A92" t="s">
        <v>505</v>
      </c>
      <c r="B92" s="203">
        <v>4.78</v>
      </c>
      <c r="C92" s="203">
        <v>0.66</v>
      </c>
      <c r="D92" s="203">
        <f t="shared" si="15"/>
        <v>5.44</v>
      </c>
      <c r="F92" s="203">
        <f>'[3]Joe''s Priceout'!O110/4.33</f>
        <v>0.54961165280166313</v>
      </c>
      <c r="G92" s="203">
        <f t="shared" si="21"/>
        <v>5.9896116528016634</v>
      </c>
      <c r="I92" s="204">
        <f t="shared" si="22"/>
        <v>0.10103155382383512</v>
      </c>
    </row>
    <row r="93" spans="1:9" x14ac:dyDescent="0.2">
      <c r="A93" t="s">
        <v>506</v>
      </c>
      <c r="B93" s="203">
        <v>6.75</v>
      </c>
      <c r="C93" s="203">
        <v>0.94</v>
      </c>
      <c r="D93" s="203">
        <f t="shared" si="15"/>
        <v>7.6899999999999995</v>
      </c>
      <c r="F93" s="203">
        <f>'[3]Joe''s Priceout'!O112/4.33</f>
        <v>0.77597886836027719</v>
      </c>
      <c r="G93" s="203">
        <f t="shared" si="21"/>
        <v>8.4659788683602759</v>
      </c>
      <c r="I93" s="204">
        <f t="shared" si="22"/>
        <v>0.10090752514437935</v>
      </c>
    </row>
    <row r="94" spans="1:9" x14ac:dyDescent="0.2">
      <c r="A94" t="s">
        <v>507</v>
      </c>
      <c r="B94" s="203">
        <v>12.85</v>
      </c>
      <c r="C94" s="203">
        <v>0.47</v>
      </c>
      <c r="D94" s="203">
        <f t="shared" si="15"/>
        <v>13.32</v>
      </c>
      <c r="F94" s="203">
        <f>B94*0.1318-0.01</f>
        <v>1.68363</v>
      </c>
      <c r="G94" s="203">
        <f t="shared" si="21"/>
        <v>15.003630000000001</v>
      </c>
      <c r="I94" s="204">
        <f t="shared" si="22"/>
        <v>0.12639864864864864</v>
      </c>
    </row>
    <row r="95" spans="1:9" x14ac:dyDescent="0.2">
      <c r="A95" t="s">
        <v>508</v>
      </c>
      <c r="B95" s="203">
        <v>4.1399999999999997</v>
      </c>
      <c r="C95" s="203">
        <v>0.47</v>
      </c>
      <c r="D95" s="203">
        <f t="shared" si="15"/>
        <v>4.6099999999999994</v>
      </c>
      <c r="F95" s="203">
        <f>B95*0.16</f>
        <v>0.66239999999999999</v>
      </c>
      <c r="G95" s="203">
        <f t="shared" si="21"/>
        <v>5.2723999999999993</v>
      </c>
      <c r="I95" s="204">
        <f t="shared" si="22"/>
        <v>0.14368763557483732</v>
      </c>
    </row>
    <row r="96" spans="1:9" x14ac:dyDescent="0.2">
      <c r="A96" t="s">
        <v>509</v>
      </c>
      <c r="B96" s="203">
        <f>4.27-0.47</f>
        <v>3.8</v>
      </c>
      <c r="C96" s="203">
        <v>0.47</v>
      </c>
      <c r="D96" s="203">
        <f t="shared" si="15"/>
        <v>4.2699999999999996</v>
      </c>
      <c r="F96" s="203">
        <f>B96*0.11495-0.01</f>
        <v>0.42680999999999997</v>
      </c>
      <c r="G96" s="203">
        <f>D96+F96</f>
        <v>4.6968099999999993</v>
      </c>
      <c r="I96" s="204">
        <f>F96/D96</f>
        <v>9.9955503512880559E-2</v>
      </c>
    </row>
    <row r="97" spans="1:9" x14ac:dyDescent="0.2">
      <c r="A97" t="s">
        <v>510</v>
      </c>
      <c r="B97" s="203">
        <v>4.6100000000000003</v>
      </c>
      <c r="C97" s="203">
        <v>0.66</v>
      </c>
      <c r="D97" s="203">
        <f t="shared" si="15"/>
        <v>5.2700000000000005</v>
      </c>
      <c r="F97" s="203">
        <f>B97*0.16-0.04</f>
        <v>0.6976</v>
      </c>
      <c r="G97" s="203">
        <f t="shared" si="21"/>
        <v>5.9676000000000009</v>
      </c>
      <c r="I97" s="204">
        <f t="shared" si="22"/>
        <v>0.13237191650853888</v>
      </c>
    </row>
    <row r="98" spans="1:9" x14ac:dyDescent="0.2">
      <c r="A98" t="s">
        <v>511</v>
      </c>
      <c r="B98" s="203">
        <v>6.97</v>
      </c>
      <c r="C98" s="203">
        <v>0.94</v>
      </c>
      <c r="D98" s="203">
        <f t="shared" si="15"/>
        <v>7.91</v>
      </c>
      <c r="F98" s="203">
        <f>B98*0.16-0.03</f>
        <v>1.0851999999999999</v>
      </c>
      <c r="G98" s="203">
        <f t="shared" si="21"/>
        <v>8.9952000000000005</v>
      </c>
      <c r="I98" s="204">
        <f t="shared" si="22"/>
        <v>0.13719342604298357</v>
      </c>
    </row>
    <row r="100" spans="1:9" x14ac:dyDescent="0.2">
      <c r="A100" s="202" t="s">
        <v>512</v>
      </c>
    </row>
    <row r="101" spans="1:9" x14ac:dyDescent="0.2">
      <c r="A101" t="s">
        <v>513</v>
      </c>
    </row>
    <row r="102" spans="1:9" x14ac:dyDescent="0.2">
      <c r="A102" t="s">
        <v>514</v>
      </c>
      <c r="B102" s="203">
        <v>60</v>
      </c>
      <c r="D102" s="203">
        <f>B102+C102</f>
        <v>60</v>
      </c>
      <c r="F102" s="203">
        <f>'[3]Joe''s Priceout'!O127-'[3]Joe''s Priceout'!O128</f>
        <v>44.8</v>
      </c>
      <c r="G102" s="203">
        <f>D102+F102</f>
        <v>104.8</v>
      </c>
      <c r="I102" s="204">
        <f>F102/D102</f>
        <v>0.74666666666666659</v>
      </c>
    </row>
    <row r="103" spans="1:9" x14ac:dyDescent="0.2">
      <c r="A103" t="s">
        <v>515</v>
      </c>
      <c r="B103" s="203">
        <v>72.5</v>
      </c>
      <c r="D103" s="203">
        <f>B103+C103</f>
        <v>72.5</v>
      </c>
      <c r="F103" s="203">
        <f>F111-F112</f>
        <v>54.495000000000005</v>
      </c>
      <c r="G103" s="203">
        <f>D103+F103</f>
        <v>126.995</v>
      </c>
      <c r="I103" s="204">
        <f>F103/D103</f>
        <v>0.7516551724137932</v>
      </c>
    </row>
    <row r="104" spans="1:9" x14ac:dyDescent="0.2">
      <c r="A104" t="s">
        <v>516</v>
      </c>
      <c r="B104" s="203">
        <v>85</v>
      </c>
      <c r="D104" s="203">
        <f>B104+C104</f>
        <v>85</v>
      </c>
      <c r="F104" s="203">
        <f>'[3]Joe''s Priceout'!O130-'[3]Joe''s Priceout'!O131</f>
        <v>63.495000000000005</v>
      </c>
      <c r="G104" s="203">
        <f>D104+F104</f>
        <v>148.495</v>
      </c>
      <c r="I104" s="204">
        <f>F104/D104</f>
        <v>0.74700000000000011</v>
      </c>
    </row>
    <row r="105" spans="1:9" x14ac:dyDescent="0.2">
      <c r="A105" t="s">
        <v>517</v>
      </c>
      <c r="B105" s="203">
        <v>115</v>
      </c>
      <c r="D105" s="203">
        <f>B105+C105</f>
        <v>115</v>
      </c>
      <c r="F105" s="203">
        <f>'[3]Joe''s Priceout'!O134-'[3]Joe''s Priceout'!O135-0.01</f>
        <v>77.995000000000005</v>
      </c>
      <c r="G105" s="203">
        <f>D105+F105</f>
        <v>192.995</v>
      </c>
      <c r="I105" s="204">
        <f>F105/D105</f>
        <v>0.67821739130434788</v>
      </c>
    </row>
    <row r="106" spans="1:9" x14ac:dyDescent="0.2">
      <c r="A106" t="s">
        <v>518</v>
      </c>
    </row>
    <row r="108" spans="1:9" x14ac:dyDescent="0.2">
      <c r="A108" s="202" t="s">
        <v>519</v>
      </c>
    </row>
    <row r="109" spans="1:9" x14ac:dyDescent="0.2">
      <c r="A109" t="s">
        <v>514</v>
      </c>
      <c r="B109" s="203">
        <v>140</v>
      </c>
      <c r="D109" s="203">
        <f>B109+C109</f>
        <v>140</v>
      </c>
      <c r="F109" s="203">
        <f>'[3]Joe''s Priceout'!O127</f>
        <v>104.3</v>
      </c>
      <c r="G109" s="203">
        <f>D109+F109</f>
        <v>244.3</v>
      </c>
      <c r="I109" s="204">
        <f>F109/D109</f>
        <v>0.745</v>
      </c>
    </row>
    <row r="110" spans="1:9" x14ac:dyDescent="0.2">
      <c r="A110" t="s">
        <v>520</v>
      </c>
      <c r="B110" s="203">
        <v>80</v>
      </c>
      <c r="D110" s="203">
        <f t="shared" ref="D110:D116" si="23">B110+C110</f>
        <v>80</v>
      </c>
      <c r="F110" s="203">
        <f>'[3]Joe''s Priceout'!O128</f>
        <v>59.5</v>
      </c>
      <c r="G110" s="203">
        <f t="shared" ref="G110:G116" si="24">D110+F110</f>
        <v>139.5</v>
      </c>
      <c r="I110" s="204">
        <f t="shared" ref="I110:I116" si="25">F110/D110</f>
        <v>0.74375000000000002</v>
      </c>
    </row>
    <row r="111" spans="1:9" x14ac:dyDescent="0.2">
      <c r="A111" t="s">
        <v>515</v>
      </c>
      <c r="B111" s="203">
        <v>157.5</v>
      </c>
      <c r="D111" s="203">
        <f t="shared" si="23"/>
        <v>157.5</v>
      </c>
      <c r="F111" s="203">
        <f>D111*0.75-0.13</f>
        <v>117.995</v>
      </c>
      <c r="G111" s="203">
        <f t="shared" si="24"/>
        <v>275.495</v>
      </c>
      <c r="I111" s="204">
        <f t="shared" si="25"/>
        <v>0.74917460317460316</v>
      </c>
    </row>
    <row r="112" spans="1:9" x14ac:dyDescent="0.2">
      <c r="A112" t="s">
        <v>520</v>
      </c>
      <c r="B112" s="203">
        <v>85</v>
      </c>
      <c r="D112" s="203">
        <f t="shared" si="23"/>
        <v>85</v>
      </c>
      <c r="F112" s="203">
        <f>D112*0.75-0.25</f>
        <v>63.5</v>
      </c>
      <c r="G112" s="203">
        <f t="shared" si="24"/>
        <v>148.5</v>
      </c>
      <c r="I112" s="204">
        <f t="shared" si="25"/>
        <v>0.74705882352941178</v>
      </c>
    </row>
    <row r="113" spans="1:9" x14ac:dyDescent="0.2">
      <c r="A113" t="s">
        <v>516</v>
      </c>
      <c r="B113" s="203">
        <v>175</v>
      </c>
      <c r="D113" s="203">
        <f t="shared" si="23"/>
        <v>175</v>
      </c>
      <c r="F113" s="203">
        <f>'[3]Joe''s Priceout'!O130</f>
        <v>130.495</v>
      </c>
      <c r="G113" s="203">
        <f t="shared" si="24"/>
        <v>305.495</v>
      </c>
      <c r="I113" s="204">
        <f t="shared" si="25"/>
        <v>0.74568571428571429</v>
      </c>
    </row>
    <row r="114" spans="1:9" x14ac:dyDescent="0.2">
      <c r="A114" t="s">
        <v>520</v>
      </c>
      <c r="B114" s="203">
        <v>90</v>
      </c>
      <c r="D114" s="203">
        <f t="shared" si="23"/>
        <v>90</v>
      </c>
      <c r="F114" s="203">
        <f>'[3]Joe''s Priceout'!O131</f>
        <v>67</v>
      </c>
      <c r="G114" s="203">
        <f t="shared" si="24"/>
        <v>157</v>
      </c>
      <c r="I114" s="204">
        <f t="shared" si="25"/>
        <v>0.74444444444444446</v>
      </c>
    </row>
    <row r="115" spans="1:9" x14ac:dyDescent="0.2">
      <c r="A115" t="s">
        <v>517</v>
      </c>
      <c r="B115" s="203">
        <v>210</v>
      </c>
      <c r="D115" s="203">
        <f t="shared" si="23"/>
        <v>210</v>
      </c>
      <c r="F115" s="203">
        <f>'[3]Joe''s Priceout'!O134</f>
        <v>156.5</v>
      </c>
      <c r="G115" s="203">
        <f t="shared" si="24"/>
        <v>366.5</v>
      </c>
      <c r="I115" s="204">
        <f t="shared" si="25"/>
        <v>0.74523809523809526</v>
      </c>
    </row>
    <row r="116" spans="1:9" x14ac:dyDescent="0.2">
      <c r="A116" t="s">
        <v>520</v>
      </c>
      <c r="B116" s="203">
        <v>105</v>
      </c>
      <c r="D116" s="203">
        <f t="shared" si="23"/>
        <v>105</v>
      </c>
      <c r="F116" s="203">
        <f>'[3]Joe''s Priceout'!O135</f>
        <v>78.49499999999999</v>
      </c>
      <c r="G116" s="203">
        <f t="shared" si="24"/>
        <v>183.495</v>
      </c>
      <c r="I116" s="204">
        <f t="shared" si="25"/>
        <v>0.74757142857142844</v>
      </c>
    </row>
    <row r="118" spans="1:9" x14ac:dyDescent="0.2">
      <c r="A118" s="202" t="s">
        <v>521</v>
      </c>
    </row>
    <row r="119" spans="1:9" x14ac:dyDescent="0.2">
      <c r="A119" t="s">
        <v>514</v>
      </c>
      <c r="B119" s="203">
        <v>85</v>
      </c>
      <c r="D119" s="203">
        <f>B119+C119</f>
        <v>85</v>
      </c>
      <c r="F119" s="203">
        <f>'[3]Joe''s Priceout'!O129</f>
        <v>63.495000000000005</v>
      </c>
      <c r="G119" s="203">
        <f>D119+F119</f>
        <v>148.495</v>
      </c>
      <c r="I119" s="204">
        <f>F119/D119</f>
        <v>0.74700000000000011</v>
      </c>
    </row>
    <row r="120" spans="1:9" x14ac:dyDescent="0.2">
      <c r="A120" t="s">
        <v>515</v>
      </c>
      <c r="B120" s="203">
        <v>90</v>
      </c>
      <c r="D120" s="203">
        <f>B120+C120</f>
        <v>90</v>
      </c>
      <c r="F120" s="203">
        <f>D120*0.75</f>
        <v>67.5</v>
      </c>
      <c r="G120" s="203">
        <f>D120+F120</f>
        <v>157.5</v>
      </c>
      <c r="I120" s="204">
        <f>F120/D120</f>
        <v>0.75</v>
      </c>
    </row>
    <row r="121" spans="1:9" x14ac:dyDescent="0.2">
      <c r="A121" t="s">
        <v>516</v>
      </c>
      <c r="B121" s="203">
        <v>95</v>
      </c>
      <c r="D121" s="203">
        <f>B121+C121</f>
        <v>95</v>
      </c>
      <c r="F121" s="203">
        <f>'[3]Joe''s Priceout'!O133</f>
        <v>70.995000000000005</v>
      </c>
      <c r="G121" s="203">
        <f>D121+F121</f>
        <v>165.995</v>
      </c>
      <c r="I121" s="204">
        <f>F121/D121</f>
        <v>0.74731578947368427</v>
      </c>
    </row>
    <row r="122" spans="1:9" x14ac:dyDescent="0.2">
      <c r="A122" t="s">
        <v>517</v>
      </c>
      <c r="B122" s="203">
        <v>110</v>
      </c>
      <c r="D122" s="203">
        <f>B122+C122</f>
        <v>110</v>
      </c>
      <c r="F122" s="203">
        <f>'[3]Joe''s Priceout'!O136</f>
        <v>82</v>
      </c>
      <c r="G122" s="203">
        <f>D122+F122</f>
        <v>192</v>
      </c>
      <c r="I122" s="204">
        <f>F122/D122</f>
        <v>0.74545454545454548</v>
      </c>
    </row>
    <row r="124" spans="1:9" x14ac:dyDescent="0.2">
      <c r="A124" s="202" t="s">
        <v>522</v>
      </c>
    </row>
    <row r="125" spans="1:9" x14ac:dyDescent="0.2">
      <c r="A125" t="s">
        <v>514</v>
      </c>
      <c r="B125" s="203">
        <v>4.5</v>
      </c>
      <c r="D125" s="203">
        <f>B125+C125</f>
        <v>4.5</v>
      </c>
      <c r="F125" s="203">
        <f>'[3]Joe''s Priceout'!O144</f>
        <v>3.3525</v>
      </c>
      <c r="G125" s="203">
        <f>D125+F125</f>
        <v>7.8525</v>
      </c>
      <c r="I125" s="204">
        <f>F125/D125</f>
        <v>0.745</v>
      </c>
    </row>
    <row r="126" spans="1:9" x14ac:dyDescent="0.2">
      <c r="A126" t="s">
        <v>515</v>
      </c>
      <c r="B126" s="203">
        <v>5</v>
      </c>
      <c r="D126" s="203">
        <f>B126+C126</f>
        <v>5</v>
      </c>
      <c r="F126" s="203">
        <v>3.65</v>
      </c>
      <c r="G126" s="203">
        <f>D126+F126</f>
        <v>8.65</v>
      </c>
      <c r="I126" s="204">
        <f>F126/D126</f>
        <v>0.73</v>
      </c>
    </row>
    <row r="127" spans="1:9" x14ac:dyDescent="0.2">
      <c r="A127" t="s">
        <v>516</v>
      </c>
      <c r="B127" s="203">
        <v>5.5</v>
      </c>
      <c r="D127" s="203">
        <f>B127+C127</f>
        <v>5.5</v>
      </c>
      <c r="F127" s="203">
        <f>'[3]Joe''s Priceout'!O145</f>
        <v>4.0975000000000001</v>
      </c>
      <c r="G127" s="203">
        <f>D127+F127</f>
        <v>9.5975000000000001</v>
      </c>
      <c r="I127" s="204">
        <f>F127/D127</f>
        <v>0.745</v>
      </c>
    </row>
    <row r="128" spans="1:9" x14ac:dyDescent="0.2">
      <c r="A128" t="s">
        <v>517</v>
      </c>
      <c r="B128" s="203">
        <v>6.35</v>
      </c>
      <c r="D128" s="203">
        <f>B128+C128</f>
        <v>6.35</v>
      </c>
      <c r="F128" s="203">
        <f>'[3]Joe''s Priceout'!O146</f>
        <v>4.7507499999999991</v>
      </c>
      <c r="G128" s="203">
        <f>D128+F128</f>
        <v>11.100749999999998</v>
      </c>
      <c r="I128" s="204">
        <f>F128/D128</f>
        <v>0.74814960629921246</v>
      </c>
    </row>
    <row r="130" spans="1:9" x14ac:dyDescent="0.2">
      <c r="A130" s="202" t="s">
        <v>523</v>
      </c>
    </row>
    <row r="131" spans="1:9" x14ac:dyDescent="0.2">
      <c r="A131" t="s">
        <v>514</v>
      </c>
      <c r="B131" s="203">
        <v>75</v>
      </c>
      <c r="D131" s="203">
        <f>B131+C131</f>
        <v>75</v>
      </c>
      <c r="F131" s="203">
        <f>G132-B131</f>
        <v>38.495000000000005</v>
      </c>
      <c r="G131" s="203">
        <f>D131+F131</f>
        <v>113.495</v>
      </c>
      <c r="I131" s="204">
        <f>F131/D131</f>
        <v>0.51326666666666676</v>
      </c>
    </row>
    <row r="132" spans="1:9" x14ac:dyDescent="0.2">
      <c r="A132" t="s">
        <v>515</v>
      </c>
      <c r="B132" s="203">
        <v>65</v>
      </c>
      <c r="D132" s="203">
        <f>B132+C132</f>
        <v>65</v>
      </c>
      <c r="F132" s="203">
        <f>'[3]Joe''s Priceout'!O141</f>
        <v>48.494999999999997</v>
      </c>
      <c r="G132" s="203">
        <f>D132+F132</f>
        <v>113.495</v>
      </c>
      <c r="I132" s="204">
        <f>F132/D132</f>
        <v>0.74607692307692308</v>
      </c>
    </row>
    <row r="133" spans="1:9" x14ac:dyDescent="0.2">
      <c r="A133" t="s">
        <v>516</v>
      </c>
      <c r="B133" s="203">
        <v>65</v>
      </c>
      <c r="D133" s="203">
        <f>B133+C133</f>
        <v>65</v>
      </c>
      <c r="F133" s="203">
        <f>'[3]Joe''s Priceout'!O141</f>
        <v>48.494999999999997</v>
      </c>
      <c r="G133" s="203">
        <f>D133+F133</f>
        <v>113.495</v>
      </c>
      <c r="I133" s="204">
        <f>F133/D133</f>
        <v>0.74607692307692308</v>
      </c>
    </row>
    <row r="134" spans="1:9" x14ac:dyDescent="0.2">
      <c r="A134" t="s">
        <v>517</v>
      </c>
      <c r="B134" s="203">
        <v>65</v>
      </c>
      <c r="D134" s="203">
        <f>B134+C134</f>
        <v>65</v>
      </c>
      <c r="F134" s="203">
        <f>'[3]Joe''s Priceout'!O142</f>
        <v>48.494999999999997</v>
      </c>
      <c r="G134" s="203">
        <f>D134+F134</f>
        <v>113.495</v>
      </c>
      <c r="I134" s="204">
        <f>F134/D134</f>
        <v>0.74607692307692308</v>
      </c>
    </row>
    <row r="136" spans="1:9" x14ac:dyDescent="0.2">
      <c r="A136" s="202" t="s">
        <v>524</v>
      </c>
    </row>
    <row r="137" spans="1:9" x14ac:dyDescent="0.2">
      <c r="A137" t="s">
        <v>525</v>
      </c>
      <c r="B137" s="203">
        <v>75</v>
      </c>
      <c r="D137" s="203">
        <f t="shared" ref="D137:D144" si="26">B137+C137</f>
        <v>75</v>
      </c>
      <c r="F137" s="203">
        <f>D137*0.72</f>
        <v>54</v>
      </c>
      <c r="G137" s="203">
        <f t="shared" ref="G137:G144" si="27">D137+F137</f>
        <v>129</v>
      </c>
      <c r="I137" s="204">
        <f t="shared" ref="I137:I142" si="28">F137/D137</f>
        <v>0.72</v>
      </c>
    </row>
    <row r="138" spans="1:9" x14ac:dyDescent="0.2">
      <c r="A138" t="s">
        <v>526</v>
      </c>
      <c r="B138" s="203">
        <v>90</v>
      </c>
      <c r="D138" s="203">
        <f t="shared" si="26"/>
        <v>90</v>
      </c>
      <c r="F138" s="203">
        <f>D138*0.72</f>
        <v>64.8</v>
      </c>
      <c r="G138" s="203">
        <f t="shared" si="27"/>
        <v>154.80000000000001</v>
      </c>
      <c r="I138" s="204">
        <f t="shared" si="28"/>
        <v>0.72</v>
      </c>
    </row>
    <row r="139" spans="1:9" x14ac:dyDescent="0.2">
      <c r="A139" t="s">
        <v>514</v>
      </c>
      <c r="B139" s="203">
        <v>95</v>
      </c>
      <c r="D139" s="203">
        <f t="shared" si="26"/>
        <v>95</v>
      </c>
      <c r="F139" s="203">
        <f>D139*0.72</f>
        <v>68.399999999999991</v>
      </c>
      <c r="G139" s="203">
        <f t="shared" si="27"/>
        <v>163.39999999999998</v>
      </c>
      <c r="I139" s="204">
        <f t="shared" si="28"/>
        <v>0.71999999999999986</v>
      </c>
    </row>
    <row r="140" spans="1:9" x14ac:dyDescent="0.2">
      <c r="A140" t="s">
        <v>515</v>
      </c>
      <c r="B140" s="203">
        <v>100</v>
      </c>
      <c r="D140" s="203">
        <f t="shared" si="26"/>
        <v>100</v>
      </c>
      <c r="F140" s="203">
        <f>D140*0.72</f>
        <v>72</v>
      </c>
      <c r="G140" s="203">
        <f t="shared" si="27"/>
        <v>172</v>
      </c>
      <c r="I140" s="204">
        <f t="shared" si="28"/>
        <v>0.72</v>
      </c>
    </row>
    <row r="141" spans="1:9" x14ac:dyDescent="0.2">
      <c r="A141" t="s">
        <v>516</v>
      </c>
      <c r="B141" s="203">
        <v>105</v>
      </c>
      <c r="D141" s="203">
        <f t="shared" si="26"/>
        <v>105</v>
      </c>
      <c r="F141" s="203">
        <f>'[3]Joe''s Priceout'!O132</f>
        <v>78.49499999999999</v>
      </c>
      <c r="G141" s="203">
        <f t="shared" si="27"/>
        <v>183.495</v>
      </c>
      <c r="I141" s="204">
        <f t="shared" si="28"/>
        <v>0.74757142857142844</v>
      </c>
    </row>
    <row r="142" spans="1:9" x14ac:dyDescent="0.2">
      <c r="A142" t="s">
        <v>517</v>
      </c>
      <c r="B142" s="203">
        <v>110</v>
      </c>
      <c r="D142" s="203">
        <f t="shared" si="26"/>
        <v>110</v>
      </c>
      <c r="F142" s="203">
        <f>'[3]Joe''s Priceout'!O137</f>
        <v>82</v>
      </c>
      <c r="G142" s="203">
        <f t="shared" si="27"/>
        <v>192</v>
      </c>
      <c r="I142" s="204">
        <f t="shared" si="28"/>
        <v>0.74545454545454548</v>
      </c>
    </row>
    <row r="144" spans="1:9" x14ac:dyDescent="0.2">
      <c r="A144" t="s">
        <v>527</v>
      </c>
      <c r="B144" s="203">
        <v>1.8</v>
      </c>
      <c r="D144" s="203">
        <f t="shared" si="26"/>
        <v>1.8</v>
      </c>
      <c r="F144" s="203">
        <f>'[3]Joe''s Priceout'!O138</f>
        <v>1.401</v>
      </c>
      <c r="G144" s="203">
        <f t="shared" si="27"/>
        <v>3.2010000000000001</v>
      </c>
      <c r="I144" s="204">
        <f>F144/D144</f>
        <v>0.77833333333333332</v>
      </c>
    </row>
    <row r="145" spans="1:9" x14ac:dyDescent="0.2">
      <c r="A145" t="s">
        <v>499</v>
      </c>
      <c r="B145" s="203">
        <v>60</v>
      </c>
      <c r="D145" s="203">
        <f>B145+C145</f>
        <v>60</v>
      </c>
      <c r="F145" s="203">
        <f>'[3]Joe''s Priceout'!O151</f>
        <v>45</v>
      </c>
      <c r="G145" s="203">
        <f>D145+F145</f>
        <v>105</v>
      </c>
      <c r="I145" s="204">
        <f>F145/D145</f>
        <v>0.75</v>
      </c>
    </row>
    <row r="147" spans="1:9" x14ac:dyDescent="0.2">
      <c r="A147" s="202" t="s">
        <v>528</v>
      </c>
    </row>
    <row r="148" spans="1:9" x14ac:dyDescent="0.2">
      <c r="A148" s="202" t="s">
        <v>529</v>
      </c>
    </row>
    <row r="149" spans="1:9" x14ac:dyDescent="0.2">
      <c r="A149" t="s">
        <v>530</v>
      </c>
      <c r="B149" s="203">
        <v>70</v>
      </c>
      <c r="D149" s="203">
        <f>B149+C149</f>
        <v>70</v>
      </c>
      <c r="F149" s="203">
        <f>D149*0.5</f>
        <v>35</v>
      </c>
      <c r="G149" s="203">
        <f>D149+F149</f>
        <v>105</v>
      </c>
      <c r="I149" s="204">
        <f>F149/D149</f>
        <v>0.5</v>
      </c>
    </row>
    <row r="150" spans="1:9" x14ac:dyDescent="0.2">
      <c r="A150" t="s">
        <v>531</v>
      </c>
      <c r="B150" s="203">
        <v>80</v>
      </c>
      <c r="D150" s="203">
        <f>B150+C150</f>
        <v>80</v>
      </c>
      <c r="F150" s="203">
        <f>D150*0.5</f>
        <v>40</v>
      </c>
      <c r="G150" s="203">
        <f>D150+F150</f>
        <v>120</v>
      </c>
      <c r="I150" s="204">
        <f>F150/D150</f>
        <v>0.5</v>
      </c>
    </row>
    <row r="151" spans="1:9" x14ac:dyDescent="0.2">
      <c r="A151" t="s">
        <v>532</v>
      </c>
      <c r="B151" s="203">
        <v>80</v>
      </c>
      <c r="D151" s="203">
        <f>B151+C151</f>
        <v>80</v>
      </c>
      <c r="F151" s="203">
        <f>D151*0.5</f>
        <v>40</v>
      </c>
      <c r="G151" s="203">
        <f>D151+F151</f>
        <v>120</v>
      </c>
      <c r="I151" s="204">
        <f>F151/D151</f>
        <v>0.5</v>
      </c>
    </row>
    <row r="152" spans="1:9" x14ac:dyDescent="0.2">
      <c r="A152" s="202" t="s">
        <v>533</v>
      </c>
    </row>
    <row r="153" spans="1:9" x14ac:dyDescent="0.2">
      <c r="A153" t="s">
        <v>530</v>
      </c>
      <c r="B153" s="203">
        <v>30</v>
      </c>
      <c r="D153" s="203">
        <f>B153+C153</f>
        <v>30</v>
      </c>
      <c r="F153" s="203">
        <f>D153*0.5</f>
        <v>15</v>
      </c>
      <c r="G153" s="203">
        <f>D153+F153</f>
        <v>45</v>
      </c>
      <c r="I153" s="204">
        <f>F153/D153</f>
        <v>0.5</v>
      </c>
    </row>
    <row r="154" spans="1:9" x14ac:dyDescent="0.2">
      <c r="A154" t="s">
        <v>531</v>
      </c>
      <c r="B154" s="203">
        <v>30</v>
      </c>
      <c r="D154" s="203">
        <f>B154+C154</f>
        <v>30</v>
      </c>
      <c r="F154" s="203">
        <f t="shared" ref="F154:F159" si="29">D154*0.5</f>
        <v>15</v>
      </c>
      <c r="G154" s="203">
        <f>D154+F154</f>
        <v>45</v>
      </c>
      <c r="I154" s="204">
        <f>F154/D154</f>
        <v>0.5</v>
      </c>
    </row>
    <row r="155" spans="1:9" x14ac:dyDescent="0.2">
      <c r="A155" t="s">
        <v>532</v>
      </c>
      <c r="B155" s="203">
        <v>30</v>
      </c>
      <c r="D155" s="203">
        <f>B155+C155</f>
        <v>30</v>
      </c>
      <c r="F155" s="203">
        <f t="shared" si="29"/>
        <v>15</v>
      </c>
      <c r="G155" s="203">
        <f>D155+F155</f>
        <v>45</v>
      </c>
      <c r="I155" s="204">
        <f>F155/D155</f>
        <v>0.5</v>
      </c>
    </row>
    <row r="156" spans="1:9" x14ac:dyDescent="0.2">
      <c r="A156" s="202" t="s">
        <v>534</v>
      </c>
    </row>
    <row r="157" spans="1:9" x14ac:dyDescent="0.2">
      <c r="A157" t="s">
        <v>530</v>
      </c>
      <c r="B157" s="203">
        <v>70</v>
      </c>
      <c r="D157" s="203">
        <f>B157+C157</f>
        <v>70</v>
      </c>
      <c r="F157" s="203">
        <f t="shared" si="29"/>
        <v>35</v>
      </c>
      <c r="G157" s="203">
        <f>D157+F157</f>
        <v>105</v>
      </c>
      <c r="I157" s="204">
        <f>F157/D157</f>
        <v>0.5</v>
      </c>
    </row>
    <row r="158" spans="1:9" x14ac:dyDescent="0.2">
      <c r="A158" t="s">
        <v>531</v>
      </c>
      <c r="B158" s="203">
        <v>80</v>
      </c>
      <c r="D158" s="203">
        <f>B158+C158</f>
        <v>80</v>
      </c>
      <c r="F158" s="203">
        <f t="shared" si="29"/>
        <v>40</v>
      </c>
      <c r="G158" s="203">
        <f>D158+F158</f>
        <v>120</v>
      </c>
      <c r="I158" s="204">
        <f>F158/D158</f>
        <v>0.5</v>
      </c>
    </row>
    <row r="159" spans="1:9" x14ac:dyDescent="0.2">
      <c r="A159" t="s">
        <v>532</v>
      </c>
      <c r="B159" s="203">
        <v>80</v>
      </c>
      <c r="D159" s="203">
        <f>B159+C159</f>
        <v>80</v>
      </c>
      <c r="F159" s="203">
        <f t="shared" si="29"/>
        <v>40</v>
      </c>
      <c r="G159" s="203">
        <f>D159+F159</f>
        <v>120</v>
      </c>
      <c r="I159" s="204">
        <f>F159/D159</f>
        <v>0.5</v>
      </c>
    </row>
    <row r="161" spans="1:16" x14ac:dyDescent="0.2">
      <c r="A161" s="202" t="s">
        <v>535</v>
      </c>
    </row>
    <row r="162" spans="1:16" x14ac:dyDescent="0.2">
      <c r="A162" t="s">
        <v>536</v>
      </c>
      <c r="B162" s="203">
        <v>80</v>
      </c>
      <c r="D162" s="203">
        <f>B162+C162</f>
        <v>80</v>
      </c>
      <c r="F162" s="203">
        <f>D162*0.5</f>
        <v>40</v>
      </c>
      <c r="G162" s="203">
        <f>D162+F162</f>
        <v>120</v>
      </c>
      <c r="I162" s="204">
        <f>F162/D162</f>
        <v>0.5</v>
      </c>
    </row>
    <row r="163" spans="1:16" x14ac:dyDescent="0.2">
      <c r="A163" t="s">
        <v>537</v>
      </c>
      <c r="B163" s="203">
        <v>320</v>
      </c>
      <c r="D163" s="203">
        <f>B163+C163</f>
        <v>320</v>
      </c>
      <c r="F163" s="203">
        <f>D163*0.5</f>
        <v>160</v>
      </c>
      <c r="G163" s="203">
        <f>D163+F163</f>
        <v>480</v>
      </c>
      <c r="I163" s="204">
        <f>F163/D163</f>
        <v>0.5</v>
      </c>
    </row>
    <row r="164" spans="1:16" ht="26.25" customHeight="1" x14ac:dyDescent="0.2">
      <c r="K164" s="217" t="s">
        <v>538</v>
      </c>
      <c r="L164" s="217"/>
    </row>
    <row r="165" spans="1:16" ht="25.5" x14ac:dyDescent="0.2">
      <c r="A165" s="202" t="s">
        <v>539</v>
      </c>
      <c r="K165" s="207" t="s">
        <v>242</v>
      </c>
      <c r="L165" s="208" t="s">
        <v>540</v>
      </c>
    </row>
    <row r="166" spans="1:16" x14ac:dyDescent="0.2">
      <c r="A166" t="s">
        <v>541</v>
      </c>
      <c r="B166" s="203">
        <v>6.22</v>
      </c>
      <c r="D166" s="203">
        <f>B166+C166</f>
        <v>6.22</v>
      </c>
      <c r="F166" s="203">
        <f>'[3]Joe''s Priceout'!Q40</f>
        <v>1.92</v>
      </c>
      <c r="G166" s="203">
        <f>D166+F166</f>
        <v>8.14</v>
      </c>
      <c r="I166" s="204">
        <f>F166/D166</f>
        <v>0.3086816720257235</v>
      </c>
      <c r="J166" s="209"/>
      <c r="K166" s="210">
        <f>'LG-Joe''s T Recycl'!E34</f>
        <v>-0.79521722381470661</v>
      </c>
      <c r="L166" s="211">
        <f>+G166+K166</f>
        <v>7.3447827761852942</v>
      </c>
      <c r="M166" s="194"/>
      <c r="N166" s="194"/>
      <c r="O166" s="194"/>
      <c r="P166" s="194"/>
    </row>
    <row r="167" spans="1:16" x14ac:dyDescent="0.2">
      <c r="A167" t="s">
        <v>542</v>
      </c>
      <c r="B167" s="203">
        <v>7.22</v>
      </c>
      <c r="D167" s="203">
        <f>B167+C167</f>
        <v>7.22</v>
      </c>
      <c r="F167" s="203">
        <v>1.92</v>
      </c>
      <c r="G167" s="203">
        <v>9.14</v>
      </c>
      <c r="I167" s="204">
        <f>F167/D167</f>
        <v>0.26592797783933519</v>
      </c>
      <c r="K167" s="211">
        <f>+K166</f>
        <v>-0.79521722381470661</v>
      </c>
      <c r="L167" s="211">
        <f>+G167+K167</f>
        <v>8.3447827761852942</v>
      </c>
      <c r="M167" s="194"/>
      <c r="N167" s="194"/>
      <c r="O167" s="194"/>
    </row>
    <row r="168" spans="1:16" x14ac:dyDescent="0.2">
      <c r="K168" s="126"/>
      <c r="L168" s="126"/>
      <c r="M168" s="194"/>
      <c r="N168" s="194"/>
      <c r="O168" s="194"/>
    </row>
    <row r="169" spans="1:16" x14ac:dyDescent="0.2">
      <c r="A169" t="s">
        <v>543</v>
      </c>
      <c r="B169" s="203">
        <v>3.84</v>
      </c>
      <c r="D169" s="203">
        <f>B169+C169</f>
        <v>3.84</v>
      </c>
      <c r="F169" s="203">
        <f>'[3]Joe''s Priceout'!Q73</f>
        <v>1.12896</v>
      </c>
      <c r="G169" s="203">
        <f>D169+F169</f>
        <v>4.96896</v>
      </c>
      <c r="I169" s="204">
        <f>F169/D169</f>
        <v>0.29399999999999998</v>
      </c>
      <c r="K169" s="210">
        <f>'LG-Joe''s T MF'!E32</f>
        <v>-0.16036557369232921</v>
      </c>
      <c r="L169" s="211">
        <f>+G169+K169</f>
        <v>4.8085944263076712</v>
      </c>
    </row>
    <row r="171" spans="1:16" x14ac:dyDescent="0.2">
      <c r="A171" t="s">
        <v>21</v>
      </c>
      <c r="B171" s="203">
        <v>7.5</v>
      </c>
      <c r="D171" s="203">
        <f>B171+C171</f>
        <v>7.5</v>
      </c>
      <c r="F171" s="203">
        <f>'[3]Joe''s Priceout'!Q42</f>
        <v>2.15</v>
      </c>
      <c r="G171" s="203">
        <f>D171+F171</f>
        <v>9.65</v>
      </c>
      <c r="I171" s="204">
        <f>F171/D171</f>
        <v>0.28666666666666668</v>
      </c>
    </row>
    <row r="172" spans="1:16" x14ac:dyDescent="0.2">
      <c r="A172" t="s">
        <v>544</v>
      </c>
      <c r="B172" s="203">
        <v>6.75</v>
      </c>
      <c r="D172" s="203">
        <f>B172+C172</f>
        <v>6.75</v>
      </c>
      <c r="F172" s="203">
        <f>D172*0.5+0.02</f>
        <v>3.395</v>
      </c>
      <c r="G172" s="203">
        <f>D172+F172</f>
        <v>10.145</v>
      </c>
      <c r="I172" s="204">
        <f>F172/D172</f>
        <v>0.50296296296296295</v>
      </c>
    </row>
    <row r="173" spans="1:16" x14ac:dyDescent="0.2">
      <c r="A173" t="s">
        <v>545</v>
      </c>
      <c r="B173" s="203">
        <v>3.5</v>
      </c>
      <c r="D173" s="203">
        <f>B173+C173</f>
        <v>3.5</v>
      </c>
      <c r="F173" s="203">
        <f>D173*0.7</f>
        <v>2.4499999999999997</v>
      </c>
      <c r="G173" s="203">
        <f>D173+F173</f>
        <v>5.9499999999999993</v>
      </c>
      <c r="I173" s="204">
        <f>F173/D173</f>
        <v>0.7</v>
      </c>
    </row>
    <row r="175" spans="1:16" x14ac:dyDescent="0.2">
      <c r="A175" t="s">
        <v>546</v>
      </c>
      <c r="B175" s="203">
        <v>10</v>
      </c>
      <c r="D175" s="203">
        <f>B175+C175</f>
        <v>10</v>
      </c>
      <c r="F175" s="203">
        <f>D175*0.11</f>
        <v>1.1000000000000001</v>
      </c>
      <c r="G175" s="203">
        <f>D175+F175</f>
        <v>11.1</v>
      </c>
      <c r="I175" s="204">
        <f>F175/D175</f>
        <v>0.11000000000000001</v>
      </c>
    </row>
    <row r="176" spans="1:16" x14ac:dyDescent="0.2">
      <c r="A176" t="s">
        <v>547</v>
      </c>
    </row>
  </sheetData>
  <mergeCells count="1">
    <mergeCell ref="K164:L164"/>
  </mergeCells>
  <pageMargins left="0.7" right="0.7" top="0.75" bottom="0.75" header="0.3" footer="0.3"/>
  <pageSetup scale="76" orientation="portrait" r:id="rId1"/>
  <headerFooter>
    <oddFooter>Page &amp;P of &amp;N</oddFooter>
  </headerFooter>
  <rowBreaks count="2" manualBreakCount="2">
    <brk id="52" max="16383" man="1"/>
    <brk id="123" max="16383" man="1"/>
  </rowBreaks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FAA20C08257F469CC7771957A7B8F4" ma:contentTypeVersion="68" ma:contentTypeDescription="" ma:contentTypeScope="" ma:versionID="123fff2c153c0fae5d6a817d6dbb31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2018-06-13T07:00:00+00:00</OpenedDate>
    <SignificantOrder xmlns="dc463f71-b30c-4ab2-9473-d307f9d35888">false</SignificantOrder>
    <Date1 xmlns="dc463f71-b30c-4ab2-9473-d307f9d35888">2018-06-13T07:00:00+00:00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180547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467C6B-DD11-4754-888F-B1C122C9F439}"/>
</file>

<file path=customXml/itemProps2.xml><?xml version="1.0" encoding="utf-8"?>
<ds:datastoreItem xmlns:ds="http://schemas.openxmlformats.org/officeDocument/2006/customXml" ds:itemID="{50CE6FF5-D6D6-48B7-9B40-AAC565299AA7}"/>
</file>

<file path=customXml/itemProps3.xml><?xml version="1.0" encoding="utf-8"?>
<ds:datastoreItem xmlns:ds="http://schemas.openxmlformats.org/officeDocument/2006/customXml" ds:itemID="{62233597-4F88-4F38-8290-9E4EF714BF19}"/>
</file>

<file path=customXml/itemProps4.xml><?xml version="1.0" encoding="utf-8"?>
<ds:datastoreItem xmlns:ds="http://schemas.openxmlformats.org/officeDocument/2006/customXml" ds:itemID="{930FBC83-E650-4DEC-94CC-DB1CD49C7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Instructions</vt:lpstr>
      <vt:lpstr>2188 Restating Expl</vt:lpstr>
      <vt:lpstr>Pro-forma Lewis,Joe's</vt:lpstr>
      <vt:lpstr>LG-Joe's T Recycl</vt:lpstr>
      <vt:lpstr>LG-Joe's T MF</vt:lpstr>
      <vt:lpstr>Joe's Priceout</vt:lpstr>
      <vt:lpstr>Settlement Rate Sheet</vt:lpstr>
      <vt:lpstr>'2188 Restating Expl'!Print_Area</vt:lpstr>
      <vt:lpstr>'Joe''s Priceout'!Print_Area</vt:lpstr>
      <vt:lpstr>'LG-Joe''s T MF'!Print_Area</vt:lpstr>
      <vt:lpstr>'LG-Joe''s T Recycl'!Print_Area</vt:lpstr>
      <vt:lpstr>'Pro-forma Lewis,Joe''s'!Print_Area</vt:lpstr>
      <vt:lpstr>'2188 Restating Expl'!Print_Titles</vt:lpstr>
      <vt:lpstr>'Joe''s Priceout'!Print_Titles</vt:lpstr>
      <vt:lpstr>'Pro-forma Lewis,Joe''s'!Print_Titles</vt:lpstr>
      <vt:lpstr>'Settlement Rate Sheet'!Print_Titles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Chelsea Paschke</cp:lastModifiedBy>
  <cp:lastPrinted>2018-06-13T21:10:26Z</cp:lastPrinted>
  <dcterms:created xsi:type="dcterms:W3CDTF">2018-06-13T19:39:28Z</dcterms:created>
  <dcterms:modified xsi:type="dcterms:W3CDTF">2018-06-13T21:13:06Z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0x0101006E56B4D1795A2E4DB2F0B01679ED314A009BFAA20C08257F469CC7771957A7B8F4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