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docProps/custom.xml" ContentType="application/vnd.openxmlformats-officedocument.custom-properties+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3.xml" ContentType="application/vnd.openxmlformats-officedocument.spreadsheetml.comment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June 15\6741 Cascade\"/>
    </mc:Choice>
  </mc:AlternateContent>
  <bookViews>
    <workbookView xWindow="0" yWindow="0" windowWidth="24000" windowHeight="8235"/>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01253'!$A$1:$H$57</definedName>
    <definedName name="_xlnm.Print_Area" localSheetId="1">'DG 01254'!$A$1:$H$57</definedName>
    <definedName name="_xlnm.Print_Area" localSheetId="2">'DG 01286'!$A$1:$H$26</definedName>
    <definedName name="_xlnm.Print_Area" localSheetId="11">'FERC Interest Rates'!$A$1:$D$73</definedName>
    <definedName name="_xlnm.Print_Area" localSheetId="4">'RA 1860.20479'!$A$1:$H$18</definedName>
    <definedName name="_xlnm.Print_Area" localSheetId="10">'RA 1862.20478'!$A$1:$H$24</definedName>
    <definedName name="_xlnm.Print_Area" localSheetId="5">'RA 20430'!$A$1:$H$57</definedName>
    <definedName name="_xlnm.Print_Area" localSheetId="6">'RA 20431'!$A$1:$H$57</definedName>
    <definedName name="_xlnm.Print_Area" localSheetId="7">'RA 20444'!$A$1:$H$57</definedName>
    <definedName name="_xlnm.Print_Area" localSheetId="8">'RA 20449'!$A$1:$H$57</definedName>
    <definedName name="_xlnm.Print_Area" localSheetId="9">'RA 20477'!$A$1:$H$20</definedName>
    <definedName name="_xlnm.Print_Area" localSheetId="12">'Therm Sales'!$A$1:$P$47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0" l="1"/>
  <c r="D9" i="30"/>
  <c r="C9" i="30"/>
  <c r="F9" i="30" s="1"/>
  <c r="F10" i="30"/>
  <c r="D10" i="30"/>
  <c r="B2" i="30"/>
  <c r="C13" i="30" l="1"/>
  <c r="C19" i="30" s="1"/>
  <c r="C10" i="30"/>
  <c r="E13" i="30"/>
  <c r="E19" i="30" s="1"/>
  <c r="E10" i="30"/>
  <c r="D19" i="30"/>
  <c r="D13" i="30"/>
  <c r="F19" i="30" l="1"/>
  <c r="A24" i="18" l="1"/>
  <c r="A23" i="18"/>
  <c r="A22" i="18"/>
  <c r="A21" i="18"/>
  <c r="A20" i="18"/>
  <c r="A19" i="18"/>
  <c r="E18" i="18"/>
  <c r="A18" i="18"/>
  <c r="H17" i="18"/>
  <c r="A26" i="17"/>
  <c r="A25" i="17"/>
  <c r="A24" i="17"/>
  <c r="A23" i="17"/>
  <c r="A22" i="17"/>
  <c r="A21" i="17"/>
  <c r="A20" i="17"/>
  <c r="A19" i="17"/>
  <c r="E18" i="17"/>
  <c r="A18" i="17"/>
  <c r="H17" i="17"/>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18" i="11"/>
  <c r="A17" i="11"/>
  <c r="A16" i="11"/>
  <c r="A15" i="11"/>
  <c r="D14" i="11"/>
  <c r="A14" i="11"/>
  <c r="A13" i="11"/>
  <c r="H12" i="11"/>
  <c r="D12" i="11"/>
  <c r="A12" i="11"/>
  <c r="A20" i="8"/>
  <c r="A19" i="8"/>
  <c r="A18" i="8"/>
  <c r="A17" i="8"/>
  <c r="A16" i="8"/>
  <c r="A15" i="8"/>
  <c r="A14" i="8"/>
  <c r="A13" i="8"/>
  <c r="A12" i="8"/>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I52" i="4" s="1"/>
  <c r="E52" i="4"/>
  <c r="A52" i="4"/>
  <c r="N51" i="4"/>
  <c r="H51" i="4"/>
  <c r="E51" i="4"/>
  <c r="A51" i="4"/>
  <c r="N50" i="4"/>
  <c r="K50" i="4"/>
  <c r="O50" i="4" s="1"/>
  <c r="H50" i="4"/>
  <c r="E50" i="4"/>
  <c r="I50" i="4" s="1"/>
  <c r="A50" i="4"/>
  <c r="N49" i="4"/>
  <c r="K49" i="4"/>
  <c r="O49" i="4" s="1"/>
  <c r="I49" i="4"/>
  <c r="H49" i="4"/>
  <c r="E49" i="4"/>
  <c r="A49" i="4"/>
  <c r="N48" i="4"/>
  <c r="I48" i="4"/>
  <c r="H48" i="4"/>
  <c r="E48" i="4"/>
  <c r="A48" i="4"/>
  <c r="M47" i="4"/>
  <c r="J47" i="4"/>
  <c r="N47" i="4" s="1"/>
  <c r="I47" i="4"/>
  <c r="H47" i="4"/>
  <c r="G47" i="4"/>
  <c r="E47" i="4"/>
  <c r="A47" i="4"/>
  <c r="M46" i="4"/>
  <c r="J46" i="4"/>
  <c r="N46" i="4" s="1"/>
  <c r="H46" i="4"/>
  <c r="G46" i="4"/>
  <c r="E46" i="4"/>
  <c r="A46" i="4"/>
  <c r="M45" i="4"/>
  <c r="J45" i="4"/>
  <c r="N45" i="4" s="1"/>
  <c r="I45" i="4"/>
  <c r="H45" i="4"/>
  <c r="G45" i="4"/>
  <c r="E45" i="4"/>
  <c r="A45" i="4"/>
  <c r="M44" i="4"/>
  <c r="J44" i="4"/>
  <c r="N44" i="4" s="1"/>
  <c r="H44" i="4"/>
  <c r="G44" i="4"/>
  <c r="F44" i="4"/>
  <c r="E44" i="4"/>
  <c r="A44" i="4"/>
  <c r="M43" i="4"/>
  <c r="J43" i="4"/>
  <c r="N43" i="4" s="1"/>
  <c r="G43" i="4"/>
  <c r="F43" i="4"/>
  <c r="H43" i="4" s="1"/>
  <c r="E43" i="4"/>
  <c r="I43" i="4" s="1"/>
  <c r="A43" i="4"/>
  <c r="M42" i="4"/>
  <c r="N42" i="4" s="1"/>
  <c r="J42" i="4"/>
  <c r="H42" i="4"/>
  <c r="G42" i="4"/>
  <c r="F42" i="4"/>
  <c r="E42" i="4"/>
  <c r="I42" i="4" s="1"/>
  <c r="A42" i="4"/>
  <c r="N41" i="4"/>
  <c r="M41" i="4"/>
  <c r="J41" i="4"/>
  <c r="H41" i="4"/>
  <c r="G41" i="4"/>
  <c r="F41" i="4"/>
  <c r="E41" i="4"/>
  <c r="I41" i="4" s="1"/>
  <c r="A41" i="4"/>
  <c r="M40" i="4"/>
  <c r="J40" i="4"/>
  <c r="G40" i="4"/>
  <c r="F40" i="4"/>
  <c r="H40" i="4" s="1"/>
  <c r="E40" i="4"/>
  <c r="A40" i="4"/>
  <c r="N39" i="4"/>
  <c r="M39" i="4"/>
  <c r="J39" i="4"/>
  <c r="G39" i="4"/>
  <c r="F39" i="4"/>
  <c r="E39" i="4"/>
  <c r="A39" i="4"/>
  <c r="M38" i="4"/>
  <c r="J38" i="4"/>
  <c r="N38" i="4" s="1"/>
  <c r="G38" i="4"/>
  <c r="F38" i="4"/>
  <c r="H38" i="4" s="1"/>
  <c r="E38" i="4"/>
  <c r="I38" i="4" s="1"/>
  <c r="A38" i="4"/>
  <c r="M37" i="4"/>
  <c r="N37" i="4" s="1"/>
  <c r="J37" i="4"/>
  <c r="H37" i="4"/>
  <c r="G37" i="4"/>
  <c r="F37" i="4"/>
  <c r="E37" i="4"/>
  <c r="I37" i="4" s="1"/>
  <c r="A37" i="4"/>
  <c r="M36" i="4"/>
  <c r="J36" i="4"/>
  <c r="N36" i="4" s="1"/>
  <c r="G36" i="4"/>
  <c r="F36" i="4"/>
  <c r="H36" i="4" s="1"/>
  <c r="E36" i="4"/>
  <c r="A36" i="4"/>
  <c r="N35" i="4"/>
  <c r="M35" i="4"/>
  <c r="J35" i="4"/>
  <c r="G35" i="4"/>
  <c r="F35" i="4"/>
  <c r="E35" i="4"/>
  <c r="A35" i="4"/>
  <c r="P34" i="4"/>
  <c r="M34" i="4"/>
  <c r="J34" i="4"/>
  <c r="N34" i="4" s="1"/>
  <c r="G34" i="4"/>
  <c r="F34" i="4"/>
  <c r="H34" i="4" s="1"/>
  <c r="E34" i="4"/>
  <c r="I34" i="4" s="1"/>
  <c r="A34" i="4"/>
  <c r="N33" i="4"/>
  <c r="M33" i="4"/>
  <c r="J33" i="4"/>
  <c r="H33" i="4"/>
  <c r="G33" i="4"/>
  <c r="F33" i="4"/>
  <c r="E33" i="4"/>
  <c r="I33" i="4" s="1"/>
  <c r="A33" i="4"/>
  <c r="P32" i="4"/>
  <c r="M32" i="4"/>
  <c r="N32" i="4" s="1"/>
  <c r="J32" i="4"/>
  <c r="H32" i="4"/>
  <c r="G32" i="4"/>
  <c r="F32" i="4"/>
  <c r="E32" i="4"/>
  <c r="I32" i="4" s="1"/>
  <c r="A32" i="4"/>
  <c r="P31" i="4"/>
  <c r="M31" i="4"/>
  <c r="J31" i="4"/>
  <c r="N31" i="4" s="1"/>
  <c r="G31" i="4"/>
  <c r="F31" i="4"/>
  <c r="H31" i="4" s="1"/>
  <c r="E31" i="4"/>
  <c r="I31" i="4" s="1"/>
  <c r="A31" i="4"/>
  <c r="P30" i="4"/>
  <c r="M30" i="4"/>
  <c r="J30" i="4"/>
  <c r="N30" i="4" s="1"/>
  <c r="G30" i="4"/>
  <c r="F30" i="4"/>
  <c r="H30" i="4" s="1"/>
  <c r="E30" i="4"/>
  <c r="A30" i="4"/>
  <c r="P29" i="4"/>
  <c r="N29" i="4"/>
  <c r="M29" i="4"/>
  <c r="J29" i="4"/>
  <c r="H29" i="4"/>
  <c r="G29" i="4"/>
  <c r="F29" i="4"/>
  <c r="E29" i="4"/>
  <c r="I29" i="4" s="1"/>
  <c r="A29" i="4"/>
  <c r="P28" i="4"/>
  <c r="M28" i="4"/>
  <c r="N28" i="4" s="1"/>
  <c r="J28" i="4"/>
  <c r="H28" i="4"/>
  <c r="G28" i="4"/>
  <c r="F28" i="4"/>
  <c r="D28" i="4"/>
  <c r="E28" i="4" s="1"/>
  <c r="I28" i="4" s="1"/>
  <c r="C28" i="4"/>
  <c r="A28" i="4"/>
  <c r="P27" i="4"/>
  <c r="M27" i="4"/>
  <c r="J27" i="4"/>
  <c r="G27" i="4"/>
  <c r="H27" i="4" s="1"/>
  <c r="F27" i="4"/>
  <c r="D27" i="4"/>
  <c r="C27" i="4"/>
  <c r="E27" i="4" s="1"/>
  <c r="A27" i="4"/>
  <c r="P26" i="4"/>
  <c r="M26" i="4"/>
  <c r="N26" i="4" s="1"/>
  <c r="J26" i="4"/>
  <c r="H26" i="4"/>
  <c r="G26" i="4"/>
  <c r="F26" i="4"/>
  <c r="E26" i="4"/>
  <c r="I26" i="4" s="1"/>
  <c r="A26" i="4"/>
  <c r="P25" i="4"/>
  <c r="M25" i="4"/>
  <c r="J25" i="4"/>
  <c r="N25" i="4" s="1"/>
  <c r="G25" i="4"/>
  <c r="F25" i="4"/>
  <c r="H25" i="4" s="1"/>
  <c r="E25" i="4"/>
  <c r="I25" i="4" s="1"/>
  <c r="A25" i="4"/>
  <c r="P24" i="4"/>
  <c r="M24" i="4"/>
  <c r="J24" i="4"/>
  <c r="N24" i="4" s="1"/>
  <c r="G24" i="4"/>
  <c r="F24" i="4"/>
  <c r="H24" i="4" s="1"/>
  <c r="E24" i="4"/>
  <c r="A24" i="4"/>
  <c r="P23" i="4"/>
  <c r="N23" i="4"/>
  <c r="M23" i="4"/>
  <c r="J23" i="4"/>
  <c r="H23" i="4"/>
  <c r="G23" i="4"/>
  <c r="F23" i="4"/>
  <c r="E23" i="4"/>
  <c r="I23" i="4" s="1"/>
  <c r="A23" i="4"/>
  <c r="P22" i="4"/>
  <c r="M22" i="4"/>
  <c r="N22" i="4" s="1"/>
  <c r="J22" i="4"/>
  <c r="H22" i="4"/>
  <c r="G22" i="4"/>
  <c r="F22" i="4"/>
  <c r="E22" i="4"/>
  <c r="I22" i="4" s="1"/>
  <c r="A22" i="4"/>
  <c r="P21" i="4"/>
  <c r="M21" i="4"/>
  <c r="J21" i="4"/>
  <c r="N21" i="4" s="1"/>
  <c r="G21" i="4"/>
  <c r="F21" i="4"/>
  <c r="H21" i="4" s="1"/>
  <c r="E21" i="4"/>
  <c r="A21" i="4"/>
  <c r="P20" i="4"/>
  <c r="M20" i="4"/>
  <c r="J20" i="4"/>
  <c r="N20" i="4" s="1"/>
  <c r="I20" i="4"/>
  <c r="H20" i="4"/>
  <c r="G20" i="4"/>
  <c r="E20" i="4"/>
  <c r="A20" i="4"/>
  <c r="P19" i="4"/>
  <c r="M19" i="4"/>
  <c r="N19" i="4" s="1"/>
  <c r="J19" i="4"/>
  <c r="G19" i="4"/>
  <c r="H19" i="4" s="1"/>
  <c r="F19" i="4"/>
  <c r="E19" i="4"/>
  <c r="I19" i="4" s="1"/>
  <c r="A19" i="4"/>
  <c r="P18" i="4"/>
  <c r="M18" i="4"/>
  <c r="N18" i="4" s="1"/>
  <c r="J18" i="4"/>
  <c r="G18" i="4"/>
  <c r="H18" i="4" s="1"/>
  <c r="F18" i="4"/>
  <c r="E18" i="4"/>
  <c r="A18" i="4"/>
  <c r="P17" i="4"/>
  <c r="N17" i="4"/>
  <c r="M17" i="4"/>
  <c r="J17" i="4"/>
  <c r="G17" i="4"/>
  <c r="H17" i="4" s="1"/>
  <c r="F17" i="4"/>
  <c r="E17" i="4"/>
  <c r="A17" i="4"/>
  <c r="P16" i="4"/>
  <c r="M16" i="4"/>
  <c r="N16" i="4" s="1"/>
  <c r="J16" i="4"/>
  <c r="H16" i="4"/>
  <c r="G16" i="4"/>
  <c r="F16" i="4"/>
  <c r="E16" i="4"/>
  <c r="I16" i="4" s="1"/>
  <c r="A16" i="4"/>
  <c r="P15" i="4"/>
  <c r="M15" i="4"/>
  <c r="N15" i="4" s="1"/>
  <c r="J15" i="4"/>
  <c r="G15" i="4"/>
  <c r="H15" i="4" s="1"/>
  <c r="F15" i="4"/>
  <c r="E15" i="4"/>
  <c r="A15" i="4"/>
  <c r="P14" i="4"/>
  <c r="M14" i="4"/>
  <c r="N14" i="4" s="1"/>
  <c r="J14" i="4"/>
  <c r="G14" i="4"/>
  <c r="H14" i="4" s="1"/>
  <c r="F14" i="4"/>
  <c r="E14" i="4"/>
  <c r="I14" i="4" s="1"/>
  <c r="A14" i="4"/>
  <c r="P13" i="4"/>
  <c r="N13" i="4"/>
  <c r="M13" i="4"/>
  <c r="J13" i="4"/>
  <c r="G13" i="4"/>
  <c r="H13" i="4" s="1"/>
  <c r="F13" i="4"/>
  <c r="E13" i="4"/>
  <c r="I13" i="4" s="1"/>
  <c r="A13" i="4"/>
  <c r="P12" i="4"/>
  <c r="M12" i="4"/>
  <c r="N12" i="4" s="1"/>
  <c r="J12" i="4"/>
  <c r="H12" i="4"/>
  <c r="G12" i="4"/>
  <c r="F12" i="4"/>
  <c r="E12" i="4"/>
  <c r="I12" i="4" s="1"/>
  <c r="A12" i="4"/>
  <c r="P11" i="4"/>
  <c r="M11" i="4"/>
  <c r="N11" i="4" s="1"/>
  <c r="J11" i="4"/>
  <c r="G11" i="4"/>
  <c r="H11" i="4" s="1"/>
  <c r="F11" i="4"/>
  <c r="E11" i="4"/>
  <c r="I11" i="4" s="1"/>
  <c r="A11" i="4"/>
  <c r="P10" i="4"/>
  <c r="M10" i="4"/>
  <c r="N10" i="4" s="1"/>
  <c r="J10" i="4"/>
  <c r="G10" i="4"/>
  <c r="H10" i="4" s="1"/>
  <c r="F10" i="4"/>
  <c r="E10" i="4"/>
  <c r="A10" i="4"/>
  <c r="P9" i="4"/>
  <c r="N9" i="4"/>
  <c r="M9" i="4"/>
  <c r="J9" i="4"/>
  <c r="G9" i="4"/>
  <c r="H9" i="4" s="1"/>
  <c r="F9" i="4"/>
  <c r="E9" i="4"/>
  <c r="A9" i="4"/>
  <c r="P8" i="4"/>
  <c r="M8" i="4"/>
  <c r="N8" i="4" s="1"/>
  <c r="J8" i="4"/>
  <c r="H8" i="4"/>
  <c r="G8" i="4"/>
  <c r="F8" i="4"/>
  <c r="E8" i="4"/>
  <c r="I8" i="4" s="1"/>
  <c r="A8" i="4"/>
  <c r="P7" i="4"/>
  <c r="M7" i="4"/>
  <c r="N7" i="4" s="1"/>
  <c r="J7" i="4"/>
  <c r="G7" i="4"/>
  <c r="H7" i="4" s="1"/>
  <c r="F7" i="4"/>
  <c r="E7" i="4"/>
  <c r="A7" i="4"/>
  <c r="P6" i="4"/>
  <c r="M6" i="4"/>
  <c r="N6" i="4" s="1"/>
  <c r="J6" i="4"/>
  <c r="G6" i="4"/>
  <c r="H6" i="4" s="1"/>
  <c r="F6" i="4"/>
  <c r="E6" i="4"/>
  <c r="I6" i="4" s="1"/>
  <c r="A6" i="4"/>
  <c r="P5" i="4"/>
  <c r="N5" i="4"/>
  <c r="M5" i="4"/>
  <c r="J5" i="4"/>
  <c r="G5" i="4"/>
  <c r="H5" i="4" s="1"/>
  <c r="F5" i="4"/>
  <c r="E5" i="4"/>
  <c r="I5" i="4" s="1"/>
  <c r="A5" i="4"/>
  <c r="B62" i="3"/>
  <c r="B63" i="3" s="1"/>
  <c r="B64" i="3" s="1"/>
  <c r="B65" i="3" s="1"/>
  <c r="B66" i="3" s="1"/>
  <c r="B67" i="3" s="1"/>
  <c r="B68" i="3" s="1"/>
  <c r="B69" i="3" s="1"/>
  <c r="B54" i="3"/>
  <c r="B53" i="3"/>
  <c r="B51" i="3"/>
  <c r="B50" i="3"/>
  <c r="B11" i="3"/>
  <c r="B12" i="3" s="1"/>
  <c r="B13" i="3" s="1"/>
  <c r="B14" i="3" s="1"/>
  <c r="B15" i="3" s="1"/>
  <c r="B16" i="3" s="1"/>
  <c r="B17" i="3" s="1"/>
  <c r="B18" i="3" s="1"/>
  <c r="B19" i="3" s="1"/>
  <c r="B20" i="3" s="1"/>
  <c r="K38" i="4" l="1"/>
  <c r="O38" i="4" s="1"/>
  <c r="K52" i="4"/>
  <c r="O52" i="4" s="1"/>
  <c r="K8" i="4"/>
  <c r="O8" i="4" s="1"/>
  <c r="I9" i="4"/>
  <c r="I10" i="4"/>
  <c r="K16" i="4"/>
  <c r="O16" i="4" s="1"/>
  <c r="I17" i="4"/>
  <c r="I18" i="4"/>
  <c r="K26" i="4"/>
  <c r="O26" i="4" s="1"/>
  <c r="K32" i="4"/>
  <c r="O32" i="4" s="1"/>
  <c r="K33" i="4"/>
  <c r="O33" i="4" s="1"/>
  <c r="K34" i="4"/>
  <c r="O34" i="4" s="1"/>
  <c r="K37" i="4"/>
  <c r="O37" i="4" s="1"/>
  <c r="F12" i="15"/>
  <c r="H12" i="15"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F12" i="7"/>
  <c r="H12" i="7" s="1"/>
  <c r="K11" i="4"/>
  <c r="O11" i="4" s="1"/>
  <c r="K19" i="4"/>
  <c r="O19" i="4" s="1"/>
  <c r="I7" i="4"/>
  <c r="I15" i="4"/>
  <c r="K22" i="4"/>
  <c r="O22" i="4" s="1"/>
  <c r="K23" i="4"/>
  <c r="O23" i="4" s="1"/>
  <c r="K25" i="4"/>
  <c r="O25" i="4" s="1"/>
  <c r="K28" i="4"/>
  <c r="O28" i="4" s="1"/>
  <c r="K29" i="4"/>
  <c r="O29" i="4" s="1"/>
  <c r="K31" i="4"/>
  <c r="O31" i="4" s="1"/>
  <c r="C22" i="17"/>
  <c r="E22" i="17" s="1"/>
  <c r="C20" i="18"/>
  <c r="E20" i="18" s="1"/>
  <c r="K43" i="4"/>
  <c r="O43" i="4" s="1"/>
  <c r="K5" i="4"/>
  <c r="O5" i="4" s="1"/>
  <c r="K6" i="4"/>
  <c r="O6" i="4" s="1"/>
  <c r="K12" i="4"/>
  <c r="O12" i="4" s="1"/>
  <c r="K13" i="4"/>
  <c r="O13" i="4" s="1"/>
  <c r="K14" i="4"/>
  <c r="O14" i="4" s="1"/>
  <c r="I21" i="4"/>
  <c r="I24" i="4"/>
  <c r="I30" i="4"/>
  <c r="C20" i="17"/>
  <c r="E20" i="17" s="1"/>
  <c r="C18" i="18"/>
  <c r="K41" i="4"/>
  <c r="O41" i="4" s="1"/>
  <c r="C19" i="18"/>
  <c r="E19" i="18" s="1"/>
  <c r="C21" i="17"/>
  <c r="E21" i="17" s="1"/>
  <c r="K42" i="4"/>
  <c r="O42" i="4" s="1"/>
  <c r="I36" i="4"/>
  <c r="I27" i="4"/>
  <c r="I44" i="4"/>
  <c r="F12" i="6"/>
  <c r="H12" i="6" s="1"/>
  <c r="F12" i="8"/>
  <c r="H12" i="8" s="1"/>
  <c r="B55" i="3"/>
  <c r="B56" i="3" s="1"/>
  <c r="B57" i="3" s="1"/>
  <c r="B58" i="3" s="1"/>
  <c r="B59" i="3" s="1"/>
  <c r="B60" i="3" s="1"/>
  <c r="N27" i="4"/>
  <c r="H39" i="4"/>
  <c r="I39" i="4" s="1"/>
  <c r="I46" i="4"/>
  <c r="K20" i="4"/>
  <c r="O20" i="4" s="1"/>
  <c r="C24" i="17"/>
  <c r="E24" i="17" s="1"/>
  <c r="C22" i="18"/>
  <c r="E22" i="18" s="1"/>
  <c r="K45" i="4"/>
  <c r="O45" i="4" s="1"/>
  <c r="C26" i="17"/>
  <c r="E26" i="17" s="1"/>
  <c r="C24" i="18"/>
  <c r="E24" i="18" s="1"/>
  <c r="K47" i="4"/>
  <c r="O47" i="4" s="1"/>
  <c r="K48" i="4"/>
  <c r="O48" i="4" s="1"/>
  <c r="H35" i="4"/>
  <c r="I35" i="4" s="1"/>
  <c r="I40" i="4"/>
  <c r="N40" i="4"/>
  <c r="I51" i="4"/>
  <c r="F12" i="13"/>
  <c r="H12" i="13" s="1"/>
  <c r="F18" i="17"/>
  <c r="H18" i="17" s="1"/>
  <c r="H13" i="11"/>
  <c r="F12" i="12"/>
  <c r="H12" i="12" s="1"/>
  <c r="F12" i="14"/>
  <c r="H12" i="14" s="1"/>
  <c r="F18" i="18"/>
  <c r="H18" i="18" s="1"/>
  <c r="F19" i="17" l="1"/>
  <c r="F13" i="7"/>
  <c r="H13" i="7" s="1"/>
  <c r="F19" i="18"/>
  <c r="H19" i="18" s="1"/>
  <c r="F13" i="13"/>
  <c r="H13" i="13" s="1"/>
  <c r="H14" i="11"/>
  <c r="C19" i="17"/>
  <c r="E19" i="17" s="1"/>
  <c r="H19" i="17" s="1"/>
  <c r="K40" i="4"/>
  <c r="O40" i="4" s="1"/>
  <c r="F13" i="6"/>
  <c r="H13" i="6" s="1"/>
  <c r="K21" i="4"/>
  <c r="O21" i="4" s="1"/>
  <c r="F13" i="15"/>
  <c r="H13" i="15" s="1"/>
  <c r="K10" i="4"/>
  <c r="O10" i="4" s="1"/>
  <c r="K35" i="4"/>
  <c r="O35" i="4" s="1"/>
  <c r="C21" i="18"/>
  <c r="E21" i="18" s="1"/>
  <c r="C23" i="17"/>
  <c r="E23" i="17" s="1"/>
  <c r="K44" i="4"/>
  <c r="O44" i="4" s="1"/>
  <c r="K18" i="4"/>
  <c r="O18" i="4" s="1"/>
  <c r="K9" i="4"/>
  <c r="O9" i="4" s="1"/>
  <c r="F13" i="12"/>
  <c r="H13" i="12" s="1"/>
  <c r="F13" i="14"/>
  <c r="H13" i="14" s="1"/>
  <c r="K51" i="4"/>
  <c r="O51" i="4" s="1"/>
  <c r="C23" i="18"/>
  <c r="E23" i="18" s="1"/>
  <c r="C25" i="17"/>
  <c r="E25" i="17" s="1"/>
  <c r="K46" i="4"/>
  <c r="O46" i="4" s="1"/>
  <c r="F13" i="8"/>
  <c r="H13" i="8" s="1"/>
  <c r="K27" i="4"/>
  <c r="O27" i="4" s="1"/>
  <c r="K30" i="4"/>
  <c r="O30" i="4" s="1"/>
  <c r="K15" i="4"/>
  <c r="O15" i="4" s="1"/>
  <c r="K17" i="4"/>
  <c r="O17" i="4" s="1"/>
  <c r="C18" i="17"/>
  <c r="K39" i="4"/>
  <c r="O39" i="4" s="1"/>
  <c r="K36" i="4"/>
  <c r="O36" i="4" s="1"/>
  <c r="K24" i="4"/>
  <c r="O24" i="4" s="1"/>
  <c r="K7" i="4"/>
  <c r="O7" i="4" s="1"/>
  <c r="F14" i="14" l="1"/>
  <c r="H14" i="14" s="1"/>
  <c r="F14" i="15"/>
  <c r="H14" i="15" s="1"/>
  <c r="F20" i="17"/>
  <c r="H20" i="17" s="1"/>
  <c r="F14" i="12"/>
  <c r="H14" i="12"/>
  <c r="F14" i="6"/>
  <c r="H14" i="6" s="1"/>
  <c r="H14" i="13"/>
  <c r="F14" i="13"/>
  <c r="F20" i="18"/>
  <c r="H20" i="18" s="1"/>
  <c r="F14" i="7"/>
  <c r="H14" i="7" s="1"/>
  <c r="F14" i="8"/>
  <c r="H14" i="8" s="1"/>
  <c r="H15" i="11"/>
  <c r="F15" i="8" l="1"/>
  <c r="H15" i="8" s="1"/>
  <c r="F15" i="6"/>
  <c r="H15" i="6" s="1"/>
  <c r="H21" i="18"/>
  <c r="F21" i="18"/>
  <c r="F15" i="15"/>
  <c r="H15" i="15"/>
  <c r="F15" i="14"/>
  <c r="H15" i="14" s="1"/>
  <c r="F15" i="13"/>
  <c r="H15" i="13"/>
  <c r="H16" i="11"/>
  <c r="F21" i="17"/>
  <c r="H21" i="17" s="1"/>
  <c r="F15" i="7"/>
  <c r="H15" i="7" s="1"/>
  <c r="F15" i="12"/>
  <c r="H15" i="12" s="1"/>
  <c r="F16" i="7" l="1"/>
  <c r="H16" i="7" s="1"/>
  <c r="F16" i="12"/>
  <c r="H16" i="12" s="1"/>
  <c r="F16" i="6"/>
  <c r="H16" i="6" s="1"/>
  <c r="F16" i="13"/>
  <c r="H16" i="13" s="1"/>
  <c r="F22" i="17"/>
  <c r="H22" i="17" s="1"/>
  <c r="F16" i="14"/>
  <c r="H16" i="14" s="1"/>
  <c r="F22" i="18"/>
  <c r="H22" i="18" s="1"/>
  <c r="F16" i="8"/>
  <c r="H16" i="8" s="1"/>
  <c r="F16" i="15"/>
  <c r="H16" i="15" s="1"/>
  <c r="H17" i="11"/>
  <c r="F23" i="18" l="1"/>
  <c r="H23" i="18" s="1"/>
  <c r="F17" i="6"/>
  <c r="H17" i="6" s="1"/>
  <c r="F17" i="14"/>
  <c r="H17" i="14" s="1"/>
  <c r="F17" i="12"/>
  <c r="H17" i="12" s="1"/>
  <c r="F17" i="8"/>
  <c r="H17" i="8" s="1"/>
  <c r="F17" i="15"/>
  <c r="H17" i="15" s="1"/>
  <c r="F23" i="17"/>
  <c r="H23" i="17" s="1"/>
  <c r="F17" i="13"/>
  <c r="H17" i="13" s="1"/>
  <c r="F17" i="7"/>
  <c r="H17" i="7" s="1"/>
  <c r="H18" i="11"/>
  <c r="F18" i="14" l="1"/>
  <c r="H18" i="14" s="1"/>
  <c r="F18" i="13"/>
  <c r="H18" i="13" s="1"/>
  <c r="F18" i="15"/>
  <c r="H18" i="15" s="1"/>
  <c r="F24" i="18"/>
  <c r="H24" i="18" s="1"/>
  <c r="F18" i="6"/>
  <c r="H18" i="6" s="1"/>
  <c r="F18" i="12"/>
  <c r="H18" i="12" s="1"/>
  <c r="F24" i="17"/>
  <c r="H24" i="17" s="1"/>
  <c r="F18" i="8"/>
  <c r="H18" i="8" s="1"/>
  <c r="F18" i="7"/>
  <c r="H18" i="7" s="1"/>
  <c r="F19" i="12" l="1"/>
  <c r="H19" i="12" s="1"/>
  <c r="F19" i="6"/>
  <c r="H19" i="6" s="1"/>
  <c r="F19" i="15"/>
  <c r="H19" i="15" s="1"/>
  <c r="F19" i="13"/>
  <c r="H19" i="13" s="1"/>
  <c r="F19" i="14"/>
  <c r="H19" i="14" s="1"/>
  <c r="F19" i="8"/>
  <c r="H19" i="8" s="1"/>
  <c r="F25" i="17"/>
  <c r="H25" i="17" s="1"/>
  <c r="F19" i="7"/>
  <c r="H19" i="7" s="1"/>
  <c r="F26" i="17" l="1"/>
  <c r="F20" i="7"/>
  <c r="H20" i="7"/>
  <c r="F20" i="8"/>
  <c r="H20" i="8" s="1"/>
  <c r="F20" i="13"/>
  <c r="H20" i="13" s="1"/>
  <c r="F20" i="12"/>
  <c r="H20" i="12" s="1"/>
  <c r="F20" i="14"/>
  <c r="H20" i="14" s="1"/>
  <c r="F20" i="15"/>
  <c r="H20" i="15" s="1"/>
  <c r="F20" i="6"/>
  <c r="H20" i="6" s="1"/>
  <c r="F21" i="12" l="1"/>
  <c r="H21" i="12" s="1"/>
  <c r="F21" i="15"/>
  <c r="H21" i="15" s="1"/>
  <c r="F21" i="13"/>
  <c r="H21" i="13" s="1"/>
  <c r="F21" i="6"/>
  <c r="H21" i="6" s="1"/>
  <c r="F21" i="7"/>
  <c r="H21" i="7" s="1"/>
  <c r="F21" i="14"/>
  <c r="H21" i="14" s="1"/>
  <c r="H26" i="17"/>
  <c r="F22" i="15" l="1"/>
  <c r="H22" i="15" s="1"/>
  <c r="F22" i="12"/>
  <c r="H22" i="12" s="1"/>
  <c r="F22" i="14"/>
  <c r="H22" i="14" s="1"/>
  <c r="F22" i="7"/>
  <c r="H22" i="7" s="1"/>
  <c r="F22" i="13"/>
  <c r="H22" i="13" s="1"/>
  <c r="F22" i="6"/>
  <c r="H22" i="6" s="1"/>
  <c r="F23" i="13" l="1"/>
  <c r="H23" i="13" s="1"/>
  <c r="F23" i="6"/>
  <c r="H23" i="6" s="1"/>
  <c r="F23" i="15"/>
  <c r="H23" i="15" s="1"/>
  <c r="F23" i="14"/>
  <c r="H23" i="14" s="1"/>
  <c r="H23" i="7"/>
  <c r="F23" i="7"/>
  <c r="F23" i="12"/>
  <c r="H23" i="12" s="1"/>
  <c r="H24" i="15" l="1"/>
  <c r="H24" i="14"/>
  <c r="H24" i="13"/>
  <c r="H24" i="6"/>
  <c r="H24" i="7"/>
  <c r="H24" i="12"/>
  <c r="F25" i="6" l="1"/>
  <c r="H25" i="6" s="1"/>
  <c r="F25" i="7"/>
  <c r="H25" i="7" s="1"/>
  <c r="F25" i="13"/>
  <c r="H25" i="13" s="1"/>
  <c r="H25" i="14"/>
  <c r="F25" i="14"/>
  <c r="H25" i="12"/>
  <c r="F25" i="12"/>
  <c r="F25" i="15"/>
  <c r="H25" i="15" s="1"/>
  <c r="F26" i="15" l="1"/>
  <c r="H26" i="15" s="1"/>
  <c r="F26" i="12"/>
  <c r="H26" i="12" s="1"/>
  <c r="F26" i="14"/>
  <c r="H26" i="14" s="1"/>
  <c r="F26" i="13"/>
  <c r="H26" i="13" s="1"/>
  <c r="F26" i="6"/>
  <c r="H26" i="6" s="1"/>
  <c r="F26" i="7"/>
  <c r="H26" i="7" s="1"/>
  <c r="F27" i="7" l="1"/>
  <c r="H27" i="7" s="1"/>
  <c r="F27" i="6"/>
  <c r="H27" i="6" s="1"/>
  <c r="F27" i="14"/>
  <c r="H27" i="14" s="1"/>
  <c r="F27" i="13"/>
  <c r="H27" i="13" s="1"/>
  <c r="F27" i="12"/>
  <c r="H27" i="12" s="1"/>
  <c r="F27" i="15"/>
  <c r="H27" i="15" s="1"/>
  <c r="F28" i="14" l="1"/>
  <c r="H28" i="14" s="1"/>
  <c r="F28" i="6"/>
  <c r="H28" i="6" s="1"/>
  <c r="F28" i="7"/>
  <c r="H28" i="7" s="1"/>
  <c r="F28" i="15"/>
  <c r="H28" i="15" s="1"/>
  <c r="F28" i="13"/>
  <c r="H28" i="13" s="1"/>
  <c r="F28" i="12"/>
  <c r="H28" i="12" s="1"/>
  <c r="F29" i="15" l="1"/>
  <c r="H29" i="15" s="1"/>
  <c r="F29" i="12"/>
  <c r="H29" i="12" s="1"/>
  <c r="F29" i="14"/>
  <c r="H29" i="14" s="1"/>
  <c r="F29" i="13"/>
  <c r="H29" i="13" s="1"/>
  <c r="F29" i="7"/>
  <c r="H29" i="7" s="1"/>
  <c r="F29" i="6"/>
  <c r="H29" i="6" s="1"/>
  <c r="F30" i="14" l="1"/>
  <c r="H30" i="14" s="1"/>
  <c r="F30" i="6"/>
  <c r="H30" i="6" s="1"/>
  <c r="F30" i="7"/>
  <c r="H30" i="7" s="1"/>
  <c r="F30" i="12"/>
  <c r="H30" i="12" s="1"/>
  <c r="F30" i="15"/>
  <c r="H30" i="15" s="1"/>
  <c r="F30" i="13"/>
  <c r="H30" i="13" s="1"/>
  <c r="F31" i="6" l="1"/>
  <c r="H31" i="6" s="1"/>
  <c r="F31" i="14"/>
  <c r="H31" i="14" s="1"/>
  <c r="F31" i="12"/>
  <c r="H31" i="12" s="1"/>
  <c r="H31" i="7"/>
  <c r="F31" i="7"/>
  <c r="F31" i="15"/>
  <c r="H31" i="15" s="1"/>
  <c r="F31" i="13"/>
  <c r="H31" i="13" s="1"/>
  <c r="F32" i="12" l="1"/>
  <c r="H32" i="12" s="1"/>
  <c r="F32" i="6"/>
  <c r="H32" i="6" s="1"/>
  <c r="F32" i="13"/>
  <c r="H32" i="13" s="1"/>
  <c r="F32" i="14"/>
  <c r="H32" i="14" s="1"/>
  <c r="F32" i="15"/>
  <c r="H32" i="15"/>
  <c r="F32" i="7"/>
  <c r="H32" i="7" s="1"/>
  <c r="F33" i="13" l="1"/>
  <c r="H33" i="13" s="1"/>
  <c r="F33" i="14"/>
  <c r="H33" i="14" s="1"/>
  <c r="F33" i="6"/>
  <c r="H33" i="6" s="1"/>
  <c r="F33" i="12"/>
  <c r="H33" i="12" s="1"/>
  <c r="F33" i="7"/>
  <c r="H33" i="7" s="1"/>
  <c r="F33" i="15"/>
  <c r="H33" i="15" s="1"/>
  <c r="F34" i="14" l="1"/>
  <c r="H34" i="14" s="1"/>
  <c r="F34" i="13"/>
  <c r="H34" i="13" s="1"/>
  <c r="F34" i="12"/>
  <c r="H34" i="12" s="1"/>
  <c r="F34" i="6"/>
  <c r="H34" i="6" s="1"/>
  <c r="F34" i="7"/>
  <c r="H34" i="7" s="1"/>
  <c r="F34" i="15"/>
  <c r="H34" i="15" s="1"/>
  <c r="H35" i="6" l="1"/>
  <c r="H35" i="7"/>
  <c r="F35" i="13"/>
  <c r="H35" i="13" s="1"/>
  <c r="F35" i="15"/>
  <c r="H35" i="15" s="1"/>
  <c r="H35" i="14"/>
  <c r="F35" i="14"/>
  <c r="F35" i="12"/>
  <c r="H35" i="12" s="1"/>
  <c r="F36" i="15" l="1"/>
  <c r="H36" i="15" s="1"/>
  <c r="F36" i="12"/>
  <c r="H36" i="12" s="1"/>
  <c r="F36" i="14"/>
  <c r="H36" i="14" s="1"/>
  <c r="F36" i="7"/>
  <c r="H36" i="7" s="1"/>
  <c r="F36" i="13"/>
  <c r="H36" i="13" s="1"/>
  <c r="F36" i="6"/>
  <c r="H36" i="6" s="1"/>
  <c r="F37" i="14" l="1"/>
  <c r="H37" i="14" s="1"/>
  <c r="F37" i="15"/>
  <c r="H37" i="15" s="1"/>
  <c r="F37" i="6"/>
  <c r="H37" i="6" s="1"/>
  <c r="F37" i="13"/>
  <c r="H37" i="13"/>
  <c r="F37" i="7"/>
  <c r="H37" i="7" s="1"/>
  <c r="F37" i="12"/>
  <c r="H37" i="12" s="1"/>
  <c r="H38" i="15" l="1"/>
  <c r="H38" i="14"/>
  <c r="F38" i="7"/>
  <c r="H38" i="7" s="1"/>
  <c r="H38" i="13"/>
  <c r="H38" i="12"/>
  <c r="F38" i="6"/>
  <c r="H38" i="6" s="1"/>
  <c r="F39" i="7" l="1"/>
  <c r="H39" i="7" s="1"/>
  <c r="F39" i="6"/>
  <c r="H39" i="6" s="1"/>
  <c r="F39" i="12"/>
  <c r="H39" i="12"/>
  <c r="F39" i="13"/>
  <c r="H39" i="13" s="1"/>
  <c r="F39" i="14"/>
  <c r="H39" i="14" s="1"/>
  <c r="F39" i="15"/>
  <c r="H39" i="15" s="1"/>
  <c r="F40" i="15" l="1"/>
  <c r="H40" i="15" s="1"/>
  <c r="F40" i="7"/>
  <c r="H40" i="7" s="1"/>
  <c r="F40" i="6"/>
  <c r="H40" i="6" s="1"/>
  <c r="F40" i="13"/>
  <c r="H40" i="13" s="1"/>
  <c r="F40" i="12"/>
  <c r="H40" i="12" s="1"/>
  <c r="F40" i="14"/>
  <c r="H40" i="14" s="1"/>
  <c r="F41" i="7" l="1"/>
  <c r="H41" i="7" s="1"/>
  <c r="F41" i="6"/>
  <c r="H41" i="6" s="1"/>
  <c r="F41" i="12"/>
  <c r="H41" i="12" s="1"/>
  <c r="F41" i="14"/>
  <c r="H41" i="14" s="1"/>
  <c r="F41" i="15"/>
  <c r="H41" i="15" s="1"/>
  <c r="F41" i="13"/>
  <c r="H41" i="13" s="1"/>
  <c r="F42" i="6" l="1"/>
  <c r="H42" i="6" s="1"/>
  <c r="F42" i="7"/>
  <c r="H42" i="7"/>
  <c r="F42" i="13"/>
  <c r="H42" i="13" s="1"/>
  <c r="F42" i="15"/>
  <c r="H42" i="15" s="1"/>
  <c r="F42" i="12"/>
  <c r="H42" i="12" s="1"/>
  <c r="F42" i="14"/>
  <c r="H42" i="14" s="1"/>
  <c r="F43" i="6" l="1"/>
  <c r="H43" i="6" s="1"/>
  <c r="F43" i="15"/>
  <c r="H43" i="15" s="1"/>
  <c r="F43" i="13"/>
  <c r="H43" i="13" s="1"/>
  <c r="F43" i="14"/>
  <c r="H43" i="14" s="1"/>
  <c r="F43" i="7"/>
  <c r="H43" i="7" s="1"/>
  <c r="F43" i="12"/>
  <c r="H43" i="12"/>
  <c r="F44" i="7" l="1"/>
  <c r="H44" i="7" s="1"/>
  <c r="F44" i="13"/>
  <c r="H44" i="13" s="1"/>
  <c r="F44" i="6"/>
  <c r="H44" i="6" s="1"/>
  <c r="F44" i="14"/>
  <c r="H44" i="14" s="1"/>
  <c r="F44" i="12"/>
  <c r="H44" i="12" s="1"/>
  <c r="H44" i="15"/>
  <c r="F44" i="15"/>
  <c r="F45" i="7" l="1"/>
  <c r="H45" i="7" s="1"/>
  <c r="F45" i="12"/>
  <c r="H45" i="12" s="1"/>
  <c r="F45" i="14"/>
  <c r="H45" i="14" s="1"/>
  <c r="F45" i="6"/>
  <c r="H45" i="6" s="1"/>
  <c r="F45" i="13"/>
  <c r="H45" i="13" s="1"/>
  <c r="F45" i="15"/>
  <c r="H45" i="15" s="1"/>
  <c r="F46" i="6" l="1"/>
  <c r="H46" i="6" s="1"/>
  <c r="F46" i="12"/>
  <c r="H46" i="12" s="1"/>
  <c r="F46" i="14"/>
  <c r="H46" i="14" s="1"/>
  <c r="F46" i="13"/>
  <c r="H46" i="13" s="1"/>
  <c r="F46" i="7"/>
  <c r="H46" i="7" s="1"/>
  <c r="F46" i="15"/>
  <c r="H46" i="15" s="1"/>
  <c r="F47" i="15" l="1"/>
  <c r="H47" i="15" s="1"/>
  <c r="F47" i="6"/>
  <c r="H47" i="6" s="1"/>
  <c r="F47" i="13"/>
  <c r="H47" i="13" s="1"/>
  <c r="F47" i="12"/>
  <c r="H47" i="12" s="1"/>
  <c r="F47" i="14"/>
  <c r="H47" i="14" s="1"/>
  <c r="F47" i="7"/>
  <c r="H47" i="7" s="1"/>
  <c r="H48" i="7" l="1"/>
  <c r="F48" i="13"/>
  <c r="H48" i="13" s="1"/>
  <c r="F48" i="15"/>
  <c r="H48" i="15" s="1"/>
  <c r="F48" i="12"/>
  <c r="H48" i="12" s="1"/>
  <c r="F48" i="14"/>
  <c r="H48" i="14" s="1"/>
  <c r="H48" i="6"/>
  <c r="F49" i="12" l="1"/>
  <c r="H49" i="12" s="1"/>
  <c r="F49" i="13"/>
  <c r="H49" i="13" s="1"/>
  <c r="F49" i="14"/>
  <c r="H49" i="14" s="1"/>
  <c r="F49" i="15"/>
  <c r="H49" i="15" s="1"/>
  <c r="F49" i="6"/>
  <c r="H49" i="6" s="1"/>
  <c r="F49" i="7"/>
  <c r="H49" i="7" s="1"/>
  <c r="H50" i="14" l="1"/>
  <c r="F50" i="7"/>
  <c r="H50" i="7" s="1"/>
  <c r="H50" i="15"/>
  <c r="H50" i="12"/>
  <c r="F50" i="6"/>
  <c r="H50" i="6" s="1"/>
  <c r="H50" i="13"/>
  <c r="F51" i="6" l="1"/>
  <c r="H51" i="6" s="1"/>
  <c r="F51" i="7"/>
  <c r="H51" i="7" s="1"/>
  <c r="F51" i="15"/>
  <c r="H51" i="15" s="1"/>
  <c r="F51" i="14"/>
  <c r="H51" i="14" s="1"/>
  <c r="F51" i="13"/>
  <c r="H51" i="13" s="1"/>
  <c r="F51" i="12"/>
  <c r="H51" i="12" s="1"/>
  <c r="F52" i="14" l="1"/>
  <c r="H52" i="14" s="1"/>
  <c r="F52" i="15"/>
  <c r="H52" i="15" s="1"/>
  <c r="F52" i="7"/>
  <c r="H52" i="7" s="1"/>
  <c r="F52" i="12"/>
  <c r="H52" i="12" s="1"/>
  <c r="F52" i="6"/>
  <c r="H52" i="6" s="1"/>
  <c r="F52" i="13"/>
  <c r="H52" i="13" s="1"/>
  <c r="F53" i="13" l="1"/>
  <c r="H53" i="13" s="1"/>
  <c r="F53" i="15"/>
  <c r="H53" i="15" s="1"/>
  <c r="F53" i="12"/>
  <c r="H53" i="12" s="1"/>
  <c r="F53" i="6"/>
  <c r="H53" i="6" s="1"/>
  <c r="F53" i="7"/>
  <c r="H53" i="7" s="1"/>
  <c r="H53" i="14"/>
  <c r="F53" i="14"/>
  <c r="F54" i="6" l="1"/>
  <c r="H54" i="6" s="1"/>
  <c r="H54" i="15"/>
  <c r="F54" i="15"/>
  <c r="F54" i="7"/>
  <c r="H54" i="7"/>
  <c r="F54" i="12"/>
  <c r="H54" i="12" s="1"/>
  <c r="H54" i="13"/>
  <c r="F54" i="13"/>
  <c r="F54" i="14"/>
  <c r="H54" i="14" s="1"/>
  <c r="F55" i="12" l="1"/>
  <c r="H55" i="12" s="1"/>
  <c r="F55" i="14"/>
  <c r="H55" i="14" s="1"/>
  <c r="F55" i="13"/>
  <c r="H55" i="13" s="1"/>
  <c r="F55" i="6"/>
  <c r="H55" i="6" s="1"/>
  <c r="F55" i="7"/>
  <c r="H55" i="7" s="1"/>
  <c r="F55" i="15"/>
  <c r="H55" i="15" s="1"/>
  <c r="F56" i="7" l="1"/>
  <c r="H56" i="7" s="1"/>
  <c r="F56" i="13"/>
  <c r="H56" i="13" s="1"/>
  <c r="F56" i="6"/>
  <c r="H56" i="6" s="1"/>
  <c r="F56" i="12"/>
  <c r="H56" i="12" s="1"/>
  <c r="F56" i="14"/>
  <c r="H56" i="14"/>
  <c r="F56" i="15"/>
  <c r="H56" i="15" s="1"/>
  <c r="F57" i="15" l="1"/>
  <c r="F57" i="6"/>
  <c r="F57" i="7"/>
  <c r="H57" i="7" s="1"/>
  <c r="F57" i="14"/>
  <c r="F57" i="13"/>
  <c r="H57" i="13" s="1"/>
  <c r="F57" i="12"/>
  <c r="H57" i="12" l="1"/>
  <c r="H57" i="14"/>
  <c r="H57" i="6"/>
  <c r="H57" i="15"/>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<sst xmlns="http://schemas.openxmlformats.org/spreadsheetml/2006/main" count="374" uniqueCount="129">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</sst>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2">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7\05-2017\Core%20GC%20Allocations%205-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3773390.7400000007</v>
          </cell>
        </row>
      </sheetData>
      <sheetData sheetId="8" refreshError="1"/>
      <sheetData sheetId="9" refreshError="1"/>
      <sheetData sheetId="10" refreshError="1"/>
      <sheetData sheetId="11">
        <row r="2">
          <cell r="D2">
            <v>42885</v>
          </cell>
        </row>
        <row r="42">
          <cell r="J42">
            <v>3402229.9299999997</v>
          </cell>
        </row>
        <row r="43">
          <cell r="J43">
            <v>3819060.6999999993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I55" sqref="I54:I55"/>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0" t="s">
        <v>49</v>
      </c>
      <c r="B1" s="171"/>
      <c r="C1" s="172" t="s">
        <v>50</v>
      </c>
      <c r="D1" s="172"/>
      <c r="E1" s="172"/>
      <c r="F1" s="172"/>
      <c r="G1" s="172"/>
      <c r="H1" s="173"/>
    </row>
    <row r="2" spans="1:12" x14ac:dyDescent="0.2">
      <c r="A2" s="164" t="s">
        <v>51</v>
      </c>
      <c r="B2" s="165"/>
      <c r="C2" s="168" t="s">
        <v>52</v>
      </c>
      <c r="D2" s="168"/>
      <c r="E2" s="168"/>
      <c r="F2" s="168"/>
      <c r="G2" s="168"/>
      <c r="H2" s="169"/>
    </row>
    <row r="3" spans="1:12" x14ac:dyDescent="0.2">
      <c r="A3" s="164" t="s">
        <v>53</v>
      </c>
      <c r="B3" s="165"/>
      <c r="C3" s="168" t="s">
        <v>3</v>
      </c>
      <c r="D3" s="168"/>
      <c r="E3" s="168"/>
      <c r="F3" s="168"/>
      <c r="G3" s="168"/>
      <c r="H3" s="169"/>
    </row>
    <row r="4" spans="1:12" x14ac:dyDescent="0.2">
      <c r="A4" s="164" t="s">
        <v>54</v>
      </c>
      <c r="B4" s="165"/>
      <c r="C4" s="166" t="s">
        <v>55</v>
      </c>
      <c r="D4" s="166"/>
      <c r="E4" s="166"/>
      <c r="F4" s="166"/>
      <c r="G4" s="166"/>
      <c r="H4" s="167"/>
    </row>
    <row r="5" spans="1:12" x14ac:dyDescent="0.2">
      <c r="A5" s="164" t="s">
        <v>56</v>
      </c>
      <c r="B5" s="165"/>
      <c r="C5" s="168" t="s">
        <v>57</v>
      </c>
      <c r="D5" s="168"/>
      <c r="E5" s="168"/>
      <c r="F5" s="168"/>
      <c r="G5" s="168"/>
      <c r="H5" s="169"/>
    </row>
    <row r="6" spans="1:12" x14ac:dyDescent="0.2">
      <c r="A6" s="164" t="s">
        <v>58</v>
      </c>
      <c r="B6" s="165"/>
      <c r="C6" s="168" t="s">
        <v>0</v>
      </c>
      <c r="D6" s="168"/>
      <c r="E6" s="168"/>
      <c r="F6" s="168"/>
      <c r="G6" s="168"/>
      <c r="H6" s="169"/>
    </row>
    <row r="7" spans="1:12" ht="29.25" customHeight="1" x14ac:dyDescent="0.2">
      <c r="A7" s="158" t="s">
        <v>59</v>
      </c>
      <c r="B7" s="159"/>
      <c r="C7" s="160" t="s">
        <v>60</v>
      </c>
      <c r="D7" s="160"/>
      <c r="E7" s="160"/>
      <c r="F7" s="160"/>
      <c r="G7" s="160"/>
      <c r="H7" s="161"/>
    </row>
    <row r="8" spans="1:12" x14ac:dyDescent="0.2">
      <c r="B8" s="51"/>
      <c r="G8" s="52" t="s">
        <v>61</v>
      </c>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2">
        <v>-1120659.83</v>
      </c>
      <c r="K11" s="55"/>
      <c r="L11" s="56"/>
    </row>
    <row r="12" spans="1:12" x14ac:dyDescent="0.2">
      <c r="A12" s="57">
        <f>'FERC Interest Rates'!A20</f>
        <v>41608</v>
      </c>
      <c r="D12" s="2">
        <v>93596.04</v>
      </c>
      <c r="F12" s="4">
        <f>ROUND(H11*VLOOKUP(A12,FERCINT13,2)/365*VLOOKUP(A12,FERCINT13,3),2)</f>
        <v>-2993.54</v>
      </c>
      <c r="H12" s="2">
        <f t="shared" ref="H12:H47" si="0">H11+SUM(D12:G12)</f>
        <v>-1030057.3300000001</v>
      </c>
      <c r="K12" s="55"/>
      <c r="L12" s="56"/>
    </row>
    <row r="13" spans="1:12" x14ac:dyDescent="0.2">
      <c r="A13" s="57">
        <f>'FERC Interest Rates'!A21</f>
        <v>41639</v>
      </c>
      <c r="D13" s="2">
        <v>-302560.25</v>
      </c>
      <c r="F13" s="4">
        <f t="shared" ref="F13" si="1">ROUND(H12*VLOOKUP(A13,FERCINT13,2)/365*VLOOKUP(A13,FERCINT13,3),2)</f>
        <v>-2843.24</v>
      </c>
      <c r="H13" s="2">
        <f t="shared" si="0"/>
        <v>-1335460.82</v>
      </c>
      <c r="K13" s="55"/>
      <c r="L13" s="56"/>
    </row>
    <row r="14" spans="1:12" x14ac:dyDescent="0.2">
      <c r="A14" s="57">
        <f>'FERC Interest Rates'!A22</f>
        <v>41670</v>
      </c>
      <c r="D14" s="2">
        <v>192476.01</v>
      </c>
      <c r="F14" s="4">
        <f t="shared" ref="F14:F23" si="2">ROUND(H13*VLOOKUP(A14,FERCINT14,2)/365*VLOOKUP(A14,FERCINT14,3),2)</f>
        <v>-3686.24</v>
      </c>
      <c r="H14" s="2">
        <f t="shared" si="0"/>
        <v>-1146671.05</v>
      </c>
      <c r="K14" s="55"/>
      <c r="L14" s="56"/>
    </row>
    <row r="15" spans="1:12" x14ac:dyDescent="0.2">
      <c r="A15" s="57">
        <f>'FERC Interest Rates'!A23</f>
        <v>41698</v>
      </c>
      <c r="D15" s="2">
        <v>1883159.68</v>
      </c>
      <c r="F15" s="4">
        <f t="shared" si="2"/>
        <v>-2858.82</v>
      </c>
      <c r="H15" s="2">
        <f t="shared" si="0"/>
        <v>733629.80999999982</v>
      </c>
      <c r="K15" s="55"/>
      <c r="L15" s="56"/>
    </row>
    <row r="16" spans="1:12" x14ac:dyDescent="0.2">
      <c r="A16" s="57">
        <f>'FERC Interest Rates'!A24</f>
        <v>41729</v>
      </c>
      <c r="D16" s="2">
        <v>1966862.04</v>
      </c>
      <c r="F16" s="4">
        <f t="shared" si="2"/>
        <v>2025.02</v>
      </c>
      <c r="H16" s="2">
        <f t="shared" si="0"/>
        <v>2702516.87</v>
      </c>
      <c r="K16" s="55"/>
      <c r="L16" s="56"/>
    </row>
    <row r="17" spans="1:12" x14ac:dyDescent="0.2">
      <c r="A17" s="57">
        <f>'FERC Interest Rates'!A25</f>
        <v>41759</v>
      </c>
      <c r="D17" s="2">
        <f>-274443.54-10556.4</f>
        <v>-284999.94</v>
      </c>
      <c r="F17" s="4">
        <f t="shared" si="2"/>
        <v>7219.05</v>
      </c>
      <c r="H17" s="2">
        <f t="shared" si="0"/>
        <v>2424735.98</v>
      </c>
      <c r="K17" s="55"/>
      <c r="L17" s="56"/>
    </row>
    <row r="18" spans="1:12" x14ac:dyDescent="0.2">
      <c r="A18" s="57">
        <f>'FERC Interest Rates'!A26</f>
        <v>41790</v>
      </c>
      <c r="D18" s="2">
        <v>1506.11</v>
      </c>
      <c r="F18" s="4">
        <f t="shared" si="2"/>
        <v>6692.94</v>
      </c>
      <c r="H18" s="2">
        <f t="shared" si="0"/>
        <v>2432935.0299999998</v>
      </c>
      <c r="K18" s="55"/>
      <c r="L18" s="56"/>
    </row>
    <row r="19" spans="1:12" x14ac:dyDescent="0.2">
      <c r="A19" s="57">
        <f>'FERC Interest Rates'!A27</f>
        <v>41820</v>
      </c>
      <c r="D19" s="2">
        <v>152709.69</v>
      </c>
      <c r="F19" s="4">
        <f t="shared" si="2"/>
        <v>6498.94</v>
      </c>
      <c r="H19" s="2">
        <f t="shared" si="0"/>
        <v>2592143.6599999997</v>
      </c>
      <c r="K19" s="55"/>
      <c r="L19" s="56"/>
    </row>
    <row r="20" spans="1:12" x14ac:dyDescent="0.2">
      <c r="A20" s="57">
        <f>'FERC Interest Rates'!A28</f>
        <v>41851</v>
      </c>
      <c r="D20" s="2">
        <v>167726.51</v>
      </c>
      <c r="F20" s="4">
        <f t="shared" si="2"/>
        <v>7155.03</v>
      </c>
      <c r="H20" s="2">
        <f t="shared" si="0"/>
        <v>2767025.1999999997</v>
      </c>
      <c r="K20" s="55"/>
      <c r="L20" s="56"/>
    </row>
    <row r="21" spans="1:12" x14ac:dyDescent="0.2">
      <c r="A21" s="57">
        <f>'FERC Interest Rates'!A29</f>
        <v>41882</v>
      </c>
      <c r="D21" s="2">
        <v>-467001.19</v>
      </c>
      <c r="F21" s="4">
        <f t="shared" si="2"/>
        <v>7637.75</v>
      </c>
      <c r="H21" s="2">
        <f t="shared" si="0"/>
        <v>2307661.7599999998</v>
      </c>
      <c r="K21" s="55"/>
      <c r="L21" s="56"/>
    </row>
    <row r="22" spans="1:12" x14ac:dyDescent="0.2">
      <c r="A22" s="57">
        <f>'FERC Interest Rates'!A30</f>
        <v>41912</v>
      </c>
      <c r="D22" s="2">
        <v>-76065.69</v>
      </c>
      <c r="F22" s="4">
        <f t="shared" si="2"/>
        <v>6164.3</v>
      </c>
      <c r="H22" s="2">
        <f t="shared" si="0"/>
        <v>2237760.3699999996</v>
      </c>
      <c r="K22" s="55"/>
      <c r="L22" s="56"/>
    </row>
    <row r="23" spans="1:12" x14ac:dyDescent="0.2">
      <c r="A23" s="57">
        <f>'FERC Interest Rates'!A31</f>
        <v>41943</v>
      </c>
      <c r="D23" s="2">
        <v>-41866.550000000003</v>
      </c>
      <c r="F23" s="4">
        <f t="shared" si="2"/>
        <v>6176.83</v>
      </c>
      <c r="H23" s="58">
        <f t="shared" si="0"/>
        <v>2202070.6499999994</v>
      </c>
      <c r="K23" s="55"/>
      <c r="L23" s="56"/>
    </row>
    <row r="24" spans="1:12" x14ac:dyDescent="0.2">
      <c r="A24" s="157" t="s">
        <v>70</v>
      </c>
      <c r="B24" s="157"/>
      <c r="C24" s="157"/>
      <c r="D24" s="157"/>
      <c r="E24" s="157"/>
      <c r="F24" s="157"/>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57" t="s">
        <v>71</v>
      </c>
      <c r="B35" s="157"/>
      <c r="C35" s="157"/>
      <c r="D35" s="157"/>
      <c r="E35" s="157"/>
      <c r="F35" s="157"/>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57" t="s">
        <v>72</v>
      </c>
      <c r="B48" s="157"/>
      <c r="C48" s="157"/>
      <c r="D48" s="157"/>
      <c r="E48" s="157"/>
      <c r="F48" s="157"/>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57"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57" si="9">ROUND(H52*VLOOKUP(A53,FERCINT17,2)/365*VLOOKUP(A53,FERCINT17,3),2)</f>
        <v>7668.88</v>
      </c>
      <c r="G53" s="2">
        <f>-500-47.92-323.37-51.28-50-5.56-3.73+1045.5+47.92</f>
        <v>111.5600000000001</v>
      </c>
      <c r="H53" s="58">
        <f t="shared" si="8"/>
        <v>7488700.25</v>
      </c>
      <c r="K53" s="55"/>
      <c r="L53" s="56"/>
    </row>
    <row r="54" spans="1:12" x14ac:dyDescent="0.2">
      <c r="A54" s="57">
        <f>'FERC Interest Rates'!A59</f>
        <v>42794</v>
      </c>
      <c r="D54" s="2">
        <v>1733602.92</v>
      </c>
      <c r="F54" s="4">
        <f t="shared" si="9"/>
        <v>20106.650000000001</v>
      </c>
      <c r="G54" s="2">
        <f>-278.19-174.25</f>
        <v>-452.44</v>
      </c>
      <c r="H54" s="58">
        <f t="shared" si="8"/>
        <v>9241957.379999999</v>
      </c>
      <c r="K54" s="55"/>
      <c r="L54" s="56"/>
    </row>
    <row r="55" spans="1:12" x14ac:dyDescent="0.2">
      <c r="A55" s="57">
        <f>'FERC Interest Rates'!A60</f>
        <v>42825</v>
      </c>
      <c r="D55" s="2">
        <v>-778930.47</v>
      </c>
      <c r="F55" s="4">
        <f t="shared" si="9"/>
        <v>27472.67</v>
      </c>
      <c r="G55" s="2">
        <f>-364.45+50</f>
        <v>-314.45</v>
      </c>
      <c r="H55" s="58">
        <f t="shared" si="8"/>
        <v>8490185.129999999</v>
      </c>
      <c r="K55" s="55"/>
      <c r="L55" s="56"/>
    </row>
    <row r="56" spans="1:12" x14ac:dyDescent="0.2">
      <c r="A56" s="57">
        <f>'FERC Interest Rates'!A61</f>
        <v>42855</v>
      </c>
      <c r="D56" s="2">
        <v>-354428.35</v>
      </c>
      <c r="F56" s="4">
        <f t="shared" si="9"/>
        <v>25889.25</v>
      </c>
      <c r="G56" s="2">
        <v>-2323.67</v>
      </c>
      <c r="H56" s="58">
        <f t="shared" si="8"/>
        <v>8159322.3599999994</v>
      </c>
      <c r="K56" s="55"/>
      <c r="L56" s="56"/>
    </row>
    <row r="57" spans="1:12" x14ac:dyDescent="0.2">
      <c r="A57" s="57">
        <f>'FERC Interest Rates'!A62</f>
        <v>42886</v>
      </c>
      <c r="D57" s="2">
        <v>-371160.81</v>
      </c>
      <c r="F57" s="4">
        <f t="shared" si="9"/>
        <v>25709.69</v>
      </c>
      <c r="G57" s="2">
        <f>-1494-717-2.79-15.87</f>
        <v>-2229.66</v>
      </c>
      <c r="H57" s="58">
        <f t="shared" si="8"/>
        <v>7811641.5799999991</v>
      </c>
      <c r="K57" s="55"/>
      <c r="L57" s="56"/>
    </row>
    <row r="58" spans="1:12" x14ac:dyDescent="0.2">
      <c r="A58" s="57"/>
      <c r="F58" s="4"/>
      <c r="H58" s="58"/>
    </row>
    <row r="59" spans="1:12" x14ac:dyDescent="0.2">
      <c r="A59" s="57"/>
      <c r="F59" s="4"/>
      <c r="H59" s="58"/>
    </row>
    <row r="60" spans="1:12" x14ac:dyDescent="0.2">
      <c r="A60" s="57"/>
      <c r="F60" s="4"/>
      <c r="H60" s="58"/>
    </row>
    <row r="61" spans="1:12" x14ac:dyDescent="0.2">
      <c r="A61" s="57"/>
    </row>
    <row r="62" spans="1:12" x14ac:dyDescent="0.2">
      <c r="A62" s="57"/>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96" zoomScaleNormal="75" zoomScaleSheetLayoutView="96" workbookViewId="0">
      <pane xSplit="1" ySplit="10" topLeftCell="B11" activePane="bottomRight" state="frozen"/>
      <selection activeCell="C13" sqref="C13"/>
      <selection pane="topRight" activeCell="C13" sqref="C13"/>
      <selection pane="bottomLeft" activeCell="C13" sqref="C13"/>
      <selection pane="bottomRight" activeCell="I19" sqref="I19"/>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44140625" style="2"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75</v>
      </c>
      <c r="D2" s="168"/>
      <c r="E2" s="168"/>
      <c r="F2" s="168"/>
      <c r="G2" s="168"/>
      <c r="H2" s="180"/>
    </row>
    <row r="3" spans="1:12" x14ac:dyDescent="0.2">
      <c r="A3" s="178" t="s">
        <v>53</v>
      </c>
      <c r="B3" s="165"/>
      <c r="C3" s="168" t="s">
        <v>15</v>
      </c>
      <c r="D3" s="168"/>
      <c r="E3" s="168"/>
      <c r="F3" s="168"/>
      <c r="G3" s="168"/>
      <c r="H3" s="180"/>
    </row>
    <row r="4" spans="1:12" s="67" customFormat="1" x14ac:dyDescent="0.2">
      <c r="A4" s="178" t="s">
        <v>54</v>
      </c>
      <c r="B4" s="165"/>
      <c r="C4" s="166" t="s">
        <v>55</v>
      </c>
      <c r="D4" s="166"/>
      <c r="E4" s="166"/>
      <c r="F4" s="166"/>
      <c r="G4" s="166"/>
      <c r="H4" s="179"/>
      <c r="K4" s="70"/>
    </row>
    <row r="5" spans="1:12" x14ac:dyDescent="0.2">
      <c r="A5" s="178" t="s">
        <v>56</v>
      </c>
      <c r="B5" s="165"/>
      <c r="C5" s="166" t="s">
        <v>76</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78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79</v>
      </c>
      <c r="B11" s="163"/>
      <c r="C11" s="163"/>
      <c r="D11" s="163"/>
      <c r="E11" s="163"/>
      <c r="F11" s="163"/>
      <c r="G11" s="163"/>
      <c r="H11" s="71">
        <v>0</v>
      </c>
      <c r="L11" s="56"/>
    </row>
    <row r="12" spans="1:12" x14ac:dyDescent="0.2">
      <c r="A12" s="66">
        <f>'FERC Interest Rates'!A54</f>
        <v>42643</v>
      </c>
      <c r="D12" s="2">
        <v>20479.23</v>
      </c>
      <c r="F12" s="2">
        <f>ROUND(H11*VLOOKUP(A12,FERCINT16,2)/365*VLOOKUP(A12,FERCINT16,3),2)</f>
        <v>0</v>
      </c>
      <c r="H12" s="71">
        <f>+SUM(D12:G12)+H11</f>
        <v>20479.23</v>
      </c>
      <c r="L12" s="56"/>
    </row>
    <row r="13" spans="1:12" x14ac:dyDescent="0.2">
      <c r="A13" s="66">
        <f>'FERC Interest Rates'!A55</f>
        <v>42674</v>
      </c>
      <c r="D13" s="2">
        <v>123109.02</v>
      </c>
      <c r="F13" s="2">
        <f>ROUND(H12*VLOOKUP(A13,FERCINT16,2)/365*VLOOKUP(A13,FERCINT16,3),2)</f>
        <v>60.88</v>
      </c>
      <c r="H13" s="71">
        <f t="shared" ref="H13:H20" si="0">+SUM(D13:G13)+H12</f>
        <v>143649.13</v>
      </c>
      <c r="L13" s="56"/>
    </row>
    <row r="14" spans="1:12" x14ac:dyDescent="0.2">
      <c r="A14" s="66">
        <f>'FERC Interest Rates'!A56</f>
        <v>42704</v>
      </c>
      <c r="D14" s="2">
        <v>1588267.12</v>
      </c>
      <c r="F14" s="2">
        <f>ROUND(H13*VLOOKUP(A14,FERCINT16,2)/365*VLOOKUP(A14,FERCINT16,3),2)</f>
        <v>413.24</v>
      </c>
      <c r="H14" s="71">
        <f t="shared" si="0"/>
        <v>1732329.4900000002</v>
      </c>
      <c r="L14" s="56"/>
    </row>
    <row r="15" spans="1:12" x14ac:dyDescent="0.2">
      <c r="A15" s="66">
        <f>'FERC Interest Rates'!A57</f>
        <v>42735</v>
      </c>
      <c r="D15" s="2">
        <v>-1829811.82</v>
      </c>
      <c r="F15" s="2">
        <f>ROUND(H14*VLOOKUP(A15,FERCINT16,2)/365*VLOOKUP(A15,FERCINT16,3),2)</f>
        <v>5149.53</v>
      </c>
      <c r="H15" s="2">
        <f t="shared" si="0"/>
        <v>-92332.799999999814</v>
      </c>
      <c r="L15" s="56"/>
    </row>
    <row r="16" spans="1:12" x14ac:dyDescent="0.2">
      <c r="A16" s="66">
        <f>'FERC Interest Rates'!A58</f>
        <v>42766</v>
      </c>
      <c r="D16" s="2">
        <v>-3120606.16</v>
      </c>
      <c r="F16" s="2">
        <f t="shared" ref="F16:F20" si="1">ROUND(H15*VLOOKUP(A16,FERCINT17,2)/365*VLOOKUP(A16,FERCINT17,3),2)</f>
        <v>-274.47000000000003</v>
      </c>
      <c r="H16" s="2">
        <f t="shared" si="0"/>
        <v>-3213213.43</v>
      </c>
      <c r="L16" s="56"/>
    </row>
    <row r="17" spans="1:12" x14ac:dyDescent="0.2">
      <c r="A17" s="66">
        <f>'FERC Interest Rates'!A59</f>
        <v>42794</v>
      </c>
      <c r="D17" s="2">
        <v>-1259177.8</v>
      </c>
      <c r="F17" s="2">
        <f t="shared" si="1"/>
        <v>-8627.26</v>
      </c>
      <c r="H17" s="2">
        <f t="shared" si="0"/>
        <v>-4481018.49</v>
      </c>
      <c r="L17" s="56"/>
    </row>
    <row r="18" spans="1:12" x14ac:dyDescent="0.2">
      <c r="A18" s="66">
        <f>'FERC Interest Rates'!A60</f>
        <v>42825</v>
      </c>
      <c r="D18" s="2">
        <v>-614656.88</v>
      </c>
      <c r="F18" s="2">
        <f t="shared" si="1"/>
        <v>-13320.29</v>
      </c>
      <c r="H18" s="2">
        <f t="shared" si="0"/>
        <v>-5108995.66</v>
      </c>
      <c r="L18" s="56"/>
    </row>
    <row r="19" spans="1:12" x14ac:dyDescent="0.2">
      <c r="A19" s="66">
        <f>'FERC Interest Rates'!A61</f>
        <v>42855</v>
      </c>
      <c r="D19" s="2">
        <v>-779690.7</v>
      </c>
      <c r="F19" s="2">
        <f t="shared" si="1"/>
        <v>-15578.94</v>
      </c>
      <c r="H19" s="2">
        <f t="shared" si="0"/>
        <v>-5904265.2999999998</v>
      </c>
      <c r="L19" s="56"/>
    </row>
    <row r="20" spans="1:12" x14ac:dyDescent="0.2">
      <c r="A20" s="66">
        <f>'FERC Interest Rates'!A62</f>
        <v>42886</v>
      </c>
      <c r="D20" s="2">
        <v>-345870.06</v>
      </c>
      <c r="F20" s="2">
        <f t="shared" si="1"/>
        <v>-18604.099999999999</v>
      </c>
      <c r="H20" s="2">
        <f t="shared" si="0"/>
        <v>-6268739.46</v>
      </c>
      <c r="L20" s="56"/>
    </row>
    <row r="21" spans="1:12" x14ac:dyDescent="0.2">
      <c r="A21" s="66"/>
      <c r="L21" s="56"/>
    </row>
    <row r="22" spans="1:12" x14ac:dyDescent="0.2">
      <c r="A22" s="66"/>
      <c r="L22" s="56"/>
    </row>
    <row r="23" spans="1:12" x14ac:dyDescent="0.2">
      <c r="A23" s="66"/>
      <c r="L23" s="56"/>
    </row>
    <row r="24" spans="1:12" x14ac:dyDescent="0.2">
      <c r="A24" s="66"/>
      <c r="L24" s="56"/>
    </row>
    <row r="25" spans="1:12" x14ac:dyDescent="0.2">
      <c r="A25" s="66"/>
      <c r="L25" s="56"/>
    </row>
    <row r="26" spans="1:12" x14ac:dyDescent="0.2">
      <c r="A26" s="66"/>
      <c r="L26" s="56"/>
    </row>
    <row r="27" spans="1:12" x14ac:dyDescent="0.2">
      <c r="A27" s="66"/>
      <c r="L27" s="56"/>
    </row>
    <row r="48" spans="8:8" x14ac:dyDescent="0.2">
      <c r="H48" s="72"/>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topLeftCell="A7" zoomScaleNormal="100" zoomScaleSheetLayoutView="100" workbookViewId="0">
      <selection activeCell="J32" sqref="A25:J32"/>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2" t="s">
        <v>50</v>
      </c>
      <c r="D1" s="192"/>
      <c r="E1" s="192"/>
      <c r="F1" s="192"/>
      <c r="G1" s="192"/>
      <c r="H1" s="193"/>
      <c r="I1" s="75"/>
    </row>
    <row r="2" spans="1:12" x14ac:dyDescent="0.2">
      <c r="A2" s="178" t="s">
        <v>51</v>
      </c>
      <c r="B2" s="165"/>
      <c r="C2" s="194" t="s">
        <v>107</v>
      </c>
      <c r="D2" s="194"/>
      <c r="E2" s="194"/>
      <c r="F2" s="194"/>
      <c r="G2" s="194"/>
      <c r="H2" s="195"/>
      <c r="I2" s="75"/>
    </row>
    <row r="3" spans="1:12" x14ac:dyDescent="0.2">
      <c r="A3" s="178" t="s">
        <v>53</v>
      </c>
      <c r="B3" s="165"/>
      <c r="C3" s="194" t="s">
        <v>14</v>
      </c>
      <c r="D3" s="194"/>
      <c r="E3" s="194"/>
      <c r="F3" s="194"/>
      <c r="G3" s="194"/>
      <c r="H3" s="195"/>
      <c r="I3" s="75"/>
    </row>
    <row r="4" spans="1:12" x14ac:dyDescent="0.2">
      <c r="A4" s="178" t="s">
        <v>54</v>
      </c>
      <c r="B4" s="165"/>
      <c r="C4" s="190" t="s">
        <v>55</v>
      </c>
      <c r="D4" s="190"/>
      <c r="E4" s="190"/>
      <c r="F4" s="190"/>
      <c r="G4" s="190"/>
      <c r="H4" s="191"/>
      <c r="I4" s="75"/>
    </row>
    <row r="5" spans="1:12" x14ac:dyDescent="0.2">
      <c r="A5" s="178" t="s">
        <v>56</v>
      </c>
      <c r="B5" s="165"/>
      <c r="C5" s="190" t="s">
        <v>0</v>
      </c>
      <c r="D5" s="190"/>
      <c r="E5" s="190"/>
      <c r="F5" s="190"/>
      <c r="G5" s="190"/>
      <c r="H5" s="191"/>
      <c r="I5" s="75"/>
    </row>
    <row r="6" spans="1:12" x14ac:dyDescent="0.2">
      <c r="A6" s="178" t="s">
        <v>58</v>
      </c>
      <c r="B6" s="165"/>
      <c r="C6" s="190" t="s">
        <v>108</v>
      </c>
      <c r="D6" s="190"/>
      <c r="E6" s="190"/>
      <c r="F6" s="190"/>
      <c r="G6" s="190"/>
      <c r="H6" s="191"/>
      <c r="I6" s="75"/>
    </row>
    <row r="7" spans="1:12" ht="13.5" thickBot="1" x14ac:dyDescent="0.25">
      <c r="A7" s="174" t="s">
        <v>59</v>
      </c>
      <c r="B7" s="175"/>
      <c r="C7" s="188" t="s">
        <v>109</v>
      </c>
      <c r="D7" s="188"/>
      <c r="E7" s="188"/>
      <c r="F7" s="188"/>
      <c r="G7" s="188"/>
      <c r="H7" s="189"/>
      <c r="I7" s="76"/>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7" t="s">
        <v>110</v>
      </c>
      <c r="B12" s="187"/>
      <c r="C12" s="187"/>
      <c r="D12" s="187"/>
      <c r="E12" s="187"/>
      <c r="F12" s="187"/>
      <c r="G12" s="79">
        <v>519697.25</v>
      </c>
      <c r="H12" s="78"/>
      <c r="I12" s="80"/>
      <c r="J12" s="58"/>
    </row>
    <row r="13" spans="1:12" x14ac:dyDescent="0.2">
      <c r="A13" s="187" t="s">
        <v>111</v>
      </c>
      <c r="B13" s="187"/>
      <c r="C13" s="187"/>
      <c r="D13" s="187"/>
      <c r="E13" s="187"/>
      <c r="F13" s="187"/>
      <c r="G13" s="79">
        <v>90886.69</v>
      </c>
      <c r="H13" s="78"/>
      <c r="I13" s="80"/>
      <c r="J13" s="58"/>
    </row>
    <row r="14" spans="1:12" x14ac:dyDescent="0.2">
      <c r="A14" s="187" t="s">
        <v>112</v>
      </c>
      <c r="B14" s="187"/>
      <c r="C14" s="187"/>
      <c r="D14" s="187"/>
      <c r="E14" s="187"/>
      <c r="F14" s="187"/>
      <c r="G14" s="79">
        <v>1915128.08</v>
      </c>
      <c r="H14" s="78"/>
      <c r="I14" s="80"/>
      <c r="J14" s="58"/>
    </row>
    <row r="15" spans="1:12" x14ac:dyDescent="0.2">
      <c r="A15" s="187" t="s">
        <v>113</v>
      </c>
      <c r="B15" s="187"/>
      <c r="C15" s="187"/>
      <c r="D15" s="187"/>
      <c r="E15" s="187"/>
      <c r="F15" s="187"/>
      <c r="G15" s="79">
        <v>441993.05</v>
      </c>
      <c r="H15" s="78"/>
      <c r="I15" s="76"/>
    </row>
    <row r="16" spans="1:12" x14ac:dyDescent="0.2">
      <c r="A16" s="187" t="s">
        <v>114</v>
      </c>
      <c r="B16" s="187"/>
      <c r="C16" s="187"/>
      <c r="D16" s="187"/>
      <c r="E16" s="187"/>
      <c r="F16" s="187"/>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106</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24" si="0">H19+SUM(D20:G20)</f>
        <v>2329220.0073099998</v>
      </c>
      <c r="J20" s="58"/>
      <c r="K20" s="99"/>
      <c r="L20" s="96"/>
    </row>
    <row r="21" spans="1:12" x14ac:dyDescent="0.2">
      <c r="A21" s="66">
        <f>'FERC Interest Rates'!A59</f>
        <v>42794</v>
      </c>
      <c r="B21" s="100">
        <v>-1.3639999999999999E-2</v>
      </c>
      <c r="C21" s="97">
        <f>'Therm Sales'!I44</f>
        <v>39357111</v>
      </c>
      <c r="D21" s="93"/>
      <c r="E21" s="94">
        <f t="shared" ref="E21:E24" si="1">ROUND(C21*B21,2)</f>
        <v>-536830.99</v>
      </c>
      <c r="F21" s="80">
        <f t="shared" ref="F21:F24" si="2">ROUND(H20*VLOOKUP(A21,FERCINT17,2)/365*VLOOKUP(A21,FERCINT17,3),2)</f>
        <v>6253.8</v>
      </c>
      <c r="G21" s="76"/>
      <c r="H21" s="95">
        <f t="shared" si="0"/>
        <v>1798642.8173099998</v>
      </c>
      <c r="J21" s="58"/>
      <c r="K21" s="99"/>
      <c r="L21" s="96"/>
    </row>
    <row r="22" spans="1:12" x14ac:dyDescent="0.2">
      <c r="A22" s="66">
        <f>'FERC Interest Rates'!A60</f>
        <v>42825</v>
      </c>
      <c r="B22" s="100">
        <v>-1.3639999999999999E-2</v>
      </c>
      <c r="C22" s="97">
        <f>'Therm Sales'!I45</f>
        <v>35872415</v>
      </c>
      <c r="D22" s="93"/>
      <c r="E22" s="94">
        <f t="shared" si="1"/>
        <v>-489299.74</v>
      </c>
      <c r="F22" s="80">
        <f t="shared" si="2"/>
        <v>5346.65</v>
      </c>
      <c r="G22" s="76"/>
      <c r="H22" s="95">
        <f t="shared" si="0"/>
        <v>1314689.72731</v>
      </c>
      <c r="J22" s="58"/>
      <c r="K22" s="99"/>
      <c r="L22" s="96"/>
    </row>
    <row r="23" spans="1:12" x14ac:dyDescent="0.2">
      <c r="A23" s="66">
        <f>'FERC Interest Rates'!A61</f>
        <v>42855</v>
      </c>
      <c r="B23" s="100">
        <v>-1.3639999999999999E-2</v>
      </c>
      <c r="C23" s="97">
        <f>'Therm Sales'!I46</f>
        <v>21376214</v>
      </c>
      <c r="D23" s="93"/>
      <c r="E23" s="94">
        <f t="shared" si="1"/>
        <v>-291571.56</v>
      </c>
      <c r="F23" s="80">
        <f t="shared" si="2"/>
        <v>4008.9</v>
      </c>
      <c r="G23" s="76"/>
      <c r="H23" s="95">
        <f t="shared" si="0"/>
        <v>1027127.0673100001</v>
      </c>
      <c r="J23" s="58"/>
      <c r="K23" s="99"/>
      <c r="L23" s="96"/>
    </row>
    <row r="24" spans="1:12" x14ac:dyDescent="0.2">
      <c r="A24" s="66">
        <f>'FERC Interest Rates'!A62</f>
        <v>42886</v>
      </c>
      <c r="B24" s="100">
        <v>-1.3639999999999999E-2</v>
      </c>
      <c r="C24" s="97">
        <f>'Therm Sales'!I47</f>
        <v>15973162</v>
      </c>
      <c r="D24" s="93"/>
      <c r="E24" s="94">
        <f t="shared" si="1"/>
        <v>-217873.93</v>
      </c>
      <c r="F24" s="80">
        <f t="shared" si="2"/>
        <v>3236.44</v>
      </c>
      <c r="G24" s="76"/>
      <c r="H24" s="95">
        <f t="shared" si="0"/>
        <v>812489.57731000008</v>
      </c>
      <c r="J24" s="58"/>
      <c r="K24" s="99"/>
      <c r="L24" s="96"/>
    </row>
    <row r="25" spans="1:12" x14ac:dyDescent="0.2">
      <c r="A25" s="66"/>
      <c r="B25" s="100"/>
      <c r="C25" s="97"/>
      <c r="D25" s="74"/>
      <c r="E25" s="94"/>
      <c r="F25" s="80"/>
      <c r="H25" s="95"/>
      <c r="J25" s="58"/>
      <c r="K25" s="99"/>
      <c r="L25" s="96"/>
    </row>
    <row r="26" spans="1:12" x14ac:dyDescent="0.2">
      <c r="A26" s="66"/>
      <c r="B26" s="100"/>
      <c r="C26" s="97"/>
      <c r="D26" s="74"/>
      <c r="E26" s="94"/>
      <c r="F26" s="80"/>
      <c r="H26" s="95"/>
      <c r="J26" s="58"/>
      <c r="K26" s="99"/>
      <c r="L26" s="96"/>
    </row>
    <row r="27" spans="1:12" x14ac:dyDescent="0.2">
      <c r="A27" s="66"/>
      <c r="B27" s="100"/>
      <c r="C27" s="97"/>
      <c r="D27" s="74"/>
      <c r="E27" s="94"/>
      <c r="F27" s="80"/>
      <c r="H27" s="95"/>
      <c r="J27" s="58"/>
      <c r="K27" s="99"/>
      <c r="L27" s="96"/>
    </row>
    <row r="28" spans="1:12" x14ac:dyDescent="0.2">
      <c r="A28" s="66"/>
      <c r="B28" s="100"/>
      <c r="C28" s="97"/>
      <c r="D28" s="74"/>
      <c r="E28" s="94"/>
      <c r="F28" s="80"/>
      <c r="H28" s="95"/>
      <c r="J28" s="58"/>
      <c r="K28" s="99"/>
      <c r="L28" s="96"/>
    </row>
    <row r="29" spans="1:12" x14ac:dyDescent="0.2">
      <c r="A29" s="66"/>
      <c r="B29" s="100"/>
      <c r="C29" s="97"/>
      <c r="D29" s="74"/>
      <c r="E29" s="94"/>
      <c r="F29" s="80"/>
      <c r="H29" s="95"/>
      <c r="J29" s="58"/>
      <c r="K29" s="99"/>
      <c r="L29" s="96"/>
    </row>
    <row r="30" spans="1:12" x14ac:dyDescent="0.2">
      <c r="A30" s="66"/>
      <c r="B30" s="100"/>
      <c r="C30" s="97"/>
      <c r="D30" s="74"/>
      <c r="E30" s="94"/>
      <c r="F30" s="80"/>
      <c r="H30" s="95"/>
      <c r="J30" s="58"/>
      <c r="K30" s="99"/>
      <c r="L30" s="96"/>
    </row>
    <row r="31" spans="1:12" x14ac:dyDescent="0.2">
      <c r="A31" s="157"/>
      <c r="B31" s="157"/>
      <c r="C31" s="157"/>
      <c r="D31" s="157"/>
      <c r="E31" s="157"/>
      <c r="F31" s="157"/>
      <c r="H31" s="95"/>
      <c r="J31" s="58"/>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E69"/>
  <sheetViews>
    <sheetView showGridLines="0" view="pageBreakPreview" zoomScaleNormal="60" zoomScaleSheetLayoutView="100" workbookViewId="0">
      <selection activeCell="F17" sqref="F17"/>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6" t="s">
        <v>25</v>
      </c>
    </row>
    <row r="11" spans="1:5" x14ac:dyDescent="0.2">
      <c r="A11" s="15">
        <v>41333</v>
      </c>
      <c r="B11" s="16">
        <f>B10</f>
        <v>3.2500000000000001E-2</v>
      </c>
      <c r="C11" s="17">
        <v>28</v>
      </c>
      <c r="D11" s="207"/>
    </row>
    <row r="12" spans="1:5" x14ac:dyDescent="0.2">
      <c r="A12" s="15">
        <v>41364</v>
      </c>
      <c r="B12" s="16">
        <f>B11</f>
        <v>3.2500000000000001E-2</v>
      </c>
      <c r="C12" s="17">
        <v>31</v>
      </c>
      <c r="D12" s="207"/>
    </row>
    <row r="13" spans="1:5" x14ac:dyDescent="0.2">
      <c r="A13" s="15">
        <v>41394</v>
      </c>
      <c r="B13" s="16">
        <f t="shared" ref="B13:B33" si="0">B12</f>
        <v>3.2500000000000001E-2</v>
      </c>
      <c r="C13" s="17">
        <v>30</v>
      </c>
      <c r="D13" s="207"/>
    </row>
    <row r="14" spans="1:5" x14ac:dyDescent="0.2">
      <c r="A14" s="15">
        <v>41425</v>
      </c>
      <c r="B14" s="16">
        <f t="shared" si="0"/>
        <v>3.2500000000000001E-2</v>
      </c>
      <c r="C14" s="17">
        <v>31</v>
      </c>
      <c r="D14" s="207"/>
    </row>
    <row r="15" spans="1:5" x14ac:dyDescent="0.2">
      <c r="A15" s="15">
        <v>41455</v>
      </c>
      <c r="B15" s="16">
        <f t="shared" si="0"/>
        <v>3.2500000000000001E-2</v>
      </c>
      <c r="C15" s="17">
        <v>30</v>
      </c>
      <c r="D15" s="207"/>
    </row>
    <row r="16" spans="1:5" x14ac:dyDescent="0.2">
      <c r="A16" s="15">
        <v>41486</v>
      </c>
      <c r="B16" s="16">
        <f t="shared" si="0"/>
        <v>3.2500000000000001E-2</v>
      </c>
      <c r="C16" s="17">
        <v>31</v>
      </c>
      <c r="D16" s="207"/>
    </row>
    <row r="17" spans="1:4" x14ac:dyDescent="0.2">
      <c r="A17" s="15">
        <v>41517</v>
      </c>
      <c r="B17" s="16">
        <f t="shared" si="0"/>
        <v>3.2500000000000001E-2</v>
      </c>
      <c r="C17" s="17">
        <v>31</v>
      </c>
      <c r="D17" s="207"/>
    </row>
    <row r="18" spans="1:4" x14ac:dyDescent="0.2">
      <c r="A18" s="15">
        <v>41547</v>
      </c>
      <c r="B18" s="16">
        <f t="shared" si="0"/>
        <v>3.2500000000000001E-2</v>
      </c>
      <c r="C18" s="17">
        <v>30</v>
      </c>
      <c r="D18" s="207"/>
    </row>
    <row r="19" spans="1:4" x14ac:dyDescent="0.2">
      <c r="A19" s="15">
        <v>41578</v>
      </c>
      <c r="B19" s="16">
        <f t="shared" si="0"/>
        <v>3.2500000000000001E-2</v>
      </c>
      <c r="C19" s="17">
        <v>31</v>
      </c>
      <c r="D19" s="207"/>
    </row>
    <row r="20" spans="1:4" x14ac:dyDescent="0.2">
      <c r="A20" s="15">
        <v>41608</v>
      </c>
      <c r="B20" s="16">
        <f t="shared" si="0"/>
        <v>3.2500000000000001E-2</v>
      </c>
      <c r="C20" s="17">
        <v>30</v>
      </c>
      <c r="D20" s="207"/>
    </row>
    <row r="21" spans="1:4" x14ac:dyDescent="0.2">
      <c r="A21" s="18">
        <v>41639</v>
      </c>
      <c r="B21" s="19">
        <f t="shared" si="0"/>
        <v>3.2500000000000001E-2</v>
      </c>
      <c r="C21" s="20">
        <v>31</v>
      </c>
      <c r="D21" s="208"/>
    </row>
    <row r="22" spans="1:4" ht="12.75" customHeight="1" x14ac:dyDescent="0.2">
      <c r="A22" s="12">
        <v>41670</v>
      </c>
      <c r="B22" s="16">
        <f t="shared" si="0"/>
        <v>3.2500000000000001E-2</v>
      </c>
      <c r="C22" s="14">
        <v>31</v>
      </c>
      <c r="D22" s="206" t="s">
        <v>26</v>
      </c>
    </row>
    <row r="23" spans="1:4" x14ac:dyDescent="0.2">
      <c r="A23" s="15">
        <v>41698</v>
      </c>
      <c r="B23" s="16">
        <f t="shared" si="0"/>
        <v>3.2500000000000001E-2</v>
      </c>
      <c r="C23" s="17">
        <v>28</v>
      </c>
      <c r="D23" s="207"/>
    </row>
    <row r="24" spans="1:4" x14ac:dyDescent="0.2">
      <c r="A24" s="15">
        <v>41729</v>
      </c>
      <c r="B24" s="16">
        <f t="shared" si="0"/>
        <v>3.2500000000000001E-2</v>
      </c>
      <c r="C24" s="17">
        <v>31</v>
      </c>
      <c r="D24" s="207"/>
    </row>
    <row r="25" spans="1:4" x14ac:dyDescent="0.2">
      <c r="A25" s="15">
        <v>41759</v>
      </c>
      <c r="B25" s="16">
        <f t="shared" si="0"/>
        <v>3.2500000000000001E-2</v>
      </c>
      <c r="C25" s="17">
        <v>30</v>
      </c>
      <c r="D25" s="207"/>
    </row>
    <row r="26" spans="1:4" x14ac:dyDescent="0.2">
      <c r="A26" s="15">
        <v>41790</v>
      </c>
      <c r="B26" s="16">
        <f t="shared" si="0"/>
        <v>3.2500000000000001E-2</v>
      </c>
      <c r="C26" s="17">
        <v>31</v>
      </c>
      <c r="D26" s="207"/>
    </row>
    <row r="27" spans="1:4" x14ac:dyDescent="0.2">
      <c r="A27" s="15">
        <v>41820</v>
      </c>
      <c r="B27" s="16">
        <f t="shared" si="0"/>
        <v>3.2500000000000001E-2</v>
      </c>
      <c r="C27" s="17">
        <v>30</v>
      </c>
      <c r="D27" s="207"/>
    </row>
    <row r="28" spans="1:4" x14ac:dyDescent="0.2">
      <c r="A28" s="15">
        <v>41851</v>
      </c>
      <c r="B28" s="16">
        <f t="shared" si="0"/>
        <v>3.2500000000000001E-2</v>
      </c>
      <c r="C28" s="17">
        <v>31</v>
      </c>
      <c r="D28" s="207"/>
    </row>
    <row r="29" spans="1:4" x14ac:dyDescent="0.2">
      <c r="A29" s="15">
        <v>41882</v>
      </c>
      <c r="B29" s="16">
        <f t="shared" si="0"/>
        <v>3.2500000000000001E-2</v>
      </c>
      <c r="C29" s="17">
        <v>31</v>
      </c>
      <c r="D29" s="207"/>
    </row>
    <row r="30" spans="1:4" x14ac:dyDescent="0.2">
      <c r="A30" s="15">
        <v>41912</v>
      </c>
      <c r="B30" s="16">
        <f t="shared" si="0"/>
        <v>3.2500000000000001E-2</v>
      </c>
      <c r="C30" s="17">
        <v>30</v>
      </c>
      <c r="D30" s="207"/>
    </row>
    <row r="31" spans="1:4" x14ac:dyDescent="0.2">
      <c r="A31" s="15">
        <v>41943</v>
      </c>
      <c r="B31" s="16">
        <f t="shared" si="0"/>
        <v>3.2500000000000001E-2</v>
      </c>
      <c r="C31" s="17">
        <v>31</v>
      </c>
      <c r="D31" s="207"/>
    </row>
    <row r="32" spans="1:4" x14ac:dyDescent="0.2">
      <c r="A32" s="15">
        <v>41973</v>
      </c>
      <c r="B32" s="16">
        <f t="shared" si="0"/>
        <v>3.2500000000000001E-2</v>
      </c>
      <c r="C32" s="17">
        <v>30</v>
      </c>
      <c r="D32" s="207"/>
    </row>
    <row r="33" spans="1:4" x14ac:dyDescent="0.2">
      <c r="A33" s="18">
        <v>42004</v>
      </c>
      <c r="B33" s="19">
        <f t="shared" si="0"/>
        <v>3.2500000000000001E-2</v>
      </c>
      <c r="C33" s="20">
        <v>31</v>
      </c>
      <c r="D33" s="208"/>
    </row>
    <row r="34" spans="1:4" ht="12.75" customHeight="1" x14ac:dyDescent="0.2">
      <c r="A34" s="12">
        <v>42035</v>
      </c>
      <c r="B34" s="16">
        <f>B33</f>
        <v>3.2500000000000001E-2</v>
      </c>
      <c r="C34" s="14">
        <v>31</v>
      </c>
      <c r="D34" s="206" t="s">
        <v>27</v>
      </c>
    </row>
    <row r="35" spans="1:4" x14ac:dyDescent="0.2">
      <c r="A35" s="15">
        <v>42063</v>
      </c>
      <c r="B35" s="16">
        <f t="shared" ref="B35:B69" si="1">B34</f>
        <v>3.2500000000000001E-2</v>
      </c>
      <c r="C35" s="17">
        <v>28</v>
      </c>
      <c r="D35" s="207"/>
    </row>
    <row r="36" spans="1:4" x14ac:dyDescent="0.2">
      <c r="A36" s="15">
        <v>42094</v>
      </c>
      <c r="B36" s="16">
        <f t="shared" si="1"/>
        <v>3.2500000000000001E-2</v>
      </c>
      <c r="C36" s="17">
        <v>31</v>
      </c>
      <c r="D36" s="207"/>
    </row>
    <row r="37" spans="1:4" x14ac:dyDescent="0.2">
      <c r="A37" s="15">
        <v>42124</v>
      </c>
      <c r="B37" s="16">
        <f t="shared" si="1"/>
        <v>3.2500000000000001E-2</v>
      </c>
      <c r="C37" s="17">
        <v>30</v>
      </c>
      <c r="D37" s="207"/>
    </row>
    <row r="38" spans="1:4" x14ac:dyDescent="0.2">
      <c r="A38" s="15">
        <v>42155</v>
      </c>
      <c r="B38" s="16">
        <f t="shared" si="1"/>
        <v>3.2500000000000001E-2</v>
      </c>
      <c r="C38" s="17">
        <v>31</v>
      </c>
      <c r="D38" s="207"/>
    </row>
    <row r="39" spans="1:4" x14ac:dyDescent="0.2">
      <c r="A39" s="15">
        <v>42185</v>
      </c>
      <c r="B39" s="16">
        <f t="shared" si="1"/>
        <v>3.2500000000000001E-2</v>
      </c>
      <c r="C39" s="17">
        <v>30</v>
      </c>
      <c r="D39" s="207"/>
    </row>
    <row r="40" spans="1:4" x14ac:dyDescent="0.2">
      <c r="A40" s="15">
        <v>42216</v>
      </c>
      <c r="B40" s="16">
        <f t="shared" si="1"/>
        <v>3.2500000000000001E-2</v>
      </c>
      <c r="C40" s="17">
        <v>31</v>
      </c>
      <c r="D40" s="207"/>
    </row>
    <row r="41" spans="1:4" x14ac:dyDescent="0.2">
      <c r="A41" s="15">
        <v>42247</v>
      </c>
      <c r="B41" s="16">
        <f t="shared" si="1"/>
        <v>3.2500000000000001E-2</v>
      </c>
      <c r="C41" s="17">
        <v>31</v>
      </c>
      <c r="D41" s="207"/>
    </row>
    <row r="42" spans="1:4" x14ac:dyDescent="0.2">
      <c r="A42" s="15">
        <v>42277</v>
      </c>
      <c r="B42" s="16">
        <f t="shared" si="1"/>
        <v>3.2500000000000001E-2</v>
      </c>
      <c r="C42" s="17">
        <v>30</v>
      </c>
      <c r="D42" s="207"/>
    </row>
    <row r="43" spans="1:4" x14ac:dyDescent="0.2">
      <c r="A43" s="15">
        <v>42308</v>
      </c>
      <c r="B43" s="16">
        <f t="shared" si="1"/>
        <v>3.2500000000000001E-2</v>
      </c>
      <c r="C43" s="17">
        <v>31</v>
      </c>
      <c r="D43" s="207"/>
    </row>
    <row r="44" spans="1:4" x14ac:dyDescent="0.2">
      <c r="A44" s="15">
        <v>42338</v>
      </c>
      <c r="B44" s="16">
        <f t="shared" si="1"/>
        <v>3.2500000000000001E-2</v>
      </c>
      <c r="C44" s="17">
        <v>30</v>
      </c>
      <c r="D44" s="207"/>
    </row>
    <row r="45" spans="1:4" x14ac:dyDescent="0.2">
      <c r="A45" s="18">
        <v>42369</v>
      </c>
      <c r="B45" s="19">
        <f t="shared" si="1"/>
        <v>3.2500000000000001E-2</v>
      </c>
      <c r="C45" s="20">
        <v>31</v>
      </c>
      <c r="D45" s="208"/>
    </row>
    <row r="46" spans="1:4" ht="12.75" customHeight="1" x14ac:dyDescent="0.2">
      <c r="A46" s="15">
        <v>42400</v>
      </c>
      <c r="B46" s="16">
        <f t="shared" si="1"/>
        <v>3.2500000000000001E-2</v>
      </c>
      <c r="C46" s="14">
        <v>31</v>
      </c>
      <c r="D46" s="206" t="s">
        <v>28</v>
      </c>
    </row>
    <row r="47" spans="1:4" x14ac:dyDescent="0.2">
      <c r="A47" s="15">
        <v>42429</v>
      </c>
      <c r="B47" s="16">
        <f t="shared" si="1"/>
        <v>3.2500000000000001E-2</v>
      </c>
      <c r="C47" s="17">
        <v>29</v>
      </c>
      <c r="D47" s="207"/>
    </row>
    <row r="48" spans="1:4" x14ac:dyDescent="0.2">
      <c r="A48" s="15">
        <v>42460</v>
      </c>
      <c r="B48" s="16">
        <f t="shared" si="1"/>
        <v>3.2500000000000001E-2</v>
      </c>
      <c r="C48" s="17">
        <v>31</v>
      </c>
      <c r="D48" s="207"/>
    </row>
    <row r="49" spans="1:4" x14ac:dyDescent="0.2">
      <c r="A49" s="15">
        <v>42490</v>
      </c>
      <c r="B49" s="16">
        <v>3.4599999999999999E-2</v>
      </c>
      <c r="C49" s="17">
        <v>30</v>
      </c>
      <c r="D49" s="207"/>
    </row>
    <row r="50" spans="1:4" x14ac:dyDescent="0.2">
      <c r="A50" s="15">
        <v>42521</v>
      </c>
      <c r="B50" s="16">
        <f t="shared" si="1"/>
        <v>3.4599999999999999E-2</v>
      </c>
      <c r="C50" s="17">
        <v>31</v>
      </c>
      <c r="D50" s="207"/>
    </row>
    <row r="51" spans="1:4" x14ac:dyDescent="0.2">
      <c r="A51" s="15">
        <v>42551</v>
      </c>
      <c r="B51" s="16">
        <f t="shared" si="1"/>
        <v>3.4599999999999999E-2</v>
      </c>
      <c r="C51" s="17">
        <v>30</v>
      </c>
      <c r="D51" s="207"/>
    </row>
    <row r="52" spans="1:4" x14ac:dyDescent="0.2">
      <c r="A52" s="15">
        <v>42582</v>
      </c>
      <c r="B52" s="16">
        <v>3.5000000000000003E-2</v>
      </c>
      <c r="C52" s="17">
        <v>31</v>
      </c>
      <c r="D52" s="207"/>
    </row>
    <row r="53" spans="1:4" x14ac:dyDescent="0.2">
      <c r="A53" s="15">
        <v>42613</v>
      </c>
      <c r="B53" s="16">
        <f t="shared" si="1"/>
        <v>3.5000000000000003E-2</v>
      </c>
      <c r="C53" s="17">
        <v>31</v>
      </c>
      <c r="D53" s="207"/>
    </row>
    <row r="54" spans="1:4" x14ac:dyDescent="0.2">
      <c r="A54" s="15">
        <v>42643</v>
      </c>
      <c r="B54" s="16">
        <f t="shared" si="1"/>
        <v>3.5000000000000003E-2</v>
      </c>
      <c r="C54" s="17">
        <v>30</v>
      </c>
      <c r="D54" s="207"/>
    </row>
    <row r="55" spans="1:4" x14ac:dyDescent="0.2">
      <c r="A55" s="15">
        <v>42674</v>
      </c>
      <c r="B55" s="16">
        <f t="shared" si="1"/>
        <v>3.5000000000000003E-2</v>
      </c>
      <c r="C55" s="17">
        <v>31</v>
      </c>
      <c r="D55" s="207"/>
    </row>
    <row r="56" spans="1:4" x14ac:dyDescent="0.2">
      <c r="A56" s="15">
        <v>42704</v>
      </c>
      <c r="B56" s="16">
        <f t="shared" si="1"/>
        <v>3.5000000000000003E-2</v>
      </c>
      <c r="C56" s="17">
        <v>30</v>
      </c>
      <c r="D56" s="207"/>
    </row>
    <row r="57" spans="1:4" x14ac:dyDescent="0.2">
      <c r="A57" s="18">
        <v>42735</v>
      </c>
      <c r="B57" s="19">
        <f t="shared" si="1"/>
        <v>3.5000000000000003E-2</v>
      </c>
      <c r="C57" s="20">
        <v>31</v>
      </c>
      <c r="D57" s="208"/>
    </row>
    <row r="58" spans="1:4" ht="12.75" customHeight="1" x14ac:dyDescent="0.2">
      <c r="A58" s="15">
        <v>42766</v>
      </c>
      <c r="B58" s="16">
        <f t="shared" si="1"/>
        <v>3.5000000000000003E-2</v>
      </c>
      <c r="C58" s="14">
        <v>31</v>
      </c>
      <c r="D58" s="206" t="s">
        <v>29</v>
      </c>
    </row>
    <row r="59" spans="1:4" x14ac:dyDescent="0.2">
      <c r="A59" s="15">
        <v>42794</v>
      </c>
      <c r="B59" s="16">
        <f t="shared" si="1"/>
        <v>3.5000000000000003E-2</v>
      </c>
      <c r="C59" s="17">
        <v>28</v>
      </c>
      <c r="D59" s="207"/>
    </row>
    <row r="60" spans="1:4" x14ac:dyDescent="0.2">
      <c r="A60" s="15">
        <v>42825</v>
      </c>
      <c r="B60" s="16">
        <f t="shared" si="1"/>
        <v>3.5000000000000003E-2</v>
      </c>
      <c r="C60" s="17">
        <v>31</v>
      </c>
      <c r="D60" s="207"/>
    </row>
    <row r="61" spans="1:4" x14ac:dyDescent="0.2">
      <c r="A61" s="15">
        <v>42855</v>
      </c>
      <c r="B61" s="16">
        <v>3.7100000000000001E-2</v>
      </c>
      <c r="C61" s="17">
        <v>30</v>
      </c>
      <c r="D61" s="207"/>
    </row>
    <row r="62" spans="1:4" x14ac:dyDescent="0.2">
      <c r="A62" s="15">
        <v>42886</v>
      </c>
      <c r="B62" s="16">
        <f t="shared" si="1"/>
        <v>3.7100000000000001E-2</v>
      </c>
      <c r="C62" s="17">
        <v>31</v>
      </c>
      <c r="D62" s="207"/>
    </row>
    <row r="63" spans="1:4" x14ac:dyDescent="0.2">
      <c r="A63" s="15">
        <v>42916</v>
      </c>
      <c r="B63" s="16">
        <f t="shared" si="1"/>
        <v>3.7100000000000001E-2</v>
      </c>
      <c r="C63" s="17">
        <v>30</v>
      </c>
      <c r="D63" s="207"/>
    </row>
    <row r="64" spans="1:4" x14ac:dyDescent="0.2">
      <c r="A64" s="15">
        <v>42947</v>
      </c>
      <c r="B64" s="16">
        <f t="shared" si="1"/>
        <v>3.7100000000000001E-2</v>
      </c>
      <c r="C64" s="17">
        <v>31</v>
      </c>
      <c r="D64" s="207"/>
    </row>
    <row r="65" spans="1:4" x14ac:dyDescent="0.2">
      <c r="A65" s="15">
        <v>42978</v>
      </c>
      <c r="B65" s="16">
        <f t="shared" si="1"/>
        <v>3.7100000000000001E-2</v>
      </c>
      <c r="C65" s="17">
        <v>31</v>
      </c>
      <c r="D65" s="207"/>
    </row>
    <row r="66" spans="1:4" x14ac:dyDescent="0.2">
      <c r="A66" s="15">
        <v>43008</v>
      </c>
      <c r="B66" s="16">
        <f t="shared" si="1"/>
        <v>3.7100000000000001E-2</v>
      </c>
      <c r="C66" s="17">
        <v>30</v>
      </c>
      <c r="D66" s="207"/>
    </row>
    <row r="67" spans="1:4" x14ac:dyDescent="0.2">
      <c r="A67" s="15">
        <v>43039</v>
      </c>
      <c r="B67" s="16">
        <f t="shared" si="1"/>
        <v>3.7100000000000001E-2</v>
      </c>
      <c r="C67" s="17">
        <v>31</v>
      </c>
      <c r="D67" s="207"/>
    </row>
    <row r="68" spans="1:4" x14ac:dyDescent="0.2">
      <c r="A68" s="15">
        <v>43069</v>
      </c>
      <c r="B68" s="16">
        <f t="shared" si="1"/>
        <v>3.7100000000000001E-2</v>
      </c>
      <c r="C68" s="17">
        <v>30</v>
      </c>
      <c r="D68" s="207"/>
    </row>
    <row r="69" spans="1:4" x14ac:dyDescent="0.2">
      <c r="A69" s="18">
        <v>43100</v>
      </c>
      <c r="B69" s="19">
        <f t="shared" si="1"/>
        <v>3.7100000000000001E-2</v>
      </c>
      <c r="C69" s="20">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3" orientation="portrait" r:id="rId2"/>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view="pageBreakPreview" zoomScaleNormal="60" zoomScaleSheetLayoutView="100" workbookViewId="0">
      <pane xSplit="1" ySplit="4" topLeftCell="B44" activePane="bottomRight" state="frozen"/>
      <selection activeCell="C13" sqref="C13"/>
      <selection pane="topRight" activeCell="C13" sqref="C13"/>
      <selection pane="bottomLeft" activeCell="C13" sqref="C13"/>
      <selection pane="bottomRight" activeCell="C13" sqref="C13"/>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1"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6" customFormat="1" ht="60" customHeight="1" x14ac:dyDescent="0.2">
      <c r="A4" s="218"/>
      <c r="B4" s="22" t="s">
        <v>2</v>
      </c>
      <c r="C4" s="22" t="s">
        <v>5</v>
      </c>
      <c r="D4" s="22" t="s">
        <v>6</v>
      </c>
      <c r="E4" s="23" t="s">
        <v>41</v>
      </c>
      <c r="F4" s="24" t="s">
        <v>42</v>
      </c>
      <c r="G4" s="22" t="s">
        <v>43</v>
      </c>
      <c r="H4" s="23" t="s">
        <v>44</v>
      </c>
      <c r="I4" s="223"/>
      <c r="J4" s="225"/>
      <c r="K4" s="227"/>
      <c r="L4" s="23" t="s">
        <v>45</v>
      </c>
      <c r="M4" s="25" t="s">
        <v>46</v>
      </c>
      <c r="N4" s="23" t="s">
        <v>47</v>
      </c>
      <c r="O4" s="231"/>
      <c r="P4" s="210"/>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v>20884784</v>
      </c>
      <c r="C44" s="28">
        <v>16301402</v>
      </c>
      <c r="D44" s="28">
        <v>1709089</v>
      </c>
      <c r="E44" s="29">
        <f t="shared" si="13"/>
        <v>38895275</v>
      </c>
      <c r="F44" s="30">
        <f>306+0-306</f>
        <v>0</v>
      </c>
      <c r="G44" s="28">
        <f>587884+461836-587884</f>
        <v>461836</v>
      </c>
      <c r="H44" s="29">
        <f t="shared" si="14"/>
        <v>461836</v>
      </c>
      <c r="I44" s="31">
        <f t="shared" si="2"/>
        <v>39357111</v>
      </c>
      <c r="J44" s="28">
        <f>45464690+23263838+37268027+17694147-45464690-23263838</f>
        <v>54962174</v>
      </c>
      <c r="K44" s="31">
        <f t="shared" si="11"/>
        <v>94319285</v>
      </c>
      <c r="L44" s="32" t="s">
        <v>48</v>
      </c>
      <c r="M44" s="33">
        <f>3484534+3336577+962939+597166+1201150+7537049+2120545+0+1281418+2000676+2870154+833388+466554+1050982+8259193+371595+0+989453-3484534-3336577-962939-597166-1201150-7537049-2120545-0-1281418</f>
        <v>16841995</v>
      </c>
      <c r="N44" s="29">
        <f t="shared" si="12"/>
        <v>38120179</v>
      </c>
      <c r="O44" s="31">
        <f t="shared" si="5"/>
        <v>77477290</v>
      </c>
      <c r="P44" s="34">
        <v>0</v>
      </c>
    </row>
    <row r="45" spans="1:16" x14ac:dyDescent="0.2">
      <c r="A45" s="27">
        <f>'FERC Interest Rates'!A60</f>
        <v>42825</v>
      </c>
      <c r="B45" s="28">
        <v>19202444</v>
      </c>
      <c r="C45" s="28">
        <v>14510217</v>
      </c>
      <c r="D45" s="28">
        <v>1905197</v>
      </c>
      <c r="E45" s="29">
        <f t="shared" si="13"/>
        <v>35617858</v>
      </c>
      <c r="F45" s="30">
        <v>0</v>
      </c>
      <c r="G45" s="28">
        <f>461836+254557-461836</f>
        <v>254557</v>
      </c>
      <c r="H45" s="29">
        <f t="shared" si="14"/>
        <v>254557</v>
      </c>
      <c r="I45" s="31">
        <f t="shared" si="2"/>
        <v>35872415</v>
      </c>
      <c r="J45" s="28">
        <f>37268027+17694147+37953585+16518243-37268027-17694147</f>
        <v>54471828</v>
      </c>
      <c r="K45" s="31">
        <f t="shared" si="11"/>
        <v>90344243</v>
      </c>
      <c r="L45" s="32" t="s">
        <v>48</v>
      </c>
      <c r="M45" s="33">
        <f>2000676+2870154+833388+466554+1050982+8259193+371595+0+989453+1114837+2218389+884624+518572+1157347+8127230+0+0+2016355-2000676-2870154-833388-466554-1050982-8259193-371595-0-989453</f>
        <v>16037354</v>
      </c>
      <c r="N45" s="29">
        <f t="shared" si="12"/>
        <v>38434474</v>
      </c>
      <c r="O45" s="31">
        <f t="shared" si="5"/>
        <v>74306889</v>
      </c>
      <c r="P45" s="34">
        <v>0</v>
      </c>
    </row>
    <row r="46" spans="1:16" x14ac:dyDescent="0.2">
      <c r="A46" s="27">
        <f>'FERC Interest Rates'!A61</f>
        <v>42855</v>
      </c>
      <c r="B46" s="28">
        <v>11408371</v>
      </c>
      <c r="C46" s="28">
        <v>8565387</v>
      </c>
      <c r="D46" s="28">
        <v>1187261</v>
      </c>
      <c r="E46" s="29">
        <f t="shared" si="13"/>
        <v>21161019</v>
      </c>
      <c r="F46" s="30">
        <v>0</v>
      </c>
      <c r="G46" s="28">
        <f>254557+215195-254557</f>
        <v>215195</v>
      </c>
      <c r="H46" s="29">
        <f t="shared" si="14"/>
        <v>215195</v>
      </c>
      <c r="I46" s="31">
        <f t="shared" si="2"/>
        <v>21376214</v>
      </c>
      <c r="J46" s="28">
        <f>37981777+16520502+33008626+19200909-37953585-16518243</f>
        <v>52239986</v>
      </c>
      <c r="K46" s="31">
        <f t="shared" si="11"/>
        <v>73616200</v>
      </c>
      <c r="L46" s="32" t="s">
        <v>48</v>
      </c>
      <c r="M46" s="33">
        <f>1114837+2218389+884624+518572+1157347+8127230+0+0+2016355+2338365+2019393+694319+408263+1102654+6745703+0+0+2347790-1114837-2218389-884624-518572-1157347-8127230-0-0-2016355</f>
        <v>15656487</v>
      </c>
      <c r="N46" s="29">
        <f t="shared" si="12"/>
        <v>36583499</v>
      </c>
      <c r="O46" s="31">
        <f t="shared" si="5"/>
        <v>57959713</v>
      </c>
      <c r="P46" s="34">
        <v>0</v>
      </c>
    </row>
    <row r="47" spans="1:16" x14ac:dyDescent="0.2">
      <c r="A47" s="27">
        <f>'FERC Interest Rates'!A62</f>
        <v>42886</v>
      </c>
      <c r="B47" s="28">
        <v>8224421</v>
      </c>
      <c r="C47" s="28">
        <v>6567715</v>
      </c>
      <c r="D47" s="28">
        <v>1017214</v>
      </c>
      <c r="E47" s="29">
        <f t="shared" si="13"/>
        <v>15809350</v>
      </c>
      <c r="F47" s="30">
        <v>0</v>
      </c>
      <c r="G47" s="28">
        <f>215195+163812-215195</f>
        <v>163812</v>
      </c>
      <c r="H47" s="29">
        <f t="shared" si="14"/>
        <v>163812</v>
      </c>
      <c r="I47" s="31">
        <f t="shared" si="2"/>
        <v>15973162</v>
      </c>
      <c r="J47" s="28">
        <f>33008626+19200909+32434391+10035547-33008626-19200909</f>
        <v>42469938</v>
      </c>
      <c r="K47" s="31">
        <f t="shared" si="11"/>
        <v>58443100</v>
      </c>
      <c r="L47" s="32" t="s">
        <v>48</v>
      </c>
      <c r="M47" s="33">
        <f>2338365+2019393+694319+408263+1102654+6745703+0+0+2347790+1936209+1949500+809100+542182+1061819+5660151+204038+0+2064599-2338365-2019393-694319-408263-1102654-6745703-0-0-2347790</f>
        <v>14227598</v>
      </c>
      <c r="N47" s="29">
        <f t="shared" si="12"/>
        <v>28242340</v>
      </c>
      <c r="O47" s="31">
        <f t="shared" si="5"/>
        <v>44215502</v>
      </c>
      <c r="P47" s="34">
        <v>0</v>
      </c>
    </row>
    <row r="48" spans="1:16" x14ac:dyDescent="0.2">
      <c r="A48" s="27">
        <f>'FERC Interest Rates'!A63</f>
        <v>42916</v>
      </c>
      <c r="B48" s="28"/>
      <c r="C48" s="28"/>
      <c r="D48" s="28"/>
      <c r="E48" s="29">
        <f t="shared" si="13"/>
        <v>0</v>
      </c>
      <c r="G48" s="28"/>
      <c r="H48" s="29">
        <f t="shared" si="14"/>
        <v>0</v>
      </c>
      <c r="I48" s="31">
        <f t="shared" si="2"/>
        <v>0</v>
      </c>
      <c r="J48" s="28"/>
      <c r="K48" s="31">
        <f t="shared" si="11"/>
        <v>0</v>
      </c>
      <c r="L48" s="32" t="s">
        <v>48</v>
      </c>
      <c r="M48" s="33"/>
      <c r="N48" s="29">
        <f t="shared" si="12"/>
        <v>0</v>
      </c>
      <c r="O48" s="31">
        <f t="shared" si="5"/>
        <v>0</v>
      </c>
      <c r="P48" s="34"/>
    </row>
    <row r="49" spans="1:16" x14ac:dyDescent="0.2">
      <c r="A49" s="27">
        <f>'FERC Interest Rates'!A64</f>
        <v>42947</v>
      </c>
      <c r="B49" s="28"/>
      <c r="C49" s="28"/>
      <c r="D49" s="28"/>
      <c r="E49" s="29">
        <f t="shared" si="13"/>
        <v>0</v>
      </c>
      <c r="G49" s="28"/>
      <c r="H49" s="29">
        <f t="shared" ref="H49:H52" si="15">SUM(F49:G49)</f>
        <v>0</v>
      </c>
      <c r="I49" s="31">
        <f t="shared" si="2"/>
        <v>0</v>
      </c>
      <c r="J49" s="28"/>
      <c r="K49" s="31">
        <f t="shared" si="11"/>
        <v>0</v>
      </c>
      <c r="L49" s="32" t="s">
        <v>48</v>
      </c>
      <c r="M49" s="33"/>
      <c r="N49" s="29">
        <f t="shared" si="12"/>
        <v>0</v>
      </c>
      <c r="O49" s="31">
        <f t="shared" si="5"/>
        <v>0</v>
      </c>
      <c r="P49" s="34"/>
    </row>
    <row r="50" spans="1:16" x14ac:dyDescent="0.2">
      <c r="A50" s="27">
        <f>'FERC Interest Rates'!A65</f>
        <v>42978</v>
      </c>
      <c r="B50" s="28"/>
      <c r="C50" s="28"/>
      <c r="D50" s="28"/>
      <c r="E50" s="29">
        <f t="shared" si="13"/>
        <v>0</v>
      </c>
      <c r="G50" s="28"/>
      <c r="H50" s="29">
        <f t="shared" si="15"/>
        <v>0</v>
      </c>
      <c r="I50" s="31">
        <f t="shared" si="2"/>
        <v>0</v>
      </c>
      <c r="J50" s="28"/>
      <c r="K50" s="31">
        <f t="shared" si="11"/>
        <v>0</v>
      </c>
      <c r="L50" s="32" t="s">
        <v>48</v>
      </c>
      <c r="M50" s="33"/>
      <c r="N50" s="29">
        <f t="shared" si="12"/>
        <v>0</v>
      </c>
      <c r="O50" s="31">
        <f t="shared" si="5"/>
        <v>0</v>
      </c>
      <c r="P50" s="34"/>
    </row>
    <row r="51" spans="1:16" x14ac:dyDescent="0.2">
      <c r="A51" s="27">
        <f>'FERC Interest Rates'!A66</f>
        <v>43008</v>
      </c>
      <c r="B51" s="28"/>
      <c r="C51" s="28"/>
      <c r="D51" s="28"/>
      <c r="E51" s="29">
        <f t="shared" si="13"/>
        <v>0</v>
      </c>
      <c r="G51" s="28"/>
      <c r="H51" s="29">
        <f t="shared" si="15"/>
        <v>0</v>
      </c>
      <c r="I51" s="31">
        <f t="shared" si="2"/>
        <v>0</v>
      </c>
      <c r="J51" s="28"/>
      <c r="K51" s="31">
        <f t="shared" si="11"/>
        <v>0</v>
      </c>
      <c r="L51" s="32" t="s">
        <v>48</v>
      </c>
      <c r="M51" s="33"/>
      <c r="N51" s="29">
        <f t="shared" si="12"/>
        <v>0</v>
      </c>
      <c r="O51" s="31">
        <f t="shared" si="5"/>
        <v>0</v>
      </c>
      <c r="P51" s="34"/>
    </row>
    <row r="52" spans="1:16" x14ac:dyDescent="0.2">
      <c r="A52" s="35">
        <f>'FERC Interest Rates'!A67</f>
        <v>43039</v>
      </c>
      <c r="B52" s="36"/>
      <c r="C52" s="36"/>
      <c r="D52" s="36"/>
      <c r="E52" s="37">
        <f t="shared" si="13"/>
        <v>0</v>
      </c>
      <c r="F52" s="38"/>
      <c r="G52" s="36"/>
      <c r="H52" s="37">
        <f t="shared" si="15"/>
        <v>0</v>
      </c>
      <c r="I52" s="39">
        <f t="shared" si="2"/>
        <v>0</v>
      </c>
      <c r="J52" s="36"/>
      <c r="K52" s="39">
        <f t="shared" si="11"/>
        <v>0</v>
      </c>
      <c r="L52" s="40" t="s">
        <v>48</v>
      </c>
      <c r="M52" s="36"/>
      <c r="N52" s="37">
        <f t="shared" si="12"/>
        <v>0</v>
      </c>
      <c r="O52" s="39">
        <f t="shared" si="5"/>
        <v>0</v>
      </c>
      <c r="P52"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BreakPreview" zoomScale="115" zoomScaleNormal="75" zoomScaleSheetLayoutView="115" workbookViewId="0">
      <pane xSplit="1" ySplit="10" topLeftCell="B53" activePane="bottomRight" state="frozen"/>
      <selection activeCell="C13" sqref="C13"/>
      <selection pane="topRight" activeCell="C13" sqref="C13"/>
      <selection pane="bottomLeft" activeCell="C13" sqref="C13"/>
      <selection pane="bottomRight" activeCell="I62" sqref="A58:I62"/>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85" t="s">
        <v>73</v>
      </c>
      <c r="D2" s="185"/>
      <c r="E2" s="185"/>
      <c r="F2" s="185"/>
      <c r="G2" s="185"/>
      <c r="H2" s="186"/>
    </row>
    <row r="3" spans="1:12" x14ac:dyDescent="0.2">
      <c r="A3" s="178" t="s">
        <v>53</v>
      </c>
      <c r="B3" s="165"/>
      <c r="C3" s="168" t="s">
        <v>4</v>
      </c>
      <c r="D3" s="168"/>
      <c r="E3" s="168"/>
      <c r="F3" s="168"/>
      <c r="G3" s="168"/>
      <c r="H3" s="180"/>
      <c r="J3" s="59"/>
    </row>
    <row r="4" spans="1:12" x14ac:dyDescent="0.2">
      <c r="A4" s="178" t="s">
        <v>54</v>
      </c>
      <c r="B4" s="165"/>
      <c r="C4" s="166" t="s">
        <v>55</v>
      </c>
      <c r="D4" s="166"/>
      <c r="E4" s="166"/>
      <c r="F4" s="166"/>
      <c r="G4" s="166"/>
      <c r="H4" s="179"/>
    </row>
    <row r="5" spans="1:12" x14ac:dyDescent="0.2">
      <c r="A5" s="178" t="s">
        <v>56</v>
      </c>
      <c r="B5" s="165"/>
      <c r="C5" s="168" t="s">
        <v>57</v>
      </c>
      <c r="D5" s="168"/>
      <c r="E5" s="168"/>
      <c r="F5" s="168"/>
      <c r="G5" s="168"/>
      <c r="H5" s="180"/>
    </row>
    <row r="6" spans="1:12" x14ac:dyDescent="0.2">
      <c r="A6" s="178" t="s">
        <v>58</v>
      </c>
      <c r="B6" s="165"/>
      <c r="C6" s="168" t="s">
        <v>0</v>
      </c>
      <c r="D6" s="168"/>
      <c r="E6" s="168"/>
      <c r="F6" s="168"/>
      <c r="G6" s="168"/>
      <c r="H6" s="180"/>
      <c r="J6" s="59"/>
    </row>
    <row r="7" spans="1:12" s="60" customFormat="1" ht="54.75" customHeight="1" thickBot="1" x14ac:dyDescent="0.25">
      <c r="A7" s="174" t="s">
        <v>59</v>
      </c>
      <c r="B7" s="175"/>
      <c r="C7" s="176" t="s">
        <v>74</v>
      </c>
      <c r="D7" s="176"/>
      <c r="E7" s="176"/>
      <c r="F7" s="176"/>
      <c r="G7" s="176"/>
      <c r="H7" s="177"/>
      <c r="J7" s="61"/>
      <c r="K7" s="62"/>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65">
        <v>5300789.51</v>
      </c>
      <c r="L11" s="56"/>
    </row>
    <row r="12" spans="1:12" x14ac:dyDescent="0.2">
      <c r="A12" s="66">
        <f>'FERC Interest Rates'!A20</f>
        <v>41608</v>
      </c>
      <c r="D12" s="2">
        <f>-235790-543534.68</f>
        <v>-779324.68</v>
      </c>
      <c r="F12" s="4">
        <f t="shared" ref="F12:F13" si="0">ROUND(H11*VLOOKUP(A12,FERCINT13,2)/365*VLOOKUP(A12,FERCINT13,3),2)</f>
        <v>14159.64</v>
      </c>
      <c r="H12" s="65">
        <f t="shared" ref="H12:H57" si="1">H11+SUM(D12:G12)</f>
        <v>4535624.47</v>
      </c>
      <c r="L12" s="56"/>
    </row>
    <row r="13" spans="1:12" x14ac:dyDescent="0.2">
      <c r="A13" s="66">
        <f>'FERC Interest Rates'!A21</f>
        <v>41639</v>
      </c>
      <c r="D13" s="2">
        <f>-2151664.93-235790</f>
        <v>-2387454.9300000002</v>
      </c>
      <c r="F13" s="4">
        <f t="shared" si="0"/>
        <v>12519.57</v>
      </c>
      <c r="H13" s="65">
        <f t="shared" si="1"/>
        <v>2160689.1099999994</v>
      </c>
      <c r="L13" s="56"/>
    </row>
    <row r="14" spans="1:12"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x14ac:dyDescent="0.2">
      <c r="A15" s="66">
        <f>'FERC Interest Rates'!A23</f>
        <v>41698</v>
      </c>
      <c r="D15" s="67">
        <f>-1628431.9-235790</f>
        <v>-1864221.9</v>
      </c>
      <c r="E15" s="67"/>
      <c r="F15" s="68">
        <f t="shared" si="2"/>
        <v>101.45</v>
      </c>
      <c r="G15" s="67"/>
      <c r="H15" s="69">
        <f t="shared" si="1"/>
        <v>-1823428.3500000008</v>
      </c>
      <c r="L15" s="56"/>
    </row>
    <row r="16" spans="1:12" x14ac:dyDescent="0.2">
      <c r="A16" s="66">
        <f>'FERC Interest Rates'!A24</f>
        <v>41729</v>
      </c>
      <c r="D16" s="67">
        <v>128015.9</v>
      </c>
      <c r="E16" s="67"/>
      <c r="F16" s="68">
        <f t="shared" si="2"/>
        <v>-5033.16</v>
      </c>
      <c r="G16" s="67"/>
      <c r="H16" s="69">
        <f t="shared" si="1"/>
        <v>-1700445.6100000008</v>
      </c>
      <c r="L16" s="56"/>
    </row>
    <row r="17" spans="1:12" x14ac:dyDescent="0.2">
      <c r="A17" s="66">
        <f>'FERC Interest Rates'!A25</f>
        <v>41759</v>
      </c>
      <c r="D17" s="67">
        <f>1545767.97-235790</f>
        <v>1309977.97</v>
      </c>
      <c r="E17" s="67"/>
      <c r="F17" s="68">
        <f t="shared" si="2"/>
        <v>-4542.29</v>
      </c>
      <c r="G17" s="67"/>
      <c r="H17" s="69">
        <f t="shared" si="1"/>
        <v>-395009.93000000087</v>
      </c>
      <c r="L17" s="56"/>
    </row>
    <row r="18" spans="1:12" x14ac:dyDescent="0.2">
      <c r="A18" s="66">
        <f>'FERC Interest Rates'!A26</f>
        <v>41790</v>
      </c>
      <c r="D18" s="67">
        <f>2390005.33-235790</f>
        <v>2154215.33</v>
      </c>
      <c r="E18" s="67"/>
      <c r="F18" s="68">
        <f t="shared" si="2"/>
        <v>-1090.3399999999999</v>
      </c>
      <c r="G18" s="67"/>
      <c r="H18" s="69">
        <f t="shared" si="1"/>
        <v>1758115.0599999994</v>
      </c>
      <c r="L18" s="56"/>
    </row>
    <row r="19" spans="1:12" x14ac:dyDescent="0.2">
      <c r="A19" s="66">
        <f>'FERC Interest Rates'!A27</f>
        <v>41820</v>
      </c>
      <c r="D19" s="67">
        <f>2129580.54-235790</f>
        <v>1893790.54</v>
      </c>
      <c r="E19" s="67"/>
      <c r="F19" s="68">
        <f t="shared" si="2"/>
        <v>4696.33</v>
      </c>
      <c r="G19" s="67"/>
      <c r="H19" s="69">
        <f t="shared" si="1"/>
        <v>3656601.9299999997</v>
      </c>
      <c r="L19" s="56"/>
    </row>
    <row r="20" spans="1:12" x14ac:dyDescent="0.2">
      <c r="A20" s="66">
        <f>'FERC Interest Rates'!A28</f>
        <v>41851</v>
      </c>
      <c r="D20" s="2">
        <f>2343224.81-235790</f>
        <v>2107434.81</v>
      </c>
      <c r="F20" s="4">
        <f t="shared" si="2"/>
        <v>10093.219999999999</v>
      </c>
      <c r="H20" s="65">
        <f t="shared" si="1"/>
        <v>5774129.96</v>
      </c>
      <c r="L20" s="56"/>
    </row>
    <row r="21" spans="1:12" x14ac:dyDescent="0.2">
      <c r="A21" s="66">
        <f>'FERC Interest Rates'!A29</f>
        <v>41882</v>
      </c>
      <c r="D21" s="2">
        <f>2806868.63-235790</f>
        <v>2571078.63</v>
      </c>
      <c r="F21" s="4">
        <f t="shared" si="2"/>
        <v>15938.18</v>
      </c>
      <c r="H21" s="65">
        <f t="shared" si="1"/>
        <v>8361146.7699999996</v>
      </c>
      <c r="L21" s="56"/>
    </row>
    <row r="22" spans="1:12" x14ac:dyDescent="0.2">
      <c r="A22" s="66">
        <f>'FERC Interest Rates'!A30</f>
        <v>41912</v>
      </c>
      <c r="D22" s="2">
        <f>2483434.98-235790</f>
        <v>2247644.98</v>
      </c>
      <c r="F22" s="4">
        <f t="shared" si="2"/>
        <v>22334.57</v>
      </c>
      <c r="H22" s="65">
        <f t="shared" si="1"/>
        <v>10631126.32</v>
      </c>
      <c r="L22" s="56"/>
    </row>
    <row r="23" spans="1:12" x14ac:dyDescent="0.2">
      <c r="A23" s="66">
        <f>'FERC Interest Rates'!A31</f>
        <v>41943</v>
      </c>
      <c r="D23" s="2">
        <f>2177304.09-235790</f>
        <v>1941514.0899999999</v>
      </c>
      <c r="F23" s="4">
        <f t="shared" si="2"/>
        <v>29344.82</v>
      </c>
      <c r="H23" s="65">
        <f t="shared" si="1"/>
        <v>12601985.23</v>
      </c>
      <c r="L23" s="56"/>
    </row>
    <row r="24" spans="1:12" x14ac:dyDescent="0.2">
      <c r="A24" s="157" t="s">
        <v>70</v>
      </c>
      <c r="B24" s="157"/>
      <c r="C24" s="157"/>
      <c r="D24" s="157"/>
      <c r="E24" s="157"/>
      <c r="F24" s="157"/>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57" t="s">
        <v>71</v>
      </c>
      <c r="B35" s="157"/>
      <c r="C35" s="157"/>
      <c r="D35" s="157"/>
      <c r="E35" s="157"/>
      <c r="F35" s="157"/>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57" t="s">
        <v>71</v>
      </c>
      <c r="B48" s="157"/>
      <c r="C48" s="157"/>
      <c r="D48" s="157"/>
      <c r="E48" s="157"/>
      <c r="F48" s="157"/>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57"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f>'FERC Interest Rates'!A60</f>
        <v>42825</v>
      </c>
      <c r="D55" s="2">
        <f>-255885.42-552759.68</f>
        <v>-808645.10000000009</v>
      </c>
      <c r="F55" s="4">
        <f t="shared" si="5"/>
        <v>-6920.31</v>
      </c>
      <c r="H55" s="65">
        <f t="shared" si="1"/>
        <v>-3143595.5999999987</v>
      </c>
      <c r="L55" s="56"/>
    </row>
    <row r="56" spans="1:12" x14ac:dyDescent="0.2">
      <c r="A56" s="66">
        <f>'FERC Interest Rates'!A61</f>
        <v>42855</v>
      </c>
      <c r="D56" s="2">
        <f>-255885.42+711602.06</f>
        <v>455716.64</v>
      </c>
      <c r="F56" s="4">
        <f t="shared" si="5"/>
        <v>-9585.81</v>
      </c>
      <c r="H56" s="65">
        <f t="shared" si="1"/>
        <v>-2697464.7699999986</v>
      </c>
      <c r="L56" s="56"/>
    </row>
    <row r="57" spans="1:12" x14ac:dyDescent="0.2">
      <c r="A57" s="66">
        <f>'FERC Interest Rates'!A62</f>
        <v>42886</v>
      </c>
      <c r="D57" s="2">
        <f>1785186.57-255885.42</f>
        <v>1529301.1500000001</v>
      </c>
      <c r="F57" s="4">
        <f t="shared" si="5"/>
        <v>-8499.6</v>
      </c>
      <c r="H57" s="65">
        <f t="shared" si="1"/>
        <v>-1176663.2199999986</v>
      </c>
      <c r="L57" s="56"/>
    </row>
    <row r="58" spans="1:12" x14ac:dyDescent="0.2">
      <c r="A58" s="66"/>
      <c r="F58" s="4"/>
      <c r="H58" s="65"/>
      <c r="L58" s="56"/>
    </row>
    <row r="59" spans="1:12" x14ac:dyDescent="0.2">
      <c r="A59" s="66"/>
      <c r="F59" s="4"/>
      <c r="H59" s="65"/>
      <c r="L59" s="56"/>
    </row>
    <row r="60" spans="1:12" x14ac:dyDescent="0.2">
      <c r="A60" s="66"/>
      <c r="F60" s="4"/>
      <c r="H60" s="65"/>
      <c r="L60" s="56"/>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BreakPreview" topLeftCell="A22" zoomScale="115" zoomScaleNormal="100" zoomScaleSheetLayoutView="115" workbookViewId="0">
      <selection activeCell="H39" sqref="H39"/>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2" t="s">
        <v>50</v>
      </c>
      <c r="D1" s="192"/>
      <c r="E1" s="192"/>
      <c r="F1" s="192"/>
      <c r="G1" s="192"/>
      <c r="H1" s="193"/>
      <c r="I1" s="75"/>
    </row>
    <row r="2" spans="1:12" x14ac:dyDescent="0.2">
      <c r="A2" s="178" t="s">
        <v>51</v>
      </c>
      <c r="B2" s="165"/>
      <c r="C2" s="194" t="s">
        <v>98</v>
      </c>
      <c r="D2" s="194"/>
      <c r="E2" s="194"/>
      <c r="F2" s="194"/>
      <c r="G2" s="194"/>
      <c r="H2" s="195"/>
      <c r="I2" s="75"/>
    </row>
    <row r="3" spans="1:12" x14ac:dyDescent="0.2">
      <c r="A3" s="178" t="s">
        <v>53</v>
      </c>
      <c r="B3" s="165"/>
      <c r="C3" s="194" t="s">
        <v>8</v>
      </c>
      <c r="D3" s="194"/>
      <c r="E3" s="194"/>
      <c r="F3" s="194"/>
      <c r="G3" s="194"/>
      <c r="H3" s="195"/>
      <c r="I3" s="75"/>
    </row>
    <row r="4" spans="1:12" x14ac:dyDescent="0.2">
      <c r="A4" s="178" t="s">
        <v>54</v>
      </c>
      <c r="B4" s="165"/>
      <c r="C4" s="190" t="s">
        <v>55</v>
      </c>
      <c r="D4" s="190"/>
      <c r="E4" s="190"/>
      <c r="F4" s="190"/>
      <c r="G4" s="190"/>
      <c r="H4" s="191"/>
      <c r="I4" s="75"/>
    </row>
    <row r="5" spans="1:12" x14ac:dyDescent="0.2">
      <c r="A5" s="178" t="s">
        <v>56</v>
      </c>
      <c r="B5" s="165"/>
      <c r="C5" s="190" t="s">
        <v>0</v>
      </c>
      <c r="D5" s="190"/>
      <c r="E5" s="190"/>
      <c r="F5" s="190"/>
      <c r="G5" s="190"/>
      <c r="H5" s="191"/>
      <c r="I5" s="75"/>
    </row>
    <row r="6" spans="1:12" x14ac:dyDescent="0.2">
      <c r="A6" s="178" t="s">
        <v>58</v>
      </c>
      <c r="B6" s="165"/>
      <c r="C6" s="190" t="s">
        <v>99</v>
      </c>
      <c r="D6" s="190"/>
      <c r="E6" s="190"/>
      <c r="F6" s="190"/>
      <c r="G6" s="190"/>
      <c r="H6" s="191"/>
      <c r="I6" s="75"/>
    </row>
    <row r="7" spans="1:12" ht="13.5" thickBot="1" x14ac:dyDescent="0.25">
      <c r="A7" s="174" t="s">
        <v>59</v>
      </c>
      <c r="B7" s="175"/>
      <c r="C7" s="188" t="s">
        <v>100</v>
      </c>
      <c r="D7" s="188"/>
      <c r="E7" s="188"/>
      <c r="F7" s="188"/>
      <c r="G7" s="188"/>
      <c r="H7" s="189"/>
      <c r="I7" s="76"/>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7" t="s">
        <v>101</v>
      </c>
      <c r="B12" s="187"/>
      <c r="C12" s="187"/>
      <c r="D12" s="187"/>
      <c r="E12" s="187"/>
      <c r="F12" s="187"/>
      <c r="G12" s="79">
        <v>-14485606.119999999</v>
      </c>
      <c r="H12" s="78"/>
      <c r="I12" s="80"/>
      <c r="J12" s="58"/>
    </row>
    <row r="13" spans="1:12" x14ac:dyDescent="0.2">
      <c r="A13" s="187" t="s">
        <v>102</v>
      </c>
      <c r="B13" s="187"/>
      <c r="C13" s="187"/>
      <c r="D13" s="187"/>
      <c r="E13" s="187"/>
      <c r="F13" s="187"/>
      <c r="G13" s="79">
        <v>5863063.5199999996</v>
      </c>
      <c r="H13" s="78"/>
      <c r="I13" s="80"/>
      <c r="J13" s="58"/>
    </row>
    <row r="14" spans="1:12" x14ac:dyDescent="0.2">
      <c r="A14" s="187" t="s">
        <v>103</v>
      </c>
      <c r="B14" s="187"/>
      <c r="C14" s="187"/>
      <c r="D14" s="187"/>
      <c r="E14" s="187"/>
      <c r="F14" s="187"/>
      <c r="G14" s="79">
        <v>-504451.07</v>
      </c>
      <c r="H14" s="78"/>
      <c r="I14" s="80"/>
      <c r="J14" s="58"/>
    </row>
    <row r="15" spans="1:12" x14ac:dyDescent="0.2">
      <c r="A15" s="187" t="s">
        <v>104</v>
      </c>
      <c r="B15" s="187"/>
      <c r="C15" s="187"/>
      <c r="D15" s="187"/>
      <c r="E15" s="187"/>
      <c r="F15" s="187"/>
      <c r="G15" s="79">
        <v>-4085.68</v>
      </c>
      <c r="H15" s="78"/>
      <c r="I15" s="80"/>
      <c r="J15" s="58"/>
    </row>
    <row r="16" spans="1:12" x14ac:dyDescent="0.2">
      <c r="A16" s="187" t="s">
        <v>105</v>
      </c>
      <c r="B16" s="187"/>
      <c r="C16" s="187"/>
      <c r="D16" s="187"/>
      <c r="E16" s="187"/>
      <c r="F16" s="187"/>
      <c r="G16" s="81">
        <v>11617.84</v>
      </c>
      <c r="H16" s="78"/>
      <c r="I16" s="76"/>
    </row>
    <row r="17" spans="1:12" x14ac:dyDescent="0.2">
      <c r="A17" s="187"/>
      <c r="B17" s="187"/>
      <c r="C17" s="187"/>
      <c r="D17" s="187"/>
      <c r="E17" s="187"/>
      <c r="F17" s="187"/>
      <c r="G17" s="79"/>
      <c r="H17" s="78">
        <f>SUM(G12:G16)</f>
        <v>-9119461.5099999998</v>
      </c>
      <c r="I17" s="76"/>
    </row>
    <row r="18" spans="1:12" x14ac:dyDescent="0.2">
      <c r="A18" s="82">
        <f>'FERC Interest Rates'!A54</f>
        <v>42643</v>
      </c>
      <c r="B18" s="79" t="s">
        <v>106</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26"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26" si="1">ROUND(H21*VLOOKUP(A22,FERCINT17,2)/365*VLOOKUP(A22,FERCINT17,3),2)</f>
        <v>-21348.720000000001</v>
      </c>
      <c r="G22" s="76"/>
      <c r="H22" s="95">
        <f t="shared" si="0"/>
        <v>-5432166.2300000004</v>
      </c>
      <c r="J22" s="58"/>
      <c r="L22" s="96"/>
    </row>
    <row r="23" spans="1:12" x14ac:dyDescent="0.2">
      <c r="A23" s="82">
        <f>'FERC Interest Rates'!A59</f>
        <v>42794</v>
      </c>
      <c r="B23" s="87">
        <v>3.5369999999999999E-2</v>
      </c>
      <c r="C23" s="83">
        <f>'Therm Sales'!I44</f>
        <v>39357111</v>
      </c>
      <c r="D23" s="93"/>
      <c r="E23" s="94">
        <f t="shared" ref="E23:E25" si="2">ROUND(C23*B23,2)</f>
        <v>1392061.02</v>
      </c>
      <c r="F23" s="79">
        <f t="shared" si="1"/>
        <v>-14584.99</v>
      </c>
      <c r="G23" s="76"/>
      <c r="H23" s="95">
        <f t="shared" si="0"/>
        <v>-4054690.2</v>
      </c>
      <c r="J23" s="58"/>
      <c r="L23" s="96"/>
    </row>
    <row r="24" spans="1:12" x14ac:dyDescent="0.2">
      <c r="A24" s="82">
        <f>'FERC Interest Rates'!A60</f>
        <v>42825</v>
      </c>
      <c r="B24" s="87">
        <v>3.5369999999999999E-2</v>
      </c>
      <c r="C24" s="83">
        <f>'Therm Sales'!I45</f>
        <v>35872415</v>
      </c>
      <c r="D24" s="93"/>
      <c r="E24" s="89">
        <f>ROUND(C24*B24,2)-0.01</f>
        <v>1268807.31</v>
      </c>
      <c r="F24" s="79">
        <f t="shared" si="1"/>
        <v>-12052.98</v>
      </c>
      <c r="G24" s="76"/>
      <c r="H24" s="95">
        <f t="shared" si="0"/>
        <v>-2797935.87</v>
      </c>
      <c r="J24" s="58"/>
      <c r="L24" s="96"/>
    </row>
    <row r="25" spans="1:12" x14ac:dyDescent="0.2">
      <c r="A25" s="82">
        <f>'FERC Interest Rates'!A61</f>
        <v>42855</v>
      </c>
      <c r="B25" s="87">
        <v>3.5369999999999999E-2</v>
      </c>
      <c r="C25" s="83">
        <f>'Therm Sales'!I46</f>
        <v>21376214</v>
      </c>
      <c r="D25" s="93"/>
      <c r="E25" s="94">
        <f t="shared" si="2"/>
        <v>756076.69</v>
      </c>
      <c r="F25" s="79">
        <f t="shared" si="1"/>
        <v>-8531.7900000000009</v>
      </c>
      <c r="G25" s="76"/>
      <c r="H25" s="95">
        <f t="shared" si="0"/>
        <v>-2050390.9700000002</v>
      </c>
      <c r="J25" s="58"/>
      <c r="L25" s="96"/>
    </row>
    <row r="26" spans="1:12" x14ac:dyDescent="0.2">
      <c r="A26" s="82">
        <f>'FERC Interest Rates'!A62</f>
        <v>42886</v>
      </c>
      <c r="B26" s="87">
        <v>3.5369999999999999E-2</v>
      </c>
      <c r="C26" s="83">
        <f>'Therm Sales'!I47</f>
        <v>15973162</v>
      </c>
      <c r="D26" s="74"/>
      <c r="E26" s="89">
        <f>ROUND(C26*B26,2)+0.01</f>
        <v>564970.75</v>
      </c>
      <c r="F26" s="79">
        <f t="shared" si="1"/>
        <v>-6460.7</v>
      </c>
      <c r="H26" s="95">
        <f t="shared" si="0"/>
        <v>-1491880.9200000002</v>
      </c>
      <c r="J26" s="58"/>
      <c r="L26" s="96"/>
    </row>
    <row r="27" spans="1:12" x14ac:dyDescent="0.2">
      <c r="A27" s="82"/>
      <c r="B27" s="87"/>
      <c r="C27" s="83"/>
      <c r="D27" s="74"/>
      <c r="E27" s="94"/>
      <c r="F27" s="79"/>
      <c r="H27" s="95"/>
      <c r="J27" s="58"/>
      <c r="L27" s="96"/>
    </row>
    <row r="28" spans="1:12" x14ac:dyDescent="0.2">
      <c r="A28" s="82"/>
      <c r="B28" s="87"/>
      <c r="C28" s="83"/>
      <c r="D28" s="74"/>
      <c r="E28" s="94"/>
      <c r="F28" s="79"/>
      <c r="H28" s="95"/>
      <c r="J28" s="58"/>
      <c r="L28" s="96"/>
    </row>
    <row r="29" spans="1:12" x14ac:dyDescent="0.2">
      <c r="A29" s="82"/>
      <c r="B29" s="87"/>
      <c r="C29" s="83"/>
      <c r="D29" s="74"/>
      <c r="E29" s="94"/>
      <c r="F29" s="79"/>
      <c r="H29" s="95"/>
      <c r="J29" s="58"/>
      <c r="L29" s="96"/>
    </row>
    <row r="30" spans="1:12" x14ac:dyDescent="0.2">
      <c r="A30" s="82"/>
      <c r="B30" s="87"/>
      <c r="C30" s="83"/>
      <c r="D30" s="74"/>
      <c r="E30" s="94"/>
      <c r="F30" s="79"/>
      <c r="H30" s="95"/>
      <c r="J30" s="58"/>
      <c r="L30" s="96"/>
    </row>
    <row r="31" spans="1:12" x14ac:dyDescent="0.2">
      <c r="A31" s="82"/>
      <c r="B31" s="87"/>
      <c r="C31" s="83"/>
      <c r="D31" s="74"/>
      <c r="E31" s="94"/>
      <c r="F31" s="79"/>
      <c r="H31" s="95"/>
      <c r="J31" s="58"/>
      <c r="L31" s="96"/>
    </row>
    <row r="32" spans="1:12" x14ac:dyDescent="0.2">
      <c r="H32" s="95"/>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C13" sqref="C13"/>
    </sheetView>
  </sheetViews>
  <sheetFormatPr defaultRowHeight="12.75" x14ac:dyDescent="0.2"/>
  <cols>
    <col min="1" max="1" width="9.109375" style="1" customWidth="1"/>
    <col min="2" max="2" width="15.77734375" style="1" customWidth="1"/>
    <col min="3" max="3" width="15.88671875" style="1" customWidth="1"/>
    <col min="4" max="4" width="15.88671875" style="1" bestFit="1" customWidth="1"/>
    <col min="5" max="5" width="15.33203125" style="1" bestFit="1" customWidth="1"/>
    <col min="6" max="6" width="16.21875" style="1" bestFit="1" customWidth="1"/>
    <col min="7" max="7" width="2.88671875" style="1" customWidth="1"/>
    <col min="8" max="16384" width="8.88671875" style="1"/>
  </cols>
  <sheetData>
    <row r="1" spans="1:9" ht="15" x14ac:dyDescent="0.2">
      <c r="A1" s="104" t="s">
        <v>115</v>
      </c>
      <c r="B1" s="104"/>
      <c r="C1" s="104"/>
      <c r="D1" s="104"/>
      <c r="E1" s="104"/>
      <c r="F1" s="105"/>
      <c r="G1" s="106"/>
      <c r="H1" s="103"/>
      <c r="I1" s="103"/>
    </row>
    <row r="2" spans="1:9" ht="15" x14ac:dyDescent="0.2">
      <c r="A2" s="107" t="s">
        <v>116</v>
      </c>
      <c r="B2" s="108">
        <f>'[1]Core Cost Incurred'!D2</f>
        <v>42885</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3773390.7400000007</v>
      </c>
      <c r="D8" s="121">
        <v>2033874.13</v>
      </c>
      <c r="E8" s="122">
        <v>-564970.74999999988</v>
      </c>
      <c r="F8" s="121">
        <v>5242294.120000001</v>
      </c>
      <c r="G8" s="103"/>
      <c r="H8" s="103"/>
      <c r="I8" s="103"/>
    </row>
    <row r="9" spans="1:9" ht="16.5" customHeight="1" x14ac:dyDescent="0.2">
      <c r="A9" s="101" t="s">
        <v>121</v>
      </c>
      <c r="B9" s="102"/>
      <c r="C9" s="124">
        <f>'[1]Core Cost Incurred'!J42</f>
        <v>3402229.9299999997</v>
      </c>
      <c r="D9" s="124">
        <f>'[1]Core Cost Incurred'!J43</f>
        <v>3819060.6999999993</v>
      </c>
      <c r="E9" s="125">
        <v>0</v>
      </c>
      <c r="F9" s="123">
        <f>SUM(C9:D9)</f>
        <v>7221290.629999999</v>
      </c>
      <c r="G9" s="103"/>
      <c r="H9" s="103"/>
      <c r="I9" s="103"/>
    </row>
    <row r="10" spans="1:9" ht="16.5" customHeight="1" x14ac:dyDescent="0.2">
      <c r="A10" s="101" t="s">
        <v>122</v>
      </c>
      <c r="B10" s="103"/>
      <c r="C10" s="126">
        <f>C8-C9</f>
        <v>371160.81000000099</v>
      </c>
      <c r="D10" s="127">
        <f>D8-D9</f>
        <v>-1785186.5699999994</v>
      </c>
      <c r="E10" s="127">
        <f t="shared" ref="E10" si="0">E8-E9</f>
        <v>-564970.74999999988</v>
      </c>
      <c r="F10" s="126">
        <f>F8-F9</f>
        <v>-1978996.5099999979</v>
      </c>
      <c r="G10" s="103"/>
      <c r="H10" s="103"/>
      <c r="I10" s="103"/>
    </row>
    <row r="11" spans="1:9" ht="16.5" customHeight="1" x14ac:dyDescent="0.2">
      <c r="A11" s="101" t="s">
        <v>123</v>
      </c>
      <c r="B11" s="103"/>
      <c r="C11" s="156">
        <v>2229.66</v>
      </c>
      <c r="D11" s="128"/>
      <c r="E11" s="129"/>
      <c r="F11" s="156">
        <v>2229.66</v>
      </c>
      <c r="G11" s="103"/>
      <c r="H11" s="103"/>
      <c r="I11" s="103"/>
    </row>
    <row r="12" spans="1:9" ht="16.5" customHeight="1" x14ac:dyDescent="0.2">
      <c r="A12" s="130" t="s">
        <v>124</v>
      </c>
      <c r="B12" s="131"/>
      <c r="C12" s="126"/>
      <c r="D12" s="126">
        <v>255885.42</v>
      </c>
      <c r="E12" s="132"/>
      <c r="F12" s="126">
        <v>255885.42</v>
      </c>
      <c r="G12" s="103"/>
      <c r="H12" s="103"/>
      <c r="I12" s="103"/>
    </row>
    <row r="13" spans="1:9" ht="16.5" customHeight="1" x14ac:dyDescent="0.25">
      <c r="A13" s="134" t="s">
        <v>125</v>
      </c>
      <c r="B13" s="135"/>
      <c r="C13" s="136">
        <f>+C8-C9+C11</f>
        <v>373390.47000000096</v>
      </c>
      <c r="D13" s="136">
        <f>+D10+D12</f>
        <v>-1529301.1499999994</v>
      </c>
      <c r="E13" s="137">
        <f>+E8-E9</f>
        <v>-564970.74999999988</v>
      </c>
      <c r="F13" s="136">
        <f>F10+F12+F11</f>
        <v>-1720881.4299999981</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-373390.47000000096</v>
      </c>
      <c r="D19" s="133">
        <f>-D10-D12</f>
        <v>1529301.1499999994</v>
      </c>
      <c r="E19" s="148">
        <f>-E13</f>
        <v>564970.74999999988</v>
      </c>
      <c r="F19" s="133">
        <f>SUM(C19:E19)</f>
        <v>1720881.4299999983</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5" right="0.25" top="0.5" bottom="0.25" header="0.5" footer="0.5"/>
  <pageSetup scale="9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view="pageBreakPreview" zoomScale="106" zoomScaleNormal="60" zoomScaleSheetLayoutView="106" workbookViewId="0">
      <pane ySplit="10" topLeftCell="A11" activePane="bottomLeft" state="frozen"/>
      <selection activeCell="C13" sqref="C13"/>
      <selection pane="bottomLeft" activeCell="K15" sqref="K15"/>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68" t="s">
        <v>81</v>
      </c>
      <c r="D2" s="168"/>
      <c r="E2" s="168"/>
      <c r="F2" s="168"/>
      <c r="G2" s="168"/>
      <c r="H2" s="180"/>
    </row>
    <row r="3" spans="1:12" x14ac:dyDescent="0.2">
      <c r="A3" s="178" t="s">
        <v>53</v>
      </c>
      <c r="B3" s="165"/>
      <c r="C3" s="168" t="s">
        <v>82</v>
      </c>
      <c r="D3" s="168"/>
      <c r="E3" s="168"/>
      <c r="F3" s="168"/>
      <c r="G3" s="168"/>
      <c r="H3" s="180"/>
    </row>
    <row r="4" spans="1:12" x14ac:dyDescent="0.2">
      <c r="A4" s="178" t="s">
        <v>54</v>
      </c>
      <c r="B4" s="165"/>
      <c r="C4" s="185" t="s">
        <v>80</v>
      </c>
      <c r="D4" s="185"/>
      <c r="E4" s="185"/>
      <c r="F4" s="185"/>
      <c r="G4" s="185"/>
      <c r="H4" s="186"/>
    </row>
    <row r="5" spans="1:12" x14ac:dyDescent="0.2">
      <c r="A5" s="178" t="s">
        <v>56</v>
      </c>
      <c r="B5" s="165"/>
      <c r="C5" s="197" t="s">
        <v>83</v>
      </c>
      <c r="D5" s="168"/>
      <c r="E5" s="168"/>
      <c r="F5" s="168"/>
      <c r="G5" s="168"/>
      <c r="H5" s="180"/>
    </row>
    <row r="6" spans="1:12" x14ac:dyDescent="0.2">
      <c r="A6" s="178" t="s">
        <v>58</v>
      </c>
      <c r="B6" s="165"/>
      <c r="C6" s="168" t="s">
        <v>0</v>
      </c>
      <c r="D6" s="168"/>
      <c r="E6" s="168"/>
      <c r="F6" s="168"/>
      <c r="G6" s="168"/>
      <c r="H6" s="180"/>
    </row>
    <row r="7" spans="1:12" ht="27.75" customHeight="1" thickBot="1" x14ac:dyDescent="0.25">
      <c r="A7" s="174" t="s">
        <v>59</v>
      </c>
      <c r="B7" s="175"/>
      <c r="C7" s="176" t="s">
        <v>84</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85</v>
      </c>
      <c r="B11" s="163"/>
      <c r="C11" s="163"/>
      <c r="D11" s="163"/>
      <c r="E11" s="163"/>
      <c r="F11" s="163"/>
      <c r="G11" s="163"/>
      <c r="H11" s="71">
        <v>0</v>
      </c>
      <c r="K11" s="55"/>
      <c r="L11" s="56"/>
    </row>
    <row r="12" spans="1:12" x14ac:dyDescent="0.2">
      <c r="A12" s="73">
        <f>'FERC Interest Rates'!A56</f>
        <v>42704</v>
      </c>
      <c r="D12" s="2">
        <f>325429.79+1504154.47</f>
        <v>1829584.26</v>
      </c>
      <c r="F12" s="74"/>
      <c r="H12" s="71">
        <f t="shared" ref="H12:H18"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f>'FERC Interest Rates'!A60</f>
        <v>42825</v>
      </c>
      <c r="D16" s="2">
        <v>168936.75</v>
      </c>
      <c r="F16" s="74"/>
      <c r="H16" s="71">
        <f t="shared" si="0"/>
        <v>2963038.29</v>
      </c>
      <c r="K16" s="55"/>
      <c r="L16" s="56"/>
    </row>
    <row r="17" spans="1:12" x14ac:dyDescent="0.2">
      <c r="A17" s="73">
        <f>'FERC Interest Rates'!A61</f>
        <v>42855</v>
      </c>
      <c r="D17" s="2">
        <v>190068.32</v>
      </c>
      <c r="F17" s="74"/>
      <c r="H17" s="71">
        <f t="shared" si="0"/>
        <v>3153106.61</v>
      </c>
      <c r="K17" s="55"/>
      <c r="L17" s="56"/>
    </row>
    <row r="18" spans="1:12" x14ac:dyDescent="0.2">
      <c r="A18" s="73">
        <f>'FERC Interest Rates'!A62</f>
        <v>42886</v>
      </c>
      <c r="D18" s="2">
        <v>73109.5</v>
      </c>
      <c r="F18" s="74"/>
      <c r="H18" s="71">
        <f t="shared" si="0"/>
        <v>3226216.11</v>
      </c>
      <c r="K18" s="55"/>
      <c r="L18" s="56"/>
    </row>
    <row r="19" spans="1:12" x14ac:dyDescent="0.2">
      <c r="A19" s="73"/>
      <c r="F19" s="74"/>
      <c r="H19" s="71"/>
      <c r="K19" s="55"/>
      <c r="L19" s="56"/>
    </row>
    <row r="20" spans="1:12" x14ac:dyDescent="0.2">
      <c r="A20" s="73"/>
      <c r="F20" s="74"/>
      <c r="H20" s="71"/>
      <c r="K20" s="55"/>
      <c r="L20" s="56"/>
    </row>
    <row r="21" spans="1:12" x14ac:dyDescent="0.2">
      <c r="A21" s="73"/>
      <c r="F21" s="74"/>
      <c r="H21" s="71"/>
      <c r="K21" s="55"/>
      <c r="L21" s="56"/>
    </row>
    <row r="22" spans="1:12" x14ac:dyDescent="0.2">
      <c r="A22" s="73"/>
      <c r="F22" s="74"/>
      <c r="H22" s="71"/>
      <c r="K22" s="55"/>
      <c r="L22" s="56"/>
    </row>
    <row r="23" spans="1:12" x14ac:dyDescent="0.2">
      <c r="A23" s="73"/>
      <c r="F23" s="74"/>
      <c r="H23" s="71"/>
      <c r="K23" s="55"/>
      <c r="L23" s="56"/>
    </row>
    <row r="24" spans="1:12" x14ac:dyDescent="0.2">
      <c r="A24" s="73"/>
      <c r="F24" s="74"/>
      <c r="H24" s="71"/>
    </row>
    <row r="25" spans="1:12" x14ac:dyDescent="0.2">
      <c r="A25" s="73"/>
      <c r="F25" s="74"/>
      <c r="H25" s="71"/>
      <c r="K25" s="55"/>
      <c r="L25" s="5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96" zoomScaleNormal="75" zoomScaleSheetLayoutView="96" workbookViewId="0">
      <pane xSplit="1" ySplit="10" topLeftCell="B44" activePane="bottomRight" state="frozen"/>
      <selection activeCell="C13" sqref="C13"/>
      <selection pane="topRight" activeCell="C13" sqref="C13"/>
      <selection pane="bottomLeft" activeCell="C13" sqref="C13"/>
      <selection pane="bottomRight" activeCell="J56" sqref="J56"/>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86</v>
      </c>
      <c r="D2" s="168"/>
      <c r="E2" s="168"/>
      <c r="F2" s="168"/>
      <c r="G2" s="168"/>
      <c r="H2" s="180"/>
    </row>
    <row r="3" spans="1:12" x14ac:dyDescent="0.2">
      <c r="A3" s="178" t="s">
        <v>53</v>
      </c>
      <c r="B3" s="165"/>
      <c r="C3" s="168" t="s">
        <v>10</v>
      </c>
      <c r="D3" s="168"/>
      <c r="E3" s="168"/>
      <c r="F3" s="168"/>
      <c r="G3" s="168"/>
      <c r="H3" s="180"/>
    </row>
    <row r="4" spans="1:12" s="67" customFormat="1" x14ac:dyDescent="0.2">
      <c r="A4" s="178" t="s">
        <v>54</v>
      </c>
      <c r="B4" s="165"/>
      <c r="C4" s="166" t="s">
        <v>55</v>
      </c>
      <c r="D4" s="166"/>
      <c r="E4" s="166"/>
      <c r="F4" s="166"/>
      <c r="G4" s="166"/>
      <c r="H4" s="179"/>
    </row>
    <row r="5" spans="1:12" x14ac:dyDescent="0.2">
      <c r="A5" s="178" t="s">
        <v>56</v>
      </c>
      <c r="B5" s="165"/>
      <c r="C5" s="166" t="s">
        <v>87</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158578.29</v>
      </c>
      <c r="K11" s="55"/>
      <c r="L11" s="56"/>
    </row>
    <row r="12" spans="1:12" x14ac:dyDescent="0.2">
      <c r="A12" s="66">
        <f>'FERC Interest Rates'!A20</f>
        <v>41608</v>
      </c>
      <c r="D12" s="2">
        <v>24828.55</v>
      </c>
      <c r="F12" s="2">
        <f t="shared" ref="F12:F13" si="0">ROUND(H11*VLOOKUP(A12,FERCINT13,2)/365*VLOOKUP(A12,FERCINT13,3),2)</f>
        <v>423.6</v>
      </c>
      <c r="H12" s="71">
        <f t="shared" ref="H12:H57" si="1">+SUM(D12:G12)+H11</f>
        <v>183830.44</v>
      </c>
      <c r="K12" s="55"/>
      <c r="L12" s="56"/>
    </row>
    <row r="13" spans="1:12" x14ac:dyDescent="0.2">
      <c r="A13" s="66">
        <f>'FERC Interest Rates'!A21</f>
        <v>41639</v>
      </c>
      <c r="D13" s="2">
        <v>61920.67</v>
      </c>
      <c r="F13" s="2">
        <f t="shared" si="0"/>
        <v>507.42</v>
      </c>
      <c r="H13" s="71">
        <f t="shared" si="1"/>
        <v>246258.53</v>
      </c>
      <c r="K13" s="55"/>
      <c r="L13" s="56"/>
    </row>
    <row r="14" spans="1:12" x14ac:dyDescent="0.2">
      <c r="A14" s="66">
        <f>'FERC Interest Rates'!A22</f>
        <v>41670</v>
      </c>
      <c r="D14" s="2">
        <v>106224.99</v>
      </c>
      <c r="F14" s="2">
        <f t="shared" ref="F14:F26" si="2">ROUND(H13*VLOOKUP(A14,FERCINT14,2)/365*VLOOKUP(A14,FERCINT14,3),2)</f>
        <v>679.74</v>
      </c>
      <c r="H14" s="71">
        <f t="shared" si="1"/>
        <v>353163.26</v>
      </c>
      <c r="K14" s="55"/>
      <c r="L14" s="56"/>
    </row>
    <row r="15" spans="1:12" x14ac:dyDescent="0.2">
      <c r="A15" s="66">
        <f>'FERC Interest Rates'!A23</f>
        <v>41698</v>
      </c>
      <c r="D15" s="2">
        <f>16449+6136.5</f>
        <v>22585.5</v>
      </c>
      <c r="F15" s="2">
        <f t="shared" si="2"/>
        <v>880.49</v>
      </c>
      <c r="H15" s="71">
        <f t="shared" si="1"/>
        <v>376629.25</v>
      </c>
      <c r="K15" s="55"/>
      <c r="L15" s="56"/>
    </row>
    <row r="16" spans="1:12" x14ac:dyDescent="0.2">
      <c r="A16" s="66">
        <f>'FERC Interest Rates'!A24</f>
        <v>41729</v>
      </c>
      <c r="D16" s="2">
        <f>11600+4102.2</f>
        <v>15702.2</v>
      </c>
      <c r="F16" s="2">
        <f t="shared" si="2"/>
        <v>1039.5999999999999</v>
      </c>
      <c r="H16" s="71">
        <f t="shared" si="1"/>
        <v>393371.05</v>
      </c>
      <c r="K16" s="55"/>
      <c r="L16" s="56"/>
    </row>
    <row r="17" spans="1:12" x14ac:dyDescent="0.2">
      <c r="A17" s="66">
        <f>'FERC Interest Rates'!A25</f>
        <v>41759</v>
      </c>
      <c r="D17" s="2">
        <v>6983.2</v>
      </c>
      <c r="F17" s="2">
        <f t="shared" si="2"/>
        <v>1050.79</v>
      </c>
      <c r="H17" s="71">
        <f t="shared" si="1"/>
        <v>401405.04</v>
      </c>
      <c r="K17" s="55"/>
      <c r="L17" s="56"/>
    </row>
    <row r="18" spans="1:12" x14ac:dyDescent="0.2">
      <c r="A18" s="66">
        <f>'FERC Interest Rates'!A26</f>
        <v>41790</v>
      </c>
      <c r="D18" s="2">
        <v>23544</v>
      </c>
      <c r="F18" s="2">
        <f t="shared" si="2"/>
        <v>1107.99</v>
      </c>
      <c r="H18" s="71">
        <f t="shared" si="1"/>
        <v>426057.02999999997</v>
      </c>
      <c r="K18" s="55"/>
      <c r="L18" s="56"/>
    </row>
    <row r="19" spans="1:12" x14ac:dyDescent="0.2">
      <c r="A19" s="66">
        <f>'FERC Interest Rates'!A27</f>
        <v>41820</v>
      </c>
      <c r="D19" s="2">
        <v>-3291</v>
      </c>
      <c r="F19" s="2">
        <f t="shared" si="2"/>
        <v>1138.0999999999999</v>
      </c>
      <c r="H19" s="71">
        <f t="shared" si="1"/>
        <v>423904.12999999995</v>
      </c>
      <c r="K19" s="55"/>
      <c r="L19" s="56"/>
    </row>
    <row r="20" spans="1:12" x14ac:dyDescent="0.2">
      <c r="A20" s="66">
        <f>'FERC Interest Rates'!A28</f>
        <v>41851</v>
      </c>
      <c r="D20" s="2">
        <v>54271</v>
      </c>
      <c r="F20" s="2">
        <f t="shared" si="2"/>
        <v>1170.0899999999999</v>
      </c>
      <c r="H20" s="71">
        <f t="shared" si="1"/>
        <v>479345.22</v>
      </c>
      <c r="K20" s="55"/>
      <c r="L20" s="56"/>
    </row>
    <row r="21" spans="1:12" x14ac:dyDescent="0.2">
      <c r="A21" s="66">
        <f>'FERC Interest Rates'!A29</f>
        <v>41882</v>
      </c>
      <c r="D21" s="2">
        <v>6460</v>
      </c>
      <c r="F21" s="2">
        <f t="shared" si="2"/>
        <v>1323.12</v>
      </c>
      <c r="H21" s="71">
        <f t="shared" si="1"/>
        <v>487128.33999999997</v>
      </c>
      <c r="K21" s="55"/>
      <c r="L21" s="56"/>
    </row>
    <row r="22" spans="1:12" x14ac:dyDescent="0.2">
      <c r="A22" s="66">
        <f>'FERC Interest Rates'!A30</f>
        <v>41912</v>
      </c>
      <c r="D22" s="2">
        <v>97919.2</v>
      </c>
      <c r="F22" s="2">
        <f t="shared" si="2"/>
        <v>1301.23</v>
      </c>
      <c r="H22" s="71">
        <f t="shared" si="1"/>
        <v>586348.77</v>
      </c>
      <c r="K22" s="55"/>
      <c r="L22" s="56"/>
    </row>
    <row r="23" spans="1:12" x14ac:dyDescent="0.2">
      <c r="A23" s="66">
        <f>'FERC Interest Rates'!A31</f>
        <v>41943</v>
      </c>
      <c r="D23" s="2">
        <v>4238.3</v>
      </c>
      <c r="F23" s="2">
        <f t="shared" si="2"/>
        <v>1618.48</v>
      </c>
      <c r="H23" s="71">
        <f t="shared" si="1"/>
        <v>592205.55000000005</v>
      </c>
      <c r="K23" s="55"/>
      <c r="L23" s="56"/>
    </row>
    <row r="24" spans="1:12" x14ac:dyDescent="0.2">
      <c r="A24" s="157" t="s">
        <v>89</v>
      </c>
      <c r="B24" s="157"/>
      <c r="C24" s="157"/>
      <c r="D24" s="157"/>
      <c r="E24" s="157"/>
      <c r="F24" s="157"/>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si="1"/>
        <v>781920.76</v>
      </c>
      <c r="K37" s="55"/>
      <c r="L37" s="56"/>
    </row>
    <row r="38" spans="1:12" x14ac:dyDescent="0.2">
      <c r="A38" s="157" t="s">
        <v>90</v>
      </c>
      <c r="B38" s="157"/>
      <c r="C38" s="157"/>
      <c r="D38" s="157"/>
      <c r="E38" s="157"/>
      <c r="F38" s="157"/>
      <c r="G38" s="2">
        <v>-535321.06999999995</v>
      </c>
      <c r="H38" s="71">
        <f t="shared" si="1"/>
        <v>246599.69000000006</v>
      </c>
      <c r="K38" s="55"/>
      <c r="L38" s="56"/>
    </row>
    <row r="39" spans="1:12" x14ac:dyDescent="0.2">
      <c r="A39" s="66">
        <f>'FERC Interest Rates'!A45</f>
        <v>42369</v>
      </c>
      <c r="D39" s="2">
        <v>106186</v>
      </c>
      <c r="F39" s="2">
        <f t="shared" si="4"/>
        <v>680.68</v>
      </c>
      <c r="H39" s="71">
        <f t="shared" si="1"/>
        <v>353466.37000000005</v>
      </c>
      <c r="K39" s="55"/>
      <c r="L39" s="56"/>
    </row>
    <row r="40" spans="1:12" x14ac:dyDescent="0.2">
      <c r="A40" s="66">
        <f>'FERC Interest Rates'!A46</f>
        <v>42400</v>
      </c>
      <c r="D40" s="2">
        <v>42155</v>
      </c>
      <c r="F40" s="2">
        <f t="shared" ref="F40:F52" si="5">ROUND(H39*VLOOKUP(A40,FERCINT16,2)/365*VLOOKUP(A40,FERCINT16,3),2)</f>
        <v>975.66</v>
      </c>
      <c r="H40" s="71">
        <f t="shared" si="1"/>
        <v>396597.03</v>
      </c>
      <c r="K40" s="55"/>
      <c r="L40" s="56"/>
    </row>
    <row r="41" spans="1:12" x14ac:dyDescent="0.2">
      <c r="A41" s="66">
        <f>'FERC Interest Rates'!A47</f>
        <v>42429</v>
      </c>
      <c r="D41" s="2">
        <v>46723.95</v>
      </c>
      <c r="F41" s="2">
        <f t="shared" si="5"/>
        <v>1024.0899999999999</v>
      </c>
      <c r="H41" s="71">
        <f t="shared" si="1"/>
        <v>444345.07</v>
      </c>
      <c r="K41" s="55"/>
      <c r="L41" s="56"/>
    </row>
    <row r="42" spans="1:12" x14ac:dyDescent="0.2">
      <c r="A42" s="66">
        <f>'FERC Interest Rates'!A48</f>
        <v>42460</v>
      </c>
      <c r="D42" s="2">
        <v>4550</v>
      </c>
      <c r="F42" s="2">
        <f t="shared" si="5"/>
        <v>1226.51</v>
      </c>
      <c r="H42" s="71">
        <f t="shared" si="1"/>
        <v>450121.58</v>
      </c>
      <c r="K42" s="55"/>
      <c r="L42" s="56"/>
    </row>
    <row r="43" spans="1:12" x14ac:dyDescent="0.2">
      <c r="A43" s="66">
        <f>'FERC Interest Rates'!A49</f>
        <v>42490</v>
      </c>
      <c r="D43" s="2">
        <v>4473</v>
      </c>
      <c r="F43" s="2">
        <f t="shared" si="5"/>
        <v>1280.07</v>
      </c>
      <c r="H43" s="71">
        <f t="shared" si="1"/>
        <v>455874.65</v>
      </c>
      <c r="K43" s="55"/>
      <c r="L43" s="56"/>
    </row>
    <row r="44" spans="1:12" x14ac:dyDescent="0.2">
      <c r="A44" s="66">
        <f>'FERC Interest Rates'!A50</f>
        <v>42521</v>
      </c>
      <c r="D44" s="2">
        <v>40528</v>
      </c>
      <c r="F44" s="2">
        <f t="shared" si="5"/>
        <v>1339.65</v>
      </c>
      <c r="H44" s="71">
        <f t="shared" si="1"/>
        <v>497742.30000000005</v>
      </c>
      <c r="K44" s="55"/>
      <c r="L44" s="56"/>
    </row>
    <row r="45" spans="1:12" x14ac:dyDescent="0.2">
      <c r="A45" s="66">
        <f>'FERC Interest Rates'!A51</f>
        <v>42551</v>
      </c>
      <c r="D45" s="2">
        <v>6989</v>
      </c>
      <c r="F45" s="2">
        <f t="shared" si="5"/>
        <v>1415.5</v>
      </c>
      <c r="H45" s="71">
        <f t="shared" si="1"/>
        <v>506146.80000000005</v>
      </c>
      <c r="K45" s="55"/>
      <c r="L45" s="56"/>
    </row>
    <row r="46" spans="1:12" x14ac:dyDescent="0.2">
      <c r="A46" s="66">
        <f>'FERC Interest Rates'!A52</f>
        <v>42582</v>
      </c>
      <c r="D46" s="2">
        <f>2580+4908</f>
        <v>7488</v>
      </c>
      <c r="F46" s="2">
        <f t="shared" si="5"/>
        <v>1504.57</v>
      </c>
      <c r="H46" s="71">
        <f t="shared" si="1"/>
        <v>515139.37000000005</v>
      </c>
      <c r="K46" s="55"/>
      <c r="L46" s="56"/>
    </row>
    <row r="47" spans="1:12" x14ac:dyDescent="0.2">
      <c r="A47" s="66">
        <f>'FERC Interest Rates'!A53</f>
        <v>42613</v>
      </c>
      <c r="D47" s="2">
        <v>19963.5</v>
      </c>
      <c r="F47" s="2">
        <f t="shared" si="5"/>
        <v>1531.3</v>
      </c>
      <c r="H47" s="71">
        <f t="shared" si="1"/>
        <v>536634.17000000004</v>
      </c>
      <c r="K47" s="55"/>
      <c r="L47" s="56"/>
    </row>
    <row r="48" spans="1:12" x14ac:dyDescent="0.2">
      <c r="A48" s="66">
        <f>'FERC Interest Rates'!A54</f>
        <v>42643</v>
      </c>
      <c r="D48" s="2">
        <f>22375+2149.65</f>
        <v>24524.65</v>
      </c>
      <c r="F48" s="2">
        <f t="shared" si="5"/>
        <v>1543.74</v>
      </c>
      <c r="H48" s="71">
        <f t="shared" si="1"/>
        <v>562702.56000000006</v>
      </c>
      <c r="K48" s="55"/>
      <c r="L48" s="56"/>
    </row>
    <row r="49" spans="1:12" x14ac:dyDescent="0.2">
      <c r="A49" s="66">
        <f>'FERC Interest Rates'!A55</f>
        <v>42674</v>
      </c>
      <c r="D49" s="2">
        <v>0</v>
      </c>
      <c r="F49" s="2">
        <f t="shared" si="5"/>
        <v>1672.69</v>
      </c>
      <c r="H49" s="71">
        <f t="shared" si="1"/>
        <v>564375.25</v>
      </c>
      <c r="K49" s="55"/>
      <c r="L49" s="56"/>
    </row>
    <row r="50" spans="1:12" x14ac:dyDescent="0.2">
      <c r="A50" s="157" t="s">
        <v>91</v>
      </c>
      <c r="B50" s="157"/>
      <c r="C50" s="157"/>
      <c r="D50" s="157"/>
      <c r="E50" s="157"/>
      <c r="F50" s="157"/>
      <c r="G50" s="2">
        <v>-519697.25</v>
      </c>
      <c r="H50" s="71">
        <f t="shared" si="1"/>
        <v>44678</v>
      </c>
      <c r="K50" s="55"/>
      <c r="L50" s="56"/>
    </row>
    <row r="51" spans="1:12" x14ac:dyDescent="0.2">
      <c r="A51" s="66">
        <f>'FERC Interest Rates'!A56</f>
        <v>42704</v>
      </c>
      <c r="D51" s="2">
        <v>213476.98</v>
      </c>
      <c r="F51" s="2">
        <f t="shared" si="5"/>
        <v>128.53</v>
      </c>
      <c r="H51" s="71">
        <f t="shared" si="1"/>
        <v>258283.51</v>
      </c>
      <c r="K51" s="55"/>
      <c r="L51" s="56"/>
    </row>
    <row r="52" spans="1:12" x14ac:dyDescent="0.2">
      <c r="A52" s="66">
        <f>'FERC Interest Rates'!A57</f>
        <v>42735</v>
      </c>
      <c r="D52" s="2">
        <f>42403.12+40955.44</f>
        <v>83358.559999999998</v>
      </c>
      <c r="F52" s="2">
        <f t="shared" si="5"/>
        <v>767.77</v>
      </c>
      <c r="H52" s="71">
        <f t="shared" si="1"/>
        <v>342409.84</v>
      </c>
      <c r="K52" s="55"/>
      <c r="L52" s="56"/>
    </row>
    <row r="53" spans="1:12" x14ac:dyDescent="0.2">
      <c r="A53" s="66">
        <f>'FERC Interest Rates'!A58</f>
        <v>42766</v>
      </c>
      <c r="D53" s="2">
        <v>0</v>
      </c>
      <c r="F53" s="2">
        <f t="shared" ref="F53:F57" si="6">ROUND(H52*VLOOKUP(A53,FERCINT17,2)/365*VLOOKUP(A53,FERCINT17,3),2)</f>
        <v>1017.85</v>
      </c>
      <c r="H53" s="71">
        <f t="shared" si="1"/>
        <v>343427.69</v>
      </c>
      <c r="K53" s="55"/>
      <c r="L53" s="56"/>
    </row>
    <row r="54" spans="1:12" x14ac:dyDescent="0.2">
      <c r="A54" s="66">
        <f>'FERC Interest Rates'!A59</f>
        <v>42794</v>
      </c>
      <c r="D54" s="2">
        <f>10882.25+29905</f>
        <v>40787.25</v>
      </c>
      <c r="F54" s="2">
        <f t="shared" si="6"/>
        <v>922.08</v>
      </c>
      <c r="H54" s="71">
        <f t="shared" si="1"/>
        <v>385137.02</v>
      </c>
      <c r="K54" s="55"/>
      <c r="L54" s="56"/>
    </row>
    <row r="55" spans="1:12" x14ac:dyDescent="0.2">
      <c r="A55" s="66">
        <f>'FERC Interest Rates'!A60</f>
        <v>42825</v>
      </c>
      <c r="D55" s="2">
        <f>1091.24+3400</f>
        <v>4491.24</v>
      </c>
      <c r="F55" s="2">
        <f t="shared" si="6"/>
        <v>1144.8599999999999</v>
      </c>
      <c r="H55" s="71">
        <f t="shared" si="1"/>
        <v>390773.12</v>
      </c>
      <c r="K55" s="55"/>
      <c r="L55" s="56"/>
    </row>
    <row r="56" spans="1:12" x14ac:dyDescent="0.2">
      <c r="A56" s="66">
        <f>'FERC Interest Rates'!A61</f>
        <v>42855</v>
      </c>
      <c r="D56" s="2">
        <v>28779.5</v>
      </c>
      <c r="F56" s="2">
        <f t="shared" si="6"/>
        <v>1191.5899999999999</v>
      </c>
      <c r="H56" s="71">
        <f t="shared" si="1"/>
        <v>420744.21</v>
      </c>
      <c r="K56" s="55"/>
      <c r="L56" s="56"/>
    </row>
    <row r="57" spans="1:12" x14ac:dyDescent="0.2">
      <c r="A57" s="66">
        <f>'FERC Interest Rates'!A62</f>
        <v>42886</v>
      </c>
      <c r="D57" s="2">
        <v>20974.400000000001</v>
      </c>
      <c r="F57" s="2">
        <f t="shared" si="6"/>
        <v>1325.75</v>
      </c>
      <c r="H57" s="71">
        <f t="shared" si="1"/>
        <v>443044.36000000004</v>
      </c>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row>
    <row r="63" spans="1:12" x14ac:dyDescent="0.2">
      <c r="A63" s="66"/>
      <c r="H63" s="71"/>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Normal="75" zoomScaleSheetLayoutView="100" workbookViewId="0">
      <pane xSplit="1" ySplit="10" topLeftCell="B46" activePane="bottomRight" state="frozen"/>
      <selection activeCell="C13" sqref="C13"/>
      <selection pane="topRight" activeCell="C13" sqref="C13"/>
      <selection pane="bottomLeft" activeCell="C13" sqref="C13"/>
      <selection pane="bottomRight" activeCell="I64" sqref="A58:I64"/>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92</v>
      </c>
      <c r="D2" s="168"/>
      <c r="E2" s="168"/>
      <c r="F2" s="168"/>
      <c r="G2" s="168"/>
      <c r="H2" s="180"/>
    </row>
    <row r="3" spans="1:12" x14ac:dyDescent="0.2">
      <c r="A3" s="178" t="s">
        <v>53</v>
      </c>
      <c r="B3" s="165"/>
      <c r="C3" s="168" t="s">
        <v>11</v>
      </c>
      <c r="D3" s="168"/>
      <c r="E3" s="168"/>
      <c r="F3" s="168"/>
      <c r="G3" s="168"/>
      <c r="H3" s="180"/>
    </row>
    <row r="4" spans="1:12" s="67" customFormat="1" x14ac:dyDescent="0.2">
      <c r="A4" s="178" t="s">
        <v>54</v>
      </c>
      <c r="B4" s="165"/>
      <c r="C4" s="200" t="s">
        <v>55</v>
      </c>
      <c r="D4" s="200"/>
      <c r="E4" s="200"/>
      <c r="F4" s="200"/>
      <c r="G4" s="200"/>
      <c r="H4" s="201"/>
    </row>
    <row r="5" spans="1:12" x14ac:dyDescent="0.2">
      <c r="A5" s="178" t="s">
        <v>56</v>
      </c>
      <c r="B5" s="165"/>
      <c r="C5" s="200" t="s">
        <v>87</v>
      </c>
      <c r="D5" s="200"/>
      <c r="E5" s="200"/>
      <c r="F5" s="200"/>
      <c r="G5" s="200"/>
      <c r="H5" s="201"/>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34127.81</v>
      </c>
      <c r="K11" s="55"/>
      <c r="L11" s="56"/>
    </row>
    <row r="12" spans="1:12" x14ac:dyDescent="0.2">
      <c r="A12" s="66">
        <f>'FERC Interest Rates'!A20</f>
        <v>41608</v>
      </c>
      <c r="D12" s="2">
        <f>589.95+3436.51</f>
        <v>4026.46</v>
      </c>
      <c r="F12" s="2">
        <f t="shared" ref="F12:F13" si="0">ROUND(H11*VLOOKUP(A12,FERCINT13,2)/365*VLOOKUP(A12,FERCINT13,3),2)</f>
        <v>91.16</v>
      </c>
      <c r="H12" s="71">
        <f t="shared" ref="H12:H57" si="1">+SUM(D12:G12)+H11</f>
        <v>38245.43</v>
      </c>
      <c r="K12" s="55"/>
      <c r="L12" s="56"/>
    </row>
    <row r="13" spans="1:12" x14ac:dyDescent="0.2">
      <c r="A13" s="66">
        <f>'FERC Interest Rates'!A21</f>
        <v>41639</v>
      </c>
      <c r="D13" s="2">
        <v>3341.37</v>
      </c>
      <c r="F13" s="2">
        <f t="shared" si="0"/>
        <v>105.57</v>
      </c>
      <c r="H13" s="71">
        <f t="shared" si="1"/>
        <v>41692.370000000003</v>
      </c>
      <c r="K13" s="55"/>
      <c r="L13" s="56"/>
    </row>
    <row r="14" spans="1:12" x14ac:dyDescent="0.2">
      <c r="A14" s="66">
        <f>'FERC Interest Rates'!A22</f>
        <v>41670</v>
      </c>
      <c r="D14" s="2">
        <v>3500.93</v>
      </c>
      <c r="F14" s="2">
        <f t="shared" ref="F14:F23" si="2">ROUND(H13*VLOOKUP(A14,FERCINT14,2)/365*VLOOKUP(A14,FERCINT14,3),2)</f>
        <v>115.08</v>
      </c>
      <c r="H14" s="71">
        <f t="shared" si="1"/>
        <v>45308.380000000005</v>
      </c>
      <c r="K14" s="55"/>
      <c r="L14" s="56"/>
    </row>
    <row r="15" spans="1:12" x14ac:dyDescent="0.2">
      <c r="A15" s="66">
        <f>'FERC Interest Rates'!A23</f>
        <v>41698</v>
      </c>
      <c r="D15" s="2">
        <f>1228.81+2800.64+2907.85</f>
        <v>6937.2999999999993</v>
      </c>
      <c r="F15" s="2">
        <f t="shared" si="2"/>
        <v>112.96</v>
      </c>
      <c r="H15" s="71">
        <f t="shared" si="1"/>
        <v>52358.640000000007</v>
      </c>
      <c r="K15" s="55"/>
      <c r="L15" s="56"/>
    </row>
    <row r="16" spans="1:12" x14ac:dyDescent="0.2">
      <c r="A16" s="66">
        <f>'FERC Interest Rates'!A24</f>
        <v>41729</v>
      </c>
      <c r="D16" s="2">
        <f>5104.12+1781.99</f>
        <v>6886.11</v>
      </c>
      <c r="F16" s="2">
        <f t="shared" si="2"/>
        <v>144.52000000000001</v>
      </c>
      <c r="H16" s="71">
        <f t="shared" si="1"/>
        <v>59389.270000000004</v>
      </c>
      <c r="K16" s="55"/>
      <c r="L16" s="56"/>
    </row>
    <row r="17" spans="1:12" x14ac:dyDescent="0.2">
      <c r="A17" s="66">
        <f>'FERC Interest Rates'!A25</f>
        <v>41759</v>
      </c>
      <c r="D17" s="2">
        <v>5578.35</v>
      </c>
      <c r="F17" s="2">
        <f t="shared" si="2"/>
        <v>158.63999999999999</v>
      </c>
      <c r="H17" s="71">
        <f t="shared" si="1"/>
        <v>65126.26</v>
      </c>
      <c r="K17" s="55"/>
      <c r="L17" s="56"/>
    </row>
    <row r="18" spans="1:12" x14ac:dyDescent="0.2">
      <c r="A18" s="66">
        <f>'FERC Interest Rates'!A26</f>
        <v>41790</v>
      </c>
      <c r="D18" s="2">
        <v>0</v>
      </c>
      <c r="F18" s="2">
        <f t="shared" si="2"/>
        <v>179.77</v>
      </c>
      <c r="H18" s="71">
        <f t="shared" si="1"/>
        <v>65306.03</v>
      </c>
      <c r="K18" s="55"/>
      <c r="L18" s="56"/>
    </row>
    <row r="19" spans="1:12" x14ac:dyDescent="0.2">
      <c r="A19" s="66">
        <f>'FERC Interest Rates'!A27</f>
        <v>41820</v>
      </c>
      <c r="D19" s="2">
        <v>8188.42</v>
      </c>
      <c r="F19" s="2">
        <f t="shared" si="2"/>
        <v>174.45</v>
      </c>
      <c r="H19" s="71">
        <f t="shared" si="1"/>
        <v>73668.899999999994</v>
      </c>
      <c r="K19" s="55"/>
      <c r="L19" s="56"/>
    </row>
    <row r="20" spans="1:12" x14ac:dyDescent="0.2">
      <c r="A20" s="66">
        <f>'FERC Interest Rates'!A28</f>
        <v>41851</v>
      </c>
      <c r="D20" s="2">
        <v>0</v>
      </c>
      <c r="F20" s="2">
        <f t="shared" si="2"/>
        <v>203.35</v>
      </c>
      <c r="H20" s="71">
        <f t="shared" si="1"/>
        <v>73872.25</v>
      </c>
      <c r="K20" s="55"/>
      <c r="L20" s="56"/>
    </row>
    <row r="21" spans="1:12" x14ac:dyDescent="0.2">
      <c r="A21" s="66">
        <f>'FERC Interest Rates'!A29</f>
        <v>41882</v>
      </c>
      <c r="D21" s="2">
        <v>5733.28</v>
      </c>
      <c r="F21" s="2">
        <f t="shared" si="2"/>
        <v>203.91</v>
      </c>
      <c r="H21" s="71">
        <f t="shared" si="1"/>
        <v>79809.440000000002</v>
      </c>
      <c r="K21" s="55"/>
      <c r="L21" s="56"/>
    </row>
    <row r="22" spans="1:12" x14ac:dyDescent="0.2">
      <c r="A22" s="66">
        <f>'FERC Interest Rates'!A30</f>
        <v>41912</v>
      </c>
      <c r="D22" s="2">
        <v>0</v>
      </c>
      <c r="F22" s="2">
        <f t="shared" si="2"/>
        <v>213.19</v>
      </c>
      <c r="H22" s="71">
        <f t="shared" si="1"/>
        <v>80022.63</v>
      </c>
      <c r="K22" s="55"/>
      <c r="L22" s="56"/>
    </row>
    <row r="23" spans="1:12" x14ac:dyDescent="0.2">
      <c r="A23" s="66">
        <f>'FERC Interest Rates'!A31</f>
        <v>41943</v>
      </c>
      <c r="D23" s="2">
        <v>3220.1</v>
      </c>
      <c r="F23" s="2">
        <f t="shared" si="2"/>
        <v>220.88</v>
      </c>
      <c r="H23" s="71">
        <f t="shared" si="1"/>
        <v>83463.61</v>
      </c>
      <c r="K23" s="55"/>
      <c r="L23" s="56"/>
    </row>
    <row r="24" spans="1:12" x14ac:dyDescent="0.2">
      <c r="A24" s="157" t="s">
        <v>89</v>
      </c>
      <c r="B24" s="157"/>
      <c r="C24" s="157"/>
      <c r="D24" s="157"/>
      <c r="E24" s="157"/>
      <c r="F24" s="157"/>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si="1"/>
        <v>113449.66000000002</v>
      </c>
      <c r="K37" s="55"/>
      <c r="L37" s="56"/>
    </row>
    <row r="38" spans="1:12" x14ac:dyDescent="0.2">
      <c r="A38" s="157" t="s">
        <v>90</v>
      </c>
      <c r="B38" s="157"/>
      <c r="C38" s="157"/>
      <c r="D38" s="157"/>
      <c r="E38" s="157"/>
      <c r="F38" s="157"/>
      <c r="G38" s="2">
        <v>-87792.92</v>
      </c>
      <c r="H38" s="71">
        <f t="shared" si="1"/>
        <v>25656.74000000002</v>
      </c>
      <c r="K38" s="55"/>
      <c r="L38" s="56"/>
    </row>
    <row r="39" spans="1:12" x14ac:dyDescent="0.2">
      <c r="A39" s="66">
        <f>'FERC Interest Rates'!A45</f>
        <v>42369</v>
      </c>
      <c r="D39" s="2">
        <v>5078.8599999999997</v>
      </c>
      <c r="F39" s="2">
        <f>ROUND(H38*VLOOKUP(A39,FERCINT15,2)/365*VLOOKUP(A39,FERCINT15,3),2)</f>
        <v>70.819999999999993</v>
      </c>
      <c r="H39" s="71">
        <f t="shared" si="1"/>
        <v>30806.42000000002</v>
      </c>
      <c r="K39" s="55"/>
      <c r="L39" s="56"/>
    </row>
    <row r="40" spans="1:12" x14ac:dyDescent="0.2">
      <c r="A40" s="66">
        <f>'FERC Interest Rates'!A46</f>
        <v>42400</v>
      </c>
      <c r="D40" s="2">
        <v>8551.1299999999992</v>
      </c>
      <c r="F40" s="2">
        <f t="shared" ref="F40:F52" si="5">ROUND(H39*VLOOKUP(A40,FERCINT16,2)/365*VLOOKUP(A40,FERCINT16,3),2)</f>
        <v>85.03</v>
      </c>
      <c r="H40" s="71">
        <f t="shared" si="1"/>
        <v>39442.580000000016</v>
      </c>
      <c r="K40" s="55"/>
      <c r="L40" s="56"/>
    </row>
    <row r="41" spans="1:12" x14ac:dyDescent="0.2">
      <c r="A41" s="66">
        <f>'FERC Interest Rates'!A47</f>
        <v>42429</v>
      </c>
      <c r="D41" s="2">
        <v>3435.07</v>
      </c>
      <c r="F41" s="2">
        <f t="shared" si="5"/>
        <v>101.85</v>
      </c>
      <c r="H41" s="71">
        <f t="shared" si="1"/>
        <v>42979.500000000015</v>
      </c>
      <c r="K41" s="55"/>
      <c r="L41" s="56"/>
    </row>
    <row r="42" spans="1:12" x14ac:dyDescent="0.2">
      <c r="A42" s="66">
        <f>'FERC Interest Rates'!A48</f>
        <v>42460</v>
      </c>
      <c r="D42" s="2">
        <v>4412.76</v>
      </c>
      <c r="F42" s="2">
        <f t="shared" si="5"/>
        <v>118.64</v>
      </c>
      <c r="H42" s="71">
        <f t="shared" si="1"/>
        <v>47510.900000000016</v>
      </c>
      <c r="K42" s="55"/>
      <c r="L42" s="56"/>
    </row>
    <row r="43" spans="1:12" x14ac:dyDescent="0.2">
      <c r="A43" s="66">
        <f>'FERC Interest Rates'!A49</f>
        <v>42490</v>
      </c>
      <c r="D43" s="2">
        <v>25403.73</v>
      </c>
      <c r="F43" s="2">
        <f t="shared" si="5"/>
        <v>135.11000000000001</v>
      </c>
      <c r="H43" s="71">
        <f t="shared" si="1"/>
        <v>73049.74000000002</v>
      </c>
      <c r="K43" s="55"/>
      <c r="L43" s="56"/>
    </row>
    <row r="44" spans="1:12" x14ac:dyDescent="0.2">
      <c r="A44" s="66">
        <f>'FERC Interest Rates'!A50</f>
        <v>42521</v>
      </c>
      <c r="D44" s="2">
        <v>3688.79</v>
      </c>
      <c r="F44" s="2">
        <f t="shared" si="5"/>
        <v>214.67</v>
      </c>
      <c r="H44" s="71">
        <f t="shared" si="1"/>
        <v>76953.200000000026</v>
      </c>
      <c r="K44" s="55"/>
      <c r="L44" s="56"/>
    </row>
    <row r="45" spans="1:12" x14ac:dyDescent="0.2">
      <c r="A45" s="66">
        <f>'FERC Interest Rates'!A51</f>
        <v>42551</v>
      </c>
      <c r="D45" s="2">
        <v>0</v>
      </c>
      <c r="F45" s="2">
        <f t="shared" si="5"/>
        <v>218.84</v>
      </c>
      <c r="H45" s="71">
        <f t="shared" si="1"/>
        <v>77172.040000000023</v>
      </c>
      <c r="K45" s="55"/>
      <c r="L45" s="56"/>
    </row>
    <row r="46" spans="1:12" x14ac:dyDescent="0.2">
      <c r="A46" s="66">
        <f>'FERC Interest Rates'!A52</f>
        <v>42582</v>
      </c>
      <c r="D46" s="2">
        <f>1816.41+6474.96+4396.78</f>
        <v>12688.150000000001</v>
      </c>
      <c r="F46" s="2">
        <f t="shared" si="5"/>
        <v>229.4</v>
      </c>
      <c r="H46" s="71">
        <f t="shared" si="1"/>
        <v>90089.590000000026</v>
      </c>
      <c r="K46" s="55"/>
      <c r="L46" s="56"/>
    </row>
    <row r="47" spans="1:12" x14ac:dyDescent="0.2">
      <c r="A47" s="66">
        <f>'FERC Interest Rates'!A53</f>
        <v>42613</v>
      </c>
      <c r="D47" s="2">
        <v>3099.7</v>
      </c>
      <c r="F47" s="2">
        <f t="shared" si="5"/>
        <v>267.8</v>
      </c>
      <c r="H47" s="71">
        <f t="shared" si="1"/>
        <v>93457.090000000026</v>
      </c>
      <c r="K47" s="55"/>
      <c r="L47" s="56"/>
    </row>
    <row r="48" spans="1:12" x14ac:dyDescent="0.2">
      <c r="A48" s="66">
        <f>'FERC Interest Rates'!A54</f>
        <v>42643</v>
      </c>
      <c r="D48" s="2">
        <f>2502.49+4807.17</f>
        <v>7309.66</v>
      </c>
      <c r="F48" s="2">
        <f t="shared" si="5"/>
        <v>268.85000000000002</v>
      </c>
      <c r="H48" s="71">
        <f t="shared" si="1"/>
        <v>101035.60000000002</v>
      </c>
      <c r="K48" s="55"/>
      <c r="L48" s="56"/>
    </row>
    <row r="49" spans="1:12" x14ac:dyDescent="0.2">
      <c r="A49" s="66">
        <f>'FERC Interest Rates'!A55</f>
        <v>42674</v>
      </c>
      <c r="D49" s="2">
        <v>0</v>
      </c>
      <c r="F49" s="2">
        <f t="shared" si="5"/>
        <v>300.33999999999997</v>
      </c>
      <c r="H49" s="71">
        <f t="shared" si="1"/>
        <v>101335.94000000002</v>
      </c>
      <c r="K49" s="55"/>
      <c r="L49" s="56"/>
    </row>
    <row r="50" spans="1:12" x14ac:dyDescent="0.2">
      <c r="A50" s="157" t="s">
        <v>91</v>
      </c>
      <c r="B50" s="157"/>
      <c r="C50" s="157"/>
      <c r="D50" s="157"/>
      <c r="E50" s="157"/>
      <c r="F50" s="157"/>
      <c r="G50" s="2">
        <v>-90886.69</v>
      </c>
      <c r="H50" s="71">
        <f t="shared" si="1"/>
        <v>10449.250000000015</v>
      </c>
      <c r="K50" s="55"/>
      <c r="L50" s="56"/>
    </row>
    <row r="51" spans="1:12" x14ac:dyDescent="0.2">
      <c r="A51" s="66">
        <f>'FERC Interest Rates'!A56</f>
        <v>42704</v>
      </c>
      <c r="D51" s="2">
        <v>9221.16</v>
      </c>
      <c r="F51" s="2">
        <f t="shared" si="5"/>
        <v>30.06</v>
      </c>
      <c r="H51" s="71">
        <f t="shared" si="1"/>
        <v>19700.470000000016</v>
      </c>
      <c r="K51" s="55"/>
      <c r="L51" s="56"/>
    </row>
    <row r="52" spans="1:12" x14ac:dyDescent="0.2">
      <c r="A52" s="66">
        <f>'FERC Interest Rates'!A57</f>
        <v>42735</v>
      </c>
      <c r="D52" s="2">
        <f>4780.4+649.65+4137.84</f>
        <v>9567.89</v>
      </c>
      <c r="F52" s="2">
        <f t="shared" si="5"/>
        <v>58.56</v>
      </c>
      <c r="H52" s="71">
        <f t="shared" si="1"/>
        <v>29326.920000000013</v>
      </c>
      <c r="K52" s="55"/>
      <c r="L52" s="56"/>
    </row>
    <row r="53" spans="1:12" x14ac:dyDescent="0.2">
      <c r="A53" s="66">
        <f>'FERC Interest Rates'!A58</f>
        <v>42766</v>
      </c>
      <c r="D53" s="2">
        <v>0</v>
      </c>
      <c r="F53" s="2">
        <f t="shared" ref="F53:F57" si="6">ROUND(H52*VLOOKUP(A53,FERCINT17,2)/365*VLOOKUP(A53,FERCINT17,3),2)</f>
        <v>87.18</v>
      </c>
      <c r="H53" s="71">
        <f t="shared" si="1"/>
        <v>29414.100000000013</v>
      </c>
      <c r="K53" s="55"/>
      <c r="L53" s="56"/>
    </row>
    <row r="54" spans="1:12" x14ac:dyDescent="0.2">
      <c r="A54" s="66">
        <f>'FERC Interest Rates'!A59</f>
        <v>42794</v>
      </c>
      <c r="D54" s="2">
        <v>0</v>
      </c>
      <c r="F54" s="2">
        <f t="shared" si="6"/>
        <v>78.97</v>
      </c>
      <c r="H54" s="71">
        <f t="shared" si="1"/>
        <v>29493.070000000014</v>
      </c>
      <c r="K54" s="55"/>
      <c r="L54" s="56"/>
    </row>
    <row r="55" spans="1:12" x14ac:dyDescent="0.2">
      <c r="A55" s="66">
        <f>'FERC Interest Rates'!A60</f>
        <v>42825</v>
      </c>
      <c r="D55" s="2">
        <f>6290.27+10000</f>
        <v>16290.27</v>
      </c>
      <c r="F55" s="2">
        <f t="shared" si="6"/>
        <v>87.67</v>
      </c>
      <c r="H55" s="71">
        <f t="shared" si="1"/>
        <v>45871.010000000017</v>
      </c>
      <c r="K55" s="55"/>
      <c r="L55" s="56"/>
    </row>
    <row r="56" spans="1:12" x14ac:dyDescent="0.2">
      <c r="A56" s="66">
        <f>'FERC Interest Rates'!A61</f>
        <v>42855</v>
      </c>
      <c r="D56" s="2">
        <f>7252.13+20000</f>
        <v>27252.13</v>
      </c>
      <c r="F56" s="2">
        <f t="shared" si="6"/>
        <v>139.88</v>
      </c>
      <c r="H56" s="71">
        <f t="shared" si="1"/>
        <v>73263.020000000019</v>
      </c>
      <c r="K56" s="55"/>
      <c r="L56" s="56"/>
    </row>
    <row r="57" spans="1:12" x14ac:dyDescent="0.2">
      <c r="A57" s="66">
        <f>'FERC Interest Rates'!A62</f>
        <v>42886</v>
      </c>
      <c r="D57" s="2">
        <v>0</v>
      </c>
      <c r="F57" s="2">
        <f t="shared" si="6"/>
        <v>230.85</v>
      </c>
      <c r="H57" s="71">
        <f t="shared" si="1"/>
        <v>73493.870000000024</v>
      </c>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H64" s="71"/>
      <c r="K64" s="55"/>
      <c r="L64"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view="pageBreakPreview" zoomScale="98" zoomScaleNormal="60" zoomScaleSheetLayoutView="98" workbookViewId="0">
      <pane xSplit="1" ySplit="10" topLeftCell="B48" activePane="bottomRight" state="frozen"/>
      <selection activeCell="C13" sqref="C13"/>
      <selection pane="topRight" activeCell="C13" sqref="C13"/>
      <selection pane="bottomLeft" activeCell="C13" sqref="C13"/>
      <selection pane="bottomRight" activeCell="I64" sqref="A58:I64"/>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85" t="s">
        <v>93</v>
      </c>
      <c r="D2" s="185"/>
      <c r="E2" s="185"/>
      <c r="F2" s="185"/>
      <c r="G2" s="185"/>
      <c r="H2" s="186"/>
    </row>
    <row r="3" spans="1:12" x14ac:dyDescent="0.2">
      <c r="A3" s="178" t="s">
        <v>53</v>
      </c>
      <c r="B3" s="165"/>
      <c r="C3" s="168" t="s">
        <v>12</v>
      </c>
      <c r="D3" s="168"/>
      <c r="E3" s="168"/>
      <c r="F3" s="168"/>
      <c r="G3" s="168"/>
      <c r="H3" s="180"/>
    </row>
    <row r="4" spans="1:12" x14ac:dyDescent="0.2">
      <c r="A4" s="178" t="s">
        <v>54</v>
      </c>
      <c r="B4" s="165"/>
      <c r="C4" s="168" t="s">
        <v>55</v>
      </c>
      <c r="D4" s="168"/>
      <c r="E4" s="168"/>
      <c r="F4" s="168"/>
      <c r="G4" s="168"/>
      <c r="H4" s="180"/>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174" t="s">
        <v>59</v>
      </c>
      <c r="B7" s="175"/>
      <c r="C7" s="176" t="s">
        <v>95</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386395.83</v>
      </c>
      <c r="K11" s="55"/>
      <c r="L11" s="56"/>
    </row>
    <row r="12" spans="1:12" x14ac:dyDescent="0.2">
      <c r="A12" s="66">
        <f>'FERC Interest Rates'!A20</f>
        <v>41608</v>
      </c>
      <c r="D12" s="2">
        <v>47894.04</v>
      </c>
      <c r="F12" s="2">
        <f t="shared" ref="F12:F13" si="0">ROUND(H11*VLOOKUP(A12,FERCINT13,2)/365*VLOOKUP(A12,FERCINT13,3),2)</f>
        <v>1032.1500000000001</v>
      </c>
      <c r="H12" s="71">
        <f t="shared" ref="H12:H57" si="1">H11+SUM(D12:G12)</f>
        <v>435322.02</v>
      </c>
      <c r="K12" s="55"/>
      <c r="L12" s="56"/>
    </row>
    <row r="13" spans="1:12" x14ac:dyDescent="0.2">
      <c r="A13" s="66">
        <f>'FERC Interest Rates'!A21</f>
        <v>41639</v>
      </c>
      <c r="D13" s="2">
        <v>166162.6</v>
      </c>
      <c r="F13" s="2">
        <f t="shared" si="0"/>
        <v>1201.6099999999999</v>
      </c>
      <c r="H13" s="71">
        <f t="shared" si="1"/>
        <v>602686.23</v>
      </c>
      <c r="K13" s="55"/>
      <c r="L13" s="56"/>
    </row>
    <row r="14" spans="1:12" x14ac:dyDescent="0.2">
      <c r="A14" s="66">
        <f>'FERC Interest Rates'!A22</f>
        <v>41670</v>
      </c>
      <c r="D14" s="2">
        <v>69918.740000000005</v>
      </c>
      <c r="F14" s="2">
        <f t="shared" ref="F14:F26" si="2">ROUND(H13*VLOOKUP(A14,FERCINT14,2)/365*VLOOKUP(A14,FERCINT14,3),2)</f>
        <v>1663.58</v>
      </c>
      <c r="H14" s="71">
        <f t="shared" si="1"/>
        <v>674268.55</v>
      </c>
      <c r="K14" s="55"/>
      <c r="L14" s="56"/>
    </row>
    <row r="15" spans="1:12" x14ac:dyDescent="0.2">
      <c r="A15" s="66">
        <f>'FERC Interest Rates'!A23</f>
        <v>41698</v>
      </c>
      <c r="D15" s="2">
        <v>89751.29</v>
      </c>
      <c r="F15" s="2">
        <f t="shared" si="2"/>
        <v>1681.05</v>
      </c>
      <c r="H15" s="71">
        <f t="shared" si="1"/>
        <v>765700.89</v>
      </c>
      <c r="K15" s="55"/>
      <c r="L15" s="56"/>
    </row>
    <row r="16" spans="1:12" x14ac:dyDescent="0.2">
      <c r="A16" s="66">
        <f>'FERC Interest Rates'!A24</f>
        <v>41729</v>
      </c>
      <c r="D16" s="2">
        <v>77979.5</v>
      </c>
      <c r="F16" s="2">
        <f t="shared" si="2"/>
        <v>2113.54</v>
      </c>
      <c r="H16" s="71">
        <f t="shared" si="1"/>
        <v>845793.93</v>
      </c>
      <c r="K16" s="55"/>
      <c r="L16" s="56"/>
    </row>
    <row r="17" spans="1:12" x14ac:dyDescent="0.2">
      <c r="A17" s="66">
        <f>'FERC Interest Rates'!A25</f>
        <v>41759</v>
      </c>
      <c r="D17" s="2">
        <v>97835.520000000004</v>
      </c>
      <c r="F17" s="2">
        <f t="shared" si="2"/>
        <v>2259.31</v>
      </c>
      <c r="H17" s="71">
        <f t="shared" si="1"/>
        <v>945888.76</v>
      </c>
      <c r="K17" s="55"/>
      <c r="L17" s="56"/>
    </row>
    <row r="18" spans="1:12" x14ac:dyDescent="0.2">
      <c r="A18" s="66">
        <f>'FERC Interest Rates'!A26</f>
        <v>41790</v>
      </c>
      <c r="D18" s="2">
        <v>158076.60999999999</v>
      </c>
      <c r="F18" s="2">
        <f t="shared" si="2"/>
        <v>2610.91</v>
      </c>
      <c r="H18" s="71">
        <f t="shared" si="1"/>
        <v>1106576.28</v>
      </c>
      <c r="K18" s="55"/>
      <c r="L18" s="56"/>
    </row>
    <row r="19" spans="1:12" x14ac:dyDescent="0.2">
      <c r="A19" s="66">
        <f>'FERC Interest Rates'!A27</f>
        <v>41820</v>
      </c>
      <c r="D19" s="2">
        <f>130663.59-8978.9</f>
        <v>121684.69</v>
      </c>
      <c r="F19" s="2">
        <f t="shared" si="2"/>
        <v>2955.92</v>
      </c>
      <c r="H19" s="71">
        <f t="shared" si="1"/>
        <v>1231216.8900000001</v>
      </c>
      <c r="K19" s="55"/>
      <c r="L19" s="56"/>
    </row>
    <row r="20" spans="1:12" x14ac:dyDescent="0.2">
      <c r="A20" s="66">
        <f>'FERC Interest Rates'!A28</f>
        <v>41851</v>
      </c>
      <c r="D20" s="2">
        <v>-47127.839999999997</v>
      </c>
      <c r="F20" s="2">
        <f t="shared" si="2"/>
        <v>3398.5</v>
      </c>
      <c r="H20" s="71">
        <f t="shared" si="1"/>
        <v>1187487.55</v>
      </c>
      <c r="K20" s="55"/>
      <c r="L20" s="56"/>
    </row>
    <row r="21" spans="1:12" x14ac:dyDescent="0.2">
      <c r="A21" s="66">
        <f>'FERC Interest Rates'!A29</f>
        <v>41882</v>
      </c>
      <c r="D21" s="2">
        <v>121270.24</v>
      </c>
      <c r="F21" s="2">
        <f t="shared" si="2"/>
        <v>3277.79</v>
      </c>
      <c r="H21" s="71">
        <f t="shared" si="1"/>
        <v>1312035.58</v>
      </c>
      <c r="K21" s="55"/>
      <c r="L21" s="56"/>
    </row>
    <row r="22" spans="1:12" x14ac:dyDescent="0.2">
      <c r="A22" s="66">
        <f>'FERC Interest Rates'!A30</f>
        <v>41912</v>
      </c>
      <c r="D22" s="2">
        <v>31597.98</v>
      </c>
      <c r="F22" s="2">
        <f t="shared" si="2"/>
        <v>3504.75</v>
      </c>
      <c r="H22" s="71">
        <f t="shared" si="1"/>
        <v>1347138.31</v>
      </c>
      <c r="K22" s="55"/>
      <c r="L22" s="56"/>
    </row>
    <row r="23" spans="1:12" x14ac:dyDescent="0.2">
      <c r="A23" s="66">
        <f>'FERC Interest Rates'!A31</f>
        <v>41943</v>
      </c>
      <c r="D23" s="2">
        <f>79038.71+8978.9</f>
        <v>88017.61</v>
      </c>
      <c r="F23" s="2">
        <f t="shared" si="2"/>
        <v>3718.47</v>
      </c>
      <c r="H23" s="71">
        <f t="shared" si="1"/>
        <v>1438874.3900000001</v>
      </c>
      <c r="K23" s="55"/>
      <c r="L23" s="56"/>
    </row>
    <row r="24" spans="1:12" x14ac:dyDescent="0.2">
      <c r="A24" s="157" t="s">
        <v>89</v>
      </c>
      <c r="B24" s="157"/>
      <c r="C24" s="157"/>
      <c r="D24" s="157"/>
      <c r="E24" s="157"/>
      <c r="F24" s="157"/>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57" t="s">
        <v>90</v>
      </c>
      <c r="B38" s="157"/>
      <c r="C38" s="157"/>
      <c r="D38" s="157"/>
      <c r="E38" s="157"/>
      <c r="F38" s="157"/>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57" t="s">
        <v>91</v>
      </c>
      <c r="B50" s="157"/>
      <c r="C50" s="157"/>
      <c r="D50" s="157"/>
      <c r="E50" s="157"/>
      <c r="F50" s="157"/>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57"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f>'FERC Interest Rates'!A60</f>
        <v>42825</v>
      </c>
      <c r="D55" s="2">
        <f>244311.86-2777.49</f>
        <v>241534.37</v>
      </c>
      <c r="F55" s="2">
        <f t="shared" si="6"/>
        <v>2777.49</v>
      </c>
      <c r="H55" s="71">
        <f t="shared" si="1"/>
        <v>1178674.5999999996</v>
      </c>
      <c r="K55" s="55"/>
      <c r="L55" s="56"/>
    </row>
    <row r="56" spans="1:12" x14ac:dyDescent="0.2">
      <c r="A56" s="66">
        <f>'FERC Interest Rates'!A61</f>
        <v>42855</v>
      </c>
      <c r="D56" s="2">
        <f>52288.9-3594.15</f>
        <v>48694.75</v>
      </c>
      <c r="F56" s="2">
        <f t="shared" si="6"/>
        <v>3594.15</v>
      </c>
      <c r="H56" s="71">
        <f t="shared" si="1"/>
        <v>1230963.4999999995</v>
      </c>
      <c r="K56" s="55"/>
      <c r="L56" s="56"/>
    </row>
    <row r="57" spans="1:12" x14ac:dyDescent="0.2">
      <c r="A57" s="66">
        <f>'FERC Interest Rates'!A62</f>
        <v>42886</v>
      </c>
      <c r="D57" s="2">
        <f>133086.53-3878.72-47.21</f>
        <v>129160.59999999999</v>
      </c>
      <c r="F57" s="2">
        <f t="shared" si="6"/>
        <v>3878.72</v>
      </c>
      <c r="H57" s="71">
        <f t="shared" si="1"/>
        <v>1364002.8199999996</v>
      </c>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A64" s="66"/>
    </row>
    <row r="65" spans="1:1" x14ac:dyDescent="0.2">
      <c r="A65" s="6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106" zoomScaleNormal="75" zoomScaleSheetLayoutView="106" workbookViewId="0">
      <pane xSplit="1" ySplit="10" topLeftCell="B48" activePane="bottomRight" state="frozen"/>
      <selection activeCell="C13" sqref="C13"/>
      <selection pane="topRight" activeCell="C13" sqref="C13"/>
      <selection pane="bottomLeft" activeCell="C13" sqref="C13"/>
      <selection pane="bottomRight" activeCell="J54" sqref="J54"/>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85" t="s">
        <v>96</v>
      </c>
      <c r="D2" s="185"/>
      <c r="E2" s="185"/>
      <c r="F2" s="185"/>
      <c r="G2" s="185"/>
      <c r="H2" s="186"/>
    </row>
    <row r="3" spans="1:12" x14ac:dyDescent="0.2">
      <c r="A3" s="178" t="s">
        <v>53</v>
      </c>
      <c r="B3" s="165"/>
      <c r="C3" s="168" t="s">
        <v>13</v>
      </c>
      <c r="D3" s="168"/>
      <c r="E3" s="168"/>
      <c r="F3" s="168"/>
      <c r="G3" s="168"/>
      <c r="H3" s="180"/>
    </row>
    <row r="4" spans="1:12" s="67" customFormat="1" x14ac:dyDescent="0.2">
      <c r="A4" s="178" t="s">
        <v>54</v>
      </c>
      <c r="B4" s="165"/>
      <c r="C4" s="166" t="s">
        <v>55</v>
      </c>
      <c r="D4" s="166"/>
      <c r="E4" s="166"/>
      <c r="F4" s="166"/>
      <c r="G4" s="166"/>
      <c r="H4" s="179"/>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202" t="s">
        <v>59</v>
      </c>
      <c r="B7" s="203"/>
      <c r="C7" s="204" t="s">
        <v>97</v>
      </c>
      <c r="D7" s="204"/>
      <c r="E7" s="204"/>
      <c r="F7" s="204"/>
      <c r="G7" s="204"/>
      <c r="H7" s="205"/>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123401.78</v>
      </c>
      <c r="K11" s="55"/>
      <c r="L11" s="56"/>
    </row>
    <row r="12" spans="1:12" x14ac:dyDescent="0.2">
      <c r="A12" s="66">
        <f>'FERC Interest Rates'!A20</f>
        <v>41608</v>
      </c>
      <c r="D12" s="2">
        <v>92494.35</v>
      </c>
      <c r="F12" s="2">
        <f t="shared" ref="F12:F13" si="0">ROUND(H11*VLOOKUP(A12,FERCINT13,2)/365*VLOOKUP(A12,FERCINT13,3),2)</f>
        <v>329.63</v>
      </c>
      <c r="H12" s="71">
        <f t="shared" ref="H12:H57" si="1">+SUM(D12:G12)+H11</f>
        <v>216225.76</v>
      </c>
      <c r="K12" s="55"/>
      <c r="L12" s="56"/>
    </row>
    <row r="13" spans="1:12" x14ac:dyDescent="0.2">
      <c r="A13" s="66">
        <f>'FERC Interest Rates'!A21</f>
        <v>41639</v>
      </c>
      <c r="D13" s="2">
        <v>71457.95</v>
      </c>
      <c r="F13" s="2">
        <f t="shared" si="0"/>
        <v>596.84</v>
      </c>
      <c r="H13" s="71">
        <f t="shared" si="1"/>
        <v>288280.55</v>
      </c>
      <c r="K13" s="55"/>
      <c r="L13" s="56"/>
    </row>
    <row r="14" spans="1:12" x14ac:dyDescent="0.2">
      <c r="A14" s="66">
        <f>'FERC Interest Rates'!A22</f>
        <v>41670</v>
      </c>
      <c r="D14" s="2">
        <v>24631.1</v>
      </c>
      <c r="F14" s="2">
        <f t="shared" ref="F14:F23" si="2">ROUND(H13*VLOOKUP(A14,FERCINT14,2)/365*VLOOKUP(A14,FERCINT14,3),2)</f>
        <v>795.73</v>
      </c>
      <c r="H14" s="71">
        <f t="shared" si="1"/>
        <v>313707.38</v>
      </c>
      <c r="K14" s="55"/>
      <c r="L14" s="56"/>
    </row>
    <row r="15" spans="1:12" x14ac:dyDescent="0.2">
      <c r="A15" s="66">
        <f>'FERC Interest Rates'!A23</f>
        <v>41698</v>
      </c>
      <c r="D15" s="2">
        <f>28783.35+26233.4</f>
        <v>55016.75</v>
      </c>
      <c r="F15" s="2">
        <f t="shared" si="2"/>
        <v>782.12</v>
      </c>
      <c r="H15" s="71">
        <f t="shared" si="1"/>
        <v>369506.25</v>
      </c>
      <c r="K15" s="55"/>
      <c r="L15" s="56"/>
    </row>
    <row r="16" spans="1:12" x14ac:dyDescent="0.2">
      <c r="A16" s="66">
        <f>'FERC Interest Rates'!A24</f>
        <v>41729</v>
      </c>
      <c r="D16" s="2">
        <f>29106+31118.65+3784.88+809.8+30132.6</f>
        <v>94951.93</v>
      </c>
      <c r="F16" s="2">
        <f t="shared" si="2"/>
        <v>1019.94</v>
      </c>
      <c r="H16" s="71">
        <f t="shared" si="1"/>
        <v>465478.12</v>
      </c>
      <c r="K16" s="55"/>
      <c r="L16" s="56"/>
    </row>
    <row r="17" spans="1:12" x14ac:dyDescent="0.2">
      <c r="A17" s="66">
        <f>'FERC Interest Rates'!A25</f>
        <v>41759</v>
      </c>
      <c r="D17" s="2">
        <v>49856.55</v>
      </c>
      <c r="F17" s="2">
        <f t="shared" si="2"/>
        <v>1243.4000000000001</v>
      </c>
      <c r="H17" s="71">
        <f t="shared" si="1"/>
        <v>516578.07</v>
      </c>
      <c r="K17" s="55"/>
      <c r="L17" s="56"/>
    </row>
    <row r="18" spans="1:12" x14ac:dyDescent="0.2">
      <c r="A18" s="66">
        <f>'FERC Interest Rates'!A26</f>
        <v>41790</v>
      </c>
      <c r="D18" s="2">
        <v>48539.6</v>
      </c>
      <c r="F18" s="2">
        <f t="shared" si="2"/>
        <v>1425.9</v>
      </c>
      <c r="H18" s="71">
        <f t="shared" si="1"/>
        <v>566543.57000000007</v>
      </c>
      <c r="K18" s="55"/>
      <c r="L18" s="56"/>
    </row>
    <row r="19" spans="1:12" x14ac:dyDescent="0.2">
      <c r="A19" s="66">
        <f>'FERC Interest Rates'!A27</f>
        <v>41820</v>
      </c>
      <c r="D19" s="2">
        <v>24694.05</v>
      </c>
      <c r="F19" s="2">
        <f t="shared" si="2"/>
        <v>1513.37</v>
      </c>
      <c r="H19" s="71">
        <f t="shared" si="1"/>
        <v>592750.99000000011</v>
      </c>
      <c r="K19" s="55"/>
      <c r="L19" s="56"/>
    </row>
    <row r="20" spans="1:12" x14ac:dyDescent="0.2">
      <c r="A20" s="66">
        <f>'FERC Interest Rates'!A28</f>
        <v>41851</v>
      </c>
      <c r="D20" s="2">
        <v>13413.5</v>
      </c>
      <c r="F20" s="2">
        <f t="shared" si="2"/>
        <v>1636.16</v>
      </c>
      <c r="H20" s="71">
        <f t="shared" si="1"/>
        <v>607800.65000000014</v>
      </c>
      <c r="K20" s="55"/>
      <c r="L20" s="56"/>
    </row>
    <row r="21" spans="1:12" x14ac:dyDescent="0.2">
      <c r="A21" s="66">
        <f>'FERC Interest Rates'!A29</f>
        <v>41882</v>
      </c>
      <c r="D21" s="2">
        <v>27540.36</v>
      </c>
      <c r="F21" s="2">
        <f t="shared" si="2"/>
        <v>1677.7</v>
      </c>
      <c r="H21" s="71">
        <f t="shared" si="1"/>
        <v>637018.7100000002</v>
      </c>
      <c r="K21" s="55"/>
      <c r="L21" s="56"/>
    </row>
    <row r="22" spans="1:12" x14ac:dyDescent="0.2">
      <c r="A22" s="66">
        <f>'FERC Interest Rates'!A30</f>
        <v>41912</v>
      </c>
      <c r="D22" s="2">
        <v>66107.7</v>
      </c>
      <c r="F22" s="2">
        <f t="shared" si="2"/>
        <v>1701.63</v>
      </c>
      <c r="H22" s="71">
        <f t="shared" si="1"/>
        <v>704828.04000000015</v>
      </c>
      <c r="K22" s="55"/>
      <c r="L22" s="56"/>
    </row>
    <row r="23" spans="1:12" x14ac:dyDescent="0.2">
      <c r="A23" s="66">
        <f>'FERC Interest Rates'!A31</f>
        <v>41943</v>
      </c>
      <c r="D23" s="2">
        <v>20456.349999999999</v>
      </c>
      <c r="F23" s="2">
        <f t="shared" si="2"/>
        <v>1945.52</v>
      </c>
      <c r="H23" s="71">
        <f t="shared" si="1"/>
        <v>727229.91000000015</v>
      </c>
      <c r="K23" s="55"/>
      <c r="L23" s="56"/>
    </row>
    <row r="24" spans="1:12" x14ac:dyDescent="0.2">
      <c r="A24" s="157" t="s">
        <v>89</v>
      </c>
      <c r="B24" s="157"/>
      <c r="C24" s="157"/>
      <c r="D24" s="157"/>
      <c r="E24" s="157"/>
      <c r="F24" s="157"/>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si="1"/>
        <v>634432.05000000016</v>
      </c>
      <c r="K37" s="55"/>
      <c r="L37" s="56"/>
    </row>
    <row r="38" spans="1:12" x14ac:dyDescent="0.2">
      <c r="A38" s="157" t="s">
        <v>90</v>
      </c>
      <c r="B38" s="157"/>
      <c r="C38" s="157"/>
      <c r="D38" s="157"/>
      <c r="E38" s="157"/>
      <c r="F38" s="157"/>
      <c r="G38" s="2">
        <v>-511862.34</v>
      </c>
      <c r="H38" s="71">
        <f t="shared" si="1"/>
        <v>122569.71000000014</v>
      </c>
      <c r="K38" s="55"/>
      <c r="L38" s="56"/>
    </row>
    <row r="39" spans="1:12" x14ac:dyDescent="0.2">
      <c r="A39" s="66">
        <f>'FERC Interest Rates'!A45</f>
        <v>42369</v>
      </c>
      <c r="D39" s="2">
        <v>22978.2</v>
      </c>
      <c r="F39" s="2">
        <f t="shared" si="4"/>
        <v>338.33</v>
      </c>
      <c r="H39" s="71">
        <f t="shared" si="1"/>
        <v>145886.24000000014</v>
      </c>
      <c r="K39" s="55"/>
      <c r="L39" s="56"/>
    </row>
    <row r="40" spans="1:12" x14ac:dyDescent="0.2">
      <c r="A40" s="66">
        <f>'FERC Interest Rates'!A46</f>
        <v>42400</v>
      </c>
      <c r="D40" s="2">
        <v>90067.05</v>
      </c>
      <c r="F40" s="2">
        <f t="shared" ref="F40:F52" si="5">ROUND(H39*VLOOKUP(A40,FERCINT16,2)/365*VLOOKUP(A40,FERCINT16,3),2)</f>
        <v>402.69</v>
      </c>
      <c r="H40" s="71">
        <f t="shared" si="1"/>
        <v>236355.98000000016</v>
      </c>
      <c r="K40" s="55"/>
      <c r="L40" s="56"/>
    </row>
    <row r="41" spans="1:12" x14ac:dyDescent="0.2">
      <c r="A41" s="66">
        <f>'FERC Interest Rates'!A47</f>
        <v>42429</v>
      </c>
      <c r="D41" s="2">
        <v>24303.35</v>
      </c>
      <c r="F41" s="2">
        <f t="shared" si="5"/>
        <v>610.32000000000005</v>
      </c>
      <c r="H41" s="71">
        <f t="shared" si="1"/>
        <v>261269.65000000014</v>
      </c>
      <c r="K41" s="55"/>
      <c r="L41" s="56"/>
    </row>
    <row r="42" spans="1:12" x14ac:dyDescent="0.2">
      <c r="A42" s="66">
        <f>'FERC Interest Rates'!A48</f>
        <v>42460</v>
      </c>
      <c r="D42" s="2">
        <v>33571.15</v>
      </c>
      <c r="F42" s="2">
        <f t="shared" si="5"/>
        <v>721.18</v>
      </c>
      <c r="H42" s="71">
        <f t="shared" si="1"/>
        <v>295561.98000000016</v>
      </c>
      <c r="K42" s="55"/>
      <c r="L42" s="56"/>
    </row>
    <row r="43" spans="1:12" x14ac:dyDescent="0.2">
      <c r="A43" s="66">
        <f>'FERC Interest Rates'!A49</f>
        <v>42490</v>
      </c>
      <c r="D43" s="2">
        <v>24642.5</v>
      </c>
      <c r="F43" s="2">
        <f t="shared" si="5"/>
        <v>840.53</v>
      </c>
      <c r="H43" s="71">
        <f t="shared" si="1"/>
        <v>321045.01000000013</v>
      </c>
      <c r="K43" s="55"/>
      <c r="L43" s="56"/>
    </row>
    <row r="44" spans="1:12" x14ac:dyDescent="0.2">
      <c r="A44" s="66">
        <f>'FERC Interest Rates'!A50</f>
        <v>42521</v>
      </c>
      <c r="D44" s="2">
        <v>20473.349999999999</v>
      </c>
      <c r="F44" s="2">
        <f t="shared" si="5"/>
        <v>943.43</v>
      </c>
      <c r="H44" s="71">
        <f t="shared" si="1"/>
        <v>342461.79000000015</v>
      </c>
      <c r="K44" s="55"/>
      <c r="L44" s="56"/>
    </row>
    <row r="45" spans="1:12" x14ac:dyDescent="0.2">
      <c r="A45" s="66">
        <f>'FERC Interest Rates'!A51</f>
        <v>42551</v>
      </c>
      <c r="D45" s="2">
        <v>73125.02</v>
      </c>
      <c r="F45" s="2">
        <f t="shared" si="5"/>
        <v>973.91</v>
      </c>
      <c r="H45" s="71">
        <f t="shared" si="1"/>
        <v>416560.72000000015</v>
      </c>
      <c r="K45" s="55"/>
      <c r="L45" s="56"/>
    </row>
    <row r="46" spans="1:12" x14ac:dyDescent="0.2">
      <c r="A46" s="66">
        <f>'FERC Interest Rates'!A52</f>
        <v>42582</v>
      </c>
      <c r="D46" s="2">
        <f>21555.92-1238.27</f>
        <v>20317.649999999998</v>
      </c>
      <c r="F46" s="2">
        <f t="shared" si="5"/>
        <v>1238.27</v>
      </c>
      <c r="H46" s="71">
        <f t="shared" si="1"/>
        <v>438116.64000000013</v>
      </c>
      <c r="K46" s="55"/>
      <c r="L46" s="56"/>
    </row>
    <row r="47" spans="1:12" x14ac:dyDescent="0.2">
      <c r="A47" s="66">
        <f>'FERC Interest Rates'!A53</f>
        <v>42613</v>
      </c>
      <c r="D47" s="2">
        <f>44092.2-1302.35</f>
        <v>42789.85</v>
      </c>
      <c r="F47" s="2">
        <f t="shared" si="5"/>
        <v>1302.3499999999999</v>
      </c>
      <c r="H47" s="71">
        <f t="shared" si="1"/>
        <v>482208.84000000014</v>
      </c>
      <c r="K47" s="55"/>
      <c r="L47" s="56"/>
    </row>
    <row r="48" spans="1:12" x14ac:dyDescent="0.2">
      <c r="A48" s="66">
        <f>'FERC Interest Rates'!A54</f>
        <v>42643</v>
      </c>
      <c r="D48" s="2">
        <f>43161.73-1387.18</f>
        <v>41774.550000000003</v>
      </c>
      <c r="F48" s="2">
        <f t="shared" si="5"/>
        <v>1387.18</v>
      </c>
      <c r="H48" s="71">
        <f t="shared" si="1"/>
        <v>525370.57000000018</v>
      </c>
      <c r="K48" s="55"/>
      <c r="L48" s="56"/>
    </row>
    <row r="49" spans="1:12" x14ac:dyDescent="0.2">
      <c r="A49" s="66">
        <f>'FERC Interest Rates'!A55</f>
        <v>42674</v>
      </c>
      <c r="D49" s="2">
        <f>47970.22-1561.72</f>
        <v>46408.5</v>
      </c>
      <c r="F49" s="2">
        <f t="shared" si="5"/>
        <v>1561.72</v>
      </c>
      <c r="H49" s="71">
        <f t="shared" si="1"/>
        <v>573340.79000000015</v>
      </c>
      <c r="K49" s="55"/>
      <c r="L49" s="56"/>
    </row>
    <row r="50" spans="1:12" x14ac:dyDescent="0.2">
      <c r="A50" s="157" t="s">
        <v>91</v>
      </c>
      <c r="B50" s="157"/>
      <c r="C50" s="157"/>
      <c r="D50" s="157"/>
      <c r="E50" s="157"/>
      <c r="F50" s="157"/>
      <c r="G50" s="2">
        <v>-441993.05</v>
      </c>
      <c r="H50" s="71">
        <f t="shared" si="1"/>
        <v>131347.74000000017</v>
      </c>
      <c r="K50" s="55"/>
      <c r="L50" s="56"/>
    </row>
    <row r="51" spans="1:12" x14ac:dyDescent="0.2">
      <c r="A51" s="66">
        <f>'FERC Interest Rates'!A56</f>
        <v>42704</v>
      </c>
      <c r="D51" s="2">
        <v>39639.699999999997</v>
      </c>
      <c r="F51" s="2">
        <f t="shared" si="5"/>
        <v>377.85</v>
      </c>
      <c r="H51" s="71">
        <f t="shared" si="1"/>
        <v>171365.29000000015</v>
      </c>
      <c r="K51" s="55"/>
      <c r="L51" s="56"/>
    </row>
    <row r="52" spans="1:12" x14ac:dyDescent="0.2">
      <c r="A52" s="66">
        <f>'FERC Interest Rates'!A57</f>
        <v>42735</v>
      </c>
      <c r="D52" s="2">
        <f>24154.85-509.4-377.85</f>
        <v>23267.599999999999</v>
      </c>
      <c r="F52" s="2">
        <f t="shared" si="5"/>
        <v>509.4</v>
      </c>
      <c r="H52" s="71">
        <f t="shared" si="1"/>
        <v>195142.29000000015</v>
      </c>
      <c r="K52" s="55"/>
      <c r="L52" s="56"/>
    </row>
    <row r="53" spans="1:12" x14ac:dyDescent="0.2">
      <c r="A53" s="66">
        <f>'FERC Interest Rates'!A58</f>
        <v>42766</v>
      </c>
      <c r="D53" s="2">
        <f>22372.88-580.08</f>
        <v>21792.799999999999</v>
      </c>
      <c r="F53" s="2">
        <f t="shared" ref="F53:F57" si="6">ROUND(H52*VLOOKUP(A53,FERCINT17,2)/365*VLOOKUP(A53,FERCINT17,3),2)</f>
        <v>580.08000000000004</v>
      </c>
      <c r="H53" s="71">
        <f t="shared" si="1"/>
        <v>217515.17000000016</v>
      </c>
      <c r="K53" s="55"/>
      <c r="L53" s="56"/>
    </row>
    <row r="54" spans="1:12" x14ac:dyDescent="0.2">
      <c r="A54" s="66">
        <f>'FERC Interest Rates'!A59</f>
        <v>42794</v>
      </c>
      <c r="D54" s="2">
        <f>61654.31-584.01</f>
        <v>61070.299999999996</v>
      </c>
      <c r="F54" s="2">
        <f t="shared" si="6"/>
        <v>584.01</v>
      </c>
      <c r="H54" s="71">
        <f t="shared" si="1"/>
        <v>279169.48000000016</v>
      </c>
      <c r="K54" s="55"/>
      <c r="L54" s="56"/>
    </row>
    <row r="55" spans="1:12" x14ac:dyDescent="0.2">
      <c r="A55" s="66">
        <f>'FERC Interest Rates'!A60</f>
        <v>42825</v>
      </c>
      <c r="D55" s="2">
        <v>73979.3</v>
      </c>
      <c r="F55" s="2">
        <f t="shared" si="6"/>
        <v>829.86</v>
      </c>
      <c r="H55" s="71">
        <f t="shared" si="1"/>
        <v>353978.64000000013</v>
      </c>
      <c r="K55" s="55"/>
      <c r="L55" s="56"/>
    </row>
    <row r="56" spans="1:12" x14ac:dyDescent="0.2">
      <c r="A56" s="66">
        <f>'FERC Interest Rates'!A61</f>
        <v>42855</v>
      </c>
      <c r="D56" s="2">
        <f>53972.34-1079.39-500</f>
        <v>52392.95</v>
      </c>
      <c r="F56" s="2">
        <f t="shared" si="6"/>
        <v>1079.3900000000001</v>
      </c>
      <c r="H56" s="71">
        <f t="shared" si="1"/>
        <v>407450.9800000001</v>
      </c>
      <c r="K56" s="55"/>
      <c r="L56" s="56"/>
    </row>
    <row r="57" spans="1:12" x14ac:dyDescent="0.2">
      <c r="A57" s="66">
        <f>'FERC Interest Rates'!A62</f>
        <v>42886</v>
      </c>
      <c r="D57" s="2">
        <f>102558.31-1283.86</f>
        <v>101274.45</v>
      </c>
      <c r="F57" s="2">
        <f t="shared" si="6"/>
        <v>1283.8599999999999</v>
      </c>
      <c r="H57" s="71">
        <f t="shared" si="1"/>
        <v>510009.2900000001</v>
      </c>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7D4CE78CA699146BC5E42DCE83FE727" ma:contentTypeVersion="92" ma:contentTypeDescription="" ma:contentTypeScope="" ma:versionID="bbb99386fa4de0c9667a58b4b1fb4d3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2017-06-15T07:00:00+00:00</OpenedDate>
    <Date1 xmlns="dc463f71-b30c-4ab2-9473-d307f9d35888">2017-06-15T07:00:00+00:00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170716</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CA3DD13-62F1-4DAF-8D39-860CD69F22F3}"/>
</file>

<file path=customXml/itemProps2.xml><?xml version="1.0" encoding="utf-8"?>
<ds:datastoreItem xmlns:ds="http://schemas.openxmlformats.org/officeDocument/2006/customXml" ds:itemID="{14A8333F-C4FA-436A-B813-5559DA0A0D8A}">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6a7bd91e-004b-490a-8704-e368d63d59a0"/>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F3C4A4F-336C-4EAA-ACB8-2DC413D26A63}">
  <ds:schemaRefs>
    <ds:schemaRef ds:uri="http://schemas.microsoft.com/sharepoint/v3/contenttype/forms"/>
  </ds:schemaRefs>
</ds:datastoreItem>
</file>

<file path=customXml/itemProps4.xml><?xml version="1.0" encoding="utf-8"?>
<ds:datastoreItem xmlns:ds="http://schemas.openxmlformats.org/officeDocument/2006/customXml" ds:itemID="{661CF40B-AA31-4585-B1F2-40A9434FD9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2017-06-12T18:22:07Z</cp:lastPrinted>
  <dcterms:created xsi:type="dcterms:W3CDTF">2017-06-12T18:16:05Z</dcterms:created>
  <dcterms:modified xsi:type="dcterms:W3CDTF">2017-06-15T22:15:19Z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0x0101006E56B4D1795A2E4DB2F0B01679ED314A00B7D4CE78CA699146BC5E42DCE83FE727</vt:lpwstr>
  </property>
  <property fmtid="{D5CDD505-2E9C-101B-9397-08002B2CF9AE}" pid="3" name="_docset_NoMedatataSyncRequired">
    <vt:lpwstr>False</vt:lpwstr>
  </property>
  <property fmtid="{D5CDD505-2E9C-101B-9397-08002B2CF9AE}" pid="4" name="IsEFSEC">
    <vt:bool>false</vt:bool>
  </property>
</Properties>
</file>