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.xml" ContentType="application/vnd.openxmlformats-officedocument.spreadsheetml.comments+xml"/>
  <Override PartName="/xl/comments10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volatileDependencies.xml" ContentType="application/vnd.openxmlformats-officedocument.spreadsheetml.volatileDependencies+xml"/>
  <Override PartName="/xl/comments1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xl/comments16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0" windowWidth="9720" windowHeight="7005" tabRatio="772" firstSheet="1" activeTab="14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" sheetId="16" r:id="rId15"/>
    <sheet name="ID - Def-Amtz " sheetId="17" r:id="rId16"/>
    <sheet name="PGA Graphs 2013-14" sheetId="30" state="hidden" r:id="rId17"/>
    <sheet name="01 WA - Def-Amtz" sheetId="33" r:id="rId18"/>
    <sheet name="01 ID - Def-Amtz" sheetId="32" r:id="rId19"/>
    <sheet name="Deferral Graphs 2015-16 " sheetId="15" r:id="rId20"/>
    <sheet name="ID Amort 191015" sheetId="14" state="hidden" r:id="rId21"/>
    <sheet name="ID Amort 191000" sheetId="7" state="hidden" r:id="rId22"/>
    <sheet name="WA Def 191010" sheetId="3" state="hidden" r:id="rId23"/>
    <sheet name="ID Def 191010" sheetId="6" state="hidden" r:id="rId24"/>
    <sheet name="ID Holdback 191015" sheetId="12" state="hidden" r:id="rId25"/>
    <sheet name="Amortization of JP Deferral" sheetId="9" state="hidden" r:id="rId26"/>
    <sheet name="WA Amort 191000" sheetId="10" state="hidden" r:id="rId27"/>
    <sheet name="Sheet1" sheetId="31" r:id="rId28"/>
  </sheets>
  <definedNames>
    <definedName name="_xlnm.Print_Area" localSheetId="18">'01 ID - Def-Amtz'!$A$1:$AY$85</definedName>
    <definedName name="_xlnm.Print_Area" localSheetId="17">'01 WA - Def-Amtz'!$A$2:$AZ$84</definedName>
    <definedName name="_xlnm.Print_Area" localSheetId="25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19">'Deferral Graphs 2015-16 '!$P$2:$X$53</definedName>
    <definedName name="_xlnm.Print_Area" localSheetId="3">Feb!$A$1:$M$68</definedName>
    <definedName name="_xlnm.Print_Area" localSheetId="15">'ID - Def-Amtz '!$A$1:$AY$85</definedName>
    <definedName name="_xlnm.Print_Area" localSheetId="21">'ID Amort 191000'!$A$1:$J$300</definedName>
    <definedName name="_xlnm.Print_Area" localSheetId="20">'ID Amort 191015'!$A$1:$J$63</definedName>
    <definedName name="_xlnm.Print_Area" localSheetId="23">'ID Def 191010'!$A$1:$T$180</definedName>
    <definedName name="_xlnm.Print_Area" localSheetId="24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6">'PGA Graphs 2013-14'!$A$1:$N$66</definedName>
    <definedName name="_xlnm.Print_Area" localSheetId="10">Sep!$A$1:$M$68</definedName>
    <definedName name="_xlnm.Print_Area" localSheetId="27">Sheet1!$A$1:$T$12</definedName>
    <definedName name="_xlnm.Print_Area" localSheetId="14">'WA - Def-Amtz'!$A$1:$AY$84</definedName>
    <definedName name="_xlnm.Print_Area" localSheetId="26">'WA Amort 191000'!$A$1:$J$310</definedName>
    <definedName name="_xlnm.Print_Area" localSheetId="22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23">'ID Def 191010'!$1:$7</definedName>
    <definedName name="_xlnm.Print_Titles" localSheetId="24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22">'WA Def 191010'!$1:$5</definedName>
  </definedNames>
  <calcPr calcId="152511"/>
</workbook>
</file>

<file path=xl/calcChain.xml><?xml version="1.0" encoding="utf-8"?>
<calcChain xmlns="http://schemas.openxmlformats.org/spreadsheetml/2006/main">
  <c r="C44" i="19" l="1"/>
  <c r="C5" i="19" l="1"/>
  <c r="L55" i="21" l="1"/>
  <c r="L53" i="21"/>
  <c r="L52" i="21"/>
  <c r="AX76" i="17"/>
  <c r="AY77" i="17"/>
  <c r="AH23" i="16"/>
  <c r="G38" i="26"/>
  <c r="G38" i="25"/>
  <c r="G38" i="24"/>
  <c r="G38" i="22"/>
  <c r="G38" i="23"/>
  <c r="G38" i="20"/>
  <c r="G38" i="21"/>
  <c r="G38" i="19"/>
  <c r="C53" i="19" l="1"/>
  <c r="C9" i="19"/>
  <c r="C15" i="19"/>
  <c r="C12" i="19"/>
  <c r="C18" i="19"/>
  <c r="C21" i="19"/>
  <c r="C6" i="19"/>
  <c r="AH58" i="17" l="1"/>
  <c r="AH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AX75" i="17" l="1"/>
  <c r="G38" i="5"/>
  <c r="C53" i="5"/>
  <c r="C44" i="5"/>
  <c r="C5" i="5"/>
  <c r="C9" i="5"/>
  <c r="C6" i="5"/>
  <c r="C15" i="5"/>
  <c r="C12" i="5"/>
  <c r="C18" i="5"/>
  <c r="C21" i="5"/>
  <c r="AG58" i="17" l="1"/>
  <c r="AK43" i="17"/>
  <c r="AL43" i="17"/>
  <c r="AM43" i="17"/>
  <c r="AN43" i="17"/>
  <c r="AO43" i="17"/>
  <c r="AP43" i="17"/>
  <c r="AQ43" i="17"/>
  <c r="AR43" i="17"/>
  <c r="AG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G80" i="17"/>
  <c r="AP28" i="16" l="1"/>
  <c r="AR28" i="16"/>
  <c r="AR45" i="16"/>
  <c r="AQ45" i="16"/>
  <c r="AP45" i="16"/>
  <c r="AH73" i="17"/>
  <c r="AI63" i="17"/>
  <c r="AJ63" i="17" s="1"/>
  <c r="AK63" i="17" s="1"/>
  <c r="AL63" i="17" s="1"/>
  <c r="AM63" i="17" s="1"/>
  <c r="AN63" i="17" s="1"/>
  <c r="AO63" i="17" s="1"/>
  <c r="AP63" i="17" s="1"/>
  <c r="AQ63" i="17" s="1"/>
  <c r="AR63" i="17" s="1"/>
  <c r="AH63" i="17"/>
  <c r="AI60" i="17"/>
  <c r="AJ60" i="17"/>
  <c r="AK60" i="17"/>
  <c r="AL60" i="17"/>
  <c r="AM60" i="17"/>
  <c r="AN60" i="17"/>
  <c r="AO60" i="17"/>
  <c r="AQ60" i="17"/>
  <c r="AR60" i="17"/>
  <c r="AH51" i="17"/>
  <c r="AI51" i="17" s="1"/>
  <c r="AJ51" i="17" s="1"/>
  <c r="AK51" i="17" s="1"/>
  <c r="AL51" i="17" s="1"/>
  <c r="AM51" i="17" s="1"/>
  <c r="AN51" i="17" s="1"/>
  <c r="AO51" i="17" s="1"/>
  <c r="AP51" i="17" s="1"/>
  <c r="AQ51" i="17" s="1"/>
  <c r="AR51" i="17" s="1"/>
  <c r="AG48" i="17"/>
  <c r="AH80" i="17"/>
  <c r="AI73" i="17" l="1"/>
  <c r="AI43" i="17"/>
  <c r="AJ43" i="17"/>
  <c r="AH40" i="17"/>
  <c r="AI30" i="17"/>
  <c r="AJ30" i="17" s="1"/>
  <c r="AK30" i="17" s="1"/>
  <c r="AL30" i="17" s="1"/>
  <c r="AM30" i="17" s="1"/>
  <c r="AN30" i="17" s="1"/>
  <c r="AO30" i="17" s="1"/>
  <c r="AP30" i="17" s="1"/>
  <c r="AQ30" i="17" s="1"/>
  <c r="AR30" i="17" s="1"/>
  <c r="AH30" i="17"/>
  <c r="AI27" i="17"/>
  <c r="AJ27" i="17"/>
  <c r="AK27" i="17"/>
  <c r="AL27" i="17"/>
  <c r="AM27" i="17"/>
  <c r="AN27" i="17"/>
  <c r="AO27" i="17"/>
  <c r="AP27" i="17"/>
  <c r="AQ27" i="17"/>
  <c r="AR27" i="17"/>
  <c r="AH18" i="17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C45" i="17"/>
  <c r="C46" i="17"/>
  <c r="AG14" i="17"/>
  <c r="AH48" i="17"/>
  <c r="AI80" i="17"/>
  <c r="AI40" i="17" l="1"/>
  <c r="AJ73" i="17"/>
  <c r="D21" i="17"/>
  <c r="D22" i="17"/>
  <c r="D23" i="17"/>
  <c r="C21" i="17"/>
  <c r="C22" i="17"/>
  <c r="C23" i="17"/>
  <c r="C24" i="17"/>
  <c r="C9" i="17"/>
  <c r="C10" i="17"/>
  <c r="C11" i="17"/>
  <c r="C12" i="17"/>
  <c r="AH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I48" i="17"/>
  <c r="AG83" i="16"/>
  <c r="AJ80" i="17"/>
  <c r="AH14" i="17"/>
  <c r="AI3" i="17" l="1"/>
  <c r="AK73" i="17"/>
  <c r="AJ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I14" i="17"/>
  <c r="AG50" i="16"/>
  <c r="AK80" i="17"/>
  <c r="AH83" i="16"/>
  <c r="AJ48" i="17"/>
  <c r="AK40" i="17" l="1"/>
  <c r="AI78" i="16"/>
  <c r="AL73" i="17"/>
  <c r="AJ3" i="17"/>
  <c r="C20" i="16"/>
  <c r="C23" i="16"/>
  <c r="C24" i="16"/>
  <c r="C26" i="16"/>
  <c r="AH42" i="16"/>
  <c r="AI31" i="16"/>
  <c r="AJ31" i="16"/>
  <c r="AK31" i="16" s="1"/>
  <c r="AL31" i="16" s="1"/>
  <c r="AM31" i="16" s="1"/>
  <c r="AN31" i="16" s="1"/>
  <c r="AO31" i="16" s="1"/>
  <c r="AP31" i="16" s="1"/>
  <c r="AQ31" i="16" s="1"/>
  <c r="AR31" i="16" s="1"/>
  <c r="AH31" i="16"/>
  <c r="AG19" i="16"/>
  <c r="AI18" i="16"/>
  <c r="AJ18" i="16"/>
  <c r="AK18" i="16" s="1"/>
  <c r="AL18" i="16" s="1"/>
  <c r="AM18" i="16" s="1"/>
  <c r="AN18" i="16" s="1"/>
  <c r="AO18" i="16" s="1"/>
  <c r="AP18" i="16" s="1"/>
  <c r="AQ18" i="16" s="1"/>
  <c r="AR18" i="16" s="1"/>
  <c r="AH18" i="16"/>
  <c r="AH50" i="16"/>
  <c r="AJ14" i="17"/>
  <c r="AI83" i="16"/>
  <c r="AL80" i="17"/>
  <c r="AK48" i="17"/>
  <c r="AG14" i="16"/>
  <c r="AG28" i="16" l="1"/>
  <c r="AJ78" i="16"/>
  <c r="AK3" i="17"/>
  <c r="AM73" i="17"/>
  <c r="AI42" i="16"/>
  <c r="AL40" i="17"/>
  <c r="C19" i="16"/>
  <c r="C25" i="16"/>
  <c r="C21" i="16"/>
  <c r="C12" i="16"/>
  <c r="C11" i="16"/>
  <c r="C10" i="16"/>
  <c r="C9" i="16"/>
  <c r="AH3" i="16"/>
  <c r="AF12" i="16"/>
  <c r="AL48" i="17"/>
  <c r="AJ83" i="16"/>
  <c r="AH14" i="16"/>
  <c r="AK14" i="17"/>
  <c r="AM80" i="17"/>
  <c r="AI50" i="16"/>
  <c r="AK78" i="16" l="1"/>
  <c r="AJ42" i="16"/>
  <c r="AI3" i="16"/>
  <c r="AL3" i="17"/>
  <c r="AM40" i="17"/>
  <c r="AN73" i="17"/>
  <c r="AN80" i="17"/>
  <c r="AM48" i="17"/>
  <c r="AL14" i="17"/>
  <c r="AI14" i="16"/>
  <c r="AJ50" i="16"/>
  <c r="AK83" i="16"/>
  <c r="AM3" i="17" l="1"/>
  <c r="AJ3" i="16"/>
  <c r="AO73" i="17"/>
  <c r="AK42" i="16"/>
  <c r="AN40" i="17"/>
  <c r="AL78" i="16"/>
  <c r="AK50" i="16"/>
  <c r="AM14" i="17"/>
  <c r="AO80" i="17"/>
  <c r="AN48" i="17"/>
  <c r="AJ14" i="16"/>
  <c r="AL83" i="16"/>
  <c r="AM78" i="16" l="1"/>
  <c r="AL42" i="16"/>
  <c r="AP73" i="17"/>
  <c r="AK3" i="16"/>
  <c r="AO40" i="17"/>
  <c r="AN3" i="17"/>
  <c r="AO48" i="17"/>
  <c r="AN14" i="17"/>
  <c r="AL50" i="16"/>
  <c r="AK14" i="16"/>
  <c r="AP80" i="17"/>
  <c r="AM83" i="16"/>
  <c r="AO3" i="17" l="1"/>
  <c r="AM42" i="16"/>
  <c r="AL3" i="16"/>
  <c r="AQ73" i="17"/>
  <c r="AP40" i="17"/>
  <c r="AN78" i="16"/>
  <c r="AP48" i="17"/>
  <c r="AO14" i="17"/>
  <c r="AN83" i="16"/>
  <c r="AL14" i="16"/>
  <c r="AQ80" i="17"/>
  <c r="AM50" i="16"/>
  <c r="AR73" i="17" l="1"/>
  <c r="AM3" i="16"/>
  <c r="AO78" i="16"/>
  <c r="AN42" i="16"/>
  <c r="AQ40" i="17"/>
  <c r="AP3" i="17"/>
  <c r="C53" i="29"/>
  <c r="C15" i="29"/>
  <c r="C12" i="29"/>
  <c r="C5" i="29"/>
  <c r="C21" i="29"/>
  <c r="C6" i="29"/>
  <c r="AF56" i="16"/>
  <c r="D56" i="16" s="1"/>
  <c r="AF20" i="16"/>
  <c r="D20" i="16" s="1"/>
  <c r="AN50" i="16"/>
  <c r="AM14" i="16"/>
  <c r="AP14" i="17"/>
  <c r="AQ48" i="17"/>
  <c r="AR80" i="17"/>
  <c r="AO83" i="16"/>
  <c r="AO42" i="16" l="1"/>
  <c r="AP78" i="16"/>
  <c r="AQ3" i="17"/>
  <c r="AN3" i="16"/>
  <c r="AR40" i="17"/>
  <c r="AO50" i="16"/>
  <c r="AN14" i="16"/>
  <c r="AQ14" i="17"/>
  <c r="AR48" i="17"/>
  <c r="AP83" i="16"/>
  <c r="AR3" i="17" l="1"/>
  <c r="AQ78" i="16"/>
  <c r="AO3" i="16"/>
  <c r="AP42" i="16"/>
  <c r="M27" i="29"/>
  <c r="AR14" i="17"/>
  <c r="AO14" i="16"/>
  <c r="AQ83" i="16"/>
  <c r="AP50" i="16"/>
  <c r="AQ42" i="16" l="1"/>
  <c r="AP3" i="16"/>
  <c r="AR78" i="16"/>
  <c r="G38" i="29"/>
  <c r="AR83" i="16"/>
  <c r="AP14" i="16"/>
  <c r="AQ50" i="16"/>
  <c r="AQ3" i="16" l="1"/>
  <c r="AR42" i="16"/>
  <c r="C44" i="29"/>
  <c r="C31" i="29"/>
  <c r="C9" i="29"/>
  <c r="C18" i="29"/>
  <c r="AR50" i="16"/>
  <c r="AQ14" i="16"/>
  <c r="AR3" i="16" l="1"/>
  <c r="AR14" i="16"/>
  <c r="G38" i="28" l="1"/>
  <c r="C6" i="28" l="1"/>
  <c r="C53" i="28"/>
  <c r="C44" i="28"/>
  <c r="C5" i="28"/>
  <c r="C33" i="28" s="1"/>
  <c r="C52" i="28" s="1"/>
  <c r="C15" i="28"/>
  <c r="C12" i="28"/>
  <c r="C18" i="28"/>
  <c r="C21" i="28"/>
  <c r="AY47" i="17"/>
  <c r="D29" i="16" l="1"/>
  <c r="G33" i="27" l="1"/>
  <c r="G38" i="27"/>
  <c r="C53" i="27" l="1"/>
  <c r="C44" i="27"/>
  <c r="C6" i="27"/>
  <c r="C5" i="27"/>
  <c r="C21" i="27"/>
  <c r="C18" i="27"/>
  <c r="C15" i="27"/>
  <c r="C12" i="27"/>
  <c r="C4" i="27" l="1"/>
  <c r="I38" i="27" l="1"/>
  <c r="I24" i="27"/>
  <c r="C44" i="26" l="1"/>
  <c r="C15" i="26"/>
  <c r="C12" i="26"/>
  <c r="C18" i="26"/>
  <c r="C6" i="26"/>
  <c r="C4" i="26"/>
  <c r="C53" i="25" l="1"/>
  <c r="C44" i="25"/>
  <c r="C9" i="25"/>
  <c r="C15" i="25"/>
  <c r="C12" i="25"/>
  <c r="C18" i="25"/>
  <c r="C6" i="25"/>
  <c r="C4" i="25"/>
  <c r="C53" i="24" l="1"/>
  <c r="C44" i="24"/>
  <c r="C9" i="24"/>
  <c r="C33" i="24" s="1"/>
  <c r="C52" i="24" s="1"/>
  <c r="C15" i="24"/>
  <c r="C12" i="24"/>
  <c r="C18" i="24"/>
  <c r="C6" i="24"/>
  <c r="C44" i="22" l="1"/>
  <c r="C9" i="22"/>
  <c r="C5" i="22"/>
  <c r="C18" i="22"/>
  <c r="C15" i="22"/>
  <c r="C12" i="22"/>
  <c r="C8" i="22"/>
  <c r="C6" i="22"/>
  <c r="C4" i="22"/>
  <c r="C53" i="23" l="1"/>
  <c r="C44" i="23"/>
  <c r="C5" i="23"/>
  <c r="C18" i="23"/>
  <c r="C15" i="23"/>
  <c r="C12" i="23"/>
  <c r="C8" i="23"/>
  <c r="C6" i="23"/>
  <c r="C4" i="23"/>
  <c r="C53" i="20" l="1"/>
  <c r="C44" i="20"/>
  <c r="C5" i="20"/>
  <c r="C9" i="20"/>
  <c r="C15" i="20"/>
  <c r="C12" i="20"/>
  <c r="C18" i="20"/>
  <c r="C6" i="20"/>
  <c r="S13" i="17"/>
  <c r="T5" i="17" s="1"/>
  <c r="T13" i="17" s="1"/>
  <c r="T46" i="17"/>
  <c r="S14" i="17"/>
  <c r="T14" i="17"/>
  <c r="T15" i="17" l="1"/>
  <c r="S15" i="17"/>
  <c r="S48" i="17"/>
  <c r="T48" i="17"/>
  <c r="S44" i="17" l="1"/>
  <c r="S47" i="17" s="1"/>
  <c r="T42" i="17" s="1"/>
  <c r="S49" i="17" l="1"/>
  <c r="D61" i="17" l="1"/>
  <c r="D65" i="16"/>
  <c r="C44" i="21" l="1"/>
  <c r="C18" i="21"/>
  <c r="C15" i="21"/>
  <c r="C12" i="21"/>
  <c r="C8" i="21"/>
  <c r="C6" i="21"/>
  <c r="C5" i="21"/>
  <c r="C15" i="15" l="1"/>
  <c r="D15" i="15" s="1"/>
  <c r="C14" i="15"/>
  <c r="D14" i="15" s="1"/>
  <c r="C9" i="15"/>
  <c r="D9" i="15" s="1"/>
  <c r="C8" i="15"/>
  <c r="D8" i="15" s="1"/>
  <c r="T47" i="17" l="1"/>
  <c r="T49" i="17" l="1"/>
  <c r="U48" i="17"/>
  <c r="U76" i="17" l="1"/>
  <c r="D76" i="17" s="1"/>
  <c r="C33" i="5" l="1"/>
  <c r="C52" i="5" s="1"/>
  <c r="C78" i="17" l="1"/>
  <c r="C61" i="17"/>
  <c r="C56" i="17"/>
  <c r="C57" i="17"/>
  <c r="C28" i="17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U60" i="17"/>
  <c r="AF58" i="17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W80" i="17"/>
  <c r="V80" i="17"/>
  <c r="X80" i="17"/>
  <c r="D58" i="17" l="1"/>
  <c r="C58" i="17"/>
  <c r="Y73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D24" i="17" s="1"/>
  <c r="AA24" i="17"/>
  <c r="W18" i="17"/>
  <c r="X18" i="17" s="1"/>
  <c r="Y18" i="17" s="1"/>
  <c r="Z18" i="17" s="1"/>
  <c r="AA18" i="17" s="1"/>
  <c r="AB18" i="17" s="1"/>
  <c r="AC18" i="17" s="1"/>
  <c r="AD18" i="17" s="1"/>
  <c r="AE18" i="17" s="1"/>
  <c r="AF18" i="17" s="1"/>
  <c r="V18" i="17"/>
  <c r="Y80" i="17"/>
  <c r="V48" i="17"/>
  <c r="U14" i="17"/>
  <c r="W40" i="17" l="1"/>
  <c r="Z73" i="17"/>
  <c r="X40" i="17"/>
  <c r="V3" i="17"/>
  <c r="Z80" i="17"/>
  <c r="W48" i="17"/>
  <c r="X48" i="17"/>
  <c r="V14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X54" i="16"/>
  <c r="Y54" i="16" s="1"/>
  <c r="Z54" i="16" s="1"/>
  <c r="AA54" i="16" s="1"/>
  <c r="AB54" i="16" s="1"/>
  <c r="AC54" i="16" s="1"/>
  <c r="AD54" i="16" s="1"/>
  <c r="AE54" i="16" s="1"/>
  <c r="AF54" i="16" s="1"/>
  <c r="W54" i="16"/>
  <c r="V54" i="16"/>
  <c r="Y48" i="17"/>
  <c r="V83" i="16"/>
  <c r="AA80" i="17"/>
  <c r="W14" i="17"/>
  <c r="X3" i="17" l="1"/>
  <c r="AC64" i="16"/>
  <c r="Y64" i="16"/>
  <c r="X64" i="16"/>
  <c r="AB64" i="16"/>
  <c r="AF64" i="16"/>
  <c r="AE64" i="16"/>
  <c r="AD64" i="16"/>
  <c r="AA64" i="16"/>
  <c r="Z64" i="16"/>
  <c r="W64" i="16"/>
  <c r="V64" i="16"/>
  <c r="Z40" i="17"/>
  <c r="Y3" i="17"/>
  <c r="AB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W83" i="16"/>
  <c r="V50" i="16"/>
  <c r="Z48" i="17"/>
  <c r="AB80" i="17"/>
  <c r="Y14" i="17"/>
  <c r="X14" i="17"/>
  <c r="W42" i="16" l="1"/>
  <c r="D64" i="16"/>
  <c r="AF28" i="16"/>
  <c r="V28" i="16"/>
  <c r="Z28" i="16"/>
  <c r="AE28" i="16"/>
  <c r="AD28" i="16"/>
  <c r="AC28" i="16"/>
  <c r="AA28" i="16"/>
  <c r="W28" i="16"/>
  <c r="AA40" i="17"/>
  <c r="Z3" i="17"/>
  <c r="AC73" i="17"/>
  <c r="X78" i="16"/>
  <c r="Y28" i="16"/>
  <c r="X28" i="16"/>
  <c r="AB28" i="16"/>
  <c r="X42" i="16"/>
  <c r="V3" i="16"/>
  <c r="AY46" i="16"/>
  <c r="W50" i="16"/>
  <c r="X83" i="16"/>
  <c r="V14" i="16"/>
  <c r="AA48" i="17"/>
  <c r="X50" i="16"/>
  <c r="Z14" i="17"/>
  <c r="AC80" i="17"/>
  <c r="W3" i="16" l="1"/>
  <c r="D28" i="16"/>
  <c r="AB40" i="17"/>
  <c r="AA3" i="17"/>
  <c r="AD73" i="17"/>
  <c r="Y78" i="16"/>
  <c r="Y42" i="16"/>
  <c r="AB48" i="17"/>
  <c r="Y50" i="16"/>
  <c r="Y83" i="16"/>
  <c r="AA14" i="17"/>
  <c r="W14" i="16"/>
  <c r="AD80" i="17"/>
  <c r="X3" i="16" l="1"/>
  <c r="AC40" i="17"/>
  <c r="AB3" i="17"/>
  <c r="AE73" i="17"/>
  <c r="Z42" i="16"/>
  <c r="Z78" i="16"/>
  <c r="AC48" i="17"/>
  <c r="AE80" i="17"/>
  <c r="X14" i="16"/>
  <c r="AB14" i="17"/>
  <c r="Z50" i="16"/>
  <c r="Z83" i="16"/>
  <c r="Y3" i="16" l="1"/>
  <c r="AD40" i="17"/>
  <c r="AC3" i="17"/>
  <c r="AF73" i="17"/>
  <c r="AA42" i="16"/>
  <c r="AA78" i="16"/>
  <c r="Z3" i="16"/>
  <c r="AT10" i="17"/>
  <c r="AX46" i="16"/>
  <c r="AV45" i="16"/>
  <c r="AW45" i="16"/>
  <c r="AV46" i="16"/>
  <c r="AW46" i="16"/>
  <c r="AU46" i="16"/>
  <c r="AU45" i="16"/>
  <c r="AT46" i="16"/>
  <c r="AW47" i="17"/>
  <c r="AV47" i="17"/>
  <c r="AU47" i="17"/>
  <c r="AW46" i="17"/>
  <c r="AV46" i="17"/>
  <c r="AU46" i="17"/>
  <c r="AT47" i="17"/>
  <c r="Y14" i="16"/>
  <c r="AF80" i="17"/>
  <c r="AA50" i="16"/>
  <c r="AD48" i="17"/>
  <c r="AC14" i="17"/>
  <c r="AA83" i="16"/>
  <c r="Z14" i="16"/>
  <c r="AE40" i="17" l="1"/>
  <c r="AD3" i="17"/>
  <c r="AB42" i="16"/>
  <c r="AB78" i="16"/>
  <c r="AA3" i="16"/>
  <c r="AY10" i="17"/>
  <c r="AW10" i="17"/>
  <c r="AV10" i="17"/>
  <c r="AU10" i="17"/>
  <c r="AW10" i="16"/>
  <c r="AV10" i="16"/>
  <c r="AU10" i="16"/>
  <c r="AT10" i="16"/>
  <c r="AB50" i="16"/>
  <c r="AD14" i="17"/>
  <c r="AA14" i="16"/>
  <c r="AB83" i="16"/>
  <c r="AE48" i="17"/>
  <c r="AF40" i="17" l="1"/>
  <c r="AE3" i="17"/>
  <c r="AC42" i="16"/>
  <c r="AC78" i="16"/>
  <c r="AB3" i="16"/>
  <c r="C12" i="31"/>
  <c r="B12" i="31"/>
  <c r="C5" i="31"/>
  <c r="B5" i="31"/>
  <c r="AE14" i="17"/>
  <c r="AC50" i="16"/>
  <c r="AF48" i="17"/>
  <c r="AB14" i="16"/>
  <c r="AC83" i="16"/>
  <c r="AF3" i="17" l="1"/>
  <c r="AD42" i="16"/>
  <c r="AD78" i="16"/>
  <c r="AC3" i="16"/>
  <c r="AS49" i="17"/>
  <c r="AD50" i="16"/>
  <c r="AD83" i="16"/>
  <c r="AC14" i="16"/>
  <c r="AF14" i="17"/>
  <c r="AE42" i="16" l="1"/>
  <c r="AE78" i="16"/>
  <c r="AD3" i="16"/>
  <c r="AE83" i="16"/>
  <c r="AE50" i="16"/>
  <c r="AD14" i="16"/>
  <c r="AF42" i="16" l="1"/>
  <c r="AF78" i="16"/>
  <c r="AE3" i="16"/>
  <c r="AF83" i="16"/>
  <c r="AE14" i="16"/>
  <c r="AF50" i="16"/>
  <c r="AF3" i="16" l="1"/>
  <c r="C33" i="27"/>
  <c r="C52" i="27" s="1"/>
  <c r="AF14" i="16"/>
  <c r="B12" i="30" l="1"/>
  <c r="B9" i="30"/>
  <c r="C162" i="6"/>
  <c r="C129" i="3"/>
  <c r="E14" i="17"/>
  <c r="E83" i="16"/>
  <c r="E48" i="17"/>
  <c r="E14" i="16"/>
  <c r="E50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T74" i="17"/>
  <c r="AT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33" i="22"/>
  <c r="C52" i="22" s="1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AS58" i="17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4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M39" i="25" s="1"/>
  <c r="G41" i="25"/>
  <c r="I41" i="25" s="1"/>
  <c r="K38" i="25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J5" i="25"/>
  <c r="C1484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G41" i="24"/>
  <c r="I41" i="24" s="1"/>
  <c r="K38" i="24"/>
  <c r="G40" i="24"/>
  <c r="I40" i="24" s="1"/>
  <c r="K37" i="24"/>
  <c r="G39" i="24"/>
  <c r="I39" i="24" s="1"/>
  <c r="K36" i="24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M40" i="22" s="1"/>
  <c r="G42" i="22"/>
  <c r="I42" i="22" s="1"/>
  <c r="K39" i="22"/>
  <c r="G41" i="22"/>
  <c r="I41" i="22" s="1"/>
  <c r="K38" i="22"/>
  <c r="G40" i="22"/>
  <c r="I40" i="22" s="1"/>
  <c r="K37" i="22"/>
  <c r="G39" i="22"/>
  <c r="I39" i="22" s="1"/>
  <c r="K36" i="22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I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AH55" i="17" l="1"/>
  <c r="AH54" i="17"/>
  <c r="AH53" i="17"/>
  <c r="AH20" i="17"/>
  <c r="AH19" i="17"/>
  <c r="AH52" i="17"/>
  <c r="AH60" i="17" s="1"/>
  <c r="AX78" i="17"/>
  <c r="AY78" i="17"/>
  <c r="G34" i="26"/>
  <c r="G34" i="25"/>
  <c r="G34" i="24"/>
  <c r="G34" i="22"/>
  <c r="G34" i="23"/>
  <c r="G34" i="20"/>
  <c r="AI45" i="16"/>
  <c r="AI28" i="16"/>
  <c r="AI80" i="16"/>
  <c r="AI64" i="16"/>
  <c r="G34" i="19"/>
  <c r="AF54" i="17"/>
  <c r="M39" i="27"/>
  <c r="AF53" i="17"/>
  <c r="AF20" i="17"/>
  <c r="AF55" i="17"/>
  <c r="AF52" i="17"/>
  <c r="AF19" i="17"/>
  <c r="D53" i="17"/>
  <c r="M37" i="26"/>
  <c r="M36" i="26"/>
  <c r="M38" i="26"/>
  <c r="M37" i="25"/>
  <c r="M38" i="25"/>
  <c r="AA19" i="17"/>
  <c r="M37" i="24"/>
  <c r="AA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C30" i="23"/>
  <c r="C32" i="23" s="1"/>
  <c r="C34" i="23" s="1"/>
  <c r="H7" i="23" s="1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5" i="24"/>
  <c r="C58" i="24" s="1"/>
  <c r="M28" i="27"/>
  <c r="M29" i="27" s="1"/>
  <c r="G45" i="28"/>
  <c r="G47" i="28" s="1"/>
  <c r="G45" i="29"/>
  <c r="G47" i="29" s="1"/>
  <c r="C55" i="20"/>
  <c r="C58" i="20" s="1"/>
  <c r="C30" i="24"/>
  <c r="C32" i="24" s="1"/>
  <c r="C34" i="24" s="1"/>
  <c r="H7" i="24" s="1"/>
  <c r="C55" i="25"/>
  <c r="C58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C30" i="22"/>
  <c r="C32" i="22" s="1"/>
  <c r="C34" i="22" s="1"/>
  <c r="C55" i="27"/>
  <c r="M28" i="19"/>
  <c r="K53" i="19" s="1"/>
  <c r="F20" i="30" s="1"/>
  <c r="K43" i="19"/>
  <c r="K45" i="19" s="1"/>
  <c r="K43" i="20"/>
  <c r="K47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G47" i="25" s="1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H43" i="17" l="1"/>
  <c r="AH27" i="17"/>
  <c r="K45" i="27"/>
  <c r="AP59" i="17"/>
  <c r="AP60" i="17" s="1"/>
  <c r="M43" i="26"/>
  <c r="J53" i="26" s="1"/>
  <c r="M17" i="30" s="1"/>
  <c r="AO45" i="16"/>
  <c r="AO28" i="16"/>
  <c r="AO80" i="16"/>
  <c r="AO64" i="16"/>
  <c r="AN80" i="16"/>
  <c r="AN64" i="16"/>
  <c r="AN45" i="16"/>
  <c r="AN28" i="16"/>
  <c r="M43" i="25"/>
  <c r="J53" i="25" s="1"/>
  <c r="L17" i="30" s="1"/>
  <c r="AM45" i="16"/>
  <c r="AM28" i="16"/>
  <c r="AM80" i="16"/>
  <c r="AM64" i="16"/>
  <c r="AL80" i="16"/>
  <c r="AL64" i="16"/>
  <c r="AL28" i="16"/>
  <c r="AL45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D55" i="17"/>
  <c r="D54" i="17"/>
  <c r="D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C43" i="17"/>
  <c r="AE27" i="17"/>
  <c r="C53" i="17"/>
  <c r="C55" i="17"/>
  <c r="C54" i="17"/>
  <c r="C52" i="17"/>
  <c r="AF60" i="17"/>
  <c r="AF27" i="17"/>
  <c r="AE60" i="17"/>
  <c r="AD27" i="17"/>
  <c r="AD43" i="17"/>
  <c r="AD60" i="17"/>
  <c r="AC60" i="17"/>
  <c r="AC27" i="17"/>
  <c r="C60" i="26"/>
  <c r="C62" i="26" s="1"/>
  <c r="AB27" i="17"/>
  <c r="AB60" i="17"/>
  <c r="AA27" i="17"/>
  <c r="AA60" i="17"/>
  <c r="Z27" i="17"/>
  <c r="Z60" i="17"/>
  <c r="Y60" i="17"/>
  <c r="M43" i="23"/>
  <c r="J53" i="23" s="1"/>
  <c r="I17" i="30" s="1"/>
  <c r="Y27" i="17"/>
  <c r="X27" i="17"/>
  <c r="X60" i="17"/>
  <c r="W27" i="17"/>
  <c r="W43" i="17"/>
  <c r="W60" i="17"/>
  <c r="V60" i="17"/>
  <c r="C76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C60" i="23" s="1"/>
  <c r="C62" i="23" s="1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C60" i="24"/>
  <c r="C62" i="24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AQ7" i="16" s="1"/>
  <c r="I53" i="26"/>
  <c r="K5" i="27"/>
  <c r="L5" i="27" s="1"/>
  <c r="H9" i="22"/>
  <c r="H12" i="22" s="1"/>
  <c r="C60" i="22"/>
  <c r="C62" i="22" s="1"/>
  <c r="K53" i="21"/>
  <c r="G20" i="30" s="1"/>
  <c r="C60" i="28"/>
  <c r="C62" i="28" s="1"/>
  <c r="I33" i="25"/>
  <c r="H7" i="22"/>
  <c r="I7" i="22" s="1"/>
  <c r="I14" i="22" s="1"/>
  <c r="I52" i="22" s="1"/>
  <c r="I53" i="23"/>
  <c r="M29" i="24"/>
  <c r="M43" i="27"/>
  <c r="I66" i="27" s="1"/>
  <c r="I46" i="29"/>
  <c r="H53" i="29"/>
  <c r="I33" i="29"/>
  <c r="I46" i="27"/>
  <c r="K5" i="25"/>
  <c r="L5" i="25" s="1"/>
  <c r="I53" i="24"/>
  <c r="K5" i="22"/>
  <c r="L5" i="22" s="1"/>
  <c r="K5" i="21"/>
  <c r="L5" i="21" s="1"/>
  <c r="J53" i="28"/>
  <c r="M44" i="28"/>
  <c r="H9" i="28"/>
  <c r="M44" i="25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L53" i="28" s="1"/>
  <c r="H53" i="25"/>
  <c r="I46" i="25"/>
  <c r="J7" i="24"/>
  <c r="I7" i="24"/>
  <c r="I14" i="24" s="1"/>
  <c r="I52" i="24" s="1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L53" i="19" l="1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D60" i="17"/>
  <c r="L53" i="29"/>
  <c r="K55" i="28"/>
  <c r="AQ7" i="17" s="1"/>
  <c r="J53" i="20"/>
  <c r="H17" i="30" s="1"/>
  <c r="C60" i="17"/>
  <c r="I7" i="27"/>
  <c r="I14" i="27" s="1"/>
  <c r="I52" i="27" s="1"/>
  <c r="I55" i="27" s="1"/>
  <c r="N22" i="30"/>
  <c r="K52" i="27"/>
  <c r="K55" i="27" s="1"/>
  <c r="AP7" i="17" s="1"/>
  <c r="K52" i="20"/>
  <c r="K55" i="20" s="1"/>
  <c r="AJ7" i="17" s="1"/>
  <c r="H22" i="30"/>
  <c r="G8" i="30"/>
  <c r="K8" i="30"/>
  <c r="J8" i="30"/>
  <c r="N8" i="30"/>
  <c r="I8" i="30"/>
  <c r="M8" i="30"/>
  <c r="H8" i="30"/>
  <c r="L8" i="30"/>
  <c r="I55" i="23"/>
  <c r="I7" i="26"/>
  <c r="I14" i="26" s="1"/>
  <c r="I52" i="26" s="1"/>
  <c r="I55" i="26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I52" i="19"/>
  <c r="I55" i="19" s="1"/>
  <c r="F13" i="30"/>
  <c r="I52" i="21"/>
  <c r="I55" i="21" s="1"/>
  <c r="G13" i="30"/>
  <c r="J7" i="22"/>
  <c r="J15" i="22" s="1"/>
  <c r="I55" i="25"/>
  <c r="I55" i="22"/>
  <c r="I55" i="24"/>
  <c r="I55" i="29"/>
  <c r="AR7" i="16" s="1"/>
  <c r="M44" i="27"/>
  <c r="J53" i="27"/>
  <c r="N17" i="30" s="1"/>
  <c r="J61" i="29"/>
  <c r="K9" i="22"/>
  <c r="K12" i="22" s="1"/>
  <c r="K14" i="22" s="1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J14" i="24"/>
  <c r="J15" i="24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AR7" i="17" s="1"/>
  <c r="K9" i="25"/>
  <c r="K12" i="25" s="1"/>
  <c r="H12" i="25"/>
  <c r="L9" i="25"/>
  <c r="L12" i="25" s="1"/>
  <c r="J61" i="22"/>
  <c r="K9" i="23"/>
  <c r="K12" i="23" s="1"/>
  <c r="H12" i="23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AP7" i="16" l="1"/>
  <c r="AO7" i="16"/>
  <c r="AN7" i="16"/>
  <c r="AM7" i="16"/>
  <c r="AL7" i="16"/>
  <c r="AK7" i="16"/>
  <c r="AJ7" i="16"/>
  <c r="AI7" i="16"/>
  <c r="AH7" i="16"/>
  <c r="L53" i="27"/>
  <c r="J61" i="21"/>
  <c r="J61" i="24"/>
  <c r="AF7" i="17"/>
  <c r="D7" i="17" s="1"/>
  <c r="AF7" i="16"/>
  <c r="D7" i="16" s="1"/>
  <c r="J61" i="20"/>
  <c r="L53" i="20"/>
  <c r="J15" i="27"/>
  <c r="M4" i="31"/>
  <c r="M11" i="31"/>
  <c r="L4" i="31"/>
  <c r="K52" i="26"/>
  <c r="K55" i="26" s="1"/>
  <c r="AO7" i="17" s="1"/>
  <c r="M22" i="30"/>
  <c r="K52" i="25"/>
  <c r="K55" i="25" s="1"/>
  <c r="AN7" i="17" s="1"/>
  <c r="L22" i="30"/>
  <c r="K4" i="31"/>
  <c r="J4" i="31"/>
  <c r="K52" i="24"/>
  <c r="K55" i="24" s="1"/>
  <c r="AM7" i="17" s="1"/>
  <c r="K22" i="30"/>
  <c r="I4" i="31"/>
  <c r="K52" i="23"/>
  <c r="K55" i="23" s="1"/>
  <c r="AK7" i="17" s="1"/>
  <c r="I22" i="30"/>
  <c r="H4" i="31"/>
  <c r="G11" i="31"/>
  <c r="G4" i="31"/>
  <c r="F4" i="31"/>
  <c r="E4" i="31"/>
  <c r="J15" i="26"/>
  <c r="F1" i="22"/>
  <c r="J52" i="22"/>
  <c r="J55" i="22" s="1"/>
  <c r="J14" i="22"/>
  <c r="J15" i="20"/>
  <c r="K52" i="19"/>
  <c r="K55" i="19" s="1"/>
  <c r="F22" i="30"/>
  <c r="K52" i="21"/>
  <c r="K55" i="21" s="1"/>
  <c r="AI7" i="17" s="1"/>
  <c r="G22" i="30"/>
  <c r="H52" i="22"/>
  <c r="C1" i="25"/>
  <c r="F1" i="24"/>
  <c r="J55" i="19"/>
  <c r="K14" i="19"/>
  <c r="H52" i="19"/>
  <c r="J61" i="27"/>
  <c r="L15" i="22"/>
  <c r="H14" i="29"/>
  <c r="H15" i="29" s="1"/>
  <c r="H52" i="26"/>
  <c r="K14" i="26"/>
  <c r="J52" i="29"/>
  <c r="J55" i="29" s="1"/>
  <c r="AR6" i="17" s="1"/>
  <c r="L14" i="29"/>
  <c r="H52" i="27"/>
  <c r="K14" i="27"/>
  <c r="H52" i="28"/>
  <c r="K14" i="28"/>
  <c r="H14" i="26"/>
  <c r="H15" i="26" s="1"/>
  <c r="J52" i="25"/>
  <c r="J55" i="25" s="1"/>
  <c r="L14" i="25"/>
  <c r="L19" i="30" s="1"/>
  <c r="K14" i="25"/>
  <c r="H52" i="25"/>
  <c r="H14" i="27"/>
  <c r="H15" i="27" s="1"/>
  <c r="H14" i="24"/>
  <c r="H15" i="24" s="1"/>
  <c r="J52" i="26"/>
  <c r="J55" i="26" s="1"/>
  <c r="L14" i="26"/>
  <c r="M19" i="30" s="1"/>
  <c r="H52" i="24"/>
  <c r="K14" i="24"/>
  <c r="J52" i="28"/>
  <c r="J55" i="28" s="1"/>
  <c r="AQ6" i="17" s="1"/>
  <c r="L14" i="28"/>
  <c r="H14" i="25"/>
  <c r="H15" i="25" s="1"/>
  <c r="K14" i="29"/>
  <c r="H52" i="29"/>
  <c r="J52" i="27"/>
  <c r="J55" i="27" s="1"/>
  <c r="AP6" i="17" s="1"/>
  <c r="L14" i="27"/>
  <c r="J52" i="24"/>
  <c r="J55" i="24" s="1"/>
  <c r="L14" i="24"/>
  <c r="K19" i="30" s="1"/>
  <c r="H14" i="28"/>
  <c r="H15" i="28" s="1"/>
  <c r="K14" i="23"/>
  <c r="H52" i="23"/>
  <c r="H14" i="23"/>
  <c r="H15" i="23" s="1"/>
  <c r="J52" i="23"/>
  <c r="J55" i="23" s="1"/>
  <c r="L14" i="23"/>
  <c r="I19" i="30" s="1"/>
  <c r="H14" i="21"/>
  <c r="H15" i="21" s="1"/>
  <c r="H14" i="20"/>
  <c r="H15" i="20" s="1"/>
  <c r="J52" i="21"/>
  <c r="J55" i="21" s="1"/>
  <c r="L14" i="21"/>
  <c r="G19" i="30" s="1"/>
  <c r="J52" i="20"/>
  <c r="J55" i="20" s="1"/>
  <c r="L14" i="20"/>
  <c r="H19" i="30" s="1"/>
  <c r="H52" i="20"/>
  <c r="H55" i="20" s="1"/>
  <c r="K14" i="20"/>
  <c r="K14" i="21"/>
  <c r="G10" i="30" s="1"/>
  <c r="H52" i="21"/>
  <c r="AO6" i="17" l="1"/>
  <c r="AN6" i="17"/>
  <c r="AM6" i="17"/>
  <c r="AL6" i="17"/>
  <c r="AK6" i="17"/>
  <c r="AJ6" i="16"/>
  <c r="AJ6" i="17"/>
  <c r="AI6" i="17"/>
  <c r="L52" i="19"/>
  <c r="L54" i="19" s="1"/>
  <c r="AH7" i="17"/>
  <c r="AH6" i="17"/>
  <c r="L52" i="28"/>
  <c r="L54" i="28" s="1"/>
  <c r="H55" i="26"/>
  <c r="L53" i="26"/>
  <c r="H55" i="25"/>
  <c r="L53" i="25"/>
  <c r="H55" i="24"/>
  <c r="L53" i="24"/>
  <c r="H55" i="22"/>
  <c r="L53" i="22"/>
  <c r="H55" i="23"/>
  <c r="L53" i="23"/>
  <c r="H55" i="21"/>
  <c r="H55" i="19"/>
  <c r="L52" i="29"/>
  <c r="H55" i="29"/>
  <c r="AR6" i="16" s="1"/>
  <c r="AF6" i="17"/>
  <c r="D6" i="17" s="1"/>
  <c r="H55" i="28"/>
  <c r="H55" i="27"/>
  <c r="L52" i="27"/>
  <c r="L10" i="31"/>
  <c r="K10" i="31"/>
  <c r="J10" i="31"/>
  <c r="H10" i="31"/>
  <c r="G3" i="31"/>
  <c r="G5" i="31" s="1"/>
  <c r="G10" i="31"/>
  <c r="G12" i="31" s="1"/>
  <c r="F10" i="31"/>
  <c r="L15" i="27"/>
  <c r="N19" i="30"/>
  <c r="K56" i="27"/>
  <c r="M10" i="31"/>
  <c r="M12" i="31" s="1"/>
  <c r="I67" i="27"/>
  <c r="L11" i="31"/>
  <c r="K11" i="31"/>
  <c r="J11" i="31"/>
  <c r="I10" i="31"/>
  <c r="K52" i="22"/>
  <c r="K55" i="22" s="1"/>
  <c r="AL7" i="17" s="1"/>
  <c r="J22" i="30"/>
  <c r="H11" i="31"/>
  <c r="F11" i="31"/>
  <c r="E10" i="31"/>
  <c r="E11" i="31"/>
  <c r="L15" i="19"/>
  <c r="F10" i="30"/>
  <c r="F1" i="25"/>
  <c r="C1" i="26"/>
  <c r="K56" i="19"/>
  <c r="L15" i="26"/>
  <c r="K56" i="29"/>
  <c r="L15" i="29"/>
  <c r="L15" i="28"/>
  <c r="K56" i="28"/>
  <c r="K56" i="26"/>
  <c r="L15" i="25"/>
  <c r="K56" i="25"/>
  <c r="L15" i="24"/>
  <c r="K56" i="24"/>
  <c r="L15" i="23"/>
  <c r="K56" i="23"/>
  <c r="L15" i="20"/>
  <c r="K56" i="20"/>
  <c r="K56" i="21"/>
  <c r="L15" i="21"/>
  <c r="L52" i="24"/>
  <c r="L52" i="26"/>
  <c r="L52" i="25"/>
  <c r="L54" i="25" s="1"/>
  <c r="L52" i="23"/>
  <c r="L52" i="20"/>
  <c r="L54" i="20" s="1"/>
  <c r="I31" i="5"/>
  <c r="I30" i="5"/>
  <c r="I29" i="5"/>
  <c r="I28" i="5"/>
  <c r="I27" i="5"/>
  <c r="I26" i="5"/>
  <c r="I25" i="5"/>
  <c r="I23" i="5"/>
  <c r="AX8" i="17" l="1"/>
  <c r="AI6" i="16"/>
  <c r="L55" i="19"/>
  <c r="L56" i="19" s="1"/>
  <c r="L54" i="26"/>
  <c r="F3" i="31"/>
  <c r="F5" i="31" s="1"/>
  <c r="AQ6" i="16"/>
  <c r="L55" i="28"/>
  <c r="L55" i="27"/>
  <c r="AP6" i="16"/>
  <c r="L3" i="31"/>
  <c r="L5" i="31" s="1"/>
  <c r="AO6" i="16"/>
  <c r="K3" i="31"/>
  <c r="K5" i="31" s="1"/>
  <c r="AN6" i="16"/>
  <c r="J3" i="31"/>
  <c r="J5" i="31" s="1"/>
  <c r="AM6" i="16"/>
  <c r="I3" i="31"/>
  <c r="I5" i="31" s="1"/>
  <c r="AL6" i="16"/>
  <c r="H3" i="31"/>
  <c r="H5" i="31" s="1"/>
  <c r="AK6" i="16"/>
  <c r="E3" i="31"/>
  <c r="E5" i="31" s="1"/>
  <c r="AH6" i="16"/>
  <c r="L54" i="24"/>
  <c r="I56" i="22"/>
  <c r="L54" i="23"/>
  <c r="L54" i="21"/>
  <c r="I56" i="19"/>
  <c r="G59" i="19" s="1"/>
  <c r="L55" i="29"/>
  <c r="AF6" i="16"/>
  <c r="D6" i="16" s="1"/>
  <c r="L54" i="29"/>
  <c r="M3" i="31"/>
  <c r="M5" i="31" s="1"/>
  <c r="I56" i="27"/>
  <c r="L54" i="27"/>
  <c r="F12" i="31"/>
  <c r="L12" i="31"/>
  <c r="K12" i="31"/>
  <c r="J12" i="31"/>
  <c r="L52" i="22"/>
  <c r="L54" i="22" s="1"/>
  <c r="H12" i="31"/>
  <c r="I11" i="31"/>
  <c r="I12" i="31" s="1"/>
  <c r="K56" i="22"/>
  <c r="L55" i="22"/>
  <c r="E12" i="31"/>
  <c r="C1" i="27"/>
  <c r="F1" i="26"/>
  <c r="I56" i="25"/>
  <c r="G59" i="25" s="1"/>
  <c r="L55" i="25"/>
  <c r="L56" i="25" s="1"/>
  <c r="I56" i="29"/>
  <c r="G59" i="29" s="1"/>
  <c r="L55" i="26"/>
  <c r="L56" i="26" s="1"/>
  <c r="I56" i="26"/>
  <c r="G59" i="26" s="1"/>
  <c r="L55" i="24"/>
  <c r="I56" i="24"/>
  <c r="G59" i="24" s="1"/>
  <c r="I56" i="28"/>
  <c r="I56" i="23"/>
  <c r="G59" i="23" s="1"/>
  <c r="L55" i="23"/>
  <c r="L56" i="23" s="1"/>
  <c r="L55" i="20"/>
  <c r="L56" i="20" s="1"/>
  <c r="I56" i="20"/>
  <c r="G59" i="20" s="1"/>
  <c r="I56" i="21"/>
  <c r="G59" i="21" s="1"/>
  <c r="AX8" i="16" l="1"/>
  <c r="L56" i="21"/>
  <c r="L56" i="27"/>
  <c r="L56" i="24"/>
  <c r="G59" i="22"/>
  <c r="L56" i="29"/>
  <c r="L56" i="28"/>
  <c r="L56" i="22"/>
  <c r="C1" i="28"/>
  <c r="F1" i="27"/>
  <c r="F1" i="28" l="1"/>
  <c r="C1" i="29"/>
  <c r="F1" i="29" s="1"/>
  <c r="D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H76" i="17" l="1"/>
  <c r="H43" i="17"/>
  <c r="F260" i="7" l="1"/>
  <c r="E8" i="17"/>
  <c r="E76" i="17" l="1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G73" i="17" l="1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F18" i="17"/>
  <c r="G18" i="17" s="1"/>
  <c r="H18" i="17" s="1"/>
  <c r="F48" i="17"/>
  <c r="H73" i="17" l="1"/>
  <c r="G40" i="17"/>
  <c r="F77" i="17"/>
  <c r="E13" i="17"/>
  <c r="F3" i="17"/>
  <c r="F14" i="17"/>
  <c r="G48" i="17"/>
  <c r="H40" i="17" l="1"/>
  <c r="G3" i="17"/>
  <c r="E15" i="17"/>
  <c r="F5" i="17"/>
  <c r="F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F83" i="16"/>
  <c r="H48" i="17"/>
  <c r="G14" i="17"/>
  <c r="F13" i="17" l="1"/>
  <c r="G5" i="17" s="1"/>
  <c r="G8" i="17" s="1"/>
  <c r="H3" i="17"/>
  <c r="F15" i="17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H78" i="16" l="1"/>
  <c r="E84" i="16"/>
  <c r="F79" i="16"/>
  <c r="F31" i="16"/>
  <c r="G31" i="16" s="1"/>
  <c r="H31" i="16" s="1"/>
  <c r="F18" i="16"/>
  <c r="G18" i="16" s="1"/>
  <c r="H18" i="16" s="1"/>
  <c r="E49" i="16"/>
  <c r="F42" i="16"/>
  <c r="F50" i="16"/>
  <c r="H83" i="16"/>
  <c r="G13" i="17" l="1"/>
  <c r="H5" i="17" s="1"/>
  <c r="H8" i="17" s="1"/>
  <c r="F82" i="16"/>
  <c r="G42" i="16"/>
  <c r="E51" i="16"/>
  <c r="F44" i="16"/>
  <c r="F46" i="16" s="1"/>
  <c r="G50" i="16"/>
  <c r="G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H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H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AX43" i="16"/>
  <c r="K7" i="18" s="1"/>
  <c r="AX42" i="16"/>
  <c r="AY43" i="16"/>
  <c r="L7" i="18" s="1"/>
  <c r="AI44" i="16"/>
  <c r="E205" i="7"/>
  <c r="E206" i="7"/>
  <c r="I183" i="7"/>
  <c r="J184" i="7" s="1"/>
  <c r="G205" i="7"/>
  <c r="K39" i="5"/>
  <c r="K38" i="5"/>
  <c r="AY47" i="16" l="1"/>
  <c r="K6" i="18"/>
  <c r="AI46" i="16"/>
  <c r="AI49" i="16" s="1"/>
  <c r="AS54" i="17"/>
  <c r="AG54" i="17"/>
  <c r="AS55" i="17"/>
  <c r="AG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I51" i="16" l="1"/>
  <c r="AJ44" i="16"/>
  <c r="AG53" i="17"/>
  <c r="AG20" i="17"/>
  <c r="AS53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J46" i="16" l="1"/>
  <c r="AJ49" i="16" s="1"/>
  <c r="D20" i="17"/>
  <c r="C20" i="17"/>
  <c r="AG19" i="17"/>
  <c r="AG52" i="17"/>
  <c r="AG60" i="17" s="1"/>
  <c r="AS52" i="17"/>
  <c r="AS60" i="17" s="1"/>
  <c r="C48" i="14"/>
  <c r="M36" i="5"/>
  <c r="M43" i="5" s="1"/>
  <c r="J53" i="5" s="1"/>
  <c r="E225" i="7"/>
  <c r="K43" i="5"/>
  <c r="K5" i="5" s="1"/>
  <c r="K53" i="5"/>
  <c r="E20" i="30" s="1"/>
  <c r="AJ51" i="16" l="1"/>
  <c r="AK44" i="16"/>
  <c r="L53" i="5"/>
  <c r="AG27" i="17"/>
  <c r="AG43" i="17"/>
  <c r="D19" i="17"/>
  <c r="C19" i="17"/>
  <c r="E17" i="30"/>
  <c r="J61" i="5"/>
  <c r="U27" i="17"/>
  <c r="C27" i="17" s="1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AK46" i="16" l="1"/>
  <c r="AK49" i="16" s="1"/>
  <c r="AY45" i="17"/>
  <c r="AX45" i="17"/>
  <c r="D43" i="17"/>
  <c r="C43" i="17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AK51" i="16" l="1"/>
  <c r="AL44" i="16"/>
  <c r="K20" i="18"/>
  <c r="L20" i="18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AL46" i="16" l="1"/>
  <c r="AL49" i="16" s="1"/>
  <c r="I52" i="5"/>
  <c r="I55" i="5" s="1"/>
  <c r="E13" i="30"/>
  <c r="I55" i="14"/>
  <c r="J55" i="14"/>
  <c r="J7" i="5"/>
  <c r="J14" i="5" s="1"/>
  <c r="E22" i="30" s="1"/>
  <c r="AG7" i="16" l="1"/>
  <c r="AL51" i="16"/>
  <c r="AM44" i="16"/>
  <c r="C7" i="16"/>
  <c r="E9" i="15"/>
  <c r="D4" i="31"/>
  <c r="J56" i="14"/>
  <c r="F47" i="17"/>
  <c r="E120" i="3"/>
  <c r="K52" i="5"/>
  <c r="K55" i="5" s="1"/>
  <c r="AG7" i="17" s="1"/>
  <c r="J15" i="5"/>
  <c r="H9" i="5"/>
  <c r="K9" i="5" s="1"/>
  <c r="AM46" i="16" l="1"/>
  <c r="AM49" i="16" s="1"/>
  <c r="C7" i="17"/>
  <c r="E15" i="15"/>
  <c r="D11" i="31"/>
  <c r="P4" i="31"/>
  <c r="O4" i="31"/>
  <c r="G42" i="17"/>
  <c r="F49" i="17"/>
  <c r="E155" i="6"/>
  <c r="B9" i="13"/>
  <c r="E11" i="3"/>
  <c r="E19" i="3" s="1"/>
  <c r="K12" i="5"/>
  <c r="H52" i="5" s="1"/>
  <c r="L9" i="5"/>
  <c r="L12" i="5" s="1"/>
  <c r="J52" i="5" s="1"/>
  <c r="H12" i="5"/>
  <c r="AM51" i="16" l="1"/>
  <c r="AN44" i="16"/>
  <c r="L52" i="5"/>
  <c r="H55" i="5"/>
  <c r="O11" i="31"/>
  <c r="P11" i="31"/>
  <c r="G44" i="17"/>
  <c r="G47" i="17" s="1"/>
  <c r="E27" i="3"/>
  <c r="D9" i="13" s="1"/>
  <c r="C9" i="13"/>
  <c r="L14" i="5"/>
  <c r="E19" i="30" s="1"/>
  <c r="J55" i="5"/>
  <c r="AG6" i="17" s="1"/>
  <c r="H14" i="5"/>
  <c r="H15" i="5" s="1"/>
  <c r="K14" i="5"/>
  <c r="E10" i="30" s="1"/>
  <c r="AN46" i="16" l="1"/>
  <c r="AN49" i="16" s="1"/>
  <c r="AY8" i="17"/>
  <c r="L16" i="18" s="1"/>
  <c r="K16" i="18"/>
  <c r="AG6" i="16"/>
  <c r="L55" i="5"/>
  <c r="C6" i="17"/>
  <c r="C6" i="16"/>
  <c r="E14" i="15"/>
  <c r="D10" i="31"/>
  <c r="H42" i="17"/>
  <c r="G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N51" i="16" l="1"/>
  <c r="AO44" i="16"/>
  <c r="AO46" i="16" s="1"/>
  <c r="AO49" i="16" s="1"/>
  <c r="AY8" i="16"/>
  <c r="L5" i="18" s="1"/>
  <c r="K5" i="18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O51" i="16" l="1"/>
  <c r="AP44" i="16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P46" i="16" l="1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P51" i="16" l="1"/>
  <c r="AQ44" i="16"/>
  <c r="AQ46" i="16" s="1"/>
  <c r="AQ49" i="16" s="1"/>
  <c r="D46" i="16"/>
  <c r="H16" i="15"/>
  <c r="E67" i="3"/>
  <c r="H9" i="13"/>
  <c r="D27" i="3"/>
  <c r="C8" i="13"/>
  <c r="C10" i="13" s="1"/>
  <c r="AQ51" i="16" l="1"/>
  <c r="AR44" i="16"/>
  <c r="I16" i="15"/>
  <c r="E75" i="3"/>
  <c r="I9" i="13"/>
  <c r="D35" i="3"/>
  <c r="D8" i="13"/>
  <c r="D10" i="13" s="1"/>
  <c r="E12" i="6"/>
  <c r="E20" i="6" s="1"/>
  <c r="AR46" i="16" l="1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R49" i="16" l="1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L16" i="15" l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N16" i="15" l="1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E110" i="3" l="1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K14" i="13" l="1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D150" i="6" l="1"/>
  <c r="C16" i="15" s="1"/>
  <c r="B16" i="15"/>
  <c r="D107" i="3"/>
  <c r="M8" i="13"/>
  <c r="M10" i="13" s="1"/>
  <c r="D159" i="6"/>
  <c r="D161" i="6" s="1"/>
  <c r="D16" i="15" s="1"/>
  <c r="M14" i="13"/>
  <c r="M16" i="13" s="1"/>
  <c r="E53" i="10"/>
  <c r="I42" i="10" s="1"/>
  <c r="G52" i="10"/>
  <c r="F35" i="3"/>
  <c r="F43" i="3" s="1"/>
  <c r="Q23" i="3"/>
  <c r="Q26" i="3"/>
  <c r="R26" i="3"/>
  <c r="R25" i="3"/>
  <c r="D110" i="3" l="1"/>
  <c r="D118" i="3" s="1"/>
  <c r="E54" i="10"/>
  <c r="C34" i="3"/>
  <c r="C35" i="3" s="1"/>
  <c r="J41" i="10"/>
  <c r="R23" i="3"/>
  <c r="R27" i="3" s="1"/>
  <c r="B10" i="15" l="1"/>
  <c r="D126" i="3"/>
  <c r="D128" i="3" s="1"/>
  <c r="D10" i="15" s="1"/>
  <c r="C10" i="15"/>
  <c r="I45" i="10"/>
  <c r="J46" i="10" s="1"/>
  <c r="E72" i="10"/>
  <c r="J64" i="10" s="1"/>
  <c r="R34" i="3"/>
  <c r="Q34" i="3"/>
  <c r="R33" i="3"/>
  <c r="E10" i="15" l="1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X49" i="17" l="1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Z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Z49" i="17" l="1"/>
  <c r="Y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Z13" i="17" l="1"/>
  <c r="Z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C44" i="17" s="1"/>
  <c r="AA13" i="17"/>
  <c r="AA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I293" i="7"/>
  <c r="J294" i="7" s="1"/>
  <c r="T137" i="6"/>
  <c r="S137" i="6"/>
  <c r="H299" i="7"/>
  <c r="AC49" i="17" l="1"/>
  <c r="AB13" i="17"/>
  <c r="AD44" i="17"/>
  <c r="T143" i="6"/>
  <c r="C149" i="6"/>
  <c r="AD47" i="17" l="1"/>
  <c r="AE42" i="17" s="1"/>
  <c r="AB15" i="17"/>
  <c r="C150" i="6"/>
  <c r="H158" i="6" s="1"/>
  <c r="T150" i="6"/>
  <c r="S151" i="6"/>
  <c r="AD49" i="17" l="1"/>
  <c r="AC13" i="17"/>
  <c r="AE44" i="17"/>
  <c r="T146" i="6"/>
  <c r="S146" i="6"/>
  <c r="AC15" i="17" l="1"/>
  <c r="AE47" i="17"/>
  <c r="AE49" i="17" s="1"/>
  <c r="C158" i="6"/>
  <c r="C159" i="6" s="1"/>
  <c r="C161" i="6" s="1"/>
  <c r="C163" i="6" s="1"/>
  <c r="H159" i="6"/>
  <c r="H161" i="6" s="1"/>
  <c r="T152" i="6"/>
  <c r="AD13" i="17" l="1"/>
  <c r="AF42" i="17"/>
  <c r="AF44" i="17" s="1"/>
  <c r="S160" i="6"/>
  <c r="T178" i="6" s="1"/>
  <c r="T159" i="6"/>
  <c r="AD15" i="17" l="1"/>
  <c r="AF47" i="17"/>
  <c r="T155" i="6"/>
  <c r="S155" i="6"/>
  <c r="AF49" i="17" l="1"/>
  <c r="AG42" i="17"/>
  <c r="AE13" i="17"/>
  <c r="AF5" i="17" s="1"/>
  <c r="S173" i="6"/>
  <c r="T161" i="6"/>
  <c r="AG44" i="17" l="1"/>
  <c r="AE15" i="17"/>
  <c r="AF8" i="17"/>
  <c r="D8" i="17" s="1"/>
  <c r="T179" i="6"/>
  <c r="H77" i="17"/>
  <c r="AG47" i="17" l="1"/>
  <c r="AH42" i="17" s="1"/>
  <c r="AH44" i="17" s="1"/>
  <c r="AH47" i="17" s="1"/>
  <c r="AX43" i="17"/>
  <c r="AY44" i="17"/>
  <c r="AF13" i="17"/>
  <c r="AX44" i="17" l="1"/>
  <c r="AY48" i="17" s="1"/>
  <c r="AY42" i="17"/>
  <c r="L17" i="18" s="1"/>
  <c r="AF15" i="17"/>
  <c r="AG5" i="17"/>
  <c r="AG8" i="17" s="1"/>
  <c r="AG49" i="17"/>
  <c r="K18" i="18"/>
  <c r="L19" i="18"/>
  <c r="AH49" i="17"/>
  <c r="AI42" i="17"/>
  <c r="K19" i="18" l="1"/>
  <c r="AG13" i="17"/>
  <c r="AI44" i="17"/>
  <c r="V13" i="16"/>
  <c r="V79" i="17"/>
  <c r="AG15" i="17" l="1"/>
  <c r="AH5" i="17"/>
  <c r="AH8" i="17" s="1"/>
  <c r="AI47" i="17"/>
  <c r="V15" i="16"/>
  <c r="V81" i="17"/>
  <c r="AX6" i="17" l="1"/>
  <c r="AY7" i="17"/>
  <c r="L15" i="18" s="1"/>
  <c r="AH13" i="17"/>
  <c r="AH15" i="17" s="1"/>
  <c r="AY5" i="17"/>
  <c r="L13" i="18" s="1"/>
  <c r="AX7" i="17"/>
  <c r="K15" i="18" s="1"/>
  <c r="AI49" i="17"/>
  <c r="AJ42" i="17"/>
  <c r="AJ44" i="17" s="1"/>
  <c r="W13" i="16"/>
  <c r="AI5" i="17" l="1"/>
  <c r="AI8" i="17" s="1"/>
  <c r="AI13" i="17" s="1"/>
  <c r="AI15" i="17" s="1"/>
  <c r="AY11" i="17"/>
  <c r="K14" i="18"/>
  <c r="AJ47" i="17"/>
  <c r="W79" i="17"/>
  <c r="X75" i="17" s="1"/>
  <c r="W15" i="16"/>
  <c r="AJ5" i="17" l="1"/>
  <c r="AJ8" i="17" s="1"/>
  <c r="AJ13" i="17" s="1"/>
  <c r="AK5" i="17" s="1"/>
  <c r="AK8" i="17" s="1"/>
  <c r="AK13" i="17" s="1"/>
  <c r="AK42" i="17"/>
  <c r="AK44" i="17" s="1"/>
  <c r="AJ49" i="17"/>
  <c r="W81" i="17"/>
  <c r="X13" i="16"/>
  <c r="X77" i="17"/>
  <c r="AJ15" i="17" l="1"/>
  <c r="AK15" i="17"/>
  <c r="AL5" i="17"/>
  <c r="AL8" i="17" s="1"/>
  <c r="AL13" i="17" s="1"/>
  <c r="AK47" i="17"/>
  <c r="X79" i="17"/>
  <c r="X81" i="17" s="1"/>
  <c r="X15" i="16"/>
  <c r="AM5" i="17" l="1"/>
  <c r="AM8" i="17" s="1"/>
  <c r="AM13" i="17" s="1"/>
  <c r="AL15" i="17"/>
  <c r="AL42" i="17"/>
  <c r="AL44" i="17" s="1"/>
  <c r="AK49" i="17"/>
  <c r="Y13" i="16"/>
  <c r="AN5" i="17" l="1"/>
  <c r="AN8" i="17" s="1"/>
  <c r="AN13" i="17" s="1"/>
  <c r="AM15" i="17"/>
  <c r="AL47" i="17"/>
  <c r="Y79" i="17"/>
  <c r="Y15" i="16"/>
  <c r="AO5" i="17" l="1"/>
  <c r="AO8" i="17" s="1"/>
  <c r="AO13" i="17" s="1"/>
  <c r="AN15" i="17"/>
  <c r="AM42" i="17"/>
  <c r="AM44" i="17" s="1"/>
  <c r="AL49" i="17"/>
  <c r="Y81" i="17"/>
  <c r="Z13" i="16"/>
  <c r="AP5" i="17" l="1"/>
  <c r="AP8" i="17" s="1"/>
  <c r="AP13" i="17" s="1"/>
  <c r="AO15" i="17"/>
  <c r="AM47" i="17"/>
  <c r="Z79" i="17"/>
  <c r="Z15" i="16"/>
  <c r="AQ5" i="17" l="1"/>
  <c r="AQ8" i="17" s="1"/>
  <c r="AQ13" i="17" s="1"/>
  <c r="AP15" i="17"/>
  <c r="AN42" i="17"/>
  <c r="AN44" i="17" s="1"/>
  <c r="AM49" i="17"/>
  <c r="Z81" i="17"/>
  <c r="AA13" i="16"/>
  <c r="AR5" i="17" l="1"/>
  <c r="AQ15" i="17"/>
  <c r="AN47" i="17"/>
  <c r="AA79" i="17"/>
  <c r="AB75" i="17" s="1"/>
  <c r="AA15" i="16"/>
  <c r="AR8" i="17" l="1"/>
  <c r="C8" i="17" s="1"/>
  <c r="AO42" i="17"/>
  <c r="AO44" i="17" s="1"/>
  <c r="AO47" i="17" s="1"/>
  <c r="AN49" i="17"/>
  <c r="AA81" i="17"/>
  <c r="AB13" i="16"/>
  <c r="AB77" i="17"/>
  <c r="AB79" i="17" s="1"/>
  <c r="AR13" i="17" l="1"/>
  <c r="AR15" i="17" s="1"/>
  <c r="AP42" i="17"/>
  <c r="AO49" i="17"/>
  <c r="AB15" i="16"/>
  <c r="AB81" i="17"/>
  <c r="AC75" i="17"/>
  <c r="AP44" i="17" l="1"/>
  <c r="D44" i="17" s="1"/>
  <c r="AC13" i="16"/>
  <c r="AC77" i="17"/>
  <c r="AC79" i="17" s="1"/>
  <c r="AP47" i="17" l="1"/>
  <c r="AC15" i="16"/>
  <c r="AC81" i="17"/>
  <c r="AD75" i="17"/>
  <c r="AQ42" i="17" l="1"/>
  <c r="AP49" i="17"/>
  <c r="AD13" i="16"/>
  <c r="AD15" i="16" s="1"/>
  <c r="AD77" i="17"/>
  <c r="AQ44" i="17" l="1"/>
  <c r="AQ47" i="17" s="1"/>
  <c r="AD79" i="17"/>
  <c r="AE75" i="17" s="1"/>
  <c r="D77" i="17"/>
  <c r="AR42" i="17" l="1"/>
  <c r="AR44" i="17" s="1"/>
  <c r="AQ49" i="17"/>
  <c r="AD81" i="17"/>
  <c r="AE13" i="16"/>
  <c r="AF5" i="16" s="1"/>
  <c r="AE77" i="17"/>
  <c r="AE79" i="17" s="1"/>
  <c r="AR47" i="17" l="1"/>
  <c r="AR49" i="17" s="1"/>
  <c r="C44" i="17"/>
  <c r="AE15" i="16"/>
  <c r="AE81" i="17"/>
  <c r="AF75" i="17"/>
  <c r="AF8" i="16"/>
  <c r="D8" i="16" s="1"/>
  <c r="AF13" i="16" l="1"/>
  <c r="AG5" i="16" s="1"/>
  <c r="AG8" i="16" s="1"/>
  <c r="AF77" i="17"/>
  <c r="AG13" i="16" l="1"/>
  <c r="AF15" i="16"/>
  <c r="AF79" i="17"/>
  <c r="C77" i="17"/>
  <c r="AF81" i="17" l="1"/>
  <c r="AG75" i="17"/>
  <c r="AH5" i="16"/>
  <c r="AH8" i="16" s="1"/>
  <c r="AG15" i="16"/>
  <c r="AX6" i="16" l="1"/>
  <c r="AY7" i="16"/>
  <c r="L4" i="18" s="1"/>
  <c r="AH13" i="16"/>
  <c r="AY5" i="16"/>
  <c r="L2" i="18" s="1"/>
  <c r="AX7" i="16"/>
  <c r="K4" i="18" s="1"/>
  <c r="AG77" i="17"/>
  <c r="AI5" i="16" l="1"/>
  <c r="AI8" i="16" s="1"/>
  <c r="AI13" i="16" s="1"/>
  <c r="AJ5" i="16" s="1"/>
  <c r="AJ8" i="16" s="1"/>
  <c r="AJ13" i="16" s="1"/>
  <c r="AK5" i="16" s="1"/>
  <c r="AK8" i="16" s="1"/>
  <c r="AK13" i="16" s="1"/>
  <c r="AL5" i="16" s="1"/>
  <c r="AL8" i="16" s="1"/>
  <c r="AL13" i="16" s="1"/>
  <c r="AM5" i="16" s="1"/>
  <c r="AM8" i="16" s="1"/>
  <c r="AM13" i="16" s="1"/>
  <c r="AN5" i="16" s="1"/>
  <c r="AN8" i="16" s="1"/>
  <c r="AN13" i="16" s="1"/>
  <c r="AO5" i="16" s="1"/>
  <c r="AO8" i="16" s="1"/>
  <c r="AO13" i="16" s="1"/>
  <c r="AP5" i="16" s="1"/>
  <c r="AP8" i="16" s="1"/>
  <c r="AP13" i="16" s="1"/>
  <c r="AQ5" i="16" s="1"/>
  <c r="AQ8" i="16" s="1"/>
  <c r="AQ13" i="16" s="1"/>
  <c r="AR5" i="16" s="1"/>
  <c r="AR8" i="16" s="1"/>
  <c r="C8" i="16" s="1"/>
  <c r="C13" i="16" s="1"/>
  <c r="AH15" i="16"/>
  <c r="K3" i="18"/>
  <c r="AY11" i="16"/>
  <c r="L27" i="18"/>
  <c r="AX77" i="17"/>
  <c r="K27" i="18" s="1"/>
  <c r="AY75" i="17"/>
  <c r="AG79" i="17"/>
  <c r="AR13" i="16" l="1"/>
  <c r="H61" i="29"/>
  <c r="H61" i="20"/>
  <c r="H61" i="5"/>
  <c r="H61" i="24"/>
  <c r="H61" i="27"/>
  <c r="H61" i="19"/>
  <c r="H61" i="26"/>
  <c r="K26" i="18"/>
  <c r="K32" i="18" s="1"/>
  <c r="H61" i="28"/>
  <c r="H61" i="25"/>
  <c r="AY81" i="17"/>
  <c r="H61" i="21"/>
  <c r="H61" i="22"/>
  <c r="H61" i="23"/>
  <c r="AH75" i="17"/>
  <c r="AH77" i="17" s="1"/>
  <c r="AH79" i="17" s="1"/>
  <c r="AG81" i="17"/>
  <c r="L25" i="18"/>
  <c r="L32" i="18" s="1"/>
  <c r="I61" i="20"/>
  <c r="I61" i="24"/>
  <c r="I61" i="25"/>
  <c r="I61" i="21"/>
  <c r="I61" i="26"/>
  <c r="I61" i="5"/>
  <c r="I61" i="23"/>
  <c r="I61" i="27"/>
  <c r="I61" i="22"/>
  <c r="I61" i="29"/>
  <c r="I61" i="28"/>
  <c r="I61" i="19"/>
  <c r="I62" i="29" l="1"/>
  <c r="I62" i="21"/>
  <c r="I62" i="24"/>
  <c r="I62" i="5"/>
  <c r="I62" i="26"/>
  <c r="I62" i="23"/>
  <c r="I62" i="25"/>
  <c r="I62" i="19"/>
  <c r="I62" i="20"/>
  <c r="AI75" i="17"/>
  <c r="AH81" i="17"/>
  <c r="I62" i="22"/>
  <c r="I62" i="28"/>
  <c r="I62" i="27"/>
  <c r="AI77" i="17" l="1"/>
  <c r="AI79" i="17" s="1"/>
  <c r="AJ75" i="17" l="1"/>
  <c r="AI81" i="17"/>
  <c r="AJ77" i="17" l="1"/>
  <c r="AJ79" i="17"/>
  <c r="AK75" i="17" l="1"/>
  <c r="AJ81" i="17"/>
  <c r="AK77" i="17" l="1"/>
  <c r="AK79" i="17" s="1"/>
  <c r="AL75" i="17" l="1"/>
  <c r="AK81" i="17"/>
  <c r="AL77" i="17" l="1"/>
  <c r="AL79" i="17"/>
  <c r="AM75" i="17" l="1"/>
  <c r="AL81" i="17"/>
  <c r="AM77" i="17" l="1"/>
  <c r="AM79" i="17" s="1"/>
  <c r="AN75" i="17" l="1"/>
  <c r="AM81" i="17"/>
  <c r="AN77" i="17" l="1"/>
  <c r="AN79" i="17"/>
  <c r="AO75" i="17" l="1"/>
  <c r="AN81" i="17"/>
  <c r="AO77" i="17" l="1"/>
  <c r="AO79" i="17"/>
  <c r="AP75" i="17" l="1"/>
  <c r="AP77" i="17" s="1"/>
  <c r="AP79" i="17" s="1"/>
  <c r="AO81" i="17"/>
  <c r="AQ75" i="17" l="1"/>
  <c r="AP81" i="17"/>
  <c r="AQ77" i="17" l="1"/>
  <c r="AQ79" i="17" s="1"/>
  <c r="AR75" i="17" l="1"/>
  <c r="AQ81" i="17"/>
  <c r="AR77" i="17" l="1"/>
  <c r="AR79" i="17" s="1"/>
  <c r="AR81" i="17" s="1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<sst xmlns="http://schemas.openxmlformats.org/spreadsheetml/2006/main" count="5685" uniqueCount="338">
  <si>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</si>
  <si>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</si>
  <si>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</si>
  <si>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</si>
  <si>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</si>
  <si>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</si>
  <si>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</si>
  <si>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</si>
  <si>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</si>
  <si>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</si>
  <si>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</si>
  <si>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</si>
  <si>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</si>
  <si>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</si>
  <si>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</si>
  <si>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</si>
  <si>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</si>
  <si>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</si>
  <si>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</si>
  <si>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</si>
  <si>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</si>
  <si>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</si>
  <si>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</si>
  <si>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</si>
  <si>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</si>
  <si>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</si>
  <si>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</si>
  <si>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</si>
  <si>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</si>
  <si>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</si>
  <si>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</si>
  <si>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</si>
  <si>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</si>
  <si>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</si>
  <si>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</si>
  <si>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</si>
  <si>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</si>
  <si>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</si>
  <si>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</si>
  <si>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</si>
  <si>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</si>
  <si>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</si>
  <si>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</si>
  <si>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</si>
  <si>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</si>
  <si>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</si>
  <si>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</si>
  <si>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</si>
  <si>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</si>
  <si>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</si>
  <si>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</si>
  <si>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</si>
  <si>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</si>
  <si>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</si>
  <si>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</si>
  <si>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</si>
  <si>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</si>
  <si>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</si>
  <si>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</si>
  <si>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</si>
  <si>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</si>
  <si>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</si>
  <si>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</si>
  <si>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</si>
  <si>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</si>
  <si>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</si>
  <si>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</si>
  <si>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</si>
  <si>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</si>
  <si>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</si>
  <si>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</si>
  <si>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</si>
  <si>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</si>
  <si>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</si>
  <si>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</si>
  <si>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</si>
  <si>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</si>
  <si>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</si>
  <si>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</si>
  <si>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</si>
  <si>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</si>
  <si>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</si>
  <si>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</si>
  <si>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</si>
  <si>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</si>
  <si>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</si>
  <si>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</si>
  <si>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</si>
  <si>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</si>
  <si>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</si>
  <si>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</si>
  <si>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</si>
  <si>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</si>
  <si>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</si>
  <si>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</si>
  <si>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</si>
  <si>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</si>
  <si>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</si>
  <si>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</si>
  <si>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</si>
  <si>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</si>
  <si>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</si>
  <si>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</si>
  <si>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</si>
  <si>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</si>
  <si>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</si>
  <si>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</si>
  <si>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</si>
  <si>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</si>
  <si>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</si>
  <si>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</si>
  <si>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</si>
  <si>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</si>
  <si>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</si>
  <si>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</si>
  <si>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</si>
  <si>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</si>
  <si>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</si>
  <si>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</si>
  <si>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</si>
  <si>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</si>
  <si>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</si>
  <si>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</si>
  <si>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</si>
  <si>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</si>
  <si>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</si>
  <si>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</si>
  <si>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</si>
  <si>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</si>
  <si>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</si>
  <si>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</si>
  <si>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</si>
  <si>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</si>
  <si>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</si>
  <si>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</si>
  <si>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</si>
  <si>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</si>
  <si>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</si>
  <si>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</si>
  <si>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</si>
  <si>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</si>
  <si>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</si>
  <si>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</si>
  <si>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</si>
  <si>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</si>
  <si>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</si>
  <si>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</si>
  <si>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</si>
  <si>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</si>
  <si>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</si>
  <si>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</si>
  <si>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</si>
  <si>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</si>
  <si>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</si>
  <si>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</si>
  <si>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</si>
  <si>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</si>
  <si>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</si>
  <si>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</si>
  <si>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</si>
  <si>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</si>
  <si>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</si>
  <si>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</si>
  <si>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</si>
  <si>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</si>
  <si>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</si>
  <si>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</si>
  <si>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</si>
  <si>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</si>
  <si>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</si>
  <si>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</si>
  <si>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</si>
  <si>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</si>
  <si>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</si>
  <si>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</si>
  <si>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</si>
  <si>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</si>
  <si>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</si>
  <si>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</si>
  <si>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</si>
  <si>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</si>
  <si>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</si>
  <si>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</si>
  <si>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</si>
  <si>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</si>
  <si>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</si>
  <si>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</si>
  <si>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</si>
  <si>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</si>
  <si>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</si>
  <si>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</si>
  <si>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</si>
  <si>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</si>
  <si>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</si>
  <si>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</si>
  <si>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</si>
  <si>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</si>
  <si>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</si>
  <si>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</si>
  <si>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</si>
  <si>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</si>
  <si>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</si>
  <si>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</si>
  <si>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</si>
  <si>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</si>
  <si>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</si>
  <si>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</si>
  <si>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</si>
  <si>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</si>
  <si>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</si>
  <si>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</si>
  <si>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</si>
  <si>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</si>
  <si>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</si>
  <si>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</si>
  <si>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</si>
  <si>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</si>
  <si>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</si>
  <si>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</si>
  <si>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</si>
  <si>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</si>
  <si>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</si>
  <si>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</si>
  <si>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</si>
  <si>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</si>
  <si>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</si>
  <si>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</si>
  <si>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</si>
  <si>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</si>
  <si>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</si>
  <si>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</si>
  <si>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</si>
  <si>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</si>
  <si>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</si>
  <si>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</si>
  <si>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</si>
  <si>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</si>
  <si>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</si>
  <si>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</si>
  <si>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</si>
  <si>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</si>
  <si>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</si>
  <si>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</si>
  <si>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</si>
  <si>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</si>
  <si>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</si>
  <si>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</si>
  <si>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</si>
  <si>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</si>
  <si>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</si>
  <si>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</si>
  <si>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</si>
  <si>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</si>
  <si>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</si>
  <si>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</si>
  <si>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</si>
  <si>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</si>
  <si>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</si>
  <si>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</si>
  <si>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</si>
  <si>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</si>
  <si>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</si>
  <si>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</si>
  <si>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</si>
  <si>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</si>
  <si>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</si>
  <si>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</si>
  <si>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</si>
  <si>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</si>
  <si>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</si>
  <si>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</si>
  <si>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</si>
  <si>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</si>
  <si>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</si>
  <si>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</si>
  <si>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</si>
  <si>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</si>
  <si>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</si>
  <si>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</si>
  <si>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</si>
  <si>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</si>
  <si>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</si>
  <si>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</si>
  <si>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</si>
  <si>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</si>
  <si>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</si>
  <si>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</si>
  <si>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</si>
  <si>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</si>
  <si>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</si>
  <si>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</si>
  <si>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</si>
  <si>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</si>
  <si>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</si>
  <si>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</si>
  <si>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</si>
  <si>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</si>
  <si>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</si>
  <si>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</si>
  <si>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</si>
  <si>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</si>
  <si>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</si>
  <si>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</si>
  <si>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</si>
  <si>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</si>
  <si>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</si>
  <si>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</si>
  <si>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</si>
  <si>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</si>
  <si>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</si>
  <si>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</si>
  <si>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</si>
  <si>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</si>
  <si>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</si>
  <si>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</si>
  <si>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</si>
  <si>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</si>
  <si>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</si>
  <si>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</si>
  <si>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</si>
  <si>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</si>
  <si>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</si>
  <si>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</si>
  <si>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</si>
  <si>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</si>
  <si>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</si>
  <si>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</si>
  <si>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</si>
  <si>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</si>
  <si>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</si>
  <si>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</si>
  <si>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Americas/Newedge Broker Fees</t>
  </si>
  <si>
    <t>SG Americas Broker Fees</t>
  </si>
  <si>
    <t>Schedule 102</t>
  </si>
  <si>
    <t>Schedule102</t>
  </si>
  <si>
    <t>MAIN CALC</t>
  </si>
  <si>
    <t>Main Calc</t>
  </si>
  <si>
    <t>2015-2016 PGA Deferral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</si>
</sst>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7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2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36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om.excel4apps.wand.oracle.rtd.1">
      <tp>
        <v>0</v>
        <stp/>
        <stp>0</stp>
        <stp>201608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0" s="17"/>
      </tp>
      <tp>
        <v>0</v>
        <stp/>
        <stp>0</stp>
        <stp>201609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0" s="17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7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7"/>
      </tp>
      <tp>
        <v>-12011.1</v>
        <stp/>
        <stp>0</stp>
        <stp>201602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0" s="17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7"/>
      </tp>
      <tp>
        <v>-12011.1</v>
        <stp/>
        <stp>0</stp>
        <stp>201603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0" s="17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7"/>
      </tp>
      <tp>
        <v>0</v>
        <stp/>
        <stp>0</stp>
        <stp>201605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7"/>
      </tp>
      <tp>
        <v>-12011.1</v>
        <stp/>
        <stp>0</stp>
        <stp>201601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0" s="17"/>
      </tp>
      <tp>
        <v>0</v>
        <stp/>
        <stp>0</stp>
        <stp>201604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7"/>
      </tp>
      <tp>
        <v>-4349728.18</v>
        <stp/>
        <stp>0</stp>
        <stp>201603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7"/>
      </tp>
      <tp>
        <v>0</v>
        <stp/>
        <stp>0</stp>
        <stp>201606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0" s="17"/>
      </tp>
      <tp>
        <v>-4349728.18</v>
        <stp/>
        <stp>0</stp>
        <stp>201602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7"/>
      </tp>
      <tp>
        <v>0</v>
        <stp/>
        <stp>0</stp>
        <stp>201607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0" s="17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48" s="17"/>
      </tp>
      <tp>
        <v>-4349728.18</v>
        <stp/>
        <stp>0</stp>
        <stp>201601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7"/>
      </tp>
      <tp>
        <v>0</v>
        <stp/>
        <stp>0</stp>
        <stp>201604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0" s="17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48" s="17"/>
      </tp>
      <tp>
        <v>0</v>
        <stp/>
        <stp>0</stp>
        <stp>201605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0" s="17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48" s="17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48" s="17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48" s="17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48" s="17"/>
      </tp>
      <tp>
        <v>0</v>
        <stp/>
        <stp>0</stp>
        <stp>201612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0" s="17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48" s="17"/>
      </tp>
      <tp>
        <v>0</v>
        <stp/>
        <stp>0</stp>
        <stp>201605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48" s="17"/>
      </tp>
      <tp>
        <v>0</v>
        <stp/>
        <stp>0</stp>
        <stp>201610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0" s="17"/>
      </tp>
      <tp>
        <v>0</v>
        <stp/>
        <stp>0</stp>
        <stp>201604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48" s="17"/>
      </tp>
      <tp>
        <v>0</v>
        <stp/>
        <stp>0</stp>
        <stp>201611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0" s="17"/>
      </tp>
      <tp>
        <v>-983065.53</v>
        <stp/>
        <stp>0</stp>
        <stp>201603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48" s="17"/>
      </tp>
      <tp>
        <v>-983065.53</v>
        <stp/>
        <stp>0</stp>
        <stp>201602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48" s="17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7"/>
      </tp>
      <tp>
        <v>-983065.53</v>
        <stp/>
        <stp>0</stp>
        <stp>201601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48" s="17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7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7"/>
      </tp>
      <tp>
        <v>-1737468.37</v>
        <stp/>
        <stp>0</stp>
        <stp>201412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48" s="17"/>
      </tp>
      <tp>
        <v>-2186758.9</v>
        <stp/>
        <stp>0</stp>
        <stp>201411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48" s="17"/>
      </tp>
      <tp>
        <v>-411904.73</v>
        <stp/>
        <stp>0</stp>
        <stp>201412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14" s="17"/>
      </tp>
      <tp>
        <v>312448.96999999997</v>
        <stp/>
        <stp>0</stp>
        <stp>201411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14" s="17"/>
      </tp>
      <tp>
        <v>-11961.18</v>
        <stp/>
        <stp>0</stp>
        <stp>201508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0" s="17"/>
      </tp>
      <tp>
        <v>-11971.15</v>
        <stp/>
        <stp>0</stp>
        <stp>201509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0" s="17"/>
      </tp>
      <tp>
        <v>-3067053.25</v>
        <stp/>
        <stp>0</stp>
        <stp>201509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7"/>
      </tp>
      <tp>
        <v>-2418884.25</v>
        <stp/>
        <stp>0</stp>
        <stp>201508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7"/>
      </tp>
      <tp>
        <v>-11901.55</v>
        <stp/>
        <stp>0</stp>
        <stp>201502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0" s="17"/>
      </tp>
      <tp>
        <v>-2022423.18</v>
        <stp/>
        <stp>0</stp>
        <stp>201507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7"/>
      </tp>
      <tp>
        <v>-11911.47</v>
        <stp/>
        <stp>0</stp>
        <stp>201503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0" s="17"/>
      </tp>
      <tp>
        <v>-1678663</v>
        <stp/>
        <stp>0</stp>
        <stp>201506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7"/>
      </tp>
      <tp>
        <v>-1390232.65</v>
        <stp/>
        <stp>0</stp>
        <stp>201505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7"/>
      </tp>
      <tp>
        <v>-1224292.17</v>
        <stp/>
        <stp>0</stp>
        <stp>201504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7"/>
      </tp>
      <tp>
        <v>-287477.89</v>
        <stp/>
        <stp>0</stp>
        <stp>201503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7"/>
      </tp>
      <tp>
        <v>-11941.27</v>
        <stp/>
        <stp>0</stp>
        <stp>201506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0" s="17"/>
      </tp>
      <tp>
        <v>-754837.52</v>
        <stp/>
        <stp>0</stp>
        <stp>201502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7"/>
      </tp>
      <tp>
        <v>-11951.22</v>
        <stp/>
        <stp>0</stp>
        <stp>201507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0" s="17"/>
      </tp>
      <tp>
        <v>-1317584.08</v>
        <stp/>
        <stp>0</stp>
        <stp>201512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48" s="17"/>
      </tp>
      <tp>
        <v>-645308.82999999996</v>
        <stp/>
        <stp>0</stp>
        <stp>201501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14" s="17"/>
      </tp>
      <tp>
        <v>-11921.4</v>
        <stp/>
        <stp>0</stp>
        <stp>201504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0" s="17"/>
      </tp>
      <tp>
        <v>-1658528.55</v>
        <stp/>
        <stp>0</stp>
        <stp>201511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48" s="17"/>
      </tp>
      <tp>
        <v>-11931.33</v>
        <stp/>
        <stp>0</stp>
        <stp>201505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0" s="17"/>
      </tp>
      <tp>
        <v>-299312.53999999998</v>
        <stp/>
        <stp>0</stp>
        <stp>201510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48" s="17"/>
      </tp>
      <tp>
        <v>-416678.5</v>
        <stp/>
        <stp>0</stp>
        <stp>201509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48" s="17"/>
      </tp>
      <tp>
        <v>-496357.3</v>
        <stp/>
        <stp>0</stp>
        <stp>201508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48" s="17"/>
      </tp>
      <tp>
        <v>-564427.81999999995</v>
        <stp/>
        <stp>0</stp>
        <stp>201507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48" s="17"/>
      </tp>
      <tp>
        <v>-12001.1</v>
        <stp/>
        <stp>0</stp>
        <stp>201512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0" s="17"/>
      </tp>
      <tp>
        <v>-623363.06999999995</v>
        <stp/>
        <stp>0</stp>
        <stp>201506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48" s="17"/>
      </tp>
      <tp>
        <v>-685903.92</v>
        <stp/>
        <stp>0</stp>
        <stp>201505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48" s="17"/>
      </tp>
      <tp>
        <v>-11981.13</v>
        <stp/>
        <stp>0</stp>
        <stp>201510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0" s="17"/>
      </tp>
      <tp>
        <v>-767403.96</v>
        <stp/>
        <stp>0</stp>
        <stp>201504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48" s="17"/>
      </tp>
      <tp>
        <v>-11991.11</v>
        <stp/>
        <stp>0</stp>
        <stp>201511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0" s="17"/>
      </tp>
      <tp>
        <v>-927936.74</v>
        <stp/>
        <stp>0</stp>
        <stp>201503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48" s="17"/>
      </tp>
      <tp>
        <v>-1139196.8400000001</v>
        <stp/>
        <stp>0</stp>
        <stp>201502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48" s="17"/>
      </tp>
      <tp>
        <v>-3634681.67</v>
        <stp/>
        <stp>0</stp>
        <stp>201512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7"/>
      </tp>
      <tp>
        <v>-1379625.35</v>
        <stp/>
        <stp>0</stp>
        <stp>201501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48" s="17"/>
      </tp>
      <tp>
        <v>-2684344.98</v>
        <stp/>
        <stp>0</stp>
        <stp>201511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7"/>
      </tp>
      <tp>
        <v>-3722405.07</v>
        <stp/>
        <stp>0</stp>
        <stp>201510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7"/>
      </tp>
      <tp>
        <v>413477.41</v>
        <stp/>
        <stp>0</stp>
        <stp>201309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7"/>
      </tp>
      <tp>
        <v>119852.95</v>
        <stp/>
        <stp>0</stp>
        <stp>201312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48" s="17"/>
      </tp>
      <tp>
        <v>121816.41</v>
        <stp/>
        <stp>0</stp>
        <stp>201311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48" s="17"/>
      </tp>
      <tp>
        <v>122113.18</v>
        <stp/>
        <stp>0</stp>
        <stp>201310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48" s="17"/>
      </tp>
      <tp>
        <v>-5563.17</v>
        <stp/>
        <stp>0</stp>
        <stp>201309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48" s="17"/>
      </tp>
      <tp>
        <v>-2710545.83</v>
        <stp/>
        <stp>0</stp>
        <stp>201312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7"/>
      </tp>
      <tp>
        <v>-770749.31</v>
        <stp/>
        <stp>0</stp>
        <stp>201311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7"/>
      </tp>
      <tp>
        <v>-179650.42</v>
        <stp/>
        <stp>0</stp>
        <stp>201310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7"/>
      </tp>
      <tp>
        <v>2712780.25</v>
        <stp/>
        <stp>0</stp>
        <stp>201309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6"/>
      </tp>
      <tp>
        <v>1388327.03</v>
        <stp/>
        <stp>0</stp>
        <stp>201312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50" s="16"/>
      </tp>
      <tp>
        <v>1486369.82</v>
        <stp/>
        <stp>0</stp>
        <stp>201311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50" s="16"/>
      </tp>
      <tp>
        <v>404885.81</v>
        <stp/>
        <stp>0</stp>
        <stp>201310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50" s="16"/>
      </tp>
      <tp>
        <v>-46035.14</v>
        <stp/>
        <stp>0</stp>
        <stp>201309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50" s="16"/>
      </tp>
      <tp>
        <v>-4220307.88</v>
        <stp/>
        <stp>0</stp>
        <stp>201312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6"/>
      </tp>
      <tp>
        <v>-33498.75</v>
        <stp/>
        <stp>0</stp>
        <stp>201311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6"/>
      </tp>
      <tp>
        <v>2255013.98</v>
        <stp/>
        <stp>0</stp>
        <stp>201310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6"/>
      </tp>
      <tp>
        <v>-13695.72</v>
        <stp/>
        <stp>0</stp>
        <stp>201312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96" s="9"/>
        <tr r="H83" s="16"/>
      </tp>
      <tp>
        <v>8140.24</v>
        <stp/>
        <stp>0</stp>
        <stp>201310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83" s="16"/>
      </tp>
      <tp>
        <v>-693.68</v>
        <stp/>
        <stp>0</stp>
        <stp>201311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83" s="16"/>
      </tp>
      <tp>
        <v>38932.730000000003</v>
        <stp/>
        <stp>0</stp>
        <stp>201309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83" s="16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6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6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6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6"/>
      </tp>
      <tp>
        <v>0</v>
        <stp/>
        <stp>0</stp>
        <stp>201605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6"/>
      </tp>
      <tp>
        <v>0</v>
        <stp/>
        <stp>0</stp>
        <stp>201604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6"/>
      </tp>
      <tp>
        <v>-8432290.1199999992</v>
        <stp/>
        <stp>0</stp>
        <stp>201603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6"/>
      </tp>
      <tp>
        <v>-8432290.1199999992</v>
        <stp/>
        <stp>0</stp>
        <stp>201602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6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50" s="16"/>
      </tp>
      <tp>
        <v>-8432290.1199999992</v>
        <stp/>
        <stp>0</stp>
        <stp>201601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6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50" s="16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50" s="16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50" s="16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50" s="16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50" s="16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50" s="16"/>
      </tp>
      <tp>
        <v>0</v>
        <stp/>
        <stp>0</stp>
        <stp>201605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50" s="16"/>
      </tp>
      <tp>
        <v>0</v>
        <stp/>
        <stp>0</stp>
        <stp>201604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50" s="16"/>
      </tp>
      <tp>
        <v>-1799942.22</v>
        <stp/>
        <stp>0</stp>
        <stp>201603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50" s="16"/>
      </tp>
      <tp>
        <v>-1799942.22</v>
        <stp/>
        <stp>0</stp>
        <stp>201602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50" s="16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6"/>
      </tp>
      <tp>
        <v>-1799942.22</v>
        <stp/>
        <stp>0</stp>
        <stp>201601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50" s="16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6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6"/>
      </tp>
      <tp>
        <v>0</v>
        <stp/>
        <stp>0</stp>
        <stp>201612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3" s="16"/>
      </tp>
      <tp>
        <v>0</v>
        <stp/>
        <stp>0</stp>
        <stp>201610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3" s="16"/>
      </tp>
      <tp>
        <v>0</v>
        <stp/>
        <stp>0</stp>
        <stp>201611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3" s="16"/>
      </tp>
      <tp>
        <v>0</v>
        <stp/>
        <stp>0</stp>
        <stp>201608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3" s="16"/>
      </tp>
      <tp>
        <v>0</v>
        <stp/>
        <stp>0</stp>
        <stp>201609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3" s="16"/>
      </tp>
      <tp>
        <v>-14523.15</v>
        <stp/>
        <stp>0</stp>
        <stp>201602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3" s="16"/>
      </tp>
      <tp>
        <v>-14523.15</v>
        <stp/>
        <stp>0</stp>
        <stp>201603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3" s="16"/>
      </tp>
      <tp>
        <v>-14523.15</v>
        <stp/>
        <stp>0</stp>
        <stp>201601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3" s="16"/>
      </tp>
      <tp>
        <v>0</v>
        <stp/>
        <stp>0</stp>
        <stp>201606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3" s="16"/>
      </tp>
      <tp>
        <v>0</v>
        <stp/>
        <stp>0</stp>
        <stp>201607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3" s="16"/>
      </tp>
      <tp>
        <v>0</v>
        <stp/>
        <stp>0</stp>
        <stp>201604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3" s="16"/>
      </tp>
      <tp>
        <v>0</v>
        <stp/>
        <stp>0</stp>
        <stp>201605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3" s="16"/>
      </tp>
      <tp>
        <v>-4755858.01</v>
        <stp/>
        <stp>0</stp>
        <stp>201509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6"/>
      </tp>
      <tp>
        <v>-3555298.23</v>
        <stp/>
        <stp>0</stp>
        <stp>201508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6"/>
      </tp>
      <tp>
        <v>-3464489.87</v>
        <stp/>
        <stp>0</stp>
        <stp>201507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6"/>
      </tp>
      <tp>
        <v>-3112721.23</v>
        <stp/>
        <stp>0</stp>
        <stp>201506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6"/>
      </tp>
      <tp>
        <v>-2940906.69</v>
        <stp/>
        <stp>0</stp>
        <stp>201505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6"/>
      </tp>
      <tp>
        <v>-2769396.47</v>
        <stp/>
        <stp>0</stp>
        <stp>201504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6"/>
      </tp>
      <tp>
        <v>-683405.33</v>
        <stp/>
        <stp>0</stp>
        <stp>201503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6"/>
      </tp>
      <tp>
        <v>-1694440.02</v>
        <stp/>
        <stp>0</stp>
        <stp>201502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6"/>
      </tp>
      <tp>
        <v>-2400830.5699999998</v>
        <stp/>
        <stp>0</stp>
        <stp>201512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50" s="16"/>
      </tp>
      <tp>
        <v>-2966848.67</v>
        <stp/>
        <stp>0</stp>
        <stp>201511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50" s="16"/>
      </tp>
      <tp>
        <v>-360317.84</v>
        <stp/>
        <stp>0</stp>
        <stp>201510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50" s="16"/>
      </tp>
      <tp>
        <v>-446057.35</v>
        <stp/>
        <stp>0</stp>
        <stp>201509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50" s="16"/>
      </tp>
      <tp>
        <v>-503285.82</v>
        <stp/>
        <stp>0</stp>
        <stp>201508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50" s="16"/>
      </tp>
      <tp>
        <v>-537511.06000000006</v>
        <stp/>
        <stp>0</stp>
        <stp>201507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50" s="16"/>
      </tp>
      <tp>
        <v>-574942.81999999995</v>
        <stp/>
        <stp>0</stp>
        <stp>201506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50" s="16"/>
      </tp>
      <tp>
        <v>-610882.02</v>
        <stp/>
        <stp>0</stp>
        <stp>201505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50" s="16"/>
      </tp>
      <tp>
        <v>-669275.02</v>
        <stp/>
        <stp>0</stp>
        <stp>201504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50" s="16"/>
      </tp>
      <tp>
        <v>-801445.11</v>
        <stp/>
        <stp>0</stp>
        <stp>201503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50" s="16"/>
      </tp>
      <tp>
        <v>-978604.8</v>
        <stp/>
        <stp>0</stp>
        <stp>201502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50" s="16"/>
      </tp>
      <tp>
        <v>-6508323.8700000001</v>
        <stp/>
        <stp>0</stp>
        <stp>201512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6"/>
      </tp>
      <tp>
        <v>-4407824.17</v>
        <stp/>
        <stp>0</stp>
        <stp>201511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6"/>
      </tp>
      <tp>
        <v>-5900360.3399999999</v>
        <stp/>
        <stp>0</stp>
        <stp>201510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6"/>
      </tp>
      <tp>
        <v>-18146.939999999999</v>
        <stp/>
        <stp>0</stp>
        <stp>201512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3" s="16"/>
      </tp>
      <tp>
        <v>-23171.94</v>
        <stp/>
        <stp>0</stp>
        <stp>201510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3" s="16"/>
      </tp>
      <tp>
        <v>-21380.94</v>
        <stp/>
        <stp>0</stp>
        <stp>201511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3" s="16"/>
      </tp>
      <tp>
        <v>-26711.89</v>
        <stp/>
        <stp>0</stp>
        <stp>201508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3" s="16"/>
      </tp>
      <tp>
        <v>-25249.18</v>
        <stp/>
        <stp>0</stp>
        <stp>201509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3" s="16"/>
      </tp>
      <tp>
        <v>-38138.129999999997</v>
        <stp/>
        <stp>0</stp>
        <stp>201502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3" s="16"/>
      </tp>
      <tp>
        <v>-34282.97</v>
        <stp/>
        <stp>0</stp>
        <stp>201503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3" s="16"/>
      </tp>
      <tp>
        <v>-28708.29</v>
        <stp/>
        <stp>0</stp>
        <stp>201506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3" s="16"/>
      </tp>
      <tp>
        <v>-27692.49</v>
        <stp/>
        <stp>0</stp>
        <stp>201507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3" s="16"/>
      </tp>
      <tp>
        <v>-31253.88</v>
        <stp/>
        <stp>0</stp>
        <stp>201504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3" s="16"/>
      </tp>
      <tp>
        <v>-29770.94</v>
        <stp/>
        <stp>0</stp>
        <stp>201505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3" s="16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08070296"/>
        <c:axId val="508070688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070296"/>
        <c:axId val="508070688"/>
      </c:lineChart>
      <c:catAx>
        <c:axId val="50807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08070688"/>
        <c:crosses val="autoZero"/>
        <c:auto val="1"/>
        <c:lblAlgn val="ctr"/>
        <c:lblOffset val="10"/>
        <c:noMultiLvlLbl val="0"/>
      </c:catAx>
      <c:valAx>
        <c:axId val="508070688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50807029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79076736"/>
        <c:axId val="579077128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076736"/>
        <c:axId val="579077128"/>
      </c:lineChart>
      <c:catAx>
        <c:axId val="579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79077128"/>
        <c:crosses val="autoZero"/>
        <c:auto val="1"/>
        <c:lblAlgn val="ctr"/>
        <c:lblOffset val="0"/>
        <c:noMultiLvlLbl val="0"/>
      </c:catAx>
      <c:valAx>
        <c:axId val="57907712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57907673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4.6062740653608811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27576"/>
        <c:axId val="284627968"/>
      </c:lineChart>
      <c:catAx>
        <c:axId val="284627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84627968"/>
        <c:crosses val="autoZero"/>
        <c:auto val="1"/>
        <c:lblAlgn val="ctr"/>
        <c:lblOffset val="100"/>
        <c:noMultiLvlLbl val="0"/>
      </c:catAx>
      <c:valAx>
        <c:axId val="2846279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84627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1.0114499975783307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0.9251763833521548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28752"/>
        <c:axId val="284629144"/>
      </c:lineChart>
      <c:catAx>
        <c:axId val="28462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84629144"/>
        <c:crosses val="autoZero"/>
        <c:auto val="1"/>
        <c:lblAlgn val="ctr"/>
        <c:lblOffset val="100"/>
        <c:noMultiLvlLbl val="0"/>
      </c:catAx>
      <c:valAx>
        <c:axId val="28462914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8462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1.0855000000000001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1.0855000000000001</c:v>
                </c:pt>
                <c:pt idx="9">
                  <c:v>1.0854999999999997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0.96393908223063496</c:v>
                </c:pt>
                <c:pt idx="6">
                  <c:v>1.2571856399369927</c:v>
                </c:pt>
                <c:pt idx="7">
                  <c:v>2.3004975511953485</c:v>
                </c:pt>
                <c:pt idx="8">
                  <c:v>3.5585435299841626</c:v>
                </c:pt>
                <c:pt idx="9">
                  <c:v>3.2949009924754682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29928"/>
        <c:axId val="284630320"/>
      </c:lineChart>
      <c:catAx>
        <c:axId val="284629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84630320"/>
        <c:crosses val="autoZero"/>
        <c:auto val="1"/>
        <c:lblAlgn val="ctr"/>
        <c:lblOffset val="100"/>
        <c:noMultiLvlLbl val="0"/>
      </c:catAx>
      <c:valAx>
        <c:axId val="28463032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84629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2.5031999999999996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4.6040065166384396</c:v>
                </c:pt>
                <c:pt idx="6">
                  <c:v>1.879320750604895</c:v>
                </c:pt>
                <c:pt idx="7">
                  <c:v>2.0169332339660211</c:v>
                </c:pt>
                <c:pt idx="8">
                  <c:v>-7.1252815725731172E-3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110944"/>
        <c:axId val="251111336"/>
      </c:lineChart>
      <c:catAx>
        <c:axId val="25111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51111336"/>
        <c:crosses val="autoZero"/>
        <c:auto val="1"/>
        <c:lblAlgn val="ctr"/>
        <c:lblOffset val="100"/>
        <c:noMultiLvlLbl val="0"/>
      </c:catAx>
      <c:valAx>
        <c:axId val="25111133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5111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51112120"/>
        <c:axId val="251112512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12120"/>
        <c:axId val="251112512"/>
      </c:lineChart>
      <c:catAx>
        <c:axId val="25111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51112512"/>
        <c:crosses val="autoZero"/>
        <c:auto val="1"/>
        <c:lblAlgn val="ctr"/>
        <c:lblOffset val="10"/>
        <c:noMultiLvlLbl val="0"/>
      </c:catAx>
      <c:valAx>
        <c:axId val="25111251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5111212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51113296"/>
        <c:axId val="251113688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13296"/>
        <c:axId val="251113688"/>
      </c:lineChart>
      <c:catAx>
        <c:axId val="2511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51113688"/>
        <c:crosses val="autoZero"/>
        <c:auto val="1"/>
        <c:lblAlgn val="ctr"/>
        <c:lblOffset val="0"/>
        <c:noMultiLvlLbl val="0"/>
      </c:catAx>
      <c:valAx>
        <c:axId val="25111368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511132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3155445.8915170026</c:v>
                </c:pt>
                <c:pt idx="5">
                  <c:v>-731521.16344200075</c:v>
                </c:pt>
                <c:pt idx="6">
                  <c:v>-275383.91669399873</c:v>
                </c:pt>
                <c:pt idx="7">
                  <c:v>-980629.26678000088</c:v>
                </c:pt>
                <c:pt idx="8">
                  <c:v>-977679.20593799814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-151943.51056800038</c:v>
                </c:pt>
                <c:pt idx="5">
                  <c:v>205478.97620000015</c:v>
                </c:pt>
                <c:pt idx="6">
                  <c:v>850635.07825399959</c:v>
                </c:pt>
                <c:pt idx="7">
                  <c:v>1337646.2407499996</c:v>
                </c:pt>
                <c:pt idx="8">
                  <c:v>1130955.6430000002</c:v>
                </c:pt>
                <c:pt idx="9">
                  <c:v>1197349.4836119998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8112"/>
        <c:axId val="245678504"/>
      </c:lineChart>
      <c:catAx>
        <c:axId val="245678112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45678504"/>
        <c:crosses val="autoZero"/>
        <c:auto val="1"/>
        <c:lblAlgn val="ctr"/>
        <c:lblOffset val="100"/>
        <c:noMultiLvlLbl val="0"/>
      </c:catAx>
      <c:valAx>
        <c:axId val="245678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2456781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1481485.3942430012</c:v>
                </c:pt>
                <c:pt idx="5">
                  <c:v>-329784.44286800071</c:v>
                </c:pt>
                <c:pt idx="6">
                  <c:v>-132940.32528599957</c:v>
                </c:pt>
                <c:pt idx="7">
                  <c:v>-526274.63333000056</c:v>
                </c:pt>
                <c:pt idx="8">
                  <c:v>-516382.38517199899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-85321.711832000175</c:v>
                </c:pt>
                <c:pt idx="5">
                  <c:v>90312.58692999999</c:v>
                </c:pt>
                <c:pt idx="6">
                  <c:v>330250.67138599989</c:v>
                </c:pt>
                <c:pt idx="7">
                  <c:v>518458.73779999977</c:v>
                </c:pt>
                <c:pt idx="8">
                  <c:v>437973.09378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9288"/>
        <c:axId val="245679680"/>
      </c:lineChart>
      <c:catAx>
        <c:axId val="245679288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45679680"/>
        <c:crosses val="autoZero"/>
        <c:auto val="1"/>
        <c:lblAlgn val="ctr"/>
        <c:lblOffset val="100"/>
        <c:noMultiLvlLbl val="0"/>
      </c:catAx>
      <c:valAx>
        <c:axId val="245679680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456792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3" t="s">
        <v>193</v>
      </c>
      <c r="D1" s="583"/>
      <c r="E1" s="583"/>
      <c r="F1" s="583"/>
      <c r="G1" s="583"/>
      <c r="H1" s="583"/>
      <c r="I1" s="583"/>
      <c r="J1" s="583"/>
      <c r="K1" s="583"/>
      <c r="P1" s="585"/>
      <c r="Q1" s="585"/>
      <c r="R1" s="585"/>
      <c r="S1" s="585"/>
      <c r="T1" s="585"/>
      <c r="U1" s="585"/>
      <c r="V1" s="585"/>
      <c r="W1" s="585"/>
      <c r="X1" s="585"/>
    </row>
    <row r="2" spans="1:34" ht="23.25">
      <c r="C2" s="584" t="s">
        <v>248</v>
      </c>
      <c r="D2" s="584"/>
      <c r="E2" s="584"/>
      <c r="F2" s="584"/>
      <c r="G2" s="584"/>
      <c r="H2" s="584"/>
      <c r="I2" s="584"/>
      <c r="J2" s="584"/>
      <c r="K2" s="584"/>
      <c r="P2" s="583"/>
      <c r="Q2" s="583"/>
      <c r="R2" s="583"/>
      <c r="S2" s="583"/>
      <c r="T2" s="583"/>
      <c r="U2" s="583"/>
      <c r="V2" s="583"/>
      <c r="W2" s="583"/>
      <c r="X2" s="583"/>
      <c r="Z2" s="583"/>
      <c r="AA2" s="583"/>
      <c r="AB2" s="583"/>
      <c r="AC2" s="583"/>
      <c r="AD2" s="583"/>
      <c r="AE2" s="583"/>
      <c r="AF2" s="583"/>
      <c r="AG2" s="583"/>
      <c r="AH2" s="583"/>
    </row>
    <row r="3" spans="1:34" ht="23.25">
      <c r="C3" s="583" t="s">
        <v>195</v>
      </c>
      <c r="D3" s="583"/>
      <c r="E3" s="583"/>
      <c r="F3" s="583"/>
      <c r="G3" s="583"/>
      <c r="H3" s="583"/>
      <c r="I3" s="583"/>
      <c r="J3" s="583"/>
      <c r="K3" s="583"/>
      <c r="P3" s="584"/>
      <c r="Q3" s="584"/>
      <c r="R3" s="584"/>
      <c r="S3" s="584"/>
      <c r="T3" s="584"/>
      <c r="U3" s="584"/>
      <c r="V3" s="584"/>
      <c r="W3" s="584"/>
      <c r="X3" s="584"/>
      <c r="Z3" s="586"/>
      <c r="AA3" s="586"/>
      <c r="AB3" s="586"/>
      <c r="AC3" s="586"/>
      <c r="AD3" s="586"/>
      <c r="AE3" s="586"/>
      <c r="AF3" s="586"/>
      <c r="AG3" s="586"/>
      <c r="AH3" s="586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583"/>
      <c r="Q4" s="583"/>
      <c r="R4" s="583"/>
      <c r="S4" s="583"/>
      <c r="T4" s="583"/>
      <c r="U4" s="583"/>
      <c r="V4" s="583"/>
      <c r="W4" s="583"/>
      <c r="X4" s="583"/>
      <c r="Z4" s="583"/>
      <c r="AA4" s="583"/>
      <c r="AB4" s="583"/>
      <c r="AC4" s="583"/>
      <c r="AD4" s="583"/>
      <c r="AE4" s="583"/>
      <c r="AF4" s="583"/>
      <c r="AG4" s="583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5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Def-Amtz'!AU5,6)</f>
        <v>419600</v>
      </c>
      <c r="H2" s="511" t="str">
        <f>LEFT('WA - Def-Amtz'!AV5,6)</f>
        <v>GD</v>
      </c>
      <c r="I2" s="511" t="str">
        <f>LEFT('WA - Def-Amtz'!AW5,6)</f>
        <v>WA</v>
      </c>
      <c r="J2" s="509" t="s">
        <v>290</v>
      </c>
      <c r="K2" s="512">
        <f>'WA - Def-Amtz'!AX5</f>
        <v>0</v>
      </c>
      <c r="L2" s="512">
        <f>'WA - Def-Amtz'!AY5</f>
        <v>0</v>
      </c>
      <c r="M2" s="532" t="str">
        <f>'WA - Def-Amtz'!AT5</f>
        <v>WA Deferral Interest Income</v>
      </c>
    </row>
    <row r="3" spans="1:13" ht="15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Def-Amtz'!AU6,6)</f>
        <v>431600</v>
      </c>
      <c r="H3" s="511" t="str">
        <f>LEFT('WA - Def-Amtz'!AV6,6)</f>
        <v>GD</v>
      </c>
      <c r="I3" s="511" t="str">
        <f>LEFT('WA - Def-Amtz'!AW6,6)</f>
        <v>WA</v>
      </c>
      <c r="J3" s="509" t="s">
        <v>290</v>
      </c>
      <c r="K3" s="512">
        <f>'WA - Def-Amtz'!AX6</f>
        <v>23952.84</v>
      </c>
      <c r="L3" s="512">
        <f>'WA - Def-Amtz'!AY6</f>
        <v>0</v>
      </c>
      <c r="M3" s="532" t="str">
        <f>'WA - Def-Amtz'!AT6</f>
        <v>WA Deferral Interest Expense</v>
      </c>
    </row>
    <row r="4" spans="1:13" ht="15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Def-Amtz'!AU7,6)</f>
        <v>191010</v>
      </c>
      <c r="H4" s="511" t="str">
        <f>LEFT('WA - Def-Amtz'!AV7,6)</f>
        <v>GD</v>
      </c>
      <c r="I4" s="511" t="str">
        <f>LEFT('WA - Def-Amtz'!AW7,6)</f>
        <v>WA</v>
      </c>
      <c r="J4" s="509" t="s">
        <v>290</v>
      </c>
      <c r="K4" s="512">
        <f>'WA - Def-Amtz'!AX7</f>
        <v>0</v>
      </c>
      <c r="L4" s="512">
        <f>'WA - Def-Amtz'!AY7</f>
        <v>832506.82618799934</v>
      </c>
      <c r="M4" s="532" t="str">
        <f>'WA - Def-Amtz'!AT7</f>
        <v>WA Deferral</v>
      </c>
    </row>
    <row r="5" spans="1:13" ht="15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Def-Amtz'!AU8,6)</f>
        <v>805120</v>
      </c>
      <c r="H5" s="511" t="str">
        <f>LEFT('WA - Def-Amtz'!AV8,6)</f>
        <v>GD</v>
      </c>
      <c r="I5" s="511" t="str">
        <f>LEFT('WA - Def-Amtz'!AW8,6)</f>
        <v>WA</v>
      </c>
      <c r="J5" s="509" t="s">
        <v>290</v>
      </c>
      <c r="K5" s="512">
        <f>'WA - Def-Amtz'!AX8</f>
        <v>808553.98618799937</v>
      </c>
      <c r="L5" s="512">
        <f>'WA - Def-Amtz'!AY8</f>
        <v>0</v>
      </c>
      <c r="M5" s="532" t="str">
        <f>'WA - Def-Amtz'!AT8</f>
        <v>WA Deferral Expense</v>
      </c>
    </row>
    <row r="6" spans="1:13" ht="15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Def-Amtz'!AU42,6)</f>
        <v>431600</v>
      </c>
      <c r="H6" s="511" t="str">
        <f>LEFT('WA - Def-Amtz'!AV42,6)</f>
        <v>GD</v>
      </c>
      <c r="I6" s="511" t="str">
        <f>LEFT('WA - Def-Amtz'!AW42,6)</f>
        <v>WA</v>
      </c>
      <c r="J6" s="509" t="s">
        <v>290</v>
      </c>
      <c r="K6" s="512">
        <f>'WA - Def-Amtz'!AX42</f>
        <v>4282.8770231876824</v>
      </c>
      <c r="L6" s="512">
        <f>'WA - Def-Amtz'!AY42</f>
        <v>0</v>
      </c>
      <c r="M6" s="532" t="str">
        <f>'WA - Def-Amtz'!AT42</f>
        <v>WA Amortization Interest Expense</v>
      </c>
    </row>
    <row r="7" spans="1:13" ht="15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Def-Amtz'!AU43,6)</f>
        <v>191000</v>
      </c>
      <c r="H7" s="511" t="str">
        <f>LEFT('WA - Def-Amtz'!AV43,6)</f>
        <v>GD</v>
      </c>
      <c r="I7" s="511" t="str">
        <f>LEFT('WA - Def-Amtz'!AW43,6)</f>
        <v>WA</v>
      </c>
      <c r="J7" s="509" t="s">
        <v>290</v>
      </c>
      <c r="K7" s="512">
        <f>'WA - Def-Amtz'!AX43</f>
        <v>432862.05600681232</v>
      </c>
      <c r="L7" s="512">
        <f>'WA - Def-Amtz'!AY43</f>
        <v>0</v>
      </c>
      <c r="M7" s="532" t="str">
        <f>'WA - Def-Amtz'!AT43</f>
        <v>WA Amortization</v>
      </c>
    </row>
    <row r="8" spans="1:13" ht="15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Def-Amtz'!AU44,6)</f>
        <v>805110</v>
      </c>
      <c r="H8" s="511" t="str">
        <f>LEFT('WA - Def-Amtz'!AV44,6)</f>
        <v>GD</v>
      </c>
      <c r="I8" s="511" t="str">
        <f>LEFT('WA - Def-Amtz'!AW44,6)</f>
        <v>WA</v>
      </c>
      <c r="J8" s="509" t="s">
        <v>290</v>
      </c>
      <c r="K8" s="512">
        <f>'WA - Def-Amtz'!AX44</f>
        <v>0</v>
      </c>
      <c r="L8" s="512">
        <f>'WA - Def-Amtz'!AY44</f>
        <v>437144.93303000001</v>
      </c>
      <c r="M8" s="532" t="str">
        <f>'WA - Def-Amtz'!AT44</f>
        <v>WA Amortization Expense</v>
      </c>
    </row>
    <row r="9" spans="1:13" ht="15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Def-Amtz'!AU76,6)</f>
        <v>191025</v>
      </c>
      <c r="H9" s="511" t="str">
        <f>LEFT('WA - Def-Amtz'!AV76,6)</f>
        <v>GD</v>
      </c>
      <c r="I9" s="511" t="str">
        <f>LEFT('WA - Def-Amtz'!AW76,6)</f>
        <v>WA</v>
      </c>
      <c r="J9" s="509" t="s">
        <v>290</v>
      </c>
      <c r="K9" s="512">
        <f>'WA - Def-Amtz'!AX76</f>
        <v>2670.8831</v>
      </c>
      <c r="L9" s="512">
        <f>'WA - Def-Amtz'!AY76</f>
        <v>0</v>
      </c>
      <c r="M9" s="532" t="str">
        <f>'WA - Def-Amtz'!AT76</f>
        <v>WA Amortization JP</v>
      </c>
    </row>
    <row r="10" spans="1:13" ht="15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Def-Amtz'!AU77,6)</f>
        <v>805110</v>
      </c>
      <c r="H10" s="511" t="str">
        <f>LEFT('WA - Def-Amtz'!AV77,6)</f>
        <v>GD</v>
      </c>
      <c r="I10" s="511" t="str">
        <f>LEFT('WA - Def-Amtz'!AW77,6)</f>
        <v>WA</v>
      </c>
      <c r="J10" s="509" t="s">
        <v>290</v>
      </c>
      <c r="K10" s="512">
        <f>'WA - Def-Amtz'!AX77</f>
        <v>0</v>
      </c>
      <c r="L10" s="512">
        <f>'WA - Def-Amtz'!AY77</f>
        <v>2670.8831</v>
      </c>
      <c r="M10" s="532" t="str">
        <f>'WA - Def-Amtz'!AT77</f>
        <v>WA Amortization Expense JP</v>
      </c>
    </row>
    <row r="11" spans="1:13" ht="15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5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5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'!AU5,6)</f>
        <v>419600</v>
      </c>
      <c r="H13" s="511" t="str">
        <f>LEFT('ID - Def-Amtz '!AV5,6)</f>
        <v>GD</v>
      </c>
      <c r="I13" s="511" t="str">
        <f>LEFT('ID - Def-Amtz '!AW5,6)</f>
        <v>ID</v>
      </c>
      <c r="J13" s="509" t="s">
        <v>290</v>
      </c>
      <c r="K13" s="512">
        <f>'ID - Def-Amtz '!AX5</f>
        <v>0</v>
      </c>
      <c r="L13" s="512">
        <f>'ID - Def-Amtz '!AY5</f>
        <v>0</v>
      </c>
      <c r="M13" s="532" t="str">
        <f>'ID - Def-Amtz '!AT5</f>
        <v>ID Deferral Interest Income</v>
      </c>
    </row>
    <row r="14" spans="1:13" ht="15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'!AU6,6)</f>
        <v>431600</v>
      </c>
      <c r="H14" s="511" t="str">
        <f>LEFT('ID - Def-Amtz '!AV6,6)</f>
        <v>GD</v>
      </c>
      <c r="I14" s="511" t="str">
        <f>LEFT('ID - Def-Amtz '!AW6,6)</f>
        <v>ID</v>
      </c>
      <c r="J14" s="509" t="s">
        <v>290</v>
      </c>
      <c r="K14" s="512">
        <f>'ID - Def-Amtz '!AX6</f>
        <v>3747.17</v>
      </c>
      <c r="L14" s="512">
        <f>'ID - Def-Amtz '!AY6</f>
        <v>0</v>
      </c>
      <c r="M14" s="532" t="str">
        <f>'ID - Def-Amtz '!AT6</f>
        <v>ID Deferral Interest Expense</v>
      </c>
    </row>
    <row r="15" spans="1:13" ht="15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'!AU7,6)</f>
        <v>191010</v>
      </c>
      <c r="H15" s="511" t="str">
        <f>LEFT('ID - Def-Amtz '!AV7,6)</f>
        <v>GD</v>
      </c>
      <c r="I15" s="511" t="str">
        <f>LEFT('ID - Def-Amtz '!AW7,6)</f>
        <v>ID</v>
      </c>
      <c r="J15" s="509" t="s">
        <v>290</v>
      </c>
      <c r="K15" s="512">
        <f>'ID - Def-Amtz '!AX7</f>
        <v>0</v>
      </c>
      <c r="L15" s="512">
        <f>'ID - Def-Amtz '!AY7</f>
        <v>297507.3002420002</v>
      </c>
      <c r="M15" s="532" t="str">
        <f>'ID - Def-Amtz '!AT7</f>
        <v>ID Deferral</v>
      </c>
    </row>
    <row r="16" spans="1:13" ht="15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'!AU8,6)</f>
        <v>805120</v>
      </c>
      <c r="H16" s="511" t="str">
        <f>LEFT('ID - Def-Amtz '!AV8,6)</f>
        <v>GD</v>
      </c>
      <c r="I16" s="511" t="str">
        <f>LEFT('ID - Def-Amtz '!AW8,6)</f>
        <v>ID</v>
      </c>
      <c r="J16" s="509" t="s">
        <v>290</v>
      </c>
      <c r="K16" s="512">
        <f>'ID - Def-Amtz '!AX8</f>
        <v>293760.13024200022</v>
      </c>
      <c r="L16" s="512">
        <f>'ID - Def-Amtz '!AY8</f>
        <v>0</v>
      </c>
      <c r="M16" s="532" t="str">
        <f>'ID - Def-Amtz '!AT8</f>
        <v>ID Deferral Expense</v>
      </c>
    </row>
    <row r="17" spans="1:13" ht="15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'!AU42,6)</f>
        <v>419600</v>
      </c>
      <c r="H17" s="511" t="str">
        <f>LEFT('ID - Def-Amtz '!AV42,6)</f>
        <v>GD</v>
      </c>
      <c r="I17" s="511" t="str">
        <f>LEFT('ID - Def-Amtz '!AW42,6)</f>
        <v>ID</v>
      </c>
      <c r="J17" s="509" t="s">
        <v>290</v>
      </c>
      <c r="K17" s="512">
        <f>'ID - Def-Amtz '!AX42</f>
        <v>0</v>
      </c>
      <c r="L17" s="512">
        <f>'ID - Def-Amtz '!AY42</f>
        <v>0</v>
      </c>
      <c r="M17" s="532" t="str">
        <f>'ID - Def-Amtz '!AT42</f>
        <v>ID Amortization Interest Income</v>
      </c>
    </row>
    <row r="18" spans="1:13" ht="15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'!AU43,6)</f>
        <v>431600</v>
      </c>
      <c r="H18" s="511" t="str">
        <f>LEFT('ID - Def-Amtz '!AV43,6)</f>
        <v>GD</v>
      </c>
      <c r="I18" s="511" t="str">
        <f>LEFT('ID - Def-Amtz '!AW43,6)</f>
        <v>ID</v>
      </c>
      <c r="J18" s="509" t="s">
        <v>290</v>
      </c>
      <c r="K18" s="512">
        <f>'ID - Def-Amtz '!AX43</f>
        <v>713.93829807428676</v>
      </c>
      <c r="L18" s="512">
        <f>'ID - Def-Amtz '!AY43</f>
        <v>0</v>
      </c>
      <c r="M18" s="532" t="str">
        <f>'ID - Def-Amtz '!AT43</f>
        <v>ID Amortization Interest Expense</v>
      </c>
    </row>
    <row r="19" spans="1:13" ht="15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'!AU44,6)</f>
        <v>191000</v>
      </c>
      <c r="H19" s="511" t="str">
        <f>LEFT('ID - Def-Amtz '!AV44,6)</f>
        <v>GD</v>
      </c>
      <c r="I19" s="511" t="str">
        <f>LEFT('ID - Def-Amtz '!AW44,6)</f>
        <v>ID</v>
      </c>
      <c r="J19" s="509" t="s">
        <v>290</v>
      </c>
      <c r="K19" s="512">
        <f>'ID - Def-Amtz '!AX44</f>
        <v>251965.21205192572</v>
      </c>
      <c r="L19" s="512">
        <f>'ID - Def-Amtz '!AY44</f>
        <v>0</v>
      </c>
      <c r="M19" s="532" t="str">
        <f>'ID - Def-Amtz '!AT44</f>
        <v>ID Amortization</v>
      </c>
    </row>
    <row r="20" spans="1:13" ht="15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'!AU45,6)</f>
        <v>805110</v>
      </c>
      <c r="H20" s="511" t="str">
        <f>LEFT('ID - Def-Amtz '!AV45,6)</f>
        <v>GD</v>
      </c>
      <c r="I20" s="511" t="str">
        <f>LEFT('ID - Def-Amtz '!AW45,6)</f>
        <v>ID</v>
      </c>
      <c r="J20" s="509" t="s">
        <v>290</v>
      </c>
      <c r="K20" s="512">
        <f>'ID - Def-Amtz '!AX45</f>
        <v>0</v>
      </c>
      <c r="L20" s="512">
        <f>'ID - Def-Amtz '!AY45</f>
        <v>252679.15035000001</v>
      </c>
      <c r="M20" s="532" t="str">
        <f>'ID - Def-Amtz '!AT45</f>
        <v>ID Amortization Expense</v>
      </c>
    </row>
    <row r="21" spans="1:13" ht="15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5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5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5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5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'!AU75,6)</f>
        <v>419600</v>
      </c>
      <c r="H25" s="511" t="str">
        <f>LEFT('ID - Def-Amtz '!AV75,6)</f>
        <v>GD</v>
      </c>
      <c r="I25" s="511" t="str">
        <f>LEFT('ID - Def-Amtz '!AW75,6)</f>
        <v>ID</v>
      </c>
      <c r="J25" s="509" t="s">
        <v>290</v>
      </c>
      <c r="K25" s="512">
        <f>'ID - Def-Amtz '!AX75</f>
        <v>0</v>
      </c>
      <c r="L25" s="512">
        <f>'ID - Def-Amtz '!AY75</f>
        <v>0</v>
      </c>
      <c r="M25" s="532" t="str">
        <f>'ID - Def-Amtz '!AT75</f>
        <v>ID Amortization Interest Income</v>
      </c>
    </row>
    <row r="26" spans="1:13" ht="15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'!AU76,6)</f>
        <v>431600</v>
      </c>
      <c r="H26" s="511" t="str">
        <f>LEFT('ID - Def-Amtz '!AV76,6)</f>
        <v>GD</v>
      </c>
      <c r="I26" s="511" t="str">
        <f>LEFT('ID - Def-Amtz '!AW76,6)</f>
        <v>ID</v>
      </c>
      <c r="J26" s="509" t="s">
        <v>290</v>
      </c>
      <c r="K26" s="512">
        <f>'ID - Def-Amtz '!AX76</f>
        <v>10.009238380762474</v>
      </c>
      <c r="L26" s="512">
        <f>'ID - Def-Amtz '!AY76</f>
        <v>0</v>
      </c>
      <c r="M26" s="532" t="str">
        <f>'ID - Def-Amtz '!AT76</f>
        <v>ID Amortization Interest Expense</v>
      </c>
    </row>
    <row r="27" spans="1:13" ht="15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'!AU77,6)</f>
        <v>191015</v>
      </c>
      <c r="H27" s="511" t="str">
        <f>LEFT('ID - Def-Amtz '!AV77,6)</f>
        <v>GD</v>
      </c>
      <c r="I27" s="511" t="str">
        <f>LEFT('ID - Def-Amtz '!AW77,6)</f>
        <v>ID</v>
      </c>
      <c r="J27" s="509" t="s">
        <v>290</v>
      </c>
      <c r="K27" s="512">
        <f>'ID - Def-Amtz '!AX77</f>
        <v>0</v>
      </c>
      <c r="L27" s="512">
        <f>'ID - Def-Amtz '!AY77</f>
        <v>10.009238380762474</v>
      </c>
      <c r="M27" s="532" t="str">
        <f>'ID - Def-Amtz '!AT77</f>
        <v>ID Amortization HB</v>
      </c>
    </row>
    <row r="28" spans="1:13" ht="15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'!AU78,6)</f>
        <v>805111</v>
      </c>
      <c r="H28" s="511" t="str">
        <f>LEFT('ID - Def-Amtz '!AV78,6)</f>
        <v>GD</v>
      </c>
      <c r="I28" s="511" t="str">
        <f>LEFT('ID - Def-Amtz '!AW78,6)</f>
        <v>ID</v>
      </c>
      <c r="J28" s="509" t="s">
        <v>290</v>
      </c>
      <c r="K28" s="512">
        <f>'ID - Def-Amtz '!AX78</f>
        <v>0</v>
      </c>
      <c r="L28" s="512">
        <f>'ID - Def-Amtz '!AY78</f>
        <v>0</v>
      </c>
      <c r="M28" s="532" t="str">
        <f>'ID - Def-Amtz '!AT78</f>
        <v>ID Amortization Expense HB</v>
      </c>
    </row>
    <row r="29" spans="1:13" ht="15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'!AU79,6)</f>
        <v>191015</v>
      </c>
      <c r="H29" s="511" t="str">
        <f>LEFT('ID - Def-Amtz '!AV79,6)</f>
        <v>GD</v>
      </c>
      <c r="I29" s="511" t="str">
        <f>LEFT('ID - Def-Amtz '!AW79,6)</f>
        <v>ID</v>
      </c>
      <c r="J29" s="509" t="s">
        <v>290</v>
      </c>
      <c r="K29" s="512">
        <f>'ID - Def-Amtz '!AX79</f>
        <v>0</v>
      </c>
      <c r="L29" s="512">
        <f>'ID - Def-Amtz '!AY79</f>
        <v>0</v>
      </c>
      <c r="M29" s="532" t="str">
        <f>'ID - Def-Amtz '!AT79</f>
        <v>Adjustment from Jan2015</v>
      </c>
    </row>
    <row r="30" spans="1:13" ht="15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'!AU80,6)</f>
        <v>431600</v>
      </c>
      <c r="H30" s="511" t="str">
        <f>LEFT('ID - Def-Amtz '!AV80,6)</f>
        <v>GD</v>
      </c>
      <c r="I30" s="511" t="str">
        <f>LEFT('ID - Def-Amtz '!AW80,6)</f>
        <v>ID</v>
      </c>
      <c r="J30" s="509" t="s">
        <v>290</v>
      </c>
      <c r="K30" s="512">
        <f>'ID - Def-Amtz '!AX80</f>
        <v>0</v>
      </c>
      <c r="L30" s="512">
        <f>'ID - Def-Amtz '!AY80</f>
        <v>0</v>
      </c>
      <c r="M30" s="532" t="str">
        <f>'ID - Def-Amtz '!AT80</f>
        <v>Adjustment from Jan2015</v>
      </c>
    </row>
    <row r="31" spans="1:13" ht="15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1822519.1021483801</v>
      </c>
      <c r="L32">
        <f>SUM(L2:L31)</f>
        <v>1822519.1021483804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topLeftCell="A31" zoomScale="85" zoomScaleNormal="85" workbookViewId="0">
      <selection activeCell="G35" sqref="G35"/>
    </sheetView>
  </sheetViews>
  <sheetFormatPr defaultColWidth="16" defaultRowHeight="15"/>
  <cols>
    <col min="1" max="1" width="44.8554687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75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75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75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75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5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75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75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5" thickBot="1">
      <c r="A18" s="1" t="s">
        <v>163</v>
      </c>
      <c r="C18" s="314">
        <f>60808.77+5780.97-2334.42</f>
        <v>64255.319999999992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4" ht="15.75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75">
      <c r="A24" s="209" t="s">
        <v>187</v>
      </c>
      <c r="C24" s="314">
        <v>0</v>
      </c>
      <c r="D24" s="36"/>
      <c r="F24" s="201" t="s">
        <v>333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7.25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5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75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7.25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75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75">
      <c r="A38" s="144" t="s">
        <v>14</v>
      </c>
      <c r="B38" s="86" t="s">
        <v>115</v>
      </c>
      <c r="C38" s="122">
        <v>0</v>
      </c>
      <c r="D38" s="36"/>
      <c r="F38" s="201" t="s">
        <v>333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75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75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75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5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5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5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5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332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5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5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5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7.25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5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11677206.130000001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1">
        <f>H53+I53+J53+K53</f>
        <v>-14300235.494359998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75">
      <c r="A63" s="44"/>
      <c r="C63" s="353"/>
      <c r="D63" s="36"/>
      <c r="G63" s="386"/>
      <c r="H63" s="386"/>
      <c r="I63" s="386"/>
      <c r="J63" s="386"/>
      <c r="S63" s="6"/>
    </row>
    <row r="64" spans="1:21" ht="15.75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75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362" priority="27" stopIfTrue="1" operator="equal">
      <formula>0</formula>
    </cfRule>
    <cfRule type="cellIs" dxfId="361" priority="28" stopIfTrue="1" operator="notEqual">
      <formula>0</formula>
    </cfRule>
  </conditionalFormatting>
  <conditionalFormatting sqref="G34 G47 K30 K45:K47">
    <cfRule type="cellIs" dxfId="360" priority="20" operator="notEqual">
      <formula>0</formula>
    </cfRule>
  </conditionalFormatting>
  <conditionalFormatting sqref="C62">
    <cfRule type="cellIs" dxfId="359" priority="14" stopIfTrue="1" operator="equal">
      <formula>0</formula>
    </cfRule>
    <cfRule type="cellIs" dxfId="358" priority="15" stopIfTrue="1" operator="notEqual">
      <formula>0</formula>
    </cfRule>
  </conditionalFormatting>
  <conditionalFormatting sqref="K30">
    <cfRule type="cellIs" dxfId="357" priority="13" operator="notEqual">
      <formula>0</formula>
    </cfRule>
  </conditionalFormatting>
  <conditionalFormatting sqref="G59">
    <cfRule type="cellIs" dxfId="356" priority="2" operator="equal">
      <formula>"ERROR"</formula>
    </cfRule>
  </conditionalFormatting>
  <conditionalFormatting sqref="G59">
    <cfRule type="cellIs" dxfId="35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zoomScale="80" zoomScaleNormal="80" workbookViewId="0">
      <selection activeCell="C31" sqref="C31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4" width="16" style="386"/>
    <col min="15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5" thickBot="1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75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75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75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75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63066.63+1866.13+7402</f>
        <v>72334.759999999995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5" thickBot="1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5" thickBot="1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5" thickBot="1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7.25" thickTop="1" thickBot="1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9482301.6600000001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-10577069.00643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54" priority="9" stopIfTrue="1" operator="equal">
      <formula>0</formula>
    </cfRule>
    <cfRule type="cellIs" dxfId="353" priority="10" stopIfTrue="1" operator="notEqual">
      <formula>0</formula>
    </cfRule>
  </conditionalFormatting>
  <conditionalFormatting sqref="G34 G47 K30 K47">
    <cfRule type="cellIs" dxfId="352" priority="8" operator="notEqual">
      <formula>0</formula>
    </cfRule>
  </conditionalFormatting>
  <conditionalFormatting sqref="C62">
    <cfRule type="cellIs" dxfId="351" priority="6" stopIfTrue="1" operator="equal">
      <formula>0</formula>
    </cfRule>
    <cfRule type="cellIs" dxfId="350" priority="7" stopIfTrue="1" operator="notEqual">
      <formula>0</formula>
    </cfRule>
  </conditionalFormatting>
  <conditionalFormatting sqref="K30">
    <cfRule type="cellIs" dxfId="349" priority="5" operator="notEqual">
      <formula>0</formula>
    </cfRule>
  </conditionalFormatting>
  <conditionalFormatting sqref="G59">
    <cfRule type="cellIs" dxfId="348" priority="4" operator="equal">
      <formula>"""ERROR"""</formula>
    </cfRule>
  </conditionalFormatting>
  <conditionalFormatting sqref="G59">
    <cfRule type="cellIs" dxfId="347" priority="3" operator="equal">
      <formula>"ERROR"</formula>
    </cfRule>
  </conditionalFormatting>
  <conditionalFormatting sqref="G59">
    <cfRule type="cellIs" dxfId="346" priority="2" operator="equal">
      <formula>"ERROR"</formula>
    </cfRule>
  </conditionalFormatting>
  <conditionalFormatting sqref="K45">
    <cfRule type="cellIs" dxfId="34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zoomScale="85" zoomScaleNormal="85" workbookViewId="0">
      <selection activeCell="J61" sqref="J61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-89.78-647.65+100513.99</f>
        <v>99776.560000000012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0.68030000000000002</v>
      </c>
      <c r="L5" s="447">
        <f>1-K5</f>
        <v>0.31969999999999998</v>
      </c>
      <c r="M5" s="387"/>
    </row>
    <row r="6" spans="1:13" ht="16.5" thickBot="1">
      <c r="A6" s="49" t="s">
        <v>30</v>
      </c>
      <c r="C6" s="315">
        <f>-2343063.08-482980-73845.1-127100-142987.5-81979.5-18600-102391.76</f>
        <v>-3372946.94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1324952.2499999995</v>
      </c>
      <c r="D7" s="35"/>
      <c r="F7" s="167" t="s">
        <v>139</v>
      </c>
      <c r="G7" s="167"/>
      <c r="H7" s="125">
        <f>C34</f>
        <v>2305977.5199999996</v>
      </c>
      <c r="I7" s="168">
        <f>H7*I5</f>
        <v>1629403.7156319998</v>
      </c>
      <c r="J7" s="168">
        <f>H7*J5</f>
        <v>676573.8043679999</v>
      </c>
      <c r="K7" s="168"/>
      <c r="L7" s="168"/>
      <c r="M7" s="387"/>
    </row>
    <row r="8" spans="1:13" ht="15.75">
      <c r="A8" s="386" t="s">
        <v>89</v>
      </c>
      <c r="C8" s="314">
        <f>386841.99</f>
        <v>386841.99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11191.2</v>
      </c>
      <c r="D9" s="36"/>
      <c r="F9" s="167" t="s">
        <v>119</v>
      </c>
      <c r="G9" s="387"/>
      <c r="H9" s="168">
        <f>C55</f>
        <v>10162765.590000004</v>
      </c>
      <c r="I9" s="168"/>
      <c r="J9" s="168"/>
      <c r="K9" s="168">
        <f>H9*K5</f>
        <v>6913729.4308770029</v>
      </c>
      <c r="L9" s="168">
        <f>H9*L5</f>
        <v>3249036.1591230012</v>
      </c>
      <c r="M9" s="387"/>
    </row>
    <row r="10" spans="1:13" ht="15.75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-2818.53</v>
      </c>
      <c r="I10" s="168"/>
      <c r="J10" s="168"/>
      <c r="K10" s="168">
        <f>H10</f>
        <v>-2818.53</v>
      </c>
      <c r="L10" s="168"/>
      <c r="M10" s="387"/>
    </row>
    <row r="11" spans="1:13">
      <c r="A11" s="66" t="s">
        <v>145</v>
      </c>
      <c r="C11" s="100">
        <f>SUM(C8:C10)</f>
        <v>394553.77</v>
      </c>
      <c r="D11" s="36"/>
      <c r="F11" s="170" t="s">
        <v>45</v>
      </c>
      <c r="G11" s="387"/>
      <c r="H11" s="171">
        <f>C57</f>
        <v>-2298.13</v>
      </c>
      <c r="I11" s="168"/>
      <c r="J11" s="168"/>
      <c r="K11" s="171"/>
      <c r="L11" s="171">
        <f>H11</f>
        <v>-2298.13</v>
      </c>
      <c r="M11" s="387"/>
    </row>
    <row r="12" spans="1:13" ht="15.75">
      <c r="A12" s="386" t="s">
        <v>165</v>
      </c>
      <c r="C12" s="314">
        <f>219410.47-572.98</f>
        <v>218837.49</v>
      </c>
      <c r="D12" s="36"/>
      <c r="F12" s="170" t="s">
        <v>138</v>
      </c>
      <c r="G12" s="387"/>
      <c r="H12" s="168">
        <f>H9+H10+H11</f>
        <v>10157648.930000003</v>
      </c>
      <c r="I12" s="168"/>
      <c r="J12" s="168"/>
      <c r="K12" s="168">
        <f>SUM(K9:K11)</f>
        <v>6910910.9008770026</v>
      </c>
      <c r="L12" s="168">
        <f>SUM(L9:L11)</f>
        <v>3246738.0291230013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218837.49</v>
      </c>
      <c r="D14" s="37"/>
      <c r="F14" s="50" t="s">
        <v>69</v>
      </c>
      <c r="G14" s="176"/>
      <c r="H14" s="125">
        <f>H12+H7</f>
        <v>12463626.450000003</v>
      </c>
      <c r="I14" s="177">
        <f>SUM(I7:I13)</f>
        <v>1629403.7156319998</v>
      </c>
      <c r="J14" s="177">
        <f>SUM(J7:J13)</f>
        <v>676573.8043679999</v>
      </c>
      <c r="K14" s="177">
        <f>K12</f>
        <v>6910910.9008770026</v>
      </c>
      <c r="L14" s="177">
        <f>L12</f>
        <v>3246738.0291230013</v>
      </c>
      <c r="M14" s="387"/>
    </row>
    <row r="15" spans="1:13" ht="15.75">
      <c r="A15" s="386" t="s">
        <v>184</v>
      </c>
      <c r="C15" s="314">
        <f>-1079.81+413492.21</f>
        <v>412412.4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412412.4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-207.2+75808.59+6395.76</f>
        <v>81997.149999999994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81997.149999999994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10479005</v>
      </c>
      <c r="H23" s="391">
        <v>0.12132999999999999</v>
      </c>
      <c r="I23" s="197">
        <f t="shared" ref="I23:I31" si="0">G23*H23</f>
        <v>1271417.67665</v>
      </c>
      <c r="J23" s="201" t="s">
        <v>37</v>
      </c>
      <c r="K23" s="264">
        <v>5090227</v>
      </c>
      <c r="L23" s="391">
        <v>0.10854999999999999</v>
      </c>
      <c r="M23" s="197">
        <f>K23*L23</f>
        <v>552544.14084999997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1927746</v>
      </c>
      <c r="L24" s="391">
        <v>0.10854999999999999</v>
      </c>
      <c r="M24" s="197">
        <f t="shared" ref="M24:M27" si="1">K24*L24</f>
        <v>209256.82829999999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4030672</v>
      </c>
      <c r="H25" s="391">
        <v>0.11426</v>
      </c>
      <c r="I25" s="197">
        <f t="shared" si="0"/>
        <v>460544.58272000001</v>
      </c>
      <c r="J25" s="201" t="s">
        <v>39</v>
      </c>
      <c r="K25" s="264">
        <v>871</v>
      </c>
      <c r="L25" s="391">
        <v>0.10854999999999999</v>
      </c>
      <c r="M25" s="197">
        <f t="shared" si="1"/>
        <v>94.547049999999999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335852</v>
      </c>
      <c r="H27" s="391">
        <v>0.10385</v>
      </c>
      <c r="I27" s="197">
        <f t="shared" si="0"/>
        <v>34878.230199999998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57610</v>
      </c>
      <c r="H28" s="391">
        <v>0.10385</v>
      </c>
      <c r="I28" s="197">
        <f t="shared" si="0"/>
        <v>5982.7984999999999</v>
      </c>
      <c r="J28" s="200" t="s">
        <v>127</v>
      </c>
      <c r="K28" s="182">
        <f>SUM(K23:K27)</f>
        <v>7018844</v>
      </c>
      <c r="L28" s="183"/>
      <c r="M28" s="198">
        <f>SUM(M23:M27)</f>
        <v>761895.51620000007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7018844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2432753.0599999996</v>
      </c>
      <c r="D30" s="37"/>
      <c r="F30" s="201" t="s">
        <v>43</v>
      </c>
      <c r="G30" s="264">
        <v>100117</v>
      </c>
      <c r="H30" s="391">
        <v>7.1069999999999994E-2</v>
      </c>
      <c r="I30" s="197">
        <f t="shared" si="0"/>
        <v>7115.3151899999993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-15807.78</v>
      </c>
      <c r="D31" s="39"/>
      <c r="F31" s="201" t="s">
        <v>74</v>
      </c>
      <c r="G31" s="264">
        <v>2608561</v>
      </c>
      <c r="H31" s="391">
        <v>5.4000000000000001E-4</v>
      </c>
      <c r="I31" s="197">
        <f t="shared" si="0"/>
        <v>1408.62294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2416945.2799999998</v>
      </c>
      <c r="D32" s="40"/>
      <c r="F32" s="200" t="s">
        <v>127</v>
      </c>
      <c r="G32" s="182">
        <f>SUM(G23:G31)</f>
        <v>17611817</v>
      </c>
      <c r="H32" s="7"/>
      <c r="I32" s="198">
        <f>SUM(I23:I31)</f>
        <v>1781347.2262000002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-110967.76000000001</v>
      </c>
      <c r="D33" s="36"/>
      <c r="F33" s="187"/>
      <c r="G33" s="232">
        <v>17611817</v>
      </c>
      <c r="H33" s="188" t="s">
        <v>102</v>
      </c>
      <c r="I33" s="217">
        <f>I32/G32</f>
        <v>0.10114499975783306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2305977.5199999996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5090227</v>
      </c>
      <c r="L36" s="391">
        <v>0.25031999999999999</v>
      </c>
      <c r="M36" s="197">
        <f t="shared" ref="M36:M42" si="2">K36*L36</f>
        <v>1274185.62264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15101135.720000001</v>
      </c>
      <c r="D37" s="36"/>
      <c r="F37" s="201" t="s">
        <v>37</v>
      </c>
      <c r="G37" s="265">
        <f>G23</f>
        <v>10479005</v>
      </c>
      <c r="H37" s="391">
        <v>0.25030999999999998</v>
      </c>
      <c r="I37" s="197">
        <f t="shared" ref="I37:I44" si="3">G37*H37</f>
        <v>2622999.7415499999</v>
      </c>
      <c r="J37" s="201" t="s">
        <v>38</v>
      </c>
      <c r="K37" s="265">
        <f>K24</f>
        <v>1927746</v>
      </c>
      <c r="L37" s="391">
        <v>0.25031999999999999</v>
      </c>
      <c r="M37" s="197">
        <f t="shared" si="2"/>
        <v>482553.37871999998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871</v>
      </c>
      <c r="L38" s="391">
        <v>0.25031999999999999</v>
      </c>
      <c r="M38" s="197">
        <f t="shared" si="2"/>
        <v>218.02871999999999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-39213.64</v>
      </c>
      <c r="D39" s="36"/>
      <c r="F39" s="201" t="s">
        <v>38</v>
      </c>
      <c r="G39" s="265">
        <f t="shared" ref="G39:G44" si="4">G25</f>
        <v>4030672</v>
      </c>
      <c r="H39" s="391">
        <v>0.25030999999999998</v>
      </c>
      <c r="I39" s="197">
        <f t="shared" si="3"/>
        <v>1008917.5083199999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2381888.59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9430.84</v>
      </c>
      <c r="D41" s="36"/>
      <c r="F41" s="201" t="s">
        <v>40</v>
      </c>
      <c r="G41" s="265">
        <f t="shared" si="4"/>
        <v>335852</v>
      </c>
      <c r="H41" s="391">
        <v>0.25030999999999998</v>
      </c>
      <c r="I41" s="197">
        <f t="shared" si="3"/>
        <v>84067.114119999998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841807.37</v>
      </c>
      <c r="D42" s="37"/>
      <c r="F42" s="201" t="s">
        <v>41</v>
      </c>
      <c r="G42" s="265">
        <f t="shared" si="4"/>
        <v>57610</v>
      </c>
      <c r="H42" s="391">
        <v>0.25030999999999998</v>
      </c>
      <c r="I42" s="197">
        <f t="shared" si="3"/>
        <v>14420.359099999998</v>
      </c>
      <c r="J42" s="201" t="s">
        <v>43</v>
      </c>
      <c r="K42" s="266">
        <v>33140</v>
      </c>
      <c r="L42" s="391">
        <v>0.25031999999999999</v>
      </c>
      <c r="M42" s="197">
        <f t="shared" si="2"/>
        <v>8295.6047999999992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18295048.880000003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7051984</v>
      </c>
      <c r="L43" s="183"/>
      <c r="M43" s="198">
        <f>SUM(M36:M42)</f>
        <v>1765252.63488</v>
      </c>
    </row>
    <row r="44" spans="1:17" ht="16.5" thickBot="1">
      <c r="A44" s="83" t="s">
        <v>178</v>
      </c>
      <c r="B44" s="84" t="s">
        <v>120</v>
      </c>
      <c r="C44" s="242">
        <f>-1294101.55+5012619.34-188849.13+230880.49</f>
        <v>3760549.1500000004</v>
      </c>
      <c r="D44" s="37"/>
      <c r="F44" s="201" t="s">
        <v>43</v>
      </c>
      <c r="G44" s="265">
        <f t="shared" si="4"/>
        <v>100117</v>
      </c>
      <c r="H44" s="391">
        <v>0.25030999999999998</v>
      </c>
      <c r="I44" s="197">
        <f t="shared" si="3"/>
        <v>25060.286269999997</v>
      </c>
      <c r="J44" s="195"/>
      <c r="K44" s="233">
        <v>7051984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15003256</v>
      </c>
      <c r="H45" s="183"/>
      <c r="I45" s="198">
        <f>SUM(I37:I44)</f>
        <v>3755465.00936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15003256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-13848.23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1019.48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5275.89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110967.76000000001</v>
      </c>
      <c r="D52" s="33"/>
      <c r="F52" s="387" t="s">
        <v>136</v>
      </c>
      <c r="G52" s="387"/>
      <c r="H52" s="213">
        <f>K12</f>
        <v>6910910.9008770026</v>
      </c>
      <c r="I52" s="115">
        <f>I14</f>
        <v>1629403.7156319998</v>
      </c>
      <c r="J52" s="115">
        <f>L12</f>
        <v>3246738.0291230013</v>
      </c>
      <c r="K52" s="115">
        <f>J14</f>
        <v>676573.8043679999</v>
      </c>
      <c r="L52" s="132">
        <f>SUM(H52:K52)</f>
        <v>12463626.450000003</v>
      </c>
      <c r="M52" s="387"/>
    </row>
    <row r="53" spans="1:21" ht="16.5" thickBot="1">
      <c r="A53" s="384" t="s">
        <v>124</v>
      </c>
      <c r="B53" s="475" t="s">
        <v>316</v>
      </c>
      <c r="C53" s="314">
        <v>-11626247.34</v>
      </c>
      <c r="D53" s="36"/>
      <c r="F53" s="386" t="s">
        <v>109</v>
      </c>
      <c r="H53" s="213">
        <f>-I45</f>
        <v>-3755465.00936</v>
      </c>
      <c r="I53" s="115">
        <f>-I32</f>
        <v>-1781347.2262000002</v>
      </c>
      <c r="J53" s="115">
        <f>-M43</f>
        <v>-1765252.63488</v>
      </c>
      <c r="K53" s="115">
        <f>-M28</f>
        <v>-761895.51620000007</v>
      </c>
      <c r="L53" s="263">
        <f>SUM(H53:K53)</f>
        <v>-8063960.3866400002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4399666.0633600028</v>
      </c>
    </row>
    <row r="55" spans="1:21" ht="16.5" thickBot="1">
      <c r="A55" s="82" t="s">
        <v>119</v>
      </c>
      <c r="B55" s="84"/>
      <c r="C55" s="160">
        <f>SUM(C43:C54)</f>
        <v>10162765.590000004</v>
      </c>
      <c r="D55" s="36"/>
      <c r="F55" s="386" t="s">
        <v>71</v>
      </c>
      <c r="H55" s="125">
        <f>IFERROR(H52+H53+H54,0)</f>
        <v>3155445.8915170026</v>
      </c>
      <c r="I55" s="125">
        <f>I52+I53+I54</f>
        <v>-151943.51056800038</v>
      </c>
      <c r="J55" s="125">
        <f>IFERROR(J52+J53+J54,0)</f>
        <v>1481485.3942430012</v>
      </c>
      <c r="K55" s="125">
        <f>K52+K53+K54</f>
        <v>-85321.711832000175</v>
      </c>
      <c r="L55" s="47">
        <f>SUM(H55:K55)</f>
        <v>4399666.0633600038</v>
      </c>
    </row>
    <row r="56" spans="1:21" ht="17.25" thickTop="1" thickBot="1">
      <c r="A56" s="386" t="s">
        <v>121</v>
      </c>
      <c r="B56" s="6" t="s">
        <v>115</v>
      </c>
      <c r="C56" s="122">
        <v>-2818.53</v>
      </c>
      <c r="D56" s="36"/>
      <c r="F56" s="241" t="s">
        <v>182</v>
      </c>
      <c r="H56" s="386" t="s">
        <v>173</v>
      </c>
      <c r="I56" s="5">
        <f>SUM(H55:I55)</f>
        <v>3003502.3809490022</v>
      </c>
      <c r="J56" s="15" t="s">
        <v>174</v>
      </c>
      <c r="K56" s="386">
        <f>SUM(J55:K55)</f>
        <v>1396163.6824110011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-2298.13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10157648.930000003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12463626.450000003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12463626.449999999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-8063960.3866400002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44" priority="8" stopIfTrue="1" operator="equal">
      <formula>0</formula>
    </cfRule>
    <cfRule type="cellIs" dxfId="343" priority="9" stopIfTrue="1" operator="notEqual">
      <formula>0</formula>
    </cfRule>
  </conditionalFormatting>
  <conditionalFormatting sqref="G34 G47 K30 K47">
    <cfRule type="cellIs" dxfId="342" priority="7" operator="notEqual">
      <formula>0</formula>
    </cfRule>
  </conditionalFormatting>
  <conditionalFormatting sqref="C62">
    <cfRule type="cellIs" dxfId="341" priority="5" stopIfTrue="1" operator="equal">
      <formula>0</formula>
    </cfRule>
    <cfRule type="cellIs" dxfId="340" priority="6" stopIfTrue="1" operator="notEqual">
      <formula>0</formula>
    </cfRule>
  </conditionalFormatting>
  <conditionalFormatting sqref="K30">
    <cfRule type="cellIs" dxfId="339" priority="4" operator="notEqual">
      <formula>0</formula>
    </cfRule>
  </conditionalFormatting>
  <conditionalFormatting sqref="G59">
    <cfRule type="cellIs" dxfId="338" priority="3" operator="equal">
      <formula>"""ERROR"""</formula>
    </cfRule>
  </conditionalFormatting>
  <conditionalFormatting sqref="G59">
    <cfRule type="cellIs" dxfId="337" priority="2" operator="equal">
      <formula>"ERROR"</formula>
    </cfRule>
  </conditionalFormatting>
  <conditionalFormatting sqref="G59">
    <cfRule type="cellIs" dxfId="33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84109.93+607.22</f>
        <v>84717.15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0.68930000000000002</v>
      </c>
      <c r="L5" s="447">
        <f>1-K5</f>
        <v>0.31069999999999998</v>
      </c>
      <c r="M5" s="387"/>
    </row>
    <row r="6" spans="1:13" ht="16.5" thickBot="1">
      <c r="A6" s="49" t="s">
        <v>30</v>
      </c>
      <c r="C6" s="315">
        <f>-2267480.4-467400-71463-123000-138375-79335-99088.8</f>
        <v>-3246142.1999999997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1288371.0400000005</v>
      </c>
      <c r="D7" s="35"/>
      <c r="F7" s="167" t="s">
        <v>139</v>
      </c>
      <c r="G7" s="167"/>
      <c r="H7" s="125">
        <f>C34</f>
        <v>2253998.4500000002</v>
      </c>
      <c r="I7" s="168">
        <f>H7*I5</f>
        <v>1592675.30477</v>
      </c>
      <c r="J7" s="168">
        <f>H7*J5</f>
        <v>661323.14523000002</v>
      </c>
      <c r="K7" s="168"/>
      <c r="L7" s="168"/>
      <c r="M7" s="387"/>
    </row>
    <row r="8" spans="1:13" ht="15.75">
      <c r="A8" s="386" t="s">
        <v>89</v>
      </c>
      <c r="C8" s="314">
        <v>212099.84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6253.35+31.87</f>
        <v>6285.22</v>
      </c>
      <c r="D9" s="36"/>
      <c r="F9" s="167" t="s">
        <v>119</v>
      </c>
      <c r="G9" s="387"/>
      <c r="H9" s="168">
        <f>C55</f>
        <v>3120358.7599999979</v>
      </c>
      <c r="I9" s="168"/>
      <c r="J9" s="168"/>
      <c r="K9" s="168">
        <f>H9*K5</f>
        <v>2150863.2932679988</v>
      </c>
      <c r="L9" s="168">
        <f>H9*L5</f>
        <v>969495.4667319993</v>
      </c>
      <c r="M9" s="387"/>
    </row>
    <row r="10" spans="1:13" ht="15.75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52860.99</v>
      </c>
      <c r="I10" s="168"/>
      <c r="J10" s="168"/>
      <c r="K10" s="168">
        <f>H10</f>
        <v>52860.99</v>
      </c>
      <c r="L10" s="168"/>
      <c r="M10" s="387"/>
    </row>
    <row r="11" spans="1:13">
      <c r="A11" s="66" t="s">
        <v>145</v>
      </c>
      <c r="C11" s="100">
        <f>SUM(C8:C10)</f>
        <v>215017.88</v>
      </c>
      <c r="D11" s="36"/>
      <c r="F11" s="170" t="s">
        <v>45</v>
      </c>
      <c r="G11" s="387"/>
      <c r="H11" s="171">
        <f>C57</f>
        <v>23919.119999999999</v>
      </c>
      <c r="I11" s="168"/>
      <c r="J11" s="168"/>
      <c r="K11" s="171"/>
      <c r="L11" s="171">
        <f>H11</f>
        <v>23919.119999999999</v>
      </c>
      <c r="M11" s="387"/>
    </row>
    <row r="12" spans="1:13" ht="15.75">
      <c r="A12" s="386" t="s">
        <v>165</v>
      </c>
      <c r="C12" s="314">
        <f>7059.71+329244.94</f>
        <v>336304.65</v>
      </c>
      <c r="D12" s="36"/>
      <c r="F12" s="170" t="s">
        <v>138</v>
      </c>
      <c r="G12" s="387"/>
      <c r="H12" s="168">
        <f>H9+H10+H11</f>
        <v>3197138.8699999982</v>
      </c>
      <c r="I12" s="168"/>
      <c r="J12" s="168"/>
      <c r="K12" s="168">
        <f>SUM(K9:K11)</f>
        <v>2203724.2832679991</v>
      </c>
      <c r="L12" s="168">
        <f>SUM(L9:L11)</f>
        <v>993414.5867319993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336304.65</v>
      </c>
      <c r="D14" s="37"/>
      <c r="F14" s="50" t="s">
        <v>69</v>
      </c>
      <c r="G14" s="176"/>
      <c r="H14" s="125">
        <f>H12+H7</f>
        <v>5451137.3199999984</v>
      </c>
      <c r="I14" s="177">
        <f>SUM(I7:I13)</f>
        <v>1592675.30477</v>
      </c>
      <c r="J14" s="177">
        <f>SUM(J7:J13)</f>
        <v>661323.14523000002</v>
      </c>
      <c r="K14" s="177">
        <f>K12</f>
        <v>2203724.2832679991</v>
      </c>
      <c r="L14" s="177">
        <f>L12</f>
        <v>993414.5867319993</v>
      </c>
      <c r="M14" s="387"/>
    </row>
    <row r="15" spans="1:13" ht="15.75">
      <c r="A15" s="386" t="s">
        <v>184</v>
      </c>
      <c r="C15" s="314">
        <f>13304.43+423777.34</f>
        <v>437081.77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437081.77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516.59+6705.18+69043.93</f>
        <v>76265.7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20822.05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97087.75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7714478</v>
      </c>
      <c r="H23" s="391">
        <v>0.12132999999999999</v>
      </c>
      <c r="I23" s="197">
        <f t="shared" ref="I23:I31" si="0">G23*H23</f>
        <v>935997.61573999992</v>
      </c>
      <c r="J23" s="201" t="s">
        <v>37</v>
      </c>
      <c r="K23" s="264">
        <v>3621515</v>
      </c>
      <c r="L23" s="391">
        <v>0.10854999999999999</v>
      </c>
      <c r="M23" s="197">
        <f>K23*L23</f>
        <v>393115.45324999996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/>
      <c r="J24" s="201" t="s">
        <v>38</v>
      </c>
      <c r="K24" s="264">
        <v>1633221</v>
      </c>
      <c r="L24" s="391">
        <v>0.10854999999999999</v>
      </c>
      <c r="M24" s="197">
        <f t="shared" ref="M24:M27" si="1">K24*L24</f>
        <v>177286.13954999999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3448422</v>
      </c>
      <c r="H25" s="391">
        <v>0.11426</v>
      </c>
      <c r="I25" s="197">
        <f t="shared" si="0"/>
        <v>394016.69772</v>
      </c>
      <c r="J25" s="201" t="s">
        <v>39</v>
      </c>
      <c r="K25" s="264">
        <v>5610</v>
      </c>
      <c r="L25" s="391">
        <v>0.10854999999999999</v>
      </c>
      <c r="M25" s="197">
        <f t="shared" si="1"/>
        <v>608.96550000000002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432834</v>
      </c>
      <c r="H27" s="391">
        <v>0.10385</v>
      </c>
      <c r="I27" s="197">
        <f t="shared" si="0"/>
        <v>44949.810899999997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49631</v>
      </c>
      <c r="H28" s="391">
        <v>0.10385</v>
      </c>
      <c r="I28" s="197">
        <f t="shared" si="0"/>
        <v>5154.1793500000003</v>
      </c>
      <c r="J28" s="200" t="s">
        <v>127</v>
      </c>
      <c r="K28" s="182">
        <f>SUM(K23:K27)</f>
        <v>5260346</v>
      </c>
      <c r="L28" s="183"/>
      <c r="M28" s="198">
        <f>SUM(M23:M27)</f>
        <v>571010.55830000003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5260346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2373863.0900000003</v>
      </c>
      <c r="D30" s="37"/>
      <c r="F30" s="201" t="s">
        <v>43</v>
      </c>
      <c r="G30" s="264">
        <v>81076</v>
      </c>
      <c r="H30" s="391">
        <v>7.1069999999999994E-2</v>
      </c>
      <c r="I30" s="197">
        <f t="shared" si="0"/>
        <v>5762.0713199999991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-8040.22</v>
      </c>
      <c r="D31" s="39"/>
      <c r="F31" s="201" t="s">
        <v>74</v>
      </c>
      <c r="G31" s="264">
        <v>2436951</v>
      </c>
      <c r="H31" s="391">
        <v>5.4000000000000001E-4</v>
      </c>
      <c r="I31" s="197">
        <f t="shared" si="0"/>
        <v>1315.95354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2365822.87</v>
      </c>
      <c r="D32" s="40"/>
      <c r="F32" s="200" t="s">
        <v>127</v>
      </c>
      <c r="G32" s="182">
        <f>SUM(G23:G31)</f>
        <v>14163392</v>
      </c>
      <c r="H32" s="7"/>
      <c r="I32" s="198">
        <f>SUM(I23:I31)</f>
        <v>1387196.3285699999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-111824.42</v>
      </c>
      <c r="D33" s="36"/>
      <c r="F33" s="187"/>
      <c r="G33" s="232">
        <v>14163392</v>
      </c>
      <c r="H33" s="188" t="s">
        <v>102</v>
      </c>
      <c r="I33" s="217">
        <f>I32/G32</f>
        <v>9.7942380509555893E-2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2253998.4500000002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3621515</v>
      </c>
      <c r="L36" s="391">
        <v>0.25031999999999999</v>
      </c>
      <c r="M36" s="197">
        <f t="shared" ref="M36:M42" si="2">K36*L36</f>
        <v>906537.6348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11768695.66</v>
      </c>
      <c r="D37" s="36"/>
      <c r="F37" s="201" t="s">
        <v>37</v>
      </c>
      <c r="G37" s="265">
        <f>G23</f>
        <v>7714478</v>
      </c>
      <c r="H37" s="391">
        <v>0.25030999999999998</v>
      </c>
      <c r="I37" s="197">
        <f t="shared" ref="I37:I44" si="3">G37*H37</f>
        <v>1931010.9881799999</v>
      </c>
      <c r="J37" s="201" t="s">
        <v>38</v>
      </c>
      <c r="K37" s="265">
        <f>K24</f>
        <v>1633221</v>
      </c>
      <c r="L37" s="391">
        <v>0.25031999999999999</v>
      </c>
      <c r="M37" s="197">
        <f t="shared" si="2"/>
        <v>408827.88071999996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>
        <f>G24</f>
        <v>0</v>
      </c>
      <c r="H38" s="391">
        <v>0.25030999999999998</v>
      </c>
      <c r="I38" s="197"/>
      <c r="J38" s="201" t="s">
        <v>39</v>
      </c>
      <c r="K38" s="265">
        <f>K25</f>
        <v>5610</v>
      </c>
      <c r="L38" s="391">
        <v>0.25031999999999999</v>
      </c>
      <c r="M38" s="197">
        <f t="shared" si="2"/>
        <v>1404.2952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-32935.440000000002</v>
      </c>
      <c r="D39" s="36"/>
      <c r="F39" s="201" t="s">
        <v>38</v>
      </c>
      <c r="G39" s="265">
        <f t="shared" ref="G39:G44" si="4">G25</f>
        <v>3448422</v>
      </c>
      <c r="H39" s="391">
        <v>0.25030999999999998</v>
      </c>
      <c r="I39" s="197">
        <f t="shared" si="3"/>
        <v>863174.51081999997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230209.5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-151668.67000000001</v>
      </c>
      <c r="D41" s="36"/>
      <c r="F41" s="201" t="s">
        <v>40</v>
      </c>
      <c r="G41" s="265">
        <f t="shared" si="4"/>
        <v>432834</v>
      </c>
      <c r="H41" s="391">
        <v>0.25030999999999998</v>
      </c>
      <c r="I41" s="197">
        <f t="shared" si="3"/>
        <v>108342.67853999999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331921.36</v>
      </c>
      <c r="D42" s="37"/>
      <c r="F42" s="201" t="s">
        <v>41</v>
      </c>
      <c r="G42" s="265">
        <f t="shared" si="4"/>
        <v>49631</v>
      </c>
      <c r="H42" s="391">
        <v>0.25030999999999998</v>
      </c>
      <c r="I42" s="197">
        <f t="shared" si="3"/>
        <v>12423.135609999999</v>
      </c>
      <c r="J42" s="201" t="s">
        <v>43</v>
      </c>
      <c r="K42" s="266">
        <v>25684</v>
      </c>
      <c r="L42" s="391">
        <v>0.25031999999999999</v>
      </c>
      <c r="M42" s="197">
        <f t="shared" si="2"/>
        <v>6429.2188799999994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12146222.41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5286030</v>
      </c>
      <c r="L43" s="183"/>
      <c r="M43" s="198">
        <f>SUM(M36:M42)</f>
        <v>1323199.0296</v>
      </c>
    </row>
    <row r="44" spans="1:17" ht="16.5" thickBot="1">
      <c r="A44" s="83" t="s">
        <v>178</v>
      </c>
      <c r="B44" s="84" t="s">
        <v>120</v>
      </c>
      <c r="C44" s="242">
        <f>1840001.97-2016451.52</f>
        <v>-176449.55000000005</v>
      </c>
      <c r="D44" s="37"/>
      <c r="F44" s="201" t="s">
        <v>43</v>
      </c>
      <c r="G44" s="265">
        <f t="shared" si="4"/>
        <v>81076</v>
      </c>
      <c r="H44" s="391">
        <v>0.25030999999999998</v>
      </c>
      <c r="I44" s="197">
        <f t="shared" si="3"/>
        <v>20294.133559999998</v>
      </c>
      <c r="J44" s="195"/>
      <c r="K44" s="233">
        <v>5286030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11726441</v>
      </c>
      <c r="H45" s="183"/>
      <c r="I45" s="198">
        <f>SUM(I37:I44)</f>
        <v>2935245.4467099998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11726441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30097.19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23155.67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1161.79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4029.24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v>111824.42</v>
      </c>
      <c r="D52" s="33"/>
      <c r="F52" s="387" t="s">
        <v>136</v>
      </c>
      <c r="G52" s="387"/>
      <c r="H52" s="213">
        <f>K12</f>
        <v>2203724.2832679991</v>
      </c>
      <c r="I52" s="115">
        <f>I14</f>
        <v>1592675.30477</v>
      </c>
      <c r="J52" s="115">
        <f>L12</f>
        <v>993414.5867319993</v>
      </c>
      <c r="K52" s="115">
        <f>J14</f>
        <v>661323.14523000002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-6074186.22-29670.75-2540825.44</f>
        <v>-8644682.4100000001</v>
      </c>
      <c r="D53" s="36"/>
      <c r="F53" s="386" t="s">
        <v>109</v>
      </c>
      <c r="H53" s="213">
        <f>-I45</f>
        <v>-2935245.4467099998</v>
      </c>
      <c r="I53" s="115">
        <f>-I32</f>
        <v>-1387196.3285699999</v>
      </c>
      <c r="J53" s="115">
        <f>-M43</f>
        <v>-1323199.0296</v>
      </c>
      <c r="K53" s="115">
        <f>-M28</f>
        <v>-571010.55830000003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3120358.7599999979</v>
      </c>
      <c r="D55" s="36"/>
      <c r="F55" s="386" t="s">
        <v>71</v>
      </c>
      <c r="H55" s="125">
        <f>IFERROR(H52+H53+H54,0)</f>
        <v>-731521.16344200075</v>
      </c>
      <c r="I55" s="125">
        <f>I52+I53+I54</f>
        <v>205478.97620000015</v>
      </c>
      <c r="J55" s="125">
        <f>IFERROR(J52+J53+J54,0)</f>
        <v>-329784.44286800071</v>
      </c>
      <c r="K55" s="125">
        <f>K52+K53+K54</f>
        <v>90312.58692999999</v>
      </c>
      <c r="L55" s="47">
        <f>SUM(H53:K53)</f>
        <v>-6216651.3631799994</v>
      </c>
    </row>
    <row r="56" spans="1:21" ht="17.25" thickTop="1" thickBot="1">
      <c r="A56" s="386" t="s">
        <v>121</v>
      </c>
      <c r="B56" s="6" t="s">
        <v>115</v>
      </c>
      <c r="C56" s="122">
        <v>52860.99</v>
      </c>
      <c r="D56" s="36"/>
      <c r="F56" s="241" t="s">
        <v>182</v>
      </c>
      <c r="H56" s="386" t="s">
        <v>173</v>
      </c>
      <c r="I56" s="5">
        <f>SUM(H55:I55)</f>
        <v>-526042.1872420006</v>
      </c>
      <c r="J56" s="15" t="s">
        <v>174</v>
      </c>
      <c r="K56" s="386">
        <f>SUM(J55:K55)</f>
        <v>-239471.85593800072</v>
      </c>
      <c r="L56" s="214">
        <f>ROUND(L54-L55,3)</f>
        <v>6216651.3629999999</v>
      </c>
      <c r="T56" s="42"/>
    </row>
    <row r="57" spans="1:21" ht="16.5" thickTop="1">
      <c r="A57" s="386" t="s">
        <v>122</v>
      </c>
      <c r="B57" s="6" t="s">
        <v>115</v>
      </c>
      <c r="C57" s="122">
        <v>23919.119999999999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3197138.8699999982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5451137.3199999984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5451137.3200000003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-6216651.3631799994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35" priority="8" stopIfTrue="1" operator="equal">
      <formula>0</formula>
    </cfRule>
    <cfRule type="cellIs" dxfId="334" priority="9" stopIfTrue="1" operator="notEqual">
      <formula>0</formula>
    </cfRule>
  </conditionalFormatting>
  <conditionalFormatting sqref="G34 G47 K30 K47">
    <cfRule type="cellIs" dxfId="333" priority="7" operator="notEqual">
      <formula>0</formula>
    </cfRule>
  </conditionalFormatting>
  <conditionalFormatting sqref="C62">
    <cfRule type="cellIs" dxfId="332" priority="5" stopIfTrue="1" operator="equal">
      <formula>0</formula>
    </cfRule>
    <cfRule type="cellIs" dxfId="331" priority="6" stopIfTrue="1" operator="notEqual">
      <formula>0</formula>
    </cfRule>
  </conditionalFormatting>
  <conditionalFormatting sqref="K30">
    <cfRule type="cellIs" dxfId="330" priority="4" operator="notEqual">
      <formula>0</formula>
    </cfRule>
  </conditionalFormatting>
  <conditionalFormatting sqref="G59">
    <cfRule type="cellIs" dxfId="329" priority="3" operator="equal">
      <formula>"""ERROR"""</formula>
    </cfRule>
  </conditionalFormatting>
  <conditionalFormatting sqref="G59">
    <cfRule type="cellIs" dxfId="328" priority="2" operator="equal">
      <formula>"ERROR"</formula>
    </cfRule>
  </conditionalFormatting>
  <conditionalFormatting sqref="G59">
    <cfRule type="cellIs" dxfId="32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9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1688.63+4598122.63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-41.98+105586.28</f>
        <v>105544.3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0.67110000000000003</v>
      </c>
      <c r="L5" s="447">
        <f>1-K5</f>
        <v>0.32889999999999997</v>
      </c>
      <c r="M5" s="387"/>
    </row>
    <row r="6" spans="1:13" ht="16.5" thickBot="1">
      <c r="A6" s="49" t="s">
        <v>30</v>
      </c>
      <c r="C6" s="315">
        <f>-2343063.08-482980-73845.1-127100-142987.5-81979.5-102391.76</f>
        <v>-3354346.94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1351008.6199999996</v>
      </c>
      <c r="D7" s="35"/>
      <c r="F7" s="167" t="s">
        <v>139</v>
      </c>
      <c r="G7" s="167"/>
      <c r="H7" s="125">
        <f>C34</f>
        <v>2131228.2899999996</v>
      </c>
      <c r="I7" s="168">
        <f>H7*I5</f>
        <v>1505925.9097139996</v>
      </c>
      <c r="J7" s="168">
        <f>H7*J5</f>
        <v>625302.38028599985</v>
      </c>
      <c r="K7" s="168"/>
      <c r="L7" s="168"/>
      <c r="M7" s="387"/>
    </row>
    <row r="8" spans="1:13" ht="15.75">
      <c r="A8" s="386" t="s">
        <v>89</v>
      </c>
      <c r="C8" s="314">
        <f>219169.84</f>
        <v>219169.84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6458.59</v>
      </c>
      <c r="D9" s="36"/>
      <c r="F9" s="167" t="s">
        <v>119</v>
      </c>
      <c r="G9" s="387"/>
      <c r="H9" s="168">
        <f>C55</f>
        <v>1805601.8600000013</v>
      </c>
      <c r="I9" s="168"/>
      <c r="J9" s="168"/>
      <c r="K9" s="168">
        <f>H9*K5</f>
        <v>1211739.408246001</v>
      </c>
      <c r="L9" s="168">
        <f>H9*L5</f>
        <v>593862.45175400039</v>
      </c>
      <c r="M9" s="387"/>
    </row>
    <row r="10" spans="1:13" ht="15.75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-90575.25</v>
      </c>
      <c r="I10" s="168"/>
      <c r="J10" s="168"/>
      <c r="K10" s="168">
        <f>H10</f>
        <v>-90575.25</v>
      </c>
      <c r="L10" s="168"/>
      <c r="M10" s="387"/>
    </row>
    <row r="11" spans="1:13">
      <c r="A11" s="66" t="s">
        <v>145</v>
      </c>
      <c r="C11" s="100">
        <f>SUM(C8:C10)</f>
        <v>222149.00999999998</v>
      </c>
      <c r="D11" s="36"/>
      <c r="F11" s="170" t="s">
        <v>45</v>
      </c>
      <c r="G11" s="387"/>
      <c r="H11" s="171">
        <f>C57</f>
        <v>-42453.68</v>
      </c>
      <c r="I11" s="168"/>
      <c r="J11" s="168"/>
      <c r="K11" s="171"/>
      <c r="L11" s="171">
        <f>H11</f>
        <v>-42453.68</v>
      </c>
      <c r="M11" s="387"/>
    </row>
    <row r="12" spans="1:13" ht="15.75">
      <c r="A12" s="386" t="s">
        <v>165</v>
      </c>
      <c r="C12" s="314">
        <f>251979.45-105138.73</f>
        <v>146840.72000000003</v>
      </c>
      <c r="D12" s="36"/>
      <c r="F12" s="170" t="s">
        <v>138</v>
      </c>
      <c r="G12" s="387"/>
      <c r="H12" s="168">
        <f>H9+H10+H11</f>
        <v>1672572.9300000013</v>
      </c>
      <c r="I12" s="168"/>
      <c r="J12" s="168"/>
      <c r="K12" s="168">
        <f>SUM(K9:K11)</f>
        <v>1121164.158246001</v>
      </c>
      <c r="L12" s="168">
        <f>SUM(L9:L11)</f>
        <v>551408.77175400034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146840.72000000003</v>
      </c>
      <c r="D14" s="37"/>
      <c r="F14" s="50" t="s">
        <v>69</v>
      </c>
      <c r="G14" s="176"/>
      <c r="H14" s="125">
        <f>H12+H7</f>
        <v>3803801.2200000007</v>
      </c>
      <c r="I14" s="177">
        <f>SUM(I7:I13)</f>
        <v>1505925.9097139996</v>
      </c>
      <c r="J14" s="177">
        <f>SUM(J7:J13)</f>
        <v>625302.38028599985</v>
      </c>
      <c r="K14" s="177">
        <f>K12</f>
        <v>1121164.158246001</v>
      </c>
      <c r="L14" s="177">
        <f>L12</f>
        <v>551408.77175400034</v>
      </c>
      <c r="M14" s="387"/>
    </row>
    <row r="15" spans="1:13" ht="15.75">
      <c r="A15" s="386" t="s">
        <v>184</v>
      </c>
      <c r="C15" s="314">
        <f>-4433.85+463223.67</f>
        <v>458789.82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458789.82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6508.35-791.53+67017.15</f>
        <v>72733.97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22085.27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94819.24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3297360</v>
      </c>
      <c r="H23" s="391">
        <v>0.12132999999999999</v>
      </c>
      <c r="I23" s="197">
        <f t="shared" ref="I23:I31" si="0">G23*H23</f>
        <v>400068.6888</v>
      </c>
      <c r="J23" s="201" t="s">
        <v>37</v>
      </c>
      <c r="K23" s="264">
        <v>1624041</v>
      </c>
      <c r="L23" s="391">
        <v>0.10854999999999999</v>
      </c>
      <c r="M23" s="197">
        <f>K23*L23</f>
        <v>176289.65054999999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1075904</v>
      </c>
      <c r="L24" s="391">
        <v>0.10854999999999999</v>
      </c>
      <c r="M24" s="197">
        <f t="shared" ref="M24:M27" si="1">K24*L24</f>
        <v>116789.3792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1901440</v>
      </c>
      <c r="H25" s="391">
        <v>0.11426</v>
      </c>
      <c r="I25" s="197">
        <f t="shared" si="0"/>
        <v>217258.5344</v>
      </c>
      <c r="J25" s="201" t="s">
        <v>39</v>
      </c>
      <c r="K25" s="264">
        <v>18173</v>
      </c>
      <c r="L25" s="391">
        <v>0.10854999999999999</v>
      </c>
      <c r="M25" s="197">
        <f t="shared" si="1"/>
        <v>1972.6791499999999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249954</v>
      </c>
      <c r="H27" s="391">
        <v>0.10385</v>
      </c>
      <c r="I27" s="197">
        <f t="shared" si="0"/>
        <v>25957.722900000001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46984</v>
      </c>
      <c r="H28" s="391">
        <v>0.10385</v>
      </c>
      <c r="I28" s="197">
        <f t="shared" si="0"/>
        <v>4879.2883999999995</v>
      </c>
      <c r="J28" s="200" t="s">
        <v>127</v>
      </c>
      <c r="K28" s="182">
        <f>SUM(K23:K27)</f>
        <v>2718118</v>
      </c>
      <c r="L28" s="183"/>
      <c r="M28" s="198">
        <f>SUM(M23:M27)</f>
        <v>295051.70889999997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2718118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2273607.4099999997</v>
      </c>
      <c r="D30" s="37"/>
      <c r="F30" s="201" t="s">
        <v>43</v>
      </c>
      <c r="G30" s="264">
        <v>83536</v>
      </c>
      <c r="H30" s="391">
        <v>7.1069999999999994E-2</v>
      </c>
      <c r="I30" s="197">
        <f t="shared" si="0"/>
        <v>5936.9035199999998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-8290.9599999999991</v>
      </c>
      <c r="D31" s="39"/>
      <c r="F31" s="201" t="s">
        <v>74</v>
      </c>
      <c r="G31" s="264">
        <v>2203136</v>
      </c>
      <c r="H31" s="391">
        <v>5.4000000000000001E-4</v>
      </c>
      <c r="I31" s="197">
        <f t="shared" si="0"/>
        <v>1189.69344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2265316.4499999997</v>
      </c>
      <c r="D32" s="40"/>
      <c r="F32" s="200" t="s">
        <v>127</v>
      </c>
      <c r="G32" s="182">
        <f>SUM(G23:G31)</f>
        <v>7782410</v>
      </c>
      <c r="H32" s="7"/>
      <c r="I32" s="198">
        <f>SUM(I23:I31)</f>
        <v>655290.83146000002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-134088.16</v>
      </c>
      <c r="D33" s="36"/>
      <c r="F33" s="187"/>
      <c r="G33" s="232">
        <v>7782410</v>
      </c>
      <c r="H33" s="188" t="s">
        <v>102</v>
      </c>
      <c r="I33" s="217">
        <f>I32/G32</f>
        <v>8.4201530304879854E-2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2131228.2899999996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1624041</v>
      </c>
      <c r="L36" s="391">
        <v>0.25031999999999999</v>
      </c>
      <c r="M36" s="197">
        <f t="shared" ref="M36:M42" si="2">K36*L36</f>
        <v>406529.94311999995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14735507.550000001</v>
      </c>
      <c r="D37" s="36"/>
      <c r="F37" s="201" t="s">
        <v>37</v>
      </c>
      <c r="G37" s="265">
        <f>G23</f>
        <v>3297360</v>
      </c>
      <c r="H37" s="391">
        <v>0.25030999999999998</v>
      </c>
      <c r="I37" s="197">
        <f t="shared" ref="I37:I44" si="3">G37*H37</f>
        <v>825362.18159999989</v>
      </c>
      <c r="J37" s="201" t="s">
        <v>38</v>
      </c>
      <c r="K37" s="265">
        <f>K24</f>
        <v>1075904</v>
      </c>
      <c r="L37" s="391">
        <v>0.25031999999999999</v>
      </c>
      <c r="M37" s="197">
        <f t="shared" si="2"/>
        <v>269320.28927999997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18173</v>
      </c>
      <c r="L38" s="391">
        <v>0.25031999999999999</v>
      </c>
      <c r="M38" s="197">
        <f t="shared" si="2"/>
        <v>4549.0653599999996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-29265.55</v>
      </c>
      <c r="D39" s="36"/>
      <c r="F39" s="201" t="s">
        <v>38</v>
      </c>
      <c r="G39" s="265">
        <f t="shared" ref="G39:G44" si="4">G25</f>
        <v>1901440</v>
      </c>
      <c r="H39" s="391">
        <v>0.25030999999999998</v>
      </c>
      <c r="I39" s="197">
        <f t="shared" si="3"/>
        <v>475949.44639999996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169432.04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295990.3</v>
      </c>
      <c r="D41" s="36"/>
      <c r="F41" s="201" t="s">
        <v>40</v>
      </c>
      <c r="G41" s="265">
        <f t="shared" si="4"/>
        <v>249954</v>
      </c>
      <c r="H41" s="391">
        <v>0.25030999999999998</v>
      </c>
      <c r="I41" s="197">
        <f t="shared" si="3"/>
        <v>62565.985739999996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829377.43</v>
      </c>
      <c r="D42" s="37"/>
      <c r="F42" s="201" t="s">
        <v>41</v>
      </c>
      <c r="G42" s="265">
        <f t="shared" si="4"/>
        <v>46984</v>
      </c>
      <c r="H42" s="391">
        <v>0.25030999999999998</v>
      </c>
      <c r="I42" s="197">
        <f t="shared" si="3"/>
        <v>11760.565039999999</v>
      </c>
      <c r="J42" s="201" t="s">
        <v>43</v>
      </c>
      <c r="K42" s="266">
        <v>15779</v>
      </c>
      <c r="L42" s="391">
        <v>0.25031999999999999</v>
      </c>
      <c r="M42" s="197">
        <f t="shared" si="2"/>
        <v>3949.7992799999997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16001041.77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2733897</v>
      </c>
      <c r="L43" s="183"/>
      <c r="M43" s="198">
        <f>SUM(M36:M42)</f>
        <v>684349.09703999991</v>
      </c>
    </row>
    <row r="44" spans="1:17" ht="16.5" thickBot="1">
      <c r="A44" s="83" t="s">
        <v>178</v>
      </c>
      <c r="B44" s="84" t="s">
        <v>120</v>
      </c>
      <c r="C44" s="242">
        <f>300585.27-6534327.52</f>
        <v>-6233742.25</v>
      </c>
      <c r="D44" s="37"/>
      <c r="F44" s="201" t="s">
        <v>43</v>
      </c>
      <c r="G44" s="265">
        <f t="shared" si="4"/>
        <v>83536</v>
      </c>
      <c r="H44" s="391">
        <v>0.25030999999999998</v>
      </c>
      <c r="I44" s="197">
        <f t="shared" si="3"/>
        <v>20909.896159999997</v>
      </c>
      <c r="J44" s="195"/>
      <c r="K44" s="233">
        <v>2733897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5579274</v>
      </c>
      <c r="H45" s="183"/>
      <c r="I45" s="198">
        <f>SUM(I37:I44)</f>
        <v>1396548.0749399997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5579274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24133.05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2529.98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5481.46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134088.16</v>
      </c>
      <c r="D52" s="33"/>
      <c r="F52" s="387" t="s">
        <v>136</v>
      </c>
      <c r="G52" s="387"/>
      <c r="H52" s="213">
        <f>K12</f>
        <v>1121164.158246001</v>
      </c>
      <c r="I52" s="115">
        <f>I14</f>
        <v>1505925.9097139996</v>
      </c>
      <c r="J52" s="115">
        <f>L12</f>
        <v>551408.77175400034</v>
      </c>
      <c r="K52" s="115">
        <f>J14</f>
        <v>625302.38028599985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-3934435.73-62044.4-3761450.18</f>
        <v>-7757930.3100000005</v>
      </c>
      <c r="D53" s="36"/>
      <c r="F53" s="386" t="s">
        <v>109</v>
      </c>
      <c r="H53" s="213">
        <f>-I45</f>
        <v>-1396548.0749399997</v>
      </c>
      <c r="I53" s="115">
        <f>-I32</f>
        <v>-655290.83146000002</v>
      </c>
      <c r="J53" s="115">
        <f>-M43</f>
        <v>-684349.09703999991</v>
      </c>
      <c r="K53" s="115">
        <f>-M28</f>
        <v>-295051.70889999997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1805601.8600000013</v>
      </c>
      <c r="D55" s="36"/>
      <c r="F55" s="386" t="s">
        <v>71</v>
      </c>
      <c r="H55" s="125">
        <f>IFERROR(H52+H53+H54,0)</f>
        <v>-275383.91669399873</v>
      </c>
      <c r="I55" s="125">
        <f>I52+I53+I54</f>
        <v>850635.07825399959</v>
      </c>
      <c r="J55" s="125">
        <f>IFERROR(J52+J53+J54,0)</f>
        <v>-132940.32528599957</v>
      </c>
      <c r="K55" s="125">
        <f>K52+K53+K54</f>
        <v>330250.67138599989</v>
      </c>
      <c r="L55" s="47">
        <f>SUM(H53:K53)</f>
        <v>-3031239.7123399996</v>
      </c>
    </row>
    <row r="56" spans="1:21" ht="17.25" thickTop="1" thickBot="1">
      <c r="A56" s="386" t="s">
        <v>121</v>
      </c>
      <c r="B56" s="6" t="s">
        <v>115</v>
      </c>
      <c r="C56" s="122">
        <v>-90575.25</v>
      </c>
      <c r="D56" s="36"/>
      <c r="F56" s="241" t="s">
        <v>182</v>
      </c>
      <c r="H56" s="386" t="s">
        <v>173</v>
      </c>
      <c r="I56" s="5">
        <f>SUM(H55:I55)</f>
        <v>575251.16156000085</v>
      </c>
      <c r="J56" s="15" t="s">
        <v>174</v>
      </c>
      <c r="K56" s="386">
        <f>SUM(J55:K55)</f>
        <v>197310.34610000032</v>
      </c>
      <c r="L56" s="214">
        <f>ROUND(L54-L55,3)</f>
        <v>3031239.7119999998</v>
      </c>
      <c r="T56" s="42"/>
    </row>
    <row r="57" spans="1:21" ht="16.5" thickTop="1">
      <c r="A57" s="386" t="s">
        <v>122</v>
      </c>
      <c r="B57" s="6" t="s">
        <v>115</v>
      </c>
      <c r="C57" s="122">
        <v>-42453.68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1672572.9300000013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3803801.2200000007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3803801.22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-3031239.7123399996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26" priority="7" stopIfTrue="1" operator="equal">
      <formula>0</formula>
    </cfRule>
    <cfRule type="cellIs" dxfId="325" priority="8" stopIfTrue="1" operator="notEqual">
      <formula>0</formula>
    </cfRule>
  </conditionalFormatting>
  <conditionalFormatting sqref="G34 G47 K30 K47">
    <cfRule type="cellIs" dxfId="324" priority="6" operator="notEqual">
      <formula>0</formula>
    </cfRule>
  </conditionalFormatting>
  <conditionalFormatting sqref="C62">
    <cfRule type="cellIs" dxfId="323" priority="4" stopIfTrue="1" operator="equal">
      <formula>0</formula>
    </cfRule>
    <cfRule type="cellIs" dxfId="322" priority="5" stopIfTrue="1" operator="notEqual">
      <formula>0</formula>
    </cfRule>
  </conditionalFormatting>
  <conditionalFormatting sqref="K30">
    <cfRule type="cellIs" dxfId="321" priority="3" operator="notEqual">
      <formula>0</formula>
    </cfRule>
  </conditionalFormatting>
  <conditionalFormatting sqref="G59">
    <cfRule type="cellIs" dxfId="320" priority="2" operator="equal">
      <formula>"ERROR"</formula>
    </cfRule>
  </conditionalFormatting>
  <conditionalFormatting sqref="G59">
    <cfRule type="cellIs" dxfId="31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110813.18-1841.59</f>
        <v>108971.59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0.65269999999999995</v>
      </c>
      <c r="L5" s="447">
        <f>1-K5</f>
        <v>0.34730000000000005</v>
      </c>
      <c r="M5" s="387"/>
    </row>
    <row r="6" spans="1:13" ht="16.5" thickBot="1">
      <c r="A6" s="49" t="s">
        <v>30</v>
      </c>
      <c r="C6" s="315">
        <f>-2267480.4-435420-71463-123000-138375-79335-99088.8</f>
        <v>-3214162.1999999997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1346239.5399999996</v>
      </c>
      <c r="D7" s="35"/>
      <c r="F7" s="167" t="s">
        <v>139</v>
      </c>
      <c r="G7" s="167"/>
      <c r="H7" s="125">
        <f>C34</f>
        <v>2542696.9999999995</v>
      </c>
      <c r="I7" s="168">
        <f>H7*I5</f>
        <v>1796669.7001999996</v>
      </c>
      <c r="J7" s="168">
        <f>H7*J5</f>
        <v>746027.2997999998</v>
      </c>
      <c r="K7" s="168"/>
      <c r="L7" s="168"/>
      <c r="M7" s="387"/>
    </row>
    <row r="8" spans="1:13" ht="15.75">
      <c r="A8" s="386" t="s">
        <v>89</v>
      </c>
      <c r="C8" s="314">
        <f>522556.29</f>
        <v>522556.29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18655.62</f>
        <v>18655.62</v>
      </c>
      <c r="D9" s="36"/>
      <c r="F9" s="167" t="s">
        <v>119</v>
      </c>
      <c r="G9" s="387"/>
      <c r="H9" s="168">
        <f>C55</f>
        <v>-74086.10000000149</v>
      </c>
      <c r="I9" s="168"/>
      <c r="J9" s="168"/>
      <c r="K9" s="168">
        <f>H9*K5</f>
        <v>-48355.99747000097</v>
      </c>
      <c r="L9" s="168">
        <f>H9*L5</f>
        <v>-25730.10253000052</v>
      </c>
      <c r="M9" s="387"/>
    </row>
    <row r="10" spans="1:13" ht="15.75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53923.35</v>
      </c>
      <c r="I10" s="168"/>
      <c r="J10" s="168"/>
      <c r="K10" s="168">
        <f>H10</f>
        <v>53923.35</v>
      </c>
      <c r="L10" s="168"/>
      <c r="M10" s="387"/>
    </row>
    <row r="11" spans="1:13">
      <c r="A11" s="66" t="s">
        <v>145</v>
      </c>
      <c r="C11" s="100">
        <f>SUM(C8:C10)</f>
        <v>537844.73</v>
      </c>
      <c r="D11" s="36"/>
      <c r="F11" s="170" t="s">
        <v>45</v>
      </c>
      <c r="G11" s="387"/>
      <c r="H11" s="171">
        <f>C57</f>
        <v>24236.33</v>
      </c>
      <c r="I11" s="168"/>
      <c r="J11" s="168"/>
      <c r="K11" s="171"/>
      <c r="L11" s="171">
        <f>H11</f>
        <v>24236.33</v>
      </c>
      <c r="M11" s="387"/>
    </row>
    <row r="12" spans="1:13" ht="15.75">
      <c r="A12" s="386" t="s">
        <v>165</v>
      </c>
      <c r="C12" s="314">
        <f>251070.01+2672.52</f>
        <v>253742.53</v>
      </c>
      <c r="D12" s="36"/>
      <c r="F12" s="170" t="s">
        <v>138</v>
      </c>
      <c r="G12" s="387"/>
      <c r="H12" s="168">
        <f>H9+H10+H11</f>
        <v>4073.5799999985102</v>
      </c>
      <c r="I12" s="168"/>
      <c r="J12" s="168"/>
      <c r="K12" s="168">
        <f>SUM(K9:K11)</f>
        <v>5567.3525299990288</v>
      </c>
      <c r="L12" s="168">
        <f>SUM(L9:L11)</f>
        <v>-1493.7725300005186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253742.53</v>
      </c>
      <c r="D14" s="37"/>
      <c r="F14" s="50" t="s">
        <v>69</v>
      </c>
      <c r="G14" s="176"/>
      <c r="H14" s="125">
        <f>H12+H7</f>
        <v>2546770.5799999982</v>
      </c>
      <c r="I14" s="177">
        <f>SUM(I7:I13)</f>
        <v>1796669.7001999996</v>
      </c>
      <c r="J14" s="177">
        <f>SUM(J7:J13)</f>
        <v>746027.2997999998</v>
      </c>
      <c r="K14" s="177">
        <f>K12</f>
        <v>5567.3525299990288</v>
      </c>
      <c r="L14" s="177">
        <f>L12</f>
        <v>-1493.7725300005186</v>
      </c>
      <c r="M14" s="387"/>
    </row>
    <row r="15" spans="1:13" ht="15.75">
      <c r="A15" s="386" t="s">
        <v>184</v>
      </c>
      <c r="C15" s="314">
        <f>461551.8+4912.61</f>
        <v>466464.41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466464.41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66775.28+6484.86+783.39</f>
        <v>74043.53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7090.74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81134.27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1968489</v>
      </c>
      <c r="H23" s="391">
        <v>0.12132999999999999</v>
      </c>
      <c r="I23" s="197">
        <f t="shared" ref="I23:I31" si="0">G23*H23</f>
        <v>238836.77036999998</v>
      </c>
      <c r="J23" s="201" t="s">
        <v>37</v>
      </c>
      <c r="K23" s="264">
        <v>985347</v>
      </c>
      <c r="L23" s="391">
        <v>0.10854999999999999</v>
      </c>
      <c r="M23" s="197">
        <f>K23*L23</f>
        <v>106959.41684999999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1089173</v>
      </c>
      <c r="L24" s="391">
        <v>0.10854999999999999</v>
      </c>
      <c r="M24" s="197">
        <f t="shared" ref="M24:M27" si="1">K24*L24</f>
        <v>118229.72915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1561904</v>
      </c>
      <c r="H25" s="391">
        <v>0.11426</v>
      </c>
      <c r="I25" s="197">
        <f t="shared" si="0"/>
        <v>178463.15104</v>
      </c>
      <c r="J25" s="201" t="s">
        <v>39</v>
      </c>
      <c r="K25" s="264">
        <v>21920</v>
      </c>
      <c r="L25" s="391">
        <v>0.10854999999999999</v>
      </c>
      <c r="M25" s="197">
        <f t="shared" si="1"/>
        <v>2379.4159999999997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322862</v>
      </c>
      <c r="H27" s="391">
        <v>0.10385</v>
      </c>
      <c r="I27" s="197">
        <f t="shared" si="0"/>
        <v>33529.218699999998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30135</v>
      </c>
      <c r="H28" s="391">
        <v>0.10385</v>
      </c>
      <c r="I28" s="197">
        <f t="shared" si="0"/>
        <v>3129.5197499999999</v>
      </c>
      <c r="J28" s="200" t="s">
        <v>127</v>
      </c>
      <c r="K28" s="182">
        <f>SUM(K23:K27)</f>
        <v>2096440</v>
      </c>
      <c r="L28" s="183"/>
      <c r="M28" s="198">
        <f>SUM(M23:M27)</f>
        <v>227568.56200000001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2096440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2685425.4799999995</v>
      </c>
      <c r="D30" s="37"/>
      <c r="F30" s="201" t="s">
        <v>43</v>
      </c>
      <c r="G30" s="264">
        <v>56511</v>
      </c>
      <c r="H30" s="391">
        <v>7.1069999999999994E-2</v>
      </c>
      <c r="I30" s="197">
        <f t="shared" si="0"/>
        <v>4016.2367699999995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-8010.53</v>
      </c>
      <c r="D31" s="39"/>
      <c r="F31" s="201" t="s">
        <v>74</v>
      </c>
      <c r="G31" s="264">
        <v>1941783</v>
      </c>
      <c r="H31" s="391">
        <v>5.4000000000000001E-4</v>
      </c>
      <c r="I31" s="197">
        <f t="shared" si="0"/>
        <v>1048.5628200000001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2677414.9499999997</v>
      </c>
      <c r="D32" s="40"/>
      <c r="F32" s="200" t="s">
        <v>127</v>
      </c>
      <c r="G32" s="182">
        <f>SUM(G23:G31)</f>
        <v>5881684</v>
      </c>
      <c r="H32" s="7"/>
      <c r="I32" s="198">
        <f>SUM(I23:I31)</f>
        <v>459023.45944999991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-134717.94999999998</v>
      </c>
      <c r="D33" s="36"/>
      <c r="F33" s="187"/>
      <c r="G33" s="232">
        <v>5881684</v>
      </c>
      <c r="H33" s="188" t="s">
        <v>102</v>
      </c>
      <c r="I33" s="217">
        <f>I32/G32</f>
        <v>7.8042863140896368E-2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2542696.9999999995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985347</v>
      </c>
      <c r="L36" s="391">
        <v>0.25031999999999999</v>
      </c>
      <c r="M36" s="197">
        <f t="shared" ref="M36:M42" si="2">K36*L36</f>
        <v>246652.06104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15997171.869999999</v>
      </c>
      <c r="D37" s="36"/>
      <c r="F37" s="201" t="s">
        <v>37</v>
      </c>
      <c r="G37" s="265">
        <f>G23</f>
        <v>1968489</v>
      </c>
      <c r="H37" s="391">
        <v>0.25030999999999998</v>
      </c>
      <c r="I37" s="197">
        <f t="shared" ref="I37:I44" si="3">G37*H37</f>
        <v>492732.48158999998</v>
      </c>
      <c r="J37" s="201" t="s">
        <v>38</v>
      </c>
      <c r="K37" s="265">
        <f>K24</f>
        <v>1089173</v>
      </c>
      <c r="L37" s="391">
        <v>0.25031999999999999</v>
      </c>
      <c r="M37" s="197">
        <f t="shared" si="2"/>
        <v>272641.78535999998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21920</v>
      </c>
      <c r="L38" s="391">
        <v>0.25031999999999999</v>
      </c>
      <c r="M38" s="197">
        <f t="shared" si="2"/>
        <v>5487.0144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-21681.82</v>
      </c>
      <c r="D39" s="36"/>
      <c r="F39" s="201" t="s">
        <v>38</v>
      </c>
      <c r="G39" s="265">
        <f t="shared" ref="G39:G44" si="4">G25</f>
        <v>1561904</v>
      </c>
      <c r="H39" s="391">
        <v>0.25030999999999998</v>
      </c>
      <c r="I39" s="197">
        <f t="shared" si="3"/>
        <v>390960.19023999997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-36176.26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-98447.05</v>
      </c>
      <c r="D41" s="36"/>
      <c r="F41" s="201" t="s">
        <v>40</v>
      </c>
      <c r="G41" s="265">
        <f t="shared" si="4"/>
        <v>322862</v>
      </c>
      <c r="H41" s="391">
        <v>0.25030999999999998</v>
      </c>
      <c r="I41" s="197">
        <f t="shared" si="3"/>
        <v>80815.587219999987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1389622.96</v>
      </c>
      <c r="D42" s="37"/>
      <c r="F42" s="201" t="s">
        <v>41</v>
      </c>
      <c r="G42" s="265">
        <f t="shared" si="4"/>
        <v>30135</v>
      </c>
      <c r="H42" s="391">
        <v>0.25030999999999998</v>
      </c>
      <c r="I42" s="197">
        <f t="shared" si="3"/>
        <v>7543.0918499999989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17230489.699999999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2096440</v>
      </c>
      <c r="L43" s="183"/>
      <c r="M43" s="198">
        <f>SUM(M36:M42)</f>
        <v>524780.86080000002</v>
      </c>
    </row>
    <row r="44" spans="1:17" ht="16.5" thickBot="1">
      <c r="A44" s="83" t="s">
        <v>178</v>
      </c>
      <c r="B44" s="84" t="s">
        <v>120</v>
      </c>
      <c r="C44" s="242">
        <f>4757787.19-2551846.53</f>
        <v>2205940.6600000006</v>
      </c>
      <c r="D44" s="37"/>
      <c r="F44" s="201" t="s">
        <v>43</v>
      </c>
      <c r="G44" s="265">
        <f t="shared" si="4"/>
        <v>56511</v>
      </c>
      <c r="H44" s="391">
        <v>0.25030999999999998</v>
      </c>
      <c r="I44" s="197">
        <f t="shared" si="3"/>
        <v>14145.268409999999</v>
      </c>
      <c r="J44" s="195"/>
      <c r="K44" s="233">
        <v>2096440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3939901</v>
      </c>
      <c r="H45" s="183"/>
      <c r="I45" s="198">
        <f>SUM(I37:I44)</f>
        <v>986196.61930999986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3939901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23120.18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28909.57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2996.97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7394.2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571" t="s">
        <v>118</v>
      </c>
      <c r="B52" s="572"/>
      <c r="C52" s="259">
        <f>-C33</f>
        <v>134717.94999999998</v>
      </c>
      <c r="D52" s="33"/>
      <c r="F52" s="387" t="s">
        <v>136</v>
      </c>
      <c r="G52" s="387"/>
      <c r="H52" s="213">
        <f>K12</f>
        <v>5567.3525299990288</v>
      </c>
      <c r="I52" s="115">
        <f>I14</f>
        <v>1796669.7001999996</v>
      </c>
      <c r="J52" s="115">
        <f>L12</f>
        <v>-1493.7725300005186</v>
      </c>
      <c r="K52" s="115">
        <f>J14</f>
        <v>746027.2997999998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-19337655.329999998</v>
      </c>
      <c r="D53" s="36"/>
      <c r="F53" s="386" t="s">
        <v>109</v>
      </c>
      <c r="H53" s="213">
        <f>-I45</f>
        <v>-986196.61930999986</v>
      </c>
      <c r="I53" s="115">
        <f>-I32</f>
        <v>-459023.45944999991</v>
      </c>
      <c r="J53" s="115">
        <f>-M43</f>
        <v>-524780.86080000002</v>
      </c>
      <c r="K53" s="115">
        <f>-M28</f>
        <v>-227568.56200000001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-74086.10000000149</v>
      </c>
      <c r="D55" s="36"/>
      <c r="F55" s="386" t="s">
        <v>71</v>
      </c>
      <c r="H55" s="125">
        <f>IFERROR(H52+H53+H54,0)</f>
        <v>-980629.26678000088</v>
      </c>
      <c r="I55" s="125">
        <f>I52+I53+I54</f>
        <v>1337646.2407499996</v>
      </c>
      <c r="J55" s="125">
        <f>IFERROR(J52+J53+J54,0)</f>
        <v>-526274.63333000056</v>
      </c>
      <c r="K55" s="125">
        <f>K52+K53+K54</f>
        <v>518458.73779999977</v>
      </c>
      <c r="L55" s="47">
        <f>SUM(H53:K53)</f>
        <v>-2197569.5015599998</v>
      </c>
    </row>
    <row r="56" spans="1:21" ht="17.25" thickTop="1" thickBot="1">
      <c r="A56" s="386" t="s">
        <v>121</v>
      </c>
      <c r="B56" s="6" t="s">
        <v>115</v>
      </c>
      <c r="C56" s="122">
        <v>53923.35</v>
      </c>
      <c r="D56" s="36"/>
      <c r="F56" s="241" t="s">
        <v>182</v>
      </c>
      <c r="H56" s="386" t="s">
        <v>173</v>
      </c>
      <c r="I56" s="5">
        <f>SUM(H55:I55)</f>
        <v>357016.97396999877</v>
      </c>
      <c r="J56" s="15" t="s">
        <v>174</v>
      </c>
      <c r="K56" s="386">
        <f>SUM(J55:K55)</f>
        <v>-7815.8955300007947</v>
      </c>
      <c r="L56" s="214">
        <f>ROUND(L54-L55,3)</f>
        <v>2197569.5019999999</v>
      </c>
      <c r="T56" s="42"/>
    </row>
    <row r="57" spans="1:21" ht="16.5" thickTop="1">
      <c r="A57" s="386" t="s">
        <v>122</v>
      </c>
      <c r="B57" s="6" t="s">
        <v>115</v>
      </c>
      <c r="C57" s="122">
        <v>24236.33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4073.5799999985102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2546770.5799999982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2546770.58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-2197569.5015599998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18" priority="7" stopIfTrue="1" operator="equal">
      <formula>0</formula>
    </cfRule>
    <cfRule type="cellIs" dxfId="317" priority="8" stopIfTrue="1" operator="notEqual">
      <formula>0</formula>
    </cfRule>
  </conditionalFormatting>
  <conditionalFormatting sqref="G34 G47 K30 K47">
    <cfRule type="cellIs" dxfId="316" priority="6" operator="notEqual">
      <formula>0</formula>
    </cfRule>
  </conditionalFormatting>
  <conditionalFormatting sqref="C62">
    <cfRule type="cellIs" dxfId="315" priority="4" stopIfTrue="1" operator="equal">
      <formula>0</formula>
    </cfRule>
    <cfRule type="cellIs" dxfId="314" priority="5" stopIfTrue="1" operator="notEqual">
      <formula>0</formula>
    </cfRule>
  </conditionalFormatting>
  <conditionalFormatting sqref="K30">
    <cfRule type="cellIs" dxfId="313" priority="3" operator="notEqual">
      <formula>0</formula>
    </cfRule>
  </conditionalFormatting>
  <conditionalFormatting sqref="G59">
    <cfRule type="cellIs" dxfId="312" priority="2" operator="equal">
      <formula>"ERROR"</formula>
    </cfRule>
  </conditionalFormatting>
  <conditionalFormatting sqref="G59">
    <cfRule type="cellIs" dxfId="31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0.65459999999999996</v>
      </c>
      <c r="L5" s="447">
        <f>1-K5</f>
        <v>0.34540000000000004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1573000.2044200001</v>
      </c>
      <c r="J7" s="168">
        <f>H7*J5</f>
        <v>653153.49557999999</v>
      </c>
      <c r="K7" s="168"/>
      <c r="L7" s="168"/>
      <c r="M7" s="387"/>
    </row>
    <row r="8" spans="1:13" ht="15.75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 ht="15.75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1573000.2044200001</v>
      </c>
      <c r="J14" s="177">
        <f>SUM(J7:J13)</f>
        <v>653153.49557999999</v>
      </c>
      <c r="K14" s="177">
        <f>K12</f>
        <v>-37232.245947998097</v>
      </c>
      <c r="L14" s="177">
        <f>L12</f>
        <v>-20169.044051999001</v>
      </c>
      <c r="M14" s="387"/>
    </row>
    <row r="15" spans="1:13" ht="15.75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63722.6+726.65+6188.4</f>
        <v>70637.649999999994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0.12132999999999999</v>
      </c>
      <c r="I23" s="197">
        <f t="shared" ref="I23:I31" si="0">G23*H23</f>
        <v>260269.71487</v>
      </c>
      <c r="J23" s="201" t="s">
        <v>37</v>
      </c>
      <c r="K23" s="264">
        <v>990038</v>
      </c>
      <c r="L23" s="391">
        <v>0.10854999999999999</v>
      </c>
      <c r="M23" s="197">
        <f>K23*L23</f>
        <v>107468.6249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964252</v>
      </c>
      <c r="L24" s="391">
        <v>0.10854999999999999</v>
      </c>
      <c r="M24" s="197">
        <f t="shared" ref="M24:M27" si="1">K24*L24</f>
        <v>104669.55459999999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1323231</v>
      </c>
      <c r="H25" s="391">
        <v>0.11426</v>
      </c>
      <c r="I25" s="197">
        <f t="shared" si="0"/>
        <v>151192.37406</v>
      </c>
      <c r="J25" s="201" t="s">
        <v>39</v>
      </c>
      <c r="K25" s="264">
        <v>28026</v>
      </c>
      <c r="L25" s="391">
        <v>0.10854999999999999</v>
      </c>
      <c r="M25" s="197">
        <f t="shared" si="1"/>
        <v>3042.2222999999999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247078</v>
      </c>
      <c r="H27" s="391">
        <v>0.10385</v>
      </c>
      <c r="I27" s="197">
        <f t="shared" si="0"/>
        <v>25659.050299999999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28317</v>
      </c>
      <c r="H28" s="391">
        <v>0.10385</v>
      </c>
      <c r="I28" s="197">
        <f t="shared" si="0"/>
        <v>2940.7204499999998</v>
      </c>
      <c r="J28" s="200" t="s">
        <v>127</v>
      </c>
      <c r="K28" s="182">
        <f>SUM(K23:K27)</f>
        <v>1982316</v>
      </c>
      <c r="L28" s="183"/>
      <c r="M28" s="198">
        <f>SUM(M23:M27)</f>
        <v>215180.40179999996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1982316</v>
      </c>
      <c r="L29" s="188" t="s">
        <v>102</v>
      </c>
      <c r="M29" s="467">
        <f>M28/K28</f>
        <v>0.10854999999999998</v>
      </c>
    </row>
    <row r="30" spans="1:13" ht="16.5" thickBot="1">
      <c r="A30" s="2" t="s">
        <v>111</v>
      </c>
      <c r="C30" s="125">
        <f>C7+C11+C14+C17+C20+C22+C27+C28+C29</f>
        <v>2333826.8800000004</v>
      </c>
      <c r="D30" s="37"/>
      <c r="F30" s="201" t="s">
        <v>43</v>
      </c>
      <c r="G30" s="264">
        <v>13364</v>
      </c>
      <c r="H30" s="391">
        <v>7.1069999999999994E-2</v>
      </c>
      <c r="I30" s="197">
        <f t="shared" si="0"/>
        <v>949.77947999999992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0</v>
      </c>
      <c r="D31" s="39"/>
      <c r="F31" s="201" t="s">
        <v>74</v>
      </c>
      <c r="G31" s="264">
        <v>1912819</v>
      </c>
      <c r="H31" s="391">
        <v>5.4000000000000001E-4</v>
      </c>
      <c r="I31" s="197">
        <f t="shared" si="0"/>
        <v>1032.9222600000001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2333826.8800000004</v>
      </c>
      <c r="D32" s="40"/>
      <c r="F32" s="200" t="s">
        <v>127</v>
      </c>
      <c r="G32" s="182">
        <f>SUM(G23:G31)</f>
        <v>5669948</v>
      </c>
      <c r="H32" s="7"/>
      <c r="I32" s="198">
        <f>SUM(I23:I31)</f>
        <v>442044.56142000004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-107673.18000000001</v>
      </c>
      <c r="D33" s="36"/>
      <c r="F33" s="187"/>
      <c r="G33" s="232">
        <v>5669948</v>
      </c>
      <c r="H33" s="188" t="s">
        <v>102</v>
      </c>
      <c r="I33" s="217">
        <f>I32/G32</f>
        <v>7.7962718779784237E-2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2226153.7000000002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990038</v>
      </c>
      <c r="L36" s="391">
        <v>0.25031999999999999</v>
      </c>
      <c r="M36" s="197">
        <f t="shared" ref="M36:M42" si="2">K36*L36</f>
        <v>247826.31216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12279845.109999999</v>
      </c>
      <c r="D37" s="36"/>
      <c r="F37" s="201" t="s">
        <v>37</v>
      </c>
      <c r="G37" s="265">
        <f>G23</f>
        <v>2145139</v>
      </c>
      <c r="H37" s="391">
        <v>0.25030999999999998</v>
      </c>
      <c r="I37" s="197">
        <f t="shared" ref="I37:I44" si="3">G37*H37</f>
        <v>536949.74309</v>
      </c>
      <c r="J37" s="201" t="s">
        <v>38</v>
      </c>
      <c r="K37" s="265">
        <f>K24</f>
        <v>964252</v>
      </c>
      <c r="L37" s="391">
        <v>0.25031999999999999</v>
      </c>
      <c r="M37" s="197">
        <f t="shared" si="2"/>
        <v>241371.56063999998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28026</v>
      </c>
      <c r="L38" s="391">
        <v>0.25031999999999999</v>
      </c>
      <c r="M38" s="197">
        <f t="shared" si="2"/>
        <v>7015.4683199999999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-16135.11</v>
      </c>
      <c r="D39" s="36"/>
      <c r="F39" s="201" t="s">
        <v>38</v>
      </c>
      <c r="G39" s="265">
        <f t="shared" ref="G39:G44" si="4">G25</f>
        <v>1323231</v>
      </c>
      <c r="H39" s="391">
        <v>0.25030999999999998</v>
      </c>
      <c r="I39" s="197">
        <f t="shared" si="3"/>
        <v>331217.95160999999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201327.19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46425.07</v>
      </c>
      <c r="D41" s="36"/>
      <c r="F41" s="201" t="s">
        <v>40</v>
      </c>
      <c r="G41" s="265">
        <f t="shared" si="4"/>
        <v>247078</v>
      </c>
      <c r="H41" s="391">
        <v>0.25030999999999998</v>
      </c>
      <c r="I41" s="197">
        <f t="shared" si="3"/>
        <v>61846.094179999993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2507553.63</v>
      </c>
      <c r="D42" s="37"/>
      <c r="F42" s="201" t="s">
        <v>41</v>
      </c>
      <c r="G42" s="265">
        <f t="shared" si="4"/>
        <v>28317</v>
      </c>
      <c r="H42" s="391">
        <v>0.25030999999999998</v>
      </c>
      <c r="I42" s="197">
        <f t="shared" si="3"/>
        <v>7088.0282699999998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15019015.890000001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1982316</v>
      </c>
      <c r="L43" s="183"/>
      <c r="M43" s="198">
        <f>SUM(M36:M42)</f>
        <v>496213.34112</v>
      </c>
    </row>
    <row r="44" spans="1:17" ht="16.5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201" t="s">
        <v>43</v>
      </c>
      <c r="G44" s="265">
        <f t="shared" si="4"/>
        <v>13364</v>
      </c>
      <c r="H44" s="391">
        <v>0.25030999999999998</v>
      </c>
      <c r="I44" s="197">
        <f t="shared" si="3"/>
        <v>3345.1428399999995</v>
      </c>
      <c r="J44" s="195"/>
      <c r="K44" s="233">
        <v>1982316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3757129</v>
      </c>
      <c r="H45" s="183"/>
      <c r="I45" s="198">
        <f>SUM(I37:I44)</f>
        <v>940446.95999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3757129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26821.56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3474.48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7644.22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107673.18000000001</v>
      </c>
      <c r="D52" s="33"/>
      <c r="F52" s="387" t="s">
        <v>136</v>
      </c>
      <c r="G52" s="387"/>
      <c r="H52" s="213">
        <f>K12</f>
        <v>-37232.245947998097</v>
      </c>
      <c r="I52" s="115">
        <f>I14</f>
        <v>1573000.2044200001</v>
      </c>
      <c r="J52" s="115">
        <f>L12</f>
        <v>-20169.044051999001</v>
      </c>
      <c r="K52" s="115">
        <f>J14</f>
        <v>653153.49557999999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109</v>
      </c>
      <c r="H53" s="213">
        <f>-I45</f>
        <v>-940446.95999</v>
      </c>
      <c r="I53" s="115">
        <f>-I32</f>
        <v>-442044.56142000004</v>
      </c>
      <c r="J53" s="115">
        <f>-M43</f>
        <v>-496213.34112</v>
      </c>
      <c r="K53" s="115">
        <f>-M28</f>
        <v>-215180.40179999996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-78232.379999997094</v>
      </c>
      <c r="D55" s="36"/>
      <c r="F55" s="386" t="s">
        <v>71</v>
      </c>
      <c r="H55" s="125">
        <f>IFERROR(H52+H53+H54,0)</f>
        <v>-977679.20593799814</v>
      </c>
      <c r="I55" s="125">
        <f>I52+I53+I54</f>
        <v>1130955.6430000002</v>
      </c>
      <c r="J55" s="125">
        <f>IFERROR(J52+J53+J54,0)</f>
        <v>-516382.38517199899</v>
      </c>
      <c r="K55" s="125">
        <f>K52+K53+K54</f>
        <v>437973.09378</v>
      </c>
      <c r="L55" s="47">
        <f>SUM(H53:K53)</f>
        <v>-2093885.2643299999</v>
      </c>
    </row>
    <row r="56" spans="1:21" ht="17.25" thickTop="1" thickBot="1">
      <c r="A56" s="386" t="s">
        <v>121</v>
      </c>
      <c r="B56" s="6" t="s">
        <v>115</v>
      </c>
      <c r="C56" s="122">
        <v>13978.67</v>
      </c>
      <c r="D56" s="36"/>
      <c r="F56" s="241" t="s">
        <v>182</v>
      </c>
      <c r="H56" s="386" t="s">
        <v>173</v>
      </c>
      <c r="I56" s="5">
        <f>SUM(H55:I55)</f>
        <v>153276.43706200202</v>
      </c>
      <c r="J56" s="15" t="s">
        <v>174</v>
      </c>
      <c r="K56" s="386">
        <f>SUM(J55:K55)</f>
        <v>-78409.291391998995</v>
      </c>
      <c r="L56" s="214">
        <f>ROUND(L54-L55,3)</f>
        <v>2093885.264</v>
      </c>
      <c r="T56" s="42"/>
    </row>
    <row r="57" spans="1:21" ht="16.5" thickTop="1">
      <c r="A57" s="386" t="s">
        <v>122</v>
      </c>
      <c r="B57" s="6" t="s">
        <v>115</v>
      </c>
      <c r="C57" s="122">
        <v>6852.42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-57401.289999997098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2168752.4100000029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2168752.41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-2093885.2643299999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10" priority="7" stopIfTrue="1" operator="equal">
      <formula>0</formula>
    </cfRule>
    <cfRule type="cellIs" dxfId="309" priority="8" stopIfTrue="1" operator="notEqual">
      <formula>0</formula>
    </cfRule>
  </conditionalFormatting>
  <conditionalFormatting sqref="G34 G47 K30 K47">
    <cfRule type="cellIs" dxfId="308" priority="6" operator="notEqual">
      <formula>0</formula>
    </cfRule>
  </conditionalFormatting>
  <conditionalFormatting sqref="C62">
    <cfRule type="cellIs" dxfId="307" priority="4" stopIfTrue="1" operator="equal">
      <formula>0</formula>
    </cfRule>
    <cfRule type="cellIs" dxfId="306" priority="5" stopIfTrue="1" operator="notEqual">
      <formula>0</formula>
    </cfRule>
  </conditionalFormatting>
  <conditionalFormatting sqref="K30">
    <cfRule type="cellIs" dxfId="305" priority="3" operator="notEqual">
      <formula>0</formula>
    </cfRule>
  </conditionalFormatting>
  <conditionalFormatting sqref="G59">
    <cfRule type="cellIs" dxfId="304" priority="2" operator="equal">
      <formula>"ERROR"</formula>
    </cfRule>
  </conditionalFormatting>
  <conditionalFormatting sqref="G59">
    <cfRule type="cellIs" dxfId="30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75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75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75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63347.27-284.04+6151.95</f>
        <v>69215.179999999993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0.10385</v>
      </c>
      <c r="I28" s="197">
        <f t="shared" si="0"/>
        <v>2836.45505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421439.54549999995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7.5867005323873457E-2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5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-421439.54549999995</v>
      </c>
      <c r="J53" s="115">
        <f>-M43</f>
        <v>-575880.18432</v>
      </c>
      <c r="K53" s="115">
        <f>-M28</f>
        <v>-249727.52479999998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1197349.4836119998</v>
      </c>
      <c r="J55" s="125">
        <f>IFERROR(J52+J53+J54,0)</f>
        <v>-511412.85420199909</v>
      </c>
      <c r="K55" s="125">
        <f>K52+K53+K54</f>
        <v>422438.76608799992</v>
      </c>
      <c r="L55" s="47">
        <f>SUM(H53:K53)</f>
        <v>-2151025.79978</v>
      </c>
    </row>
    <row r="56" spans="1:21" ht="17.25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395378.82833400124</v>
      </c>
      <c r="J56" s="15" t="s">
        <v>174</v>
      </c>
      <c r="K56" s="386">
        <f>SUM(J55:K55)</f>
        <v>-88974.088113999169</v>
      </c>
      <c r="L56" s="214">
        <f>ROUND(L54-L55,3)</f>
        <v>2151025.7999999998</v>
      </c>
      <c r="T56" s="42"/>
    </row>
    <row r="57" spans="1:21" ht="16.5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2457430.54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-2151025.79978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02" priority="7" stopIfTrue="1" operator="equal">
      <formula>0</formula>
    </cfRule>
    <cfRule type="cellIs" dxfId="301" priority="8" stopIfTrue="1" operator="notEqual">
      <formula>0</formula>
    </cfRule>
  </conditionalFormatting>
  <conditionalFormatting sqref="G34 G47 K30 K47">
    <cfRule type="cellIs" dxfId="300" priority="6" operator="notEqual">
      <formula>0</formula>
    </cfRule>
  </conditionalFormatting>
  <conditionalFormatting sqref="C62">
    <cfRule type="cellIs" dxfId="299" priority="4" stopIfTrue="1" operator="equal">
      <formula>0</formula>
    </cfRule>
    <cfRule type="cellIs" dxfId="298" priority="5" stopIfTrue="1" operator="notEqual">
      <formula>0</formula>
    </cfRule>
  </conditionalFormatting>
  <conditionalFormatting sqref="K30">
    <cfRule type="cellIs" dxfId="297" priority="3" operator="notEqual">
      <formula>0</formula>
    </cfRule>
  </conditionalFormatting>
  <conditionalFormatting sqref="G59">
    <cfRule type="cellIs" dxfId="296" priority="2" operator="equal">
      <formula>"ERROR"</formula>
    </cfRule>
  </conditionalFormatting>
  <conditionalFormatting sqref="G59">
    <cfRule type="cellIs" dxfId="29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85" zoomScaleNormal="85" workbookViewId="0">
      <selection activeCell="L54" sqref="L54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75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75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75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75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6055.56+198.2+62354.73</f>
        <v>68608.490000000005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75">
      <c r="A38" s="144" t="s">
        <v>14</v>
      </c>
      <c r="B38" s="540" t="s">
        <v>115</v>
      </c>
      <c r="C38" s="574">
        <v>-8649.6</v>
      </c>
      <c r="D38" s="36"/>
      <c r="F38" s="201" t="s">
        <v>333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5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SUM(H53:K53)</f>
        <v>-2992382.3073799997</v>
      </c>
    </row>
    <row r="56" spans="1:21" ht="17.25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2992382.307</v>
      </c>
      <c r="T56" s="42"/>
    </row>
    <row r="57" spans="1:21" ht="16.5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2242870.89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-2992382.3073799997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94" priority="7" stopIfTrue="1" operator="equal">
      <formula>0</formula>
    </cfRule>
    <cfRule type="cellIs" dxfId="293" priority="8" stopIfTrue="1" operator="notEqual">
      <formula>0</formula>
    </cfRule>
  </conditionalFormatting>
  <conditionalFormatting sqref="G34 G47 K30 K47">
    <cfRule type="cellIs" dxfId="292" priority="6" operator="notEqual">
      <formula>0</formula>
    </cfRule>
  </conditionalFormatting>
  <conditionalFormatting sqref="C62">
    <cfRule type="cellIs" dxfId="291" priority="4" stopIfTrue="1" operator="equal">
      <formula>0</formula>
    </cfRule>
    <cfRule type="cellIs" dxfId="290" priority="5" stopIfTrue="1" operator="notEqual">
      <formula>0</formula>
    </cfRule>
  </conditionalFormatting>
  <conditionalFormatting sqref="K30">
    <cfRule type="cellIs" dxfId="289" priority="3" operator="notEqual">
      <formula>0</formula>
    </cfRule>
  </conditionalFormatting>
  <conditionalFormatting sqref="G59">
    <cfRule type="cellIs" dxfId="288" priority="2" operator="equal">
      <formula>"ERROR"</formula>
    </cfRule>
  </conditionalFormatting>
  <conditionalFormatting sqref="G59">
    <cfRule type="cellIs" dxfId="28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75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75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75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6194.07+1329.5+63780.98</f>
        <v>71304.55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75">
      <c r="A38" s="144" t="s">
        <v>14</v>
      </c>
      <c r="B38" s="540" t="s">
        <v>115</v>
      </c>
      <c r="C38" s="576">
        <v>8649.6</v>
      </c>
      <c r="D38" s="36"/>
      <c r="F38" s="201" t="s">
        <v>333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5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5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5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7.25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4133666.56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-4341112.2391799996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75">
      <c r="A63" s="44"/>
      <c r="C63" s="353"/>
      <c r="D63" s="36"/>
      <c r="N63" s="5"/>
      <c r="O63" s="5"/>
      <c r="S63" s="6"/>
    </row>
    <row r="64" spans="1:21" ht="15.75">
      <c r="A64" s="44"/>
      <c r="C64" s="8"/>
      <c r="D64" s="43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86" priority="7" stopIfTrue="1" operator="equal">
      <formula>0</formula>
    </cfRule>
    <cfRule type="cellIs" dxfId="285" priority="8" stopIfTrue="1" operator="notEqual">
      <formula>0</formula>
    </cfRule>
  </conditionalFormatting>
  <conditionalFormatting sqref="G34 G47 K30 K45">
    <cfRule type="cellIs" dxfId="284" priority="6" operator="notEqual">
      <formula>0</formula>
    </cfRule>
  </conditionalFormatting>
  <conditionalFormatting sqref="C62">
    <cfRule type="cellIs" dxfId="283" priority="4" stopIfTrue="1" operator="equal">
      <formula>0</formula>
    </cfRule>
    <cfRule type="cellIs" dxfId="282" priority="5" stopIfTrue="1" operator="notEqual">
      <formula>0</formula>
    </cfRule>
  </conditionalFormatting>
  <conditionalFormatting sqref="K30">
    <cfRule type="cellIs" dxfId="281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16" zoomScale="85" zoomScaleNormal="85" workbookViewId="0">
      <selection activeCell="I8" sqref="I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75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75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75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75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75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5" thickBot="1">
      <c r="A18" s="386" t="s">
        <v>163</v>
      </c>
      <c r="C18" s="314">
        <f>62705.04+6089.58-1426.95</f>
        <v>67367.67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4" ht="15.75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335</v>
      </c>
      <c r="I23" s="197">
        <v>2062610</v>
      </c>
      <c r="J23" s="201" t="s">
        <v>37</v>
      </c>
      <c r="K23" s="264">
        <v>7248071</v>
      </c>
      <c r="L23" s="391" t="s">
        <v>335</v>
      </c>
      <c r="M23" s="197">
        <v>868774</v>
      </c>
    </row>
    <row r="24" spans="1:14" ht="15.75">
      <c r="A24" s="209" t="s">
        <v>187</v>
      </c>
      <c r="C24" s="314">
        <v>0</v>
      </c>
      <c r="D24" s="36"/>
      <c r="F24" s="201" t="s">
        <v>333</v>
      </c>
      <c r="G24" s="264">
        <v>3502</v>
      </c>
      <c r="H24" s="391" t="s">
        <v>335</v>
      </c>
      <c r="I24" s="197">
        <v>500</v>
      </c>
      <c r="J24" s="201" t="s">
        <v>38</v>
      </c>
      <c r="K24" s="264">
        <v>2379775</v>
      </c>
      <c r="L24" s="391" t="s">
        <v>335</v>
      </c>
      <c r="M24" s="197">
        <v>293797</v>
      </c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335</v>
      </c>
      <c r="I25" s="197">
        <v>697631</v>
      </c>
      <c r="J25" s="201" t="s">
        <v>39</v>
      </c>
      <c r="K25" s="264">
        <v>23496</v>
      </c>
      <c r="L25" s="391" t="s">
        <v>335</v>
      </c>
      <c r="M25" s="197">
        <v>2941</v>
      </c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335</v>
      </c>
      <c r="I26" s="197">
        <v>0</v>
      </c>
      <c r="J26" s="201" t="s">
        <v>40</v>
      </c>
      <c r="K26" s="264">
        <v>0</v>
      </c>
      <c r="L26" s="391" t="s">
        <v>335</v>
      </c>
      <c r="M26" s="197">
        <v>0</v>
      </c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335</v>
      </c>
      <c r="I27" s="197">
        <v>65034</v>
      </c>
      <c r="J27" s="201" t="s">
        <v>41</v>
      </c>
      <c r="K27" s="264">
        <v>0</v>
      </c>
      <c r="L27" s="391" t="s">
        <v>335</v>
      </c>
      <c r="M27" s="197">
        <f t="shared" ref="M27" si="0">K27*L27</f>
        <v>0</v>
      </c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335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335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5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335</v>
      </c>
      <c r="I30" s="197">
        <v>6149</v>
      </c>
      <c r="J30" s="201"/>
      <c r="K30" s="231">
        <f>K28-K29</f>
        <v>0</v>
      </c>
      <c r="L30" s="183"/>
      <c r="M30" s="199"/>
    </row>
    <row r="31" spans="1:14" ht="15.75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335</v>
      </c>
      <c r="I31" s="197">
        <v>1617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335</v>
      </c>
      <c r="M36" s="197">
        <v>1775737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335</v>
      </c>
      <c r="I37" s="197">
        <v>3786902</v>
      </c>
      <c r="J37" s="201" t="s">
        <v>38</v>
      </c>
      <c r="K37" s="265">
        <f>K24</f>
        <v>2379775</v>
      </c>
      <c r="L37" s="391" t="s">
        <v>335</v>
      </c>
      <c r="M37" s="197">
        <v>542775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3502</v>
      </c>
      <c r="H38" s="391" t="s">
        <v>335</v>
      </c>
      <c r="I38" s="197">
        <v>1032</v>
      </c>
      <c r="J38" s="201" t="s">
        <v>39</v>
      </c>
      <c r="K38" s="265">
        <f>K25</f>
        <v>23496</v>
      </c>
      <c r="L38" s="391" t="s">
        <v>335</v>
      </c>
      <c r="M38" s="197">
        <v>6781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335</v>
      </c>
      <c r="I39" s="197">
        <v>1301339</v>
      </c>
      <c r="J39" s="201" t="s">
        <v>40</v>
      </c>
      <c r="K39" s="265">
        <f>K26</f>
        <v>0</v>
      </c>
      <c r="L39" s="391" t="s">
        <v>335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335</v>
      </c>
      <c r="I40" s="197">
        <v>0</v>
      </c>
      <c r="J40" s="201" t="s">
        <v>41</v>
      </c>
      <c r="K40" s="265">
        <f>K27</f>
        <v>0</v>
      </c>
      <c r="L40" s="391" t="s">
        <v>335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335</v>
      </c>
      <c r="I41" s="197">
        <v>113610</v>
      </c>
      <c r="J41" s="201" t="s">
        <v>42</v>
      </c>
      <c r="K41" s="264">
        <v>0</v>
      </c>
      <c r="L41" s="391" t="s">
        <v>335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335</v>
      </c>
      <c r="I42" s="197">
        <v>14929</v>
      </c>
      <c r="J42" s="201" t="s">
        <v>43</v>
      </c>
      <c r="K42" s="266">
        <v>0</v>
      </c>
      <c r="L42" s="391" t="s">
        <v>335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335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5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335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5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5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7.25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9320485.3399999999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-11570011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280" priority="7" stopIfTrue="1" operator="equal">
      <formula>0</formula>
    </cfRule>
    <cfRule type="cellIs" dxfId="279" priority="8" stopIfTrue="1" operator="notEqual">
      <formula>0</formula>
    </cfRule>
  </conditionalFormatting>
  <conditionalFormatting sqref="G34 G47 K30 K45:K47">
    <cfRule type="cellIs" dxfId="278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5" zoomScale="85" zoomScaleNormal="85" workbookViewId="0">
      <selection activeCell="L52" sqref="L5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5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75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75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75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5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75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122">
        <f>60211.18+5847.39-98.83</f>
        <v>65959.740000000005</v>
      </c>
      <c r="D18" s="36"/>
      <c r="F18" s="589" t="s">
        <v>134</v>
      </c>
      <c r="G18" s="590"/>
      <c r="H18" s="590"/>
      <c r="I18" s="591"/>
      <c r="J18" s="589" t="s">
        <v>135</v>
      </c>
      <c r="K18" s="590"/>
      <c r="L18" s="590"/>
      <c r="M18" s="591"/>
    </row>
    <row r="19" spans="1:13" ht="15.75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335</v>
      </c>
      <c r="I23" s="197">
        <v>2335203</v>
      </c>
      <c r="J23" s="201" t="s">
        <v>37</v>
      </c>
      <c r="K23" s="264">
        <v>9218989</v>
      </c>
      <c r="L23" s="391" t="s">
        <v>335</v>
      </c>
      <c r="M23" s="197">
        <v>1002184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>
        <v>7942</v>
      </c>
      <c r="H24" s="391" t="s">
        <v>335</v>
      </c>
      <c r="I24" s="197">
        <v>962</v>
      </c>
      <c r="J24" s="201" t="s">
        <v>38</v>
      </c>
      <c r="K24" s="264">
        <v>2701016</v>
      </c>
      <c r="L24" s="391" t="s">
        <v>335</v>
      </c>
      <c r="M24" s="197">
        <v>294535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335</v>
      </c>
      <c r="I25" s="197">
        <v>696523</v>
      </c>
      <c r="J25" s="201" t="s">
        <v>39</v>
      </c>
      <c r="K25" s="264">
        <v>6097</v>
      </c>
      <c r="L25" s="391" t="s">
        <v>335</v>
      </c>
      <c r="M25" s="197">
        <v>663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335</v>
      </c>
      <c r="I26" s="197">
        <v>0</v>
      </c>
      <c r="J26" s="201" t="s">
        <v>40</v>
      </c>
      <c r="K26" s="264">
        <v>0</v>
      </c>
      <c r="L26" s="391" t="s">
        <v>335</v>
      </c>
      <c r="M26" s="197"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335</v>
      </c>
      <c r="I27" s="197">
        <v>33011</v>
      </c>
      <c r="J27" s="201" t="s">
        <v>41</v>
      </c>
      <c r="K27" s="264">
        <v>0</v>
      </c>
      <c r="L27" s="391" t="s">
        <v>335</v>
      </c>
      <c r="M27" s="197">
        <f t="shared" ref="M27" si="0">K27*L27</f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335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335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5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335</v>
      </c>
      <c r="I30" s="197">
        <v>3628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335</v>
      </c>
      <c r="I31" s="197">
        <v>1775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7"/>
      <c r="L35" s="587"/>
      <c r="M35" s="588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335</v>
      </c>
      <c r="M36" s="197">
        <v>2310835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335</v>
      </c>
      <c r="I37" s="197">
        <v>4817065</v>
      </c>
      <c r="J37" s="201" t="s">
        <v>38</v>
      </c>
      <c r="K37" s="265">
        <f>K24</f>
        <v>2701016</v>
      </c>
      <c r="L37" s="391" t="s">
        <v>335</v>
      </c>
      <c r="M37" s="197">
        <v>679132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>
        <f>G24</f>
        <v>7942</v>
      </c>
      <c r="H38" s="391" t="s">
        <v>335</v>
      </c>
      <c r="I38" s="197">
        <v>1984</v>
      </c>
      <c r="J38" s="201" t="s">
        <v>39</v>
      </c>
      <c r="K38" s="265">
        <f>K25</f>
        <v>6097</v>
      </c>
      <c r="L38" s="391" t="s">
        <v>335</v>
      </c>
      <c r="M38" s="197">
        <v>1528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335</v>
      </c>
      <c r="I39" s="197">
        <v>1525953</v>
      </c>
      <c r="J39" s="201" t="s">
        <v>40</v>
      </c>
      <c r="K39" s="265">
        <f>K26</f>
        <v>0</v>
      </c>
      <c r="L39" s="391" t="s">
        <v>335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335</v>
      </c>
      <c r="I40" s="197">
        <v>0</v>
      </c>
      <c r="J40" s="201" t="s">
        <v>41</v>
      </c>
      <c r="K40" s="265">
        <f>K27</f>
        <v>0</v>
      </c>
      <c r="L40" s="391" t="s">
        <v>335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335</v>
      </c>
      <c r="I41" s="197">
        <v>79584</v>
      </c>
      <c r="J41" s="201" t="s">
        <v>42</v>
      </c>
      <c r="K41" s="264">
        <v>0</v>
      </c>
      <c r="L41" s="391" t="s">
        <v>335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335</v>
      </c>
      <c r="I42" s="197">
        <v>18659</v>
      </c>
      <c r="J42" s="201" t="s">
        <v>43</v>
      </c>
      <c r="K42" s="266">
        <v>0</v>
      </c>
      <c r="L42" s="391" t="s">
        <v>335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335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5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335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75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5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5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7.25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10790740.92</v>
      </c>
      <c r="D61" s="37"/>
      <c r="H61" s="351">
        <f>SUM('WA - Def-Amtz'!AX5:AX10,'WA - Def-Amtz'!AX41:AX46,'WA - Def-Amtz'!AX76:AX79,'ID - Def-Amtz '!AX5:AX10,'ID - Def-Amtz '!AX42:AX47,'ID - Def-Amtz '!AX75:AX80)</f>
        <v>1822519.1021483801</v>
      </c>
      <c r="I61" s="451">
        <f>SUM('WA - Def-Amtz'!AY5:AY10,'WA - Def-Amtz'!AY41:AY46,'WA - Def-Amtz'!AY76:AY79,'ID - Def-Amtz '!AY5:AY10,'ID - Def-Amtz '!AY42:AY47,'ID - Def-Amtz '!AY75:AY80)</f>
        <v>1822519.1021483804</v>
      </c>
      <c r="J61" s="386">
        <f>H53+I53+J53+K53</f>
        <v>-13823744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77" priority="6" stopIfTrue="1" operator="equal">
      <formula>0</formula>
    </cfRule>
    <cfRule type="cellIs" dxfId="276" priority="7" stopIfTrue="1" operator="notEqual">
      <formula>0</formula>
    </cfRule>
  </conditionalFormatting>
  <conditionalFormatting sqref="G34 G47 K30 K45">
    <cfRule type="cellIs" dxfId="275" priority="5" operator="notEqual">
      <formula>0</formula>
    </cfRule>
  </conditionalFormatting>
  <conditionalFormatting sqref="C62">
    <cfRule type="cellIs" dxfId="274" priority="3" stopIfTrue="1" operator="equal">
      <formula>0</formula>
    </cfRule>
    <cfRule type="cellIs" dxfId="273" priority="4" stopIfTrue="1" operator="notEqual">
      <formula>0</formula>
    </cfRule>
  </conditionalFormatting>
  <conditionalFormatting sqref="K30">
    <cfRule type="cellIs" dxfId="272" priority="2" operator="notEqual">
      <formula>0</formula>
    </cfRule>
  </conditionalFormatting>
  <conditionalFormatting sqref="G59">
    <cfRule type="cellIs" dxfId="27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tabSelected="1" topLeftCell="A27" zoomScale="85" zoomScaleNormal="85" zoomScaleSheetLayoutView="85" workbookViewId="0">
      <selection activeCell="AT33" sqref="AT33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4" width="16.28515625" style="482" customWidth="1"/>
    <col min="35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-6282319.4884557687</v>
      </c>
      <c r="AK5" s="482">
        <f t="shared" si="10"/>
        <v>-6808361.675697769</v>
      </c>
      <c r="AL5" s="482">
        <f t="shared" si="10"/>
        <v>-6233110.5141377682</v>
      </c>
      <c r="AM5" s="482">
        <f t="shared" si="10"/>
        <v>-5876093.5401677694</v>
      </c>
      <c r="AN5" s="482">
        <f t="shared" si="10"/>
        <v>-5722817.1031057676</v>
      </c>
      <c r="AO5" s="482">
        <f t="shared" si="10"/>
        <v>-5327438.2747717658</v>
      </c>
      <c r="AP5" s="482">
        <f t="shared" si="10"/>
        <v>-5783522.9778737687</v>
      </c>
      <c r="AQ5" s="482">
        <f t="shared" si="10"/>
        <v>-5858791.7464247691</v>
      </c>
      <c r="AR5" s="482">
        <f t="shared" si="10"/>
        <v>-7469683.722614767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 t="shared" ref="C6:C12" si="11">SUM(AG6:AR6)</f>
        <v>-3640704.7550439923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3155445.8915170026</v>
      </c>
      <c r="AJ6" s="482">
        <f>Apr!$H$55</f>
        <v>-731521.16344200075</v>
      </c>
      <c r="AK6" s="482">
        <f>May!$H$55</f>
        <v>-275383.91669399873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>
      <c r="B7" s="481" t="s">
        <v>255</v>
      </c>
      <c r="C7" s="482">
        <f t="shared" si="11"/>
        <v>659229.16202799906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-151943.51056800038</v>
      </c>
      <c r="AJ7" s="482">
        <f>Apr!$I$55</f>
        <v>205478.97620000015</v>
      </c>
      <c r="AK7" s="482">
        <f>May!$I$55</f>
        <v>850635.07825399959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>
      <c r="B8" s="481" t="s">
        <v>258</v>
      </c>
      <c r="C8" s="482">
        <f t="shared" si="11"/>
        <v>-65182.479999999996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-21024.92</v>
      </c>
      <c r="AJ8" s="489">
        <f t="shared" si="13"/>
        <v>0</v>
      </c>
      <c r="AK8" s="489">
        <f t="shared" ref="AK8" si="14">ROUND(((AK5)*(AK4/12))+((SUM(AK6:AK7)/2)*(AK4/12)),2)</f>
        <v>0</v>
      </c>
      <c r="AL8" s="489">
        <f t="shared" ref="AL8" si="15">ROUND(((AL5)*(AL4/12))+((SUM(AL6:AL7)/2)*(AL4/12)),2)</f>
        <v>0</v>
      </c>
      <c r="AM8" s="489">
        <f t="shared" ref="AM8:AN8" si="16">ROUND(((AM5)*(AM4/12))+((SUM(AM6:AM7)/2)*(AM4/12)),2)</f>
        <v>0</v>
      </c>
      <c r="AN8" s="489">
        <f t="shared" si="16"/>
        <v>0</v>
      </c>
      <c r="AO8" s="489">
        <f t="shared" ref="AO8" si="17">ROUND(((AO5)*(AO4/12))+((SUM(AO6:AO7)/2)*(AO4/12)),2)</f>
        <v>0</v>
      </c>
      <c r="AP8" s="489">
        <f t="shared" ref="AP8" si="18">ROUND(((AP5)*(AP4/12))+((SUM(AP6:AP7)/2)*(AP4/12)),2)</f>
        <v>0</v>
      </c>
      <c r="AQ8" s="489">
        <f t="shared" ref="AQ8:AR8" si="19">ROUND(((AQ5)*(AQ4/12))+((SUM(AQ6:AQ7)/2)*(AQ4/12)),2)</f>
        <v>0</v>
      </c>
      <c r="AR8" s="489">
        <f t="shared" si="19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5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f>SUM(C5:C12)</f>
        <v>-3046658.073015993</v>
      </c>
      <c r="D13" s="541"/>
      <c r="E13" s="541">
        <f>SUM(E5:E12)</f>
        <v>2712780.2600000002</v>
      </c>
      <c r="F13" s="541">
        <f t="shared" ref="F13:H13" si="20">SUM(F5:F12)</f>
        <v>2255013.9900000002</v>
      </c>
      <c r="G13" s="541">
        <f>SUM(G5:G12)</f>
        <v>-33498.738666789999</v>
      </c>
      <c r="H13" s="541">
        <f t="shared" si="20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21">SUM(V5:V12)</f>
        <v>-1694440.0214187815</v>
      </c>
      <c r="W13" s="541">
        <f t="shared" si="21"/>
        <v>-683405.33395377884</v>
      </c>
      <c r="X13" s="541">
        <f t="shared" si="21"/>
        <v>-2769396.4708657796</v>
      </c>
      <c r="Y13" s="541">
        <f>SUM(Y5:Y12)</f>
        <v>-2940906.6891037785</v>
      </c>
      <c r="Z13" s="541">
        <f t="shared" ref="Z13:AE13" si="22">SUM(Z5:Z12)</f>
        <v>-3112721.2246137792</v>
      </c>
      <c r="AA13" s="541">
        <f t="shared" si="22"/>
        <v>-3464489.8670317773</v>
      </c>
      <c r="AB13" s="541">
        <f t="shared" si="22"/>
        <v>-3555298.2266717753</v>
      </c>
      <c r="AC13" s="541">
        <f t="shared" si="22"/>
        <v>-4755858.0107337767</v>
      </c>
      <c r="AD13" s="541">
        <f t="shared" si="22"/>
        <v>-5900360.3440987766</v>
      </c>
      <c r="AE13" s="541">
        <f t="shared" si="22"/>
        <v>-4407824.1695987741</v>
      </c>
      <c r="AF13" s="541">
        <f>SUM(AF5:AF12)</f>
        <v>-6508323.8685397729</v>
      </c>
      <c r="AG13" s="541">
        <f t="shared" ref="AG13:AR13" si="23">SUM(AG5:AG12)</f>
        <v>-8439847.1132167727</v>
      </c>
      <c r="AH13" s="541">
        <f t="shared" si="23"/>
        <v>-9264796.9494047705</v>
      </c>
      <c r="AI13" s="541">
        <f t="shared" si="23"/>
        <v>-6282319.4884557687</v>
      </c>
      <c r="AJ13" s="541">
        <f t="shared" si="23"/>
        <v>-6808361.675697769</v>
      </c>
      <c r="AK13" s="541">
        <f t="shared" si="23"/>
        <v>-6233110.5141377682</v>
      </c>
      <c r="AL13" s="541">
        <f t="shared" si="23"/>
        <v>-5876093.5401677694</v>
      </c>
      <c r="AM13" s="541">
        <f t="shared" si="23"/>
        <v>-5722817.1031057676</v>
      </c>
      <c r="AN13" s="541">
        <f t="shared" si="23"/>
        <v>-5327438.2747717658</v>
      </c>
      <c r="AO13" s="541">
        <f t="shared" si="23"/>
        <v>-5783522.9778737687</v>
      </c>
      <c r="AP13" s="541">
        <f t="shared" si="23"/>
        <v>-5858791.7464247691</v>
      </c>
      <c r="AQ13" s="541">
        <f t="shared" si="23"/>
        <v>-7469683.722614767</v>
      </c>
      <c r="AR13" s="541">
        <f t="shared" si="23"/>
        <v>-9554981.9415557645</v>
      </c>
    </row>
    <row r="14" spans="1:51" ht="16.5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-8432290.1199999992</v>
      </c>
      <c r="AI14" s="482">
        <f>_xll.Get_Balance(AI3,"YTD","USD","Total","A","","001",$A$3,"GD","WA","DL")</f>
        <v>-8432290.1199999992</v>
      </c>
      <c r="AJ14" s="482">
        <f>_xll.Get_Balance(AJ3,"YTD","USD","Total","A","","001",$A$3,"GD","WA","DL")</f>
        <v>0</v>
      </c>
      <c r="AK14" s="482">
        <f>_xll.Get_Balance(AK3,"YTD","USD","Total","A","","001",$A$3,"GD","WA","DL")</f>
        <v>0</v>
      </c>
      <c r="AL14" s="482">
        <f>_xll.Get_Balance(AL3,"YTD","USD","Total","A","","001",$A$3,"GD","WA","DL")</f>
        <v>0</v>
      </c>
      <c r="AM14" s="482">
        <f>_xll.Get_Balance(AM3,"YTD","USD","Total","A","","001",$A$3,"GD","WA","DL")</f>
        <v>0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24">E13-E14</f>
        <v>1.0000000242143869E-2</v>
      </c>
      <c r="F15" s="482">
        <f t="shared" si="24"/>
        <v>1.0000000242143869E-2</v>
      </c>
      <c r="G15" s="482">
        <f t="shared" si="24"/>
        <v>1.1333210000884719E-2</v>
      </c>
      <c r="H15" s="482">
        <f t="shared" si="24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5">V13-V14</f>
        <v>-1.418781466782093E-3</v>
      </c>
      <c r="W15" s="482">
        <f t="shared" si="25"/>
        <v>-3.9537788834422827E-3</v>
      </c>
      <c r="X15" s="482">
        <f t="shared" si="25"/>
        <v>-8.6577935144305229E-4</v>
      </c>
      <c r="Y15" s="482">
        <f t="shared" si="25"/>
        <v>8.9622149243950844E-4</v>
      </c>
      <c r="Z15" s="482">
        <f t="shared" si="25"/>
        <v>5.3862207569181919E-3</v>
      </c>
      <c r="AA15" s="482">
        <f t="shared" si="25"/>
        <v>2.9682228341698647E-3</v>
      </c>
      <c r="AB15" s="482">
        <f t="shared" si="25"/>
        <v>3.3282246440649033E-3</v>
      </c>
      <c r="AC15" s="482">
        <f t="shared" si="25"/>
        <v>-7.3377694934606552E-4</v>
      </c>
      <c r="AD15" s="482">
        <f t="shared" ref="AD15:AE15" si="26">AD13-AD14</f>
        <v>-4.0987767279148102E-3</v>
      </c>
      <c r="AE15" s="482">
        <f t="shared" si="26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-832506.82940477133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7">U18+1</f>
        <v>201502</v>
      </c>
      <c r="W18" s="484">
        <f t="shared" ref="W18" si="28">V18+1</f>
        <v>201503</v>
      </c>
      <c r="X18" s="484">
        <f t="shared" ref="X18" si="29">W18+1</f>
        <v>201504</v>
      </c>
      <c r="Y18" s="484">
        <f t="shared" ref="Y18" si="30">X18+1</f>
        <v>201505</v>
      </c>
      <c r="Z18" s="484">
        <f t="shared" ref="Z18" si="31">Y18+1</f>
        <v>201506</v>
      </c>
      <c r="AA18" s="484">
        <f t="shared" ref="AA18" si="32">Z18+1</f>
        <v>201507</v>
      </c>
      <c r="AB18" s="484">
        <f t="shared" ref="AB18" si="33">AA18+1</f>
        <v>201508</v>
      </c>
      <c r="AC18" s="484">
        <f t="shared" ref="AC18" si="34">AB18+1</f>
        <v>201509</v>
      </c>
      <c r="AD18" s="484">
        <f t="shared" ref="AD18" si="35">AC18+1</f>
        <v>201510</v>
      </c>
      <c r="AE18" s="484">
        <f>AD18+1</f>
        <v>201511</v>
      </c>
      <c r="AF18" s="484">
        <f t="shared" ref="AF18" si="36">AE18+1</f>
        <v>201512</v>
      </c>
      <c r="AG18" s="484">
        <v>201601</v>
      </c>
      <c r="AH18" s="484">
        <f>AG18+1</f>
        <v>201602</v>
      </c>
      <c r="AI18" s="484">
        <f t="shared" ref="AI18:AR18" si="37">AH18+1</f>
        <v>201603</v>
      </c>
      <c r="AJ18" s="484">
        <f t="shared" si="37"/>
        <v>201604</v>
      </c>
      <c r="AK18" s="484">
        <f t="shared" si="37"/>
        <v>201605</v>
      </c>
      <c r="AL18" s="484">
        <f t="shared" si="37"/>
        <v>201606</v>
      </c>
      <c r="AM18" s="484">
        <f t="shared" si="37"/>
        <v>201607</v>
      </c>
      <c r="AN18" s="484">
        <f t="shared" si="37"/>
        <v>201608</v>
      </c>
      <c r="AO18" s="484">
        <f t="shared" si="37"/>
        <v>201609</v>
      </c>
      <c r="AP18" s="484">
        <f t="shared" si="37"/>
        <v>201610</v>
      </c>
      <c r="AQ18" s="484">
        <f t="shared" si="37"/>
        <v>201611</v>
      </c>
      <c r="AR18" s="484">
        <f t="shared" si="37"/>
        <v>201612</v>
      </c>
    </row>
    <row r="19" spans="1:4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333</v>
      </c>
      <c r="C20" s="491">
        <f t="shared" ref="C20:C27" si="38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38"/>
        <v>11768846</v>
      </c>
      <c r="D21" s="491">
        <f t="shared" ref="D21:D27" si="39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38"/>
        <v>754431</v>
      </c>
      <c r="D23" s="491">
        <f t="shared" si="39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38"/>
        <v>0</v>
      </c>
      <c r="D24" s="491">
        <f t="shared" si="3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38"/>
        <v>0</v>
      </c>
      <c r="D25" s="491">
        <f t="shared" si="39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38"/>
        <v>0</v>
      </c>
      <c r="D26" s="491">
        <f t="shared" si="3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38"/>
        <v>6302982</v>
      </c>
      <c r="D27" s="491">
        <f t="shared" si="39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40">SUM(G19:G27)</f>
        <v>24054373</v>
      </c>
      <c r="H28" s="542">
        <f t="shared" si="4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1">SUM(V19:V27)</f>
        <v>21809394</v>
      </c>
      <c r="W28" s="542">
        <f t="shared" si="41"/>
        <v>17454090</v>
      </c>
      <c r="X28" s="542">
        <f t="shared" si="41"/>
        <v>14032685</v>
      </c>
      <c r="Y28" s="542">
        <f t="shared" si="41"/>
        <v>7651890</v>
      </c>
      <c r="Z28" s="542">
        <f t="shared" si="41"/>
        <v>5795038</v>
      </c>
      <c r="AA28" s="542">
        <f t="shared" si="41"/>
        <v>5628267</v>
      </c>
      <c r="AB28" s="542">
        <f t="shared" si="41"/>
        <v>5459507</v>
      </c>
      <c r="AC28" s="542">
        <f t="shared" si="41"/>
        <v>7409442</v>
      </c>
      <c r="AD28" s="542">
        <f t="shared" si="41"/>
        <v>10025335</v>
      </c>
      <c r="AE28" s="542">
        <f t="shared" si="41"/>
        <v>24443601</v>
      </c>
      <c r="AF28" s="542">
        <f t="shared" si="41"/>
        <v>29286544</v>
      </c>
      <c r="AG28" s="542">
        <f>SUM(AG19:AG27)</f>
        <v>30419523</v>
      </c>
      <c r="AH28" s="542">
        <f t="shared" si="41"/>
        <v>22877234</v>
      </c>
      <c r="AI28" s="542">
        <f t="shared" si="41"/>
        <v>0</v>
      </c>
      <c r="AJ28" s="542">
        <f t="shared" si="41"/>
        <v>0</v>
      </c>
      <c r="AK28" s="542">
        <f t="shared" si="41"/>
        <v>0</v>
      </c>
      <c r="AL28" s="542">
        <f t="shared" si="41"/>
        <v>0</v>
      </c>
      <c r="AM28" s="542">
        <f t="shared" si="41"/>
        <v>0</v>
      </c>
      <c r="AN28" s="542">
        <f t="shared" si="41"/>
        <v>0</v>
      </c>
      <c r="AO28" s="542">
        <f t="shared" si="41"/>
        <v>0</v>
      </c>
      <c r="AP28" s="542">
        <f t="shared" si="41"/>
        <v>0</v>
      </c>
      <c r="AQ28" s="542">
        <f t="shared" si="41"/>
        <v>0</v>
      </c>
      <c r="AR28" s="542">
        <f t="shared" si="41"/>
        <v>0</v>
      </c>
    </row>
    <row r="29" spans="1:45" ht="16.5" thickTop="1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2">U31+1</f>
        <v>201502</v>
      </c>
      <c r="W31" s="484">
        <f t="shared" ref="W31" si="43">V31+1</f>
        <v>201503</v>
      </c>
      <c r="X31" s="484">
        <f t="shared" ref="X31" si="44">W31+1</f>
        <v>201504</v>
      </c>
      <c r="Y31" s="484">
        <f t="shared" ref="Y31" si="45">X31+1</f>
        <v>201505</v>
      </c>
      <c r="Z31" s="484">
        <f t="shared" ref="Z31" si="46">Y31+1</f>
        <v>201506</v>
      </c>
      <c r="AA31" s="484">
        <f t="shared" ref="AA31" si="47">Z31+1</f>
        <v>201507</v>
      </c>
      <c r="AB31" s="484">
        <f t="shared" ref="AB31" si="48">AA31+1</f>
        <v>201508</v>
      </c>
      <c r="AC31" s="484">
        <f t="shared" ref="AC31" si="49">AB31+1</f>
        <v>201509</v>
      </c>
      <c r="AD31" s="484">
        <f t="shared" ref="AD31" si="50">AC31+1</f>
        <v>201510</v>
      </c>
      <c r="AE31" s="484">
        <f>AD31+1</f>
        <v>201511</v>
      </c>
      <c r="AF31" s="484">
        <f t="shared" ref="AF31" si="51">AE31+1</f>
        <v>201512</v>
      </c>
      <c r="AG31" s="484">
        <v>201601</v>
      </c>
      <c r="AH31" s="484">
        <f>AG31+1</f>
        <v>201602</v>
      </c>
      <c r="AI31" s="484">
        <f t="shared" ref="AI31:AR31" si="52">AH31+1</f>
        <v>201603</v>
      </c>
      <c r="AJ31" s="484">
        <f t="shared" si="52"/>
        <v>201604</v>
      </c>
      <c r="AK31" s="484">
        <f t="shared" si="52"/>
        <v>201605</v>
      </c>
      <c r="AL31" s="484">
        <f t="shared" si="52"/>
        <v>201606</v>
      </c>
      <c r="AM31" s="484">
        <f t="shared" si="52"/>
        <v>201607</v>
      </c>
      <c r="AN31" s="484">
        <f t="shared" si="52"/>
        <v>201608</v>
      </c>
      <c r="AO31" s="484">
        <f t="shared" si="52"/>
        <v>201609</v>
      </c>
      <c r="AP31" s="484">
        <f t="shared" si="52"/>
        <v>201610</v>
      </c>
      <c r="AQ31" s="484">
        <f t="shared" si="52"/>
        <v>201611</v>
      </c>
      <c r="AR31" s="484">
        <f t="shared" si="52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336</v>
      </c>
      <c r="AF32" s="496" t="s">
        <v>336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336</v>
      </c>
      <c r="AR32" s="496" t="s">
        <v>336</v>
      </c>
    </row>
    <row r="33" spans="1:51">
      <c r="A33" s="483"/>
      <c r="B33" s="579" t="s">
        <v>334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336</v>
      </c>
      <c r="AF33" s="496" t="s">
        <v>336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336</v>
      </c>
      <c r="AR33" s="496" t="s">
        <v>336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336</v>
      </c>
      <c r="AF34" s="496" t="s">
        <v>336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336</v>
      </c>
      <c r="AR34" s="496" t="s">
        <v>336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336</v>
      </c>
      <c r="AF36" s="496" t="s">
        <v>336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336</v>
      </c>
      <c r="AR36" s="496" t="s">
        <v>336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336</v>
      </c>
      <c r="AF38" s="496" t="s">
        <v>336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336</v>
      </c>
      <c r="AR38" s="496" t="s">
        <v>336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336</v>
      </c>
      <c r="AF40" s="496" t="s">
        <v>336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336</v>
      </c>
      <c r="AR40" s="496" t="s">
        <v>336</v>
      </c>
      <c r="AT40" s="513">
        <f>AT4</f>
        <v>201602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3">U42+1</f>
        <v>201502</v>
      </c>
      <c r="W42" s="484">
        <f t="shared" ref="W42" si="54">V42+1</f>
        <v>201503</v>
      </c>
      <c r="X42" s="484">
        <f t="shared" ref="X42" si="55">W42+1</f>
        <v>201504</v>
      </c>
      <c r="Y42" s="484">
        <f t="shared" ref="Y42" si="56">X42+1</f>
        <v>201505</v>
      </c>
      <c r="Z42" s="484">
        <f t="shared" ref="Z42" si="57">Y42+1</f>
        <v>201506</v>
      </c>
      <c r="AA42" s="484">
        <f t="shared" ref="AA42" si="58">Z42+1</f>
        <v>201507</v>
      </c>
      <c r="AB42" s="484">
        <f t="shared" ref="AB42" si="59">AA42+1</f>
        <v>201508</v>
      </c>
      <c r="AC42" s="484">
        <f t="shared" ref="AC42" si="60">AB42+1</f>
        <v>201509</v>
      </c>
      <c r="AD42" s="484">
        <f t="shared" ref="AD42" si="61">AC42+1</f>
        <v>201510</v>
      </c>
      <c r="AE42" s="484">
        <f>AD42+1</f>
        <v>201511</v>
      </c>
      <c r="AF42" s="484">
        <f t="shared" ref="AF42" si="62">AE42+1</f>
        <v>201512</v>
      </c>
      <c r="AG42" s="484">
        <v>201601</v>
      </c>
      <c r="AH42" s="484">
        <f>AG42+1</f>
        <v>201602</v>
      </c>
      <c r="AI42" s="484">
        <f t="shared" ref="AI42:AR42" si="63">AH42+1</f>
        <v>201603</v>
      </c>
      <c r="AJ42" s="484">
        <f t="shared" si="63"/>
        <v>201604</v>
      </c>
      <c r="AK42" s="484">
        <f t="shared" si="63"/>
        <v>201605</v>
      </c>
      <c r="AL42" s="484">
        <f t="shared" si="63"/>
        <v>201606</v>
      </c>
      <c r="AM42" s="484">
        <f t="shared" si="63"/>
        <v>201607</v>
      </c>
      <c r="AN42" s="484">
        <f t="shared" si="63"/>
        <v>201608</v>
      </c>
      <c r="AO42" s="484">
        <f t="shared" si="63"/>
        <v>201609</v>
      </c>
      <c r="AP42" s="484">
        <f t="shared" si="63"/>
        <v>201610</v>
      </c>
      <c r="AQ42" s="484">
        <f t="shared" si="63"/>
        <v>201611</v>
      </c>
      <c r="AR42" s="484">
        <f t="shared" si="63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4">AE49</f>
        <v>-2966848.8846008489</v>
      </c>
      <c r="AG44" s="482">
        <f t="shared" ref="AG44" si="65">AF49</f>
        <v>-2400830.7877258095</v>
      </c>
      <c r="AH44" s="482">
        <f t="shared" ref="AH44" si="66">AG49</f>
        <v>-1799942.4443073752</v>
      </c>
      <c r="AI44" s="482">
        <f t="shared" ref="AI44" si="67">AH49</f>
        <v>-1367080.388300563</v>
      </c>
      <c r="AJ44" s="482">
        <f t="shared" ref="AJ44" si="68">AI49</f>
        <v>-1370782.8976855436</v>
      </c>
      <c r="AK44" s="482">
        <f t="shared" ref="AK44" si="69">AJ49</f>
        <v>-1370782.8976855436</v>
      </c>
      <c r="AL44" s="482">
        <f t="shared" ref="AL44" si="70">AK49</f>
        <v>-1370782.8976855436</v>
      </c>
      <c r="AM44" s="482">
        <f t="shared" ref="AM44" si="71">AL49</f>
        <v>-1370782.8976855436</v>
      </c>
      <c r="AN44" s="482">
        <f t="shared" ref="AN44" si="72">AM49</f>
        <v>-1370782.8976855436</v>
      </c>
      <c r="AO44" s="482">
        <f t="shared" ref="AO44" si="73">AN49</f>
        <v>-1370782.8976855436</v>
      </c>
      <c r="AP44" s="482">
        <f t="shared" ref="AP44" si="74">AO49</f>
        <v>-1370782.8976855436</v>
      </c>
      <c r="AQ44" s="482">
        <f t="shared" ref="AQ44" si="75">AP49</f>
        <v>-1370782.8976855436</v>
      </c>
      <c r="AR44" s="482">
        <f t="shared" ref="AR44" si="76">AQ49</f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7">SUMPRODUCT(AH19:AH27,AH32:AH40)</f>
        <v>437144.93303000001</v>
      </c>
      <c r="AI45" s="482">
        <f t="shared" si="77"/>
        <v>0</v>
      </c>
      <c r="AJ45" s="482">
        <f t="shared" si="77"/>
        <v>0</v>
      </c>
      <c r="AK45" s="482">
        <f t="shared" si="77"/>
        <v>0</v>
      </c>
      <c r="AL45" s="482">
        <f t="shared" si="77"/>
        <v>0</v>
      </c>
      <c r="AM45" s="482">
        <f t="shared" si="77"/>
        <v>0</v>
      </c>
      <c r="AN45" s="482">
        <f t="shared" si="77"/>
        <v>0</v>
      </c>
      <c r="AO45" s="482">
        <f t="shared" si="77"/>
        <v>0</v>
      </c>
      <c r="AP45" s="482">
        <f t="shared" si="77"/>
        <v>0</v>
      </c>
      <c r="AQ45" s="482">
        <f t="shared" si="77"/>
        <v>0</v>
      </c>
      <c r="AR45" s="482">
        <f t="shared" si="77"/>
        <v>0</v>
      </c>
      <c r="AT45" s="153" t="s">
        <v>156</v>
      </c>
      <c r="AU45" s="209">
        <f>AU43</f>
        <v>191000</v>
      </c>
      <c r="AV45" s="209" t="str">
        <f t="shared" ref="AV45:AW45" si="78">AV43</f>
        <v>GD</v>
      </c>
      <c r="AW45" s="209" t="str">
        <f t="shared" si="78"/>
        <v>WA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f t="shared" ref="C46:C48" si="79">SUM(AG46:AR46)</f>
        <v>-13666.240669734107</v>
      </c>
      <c r="D46" s="494">
        <f t="shared" ref="D46" si="80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81">((AG44+AG47)*(AG43/12))+(((AG45+AG48)/2)*(AG43/12))</f>
        <v>-5680.8542615657343</v>
      </c>
      <c r="AH46" s="489">
        <f t="shared" si="81"/>
        <v>-4282.8770231876824</v>
      </c>
      <c r="AI46" s="489">
        <f t="shared" si="81"/>
        <v>-3702.5093849806917</v>
      </c>
      <c r="AJ46" s="489">
        <f t="shared" si="81"/>
        <v>0</v>
      </c>
      <c r="AK46" s="489">
        <f t="shared" si="81"/>
        <v>0</v>
      </c>
      <c r="AL46" s="489">
        <f t="shared" si="81"/>
        <v>0</v>
      </c>
      <c r="AM46" s="489">
        <f t="shared" si="81"/>
        <v>0</v>
      </c>
      <c r="AN46" s="489">
        <f t="shared" si="81"/>
        <v>0</v>
      </c>
      <c r="AO46" s="489">
        <f t="shared" si="81"/>
        <v>0</v>
      </c>
      <c r="AP46" s="489">
        <f t="shared" si="81"/>
        <v>0</v>
      </c>
      <c r="AQ46" s="489">
        <f t="shared" si="81"/>
        <v>0</v>
      </c>
      <c r="AR46" s="489">
        <f t="shared" si="81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2">AV44</f>
        <v>GD</v>
      </c>
      <c r="AW46" s="561" t="str">
        <f t="shared" si="82"/>
        <v>WA</v>
      </c>
      <c r="AX46" s="464">
        <f>AY45</f>
        <v>0</v>
      </c>
      <c r="AY46" s="473">
        <f>AX45</f>
        <v>0</v>
      </c>
    </row>
    <row r="47" spans="1:51" ht="16.5" thickBot="1">
      <c r="B47" s="481" t="s">
        <v>259</v>
      </c>
      <c r="C47" s="482">
        <f t="shared" si="79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79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" si="83">SUM(F44:F48)</f>
        <v>404885.58467682183</v>
      </c>
      <c r="G49" s="541">
        <f t="shared" ref="G49" si="84">SUM(G44:G48)</f>
        <v>1486369.5928734979</v>
      </c>
      <c r="H49" s="541">
        <f t="shared" ref="H49" si="85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6">SUM(V44:V48)</f>
        <v>-978605.01769356499</v>
      </c>
      <c r="W49" s="541">
        <f t="shared" si="86"/>
        <v>-801445.32791263924</v>
      </c>
      <c r="X49" s="541">
        <f t="shared" si="86"/>
        <v>-669275.24177190254</v>
      </c>
      <c r="Y49" s="541">
        <f t="shared" si="86"/>
        <v>-610882.24266902648</v>
      </c>
      <c r="Z49" s="541">
        <f t="shared" si="86"/>
        <v>-574943.04011245095</v>
      </c>
      <c r="AA49" s="541">
        <f t="shared" si="86"/>
        <v>-537511.27700320142</v>
      </c>
      <c r="AB49" s="541">
        <f t="shared" si="86"/>
        <v>-503286.03358886426</v>
      </c>
      <c r="AC49" s="541">
        <f t="shared" si="86"/>
        <v>-446057.56644618412</v>
      </c>
      <c r="AD49" s="541">
        <f t="shared" si="86"/>
        <v>-360318.05653003836</v>
      </c>
      <c r="AE49" s="541">
        <f t="shared" si="86"/>
        <v>-2966848.8846008489</v>
      </c>
      <c r="AF49" s="541">
        <f t="shared" ref="AF49:AR49" si="87">SUM(AF44:AF48)</f>
        <v>-2400830.7877258095</v>
      </c>
      <c r="AG49" s="541">
        <f t="shared" si="87"/>
        <v>-1799942.4443073752</v>
      </c>
      <c r="AH49" s="541">
        <f t="shared" si="87"/>
        <v>-1367080.388300563</v>
      </c>
      <c r="AI49" s="541">
        <f t="shared" si="87"/>
        <v>-1370782.8976855436</v>
      </c>
      <c r="AJ49" s="541">
        <f t="shared" si="87"/>
        <v>-1370782.8976855436</v>
      </c>
      <c r="AK49" s="541">
        <f t="shared" si="87"/>
        <v>-1370782.8976855436</v>
      </c>
      <c r="AL49" s="541">
        <f t="shared" si="87"/>
        <v>-1370782.8976855436</v>
      </c>
      <c r="AM49" s="541">
        <f t="shared" si="87"/>
        <v>-1370782.8976855436</v>
      </c>
      <c r="AN49" s="541">
        <f t="shared" si="87"/>
        <v>-1370782.8976855436</v>
      </c>
      <c r="AO49" s="541">
        <f t="shared" si="87"/>
        <v>-1370782.8976855436</v>
      </c>
      <c r="AP49" s="541">
        <f t="shared" si="87"/>
        <v>-1370782.8976855436</v>
      </c>
      <c r="AQ49" s="541">
        <f t="shared" si="87"/>
        <v>-1370782.8976855436</v>
      </c>
      <c r="AR49" s="541">
        <f t="shared" si="87"/>
        <v>-1370782.8976855436</v>
      </c>
    </row>
    <row r="50" spans="1:50" ht="16.5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-1799942.22</v>
      </c>
      <c r="AI50" s="482">
        <f>_xll.Get_Balance(AI42,"YTD","USD","Total","A","","001",$A$42,"GD","WA","DL")</f>
        <v>-1799942.22</v>
      </c>
      <c r="AJ50" s="482">
        <f>_xll.Get_Balance(AJ42,"YTD","USD","Total","A","","001",$A$42,"GD","WA","DL")</f>
        <v>0</v>
      </c>
      <c r="AK50" s="482">
        <f>_xll.Get_Balance(AK42,"YTD","USD","Total","A","","001",$A$42,"GD","WA","DL")</f>
        <v>0</v>
      </c>
      <c r="AL50" s="482">
        <f>_xll.Get_Balance(AL42,"YTD","USD","Total","A","","001",$A$42,"GD","WA","DL")</f>
        <v>0</v>
      </c>
      <c r="AM50" s="482">
        <f>_xll.Get_Balance(AM42,"YTD","USD","Total","A","","001",$A$42,"GD","WA","DL")</f>
        <v>0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88">E49-E50</f>
        <v>-0.22028744451381499</v>
      </c>
      <c r="F51" s="482">
        <f t="shared" si="88"/>
        <v>-0.22532317816512659</v>
      </c>
      <c r="G51" s="482">
        <f t="shared" si="88"/>
        <v>-0.22712650219909847</v>
      </c>
      <c r="H51" s="482">
        <f t="shared" si="88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9">V49-V50</f>
        <v>-0.21769356494769454</v>
      </c>
      <c r="W51" s="482">
        <f t="shared" si="89"/>
        <v>-0.21791263925842941</v>
      </c>
      <c r="X51" s="482">
        <f t="shared" si="89"/>
        <v>-0.22177190252114087</v>
      </c>
      <c r="Y51" s="482">
        <f t="shared" si="89"/>
        <v>-0.22266902646515518</v>
      </c>
      <c r="Z51" s="482">
        <f t="shared" si="89"/>
        <v>-0.22011245100293308</v>
      </c>
      <c r="AA51" s="482">
        <f t="shared" si="89"/>
        <v>-0.21700320136733353</v>
      </c>
      <c r="AB51" s="482">
        <f t="shared" si="89"/>
        <v>-0.21358886425150558</v>
      </c>
      <c r="AC51" s="482">
        <f t="shared" si="89"/>
        <v>-0.21644618414575234</v>
      </c>
      <c r="AD51" s="482">
        <f t="shared" si="89"/>
        <v>-0.21653003833489493</v>
      </c>
      <c r="AE51" s="482">
        <f t="shared" ref="AE51:AR51" si="90">AE49-AE50</f>
        <v>-0.21460084896534681</v>
      </c>
      <c r="AF51" s="482">
        <f t="shared" si="90"/>
        <v>-0.21772580966353416</v>
      </c>
      <c r="AG51" s="482">
        <f t="shared" si="90"/>
        <v>-0.22430737526156008</v>
      </c>
      <c r="AH51" s="482">
        <f t="shared" si="90"/>
        <v>432861.831699437</v>
      </c>
      <c r="AI51" s="482">
        <f t="shared" si="90"/>
        <v>429159.32231445634</v>
      </c>
      <c r="AJ51" s="482">
        <f t="shared" si="90"/>
        <v>-1370782.8976855436</v>
      </c>
      <c r="AK51" s="482">
        <f t="shared" si="90"/>
        <v>-1370782.8976855436</v>
      </c>
      <c r="AL51" s="482">
        <f t="shared" si="90"/>
        <v>-1370782.8976855436</v>
      </c>
      <c r="AM51" s="482">
        <f t="shared" si="90"/>
        <v>-1370782.8976855436</v>
      </c>
      <c r="AN51" s="482">
        <f t="shared" si="90"/>
        <v>-1370782.8976855436</v>
      </c>
      <c r="AO51" s="482">
        <f t="shared" si="90"/>
        <v>-1370782.8976855436</v>
      </c>
      <c r="AP51" s="482">
        <f t="shared" si="90"/>
        <v>-1370782.8976855436</v>
      </c>
      <c r="AQ51" s="482">
        <f t="shared" si="90"/>
        <v>-1370782.8976855436</v>
      </c>
      <c r="AR51" s="482">
        <f t="shared" si="90"/>
        <v>-1370782.8976855436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91">U54+1</f>
        <v>201502</v>
      </c>
      <c r="W54" s="484">
        <f t="shared" ref="W54" si="92">V54+1</f>
        <v>201503</v>
      </c>
      <c r="X54" s="484">
        <f t="shared" ref="X54" si="93">W54+1</f>
        <v>201504</v>
      </c>
      <c r="Y54" s="484">
        <f t="shared" ref="Y54" si="94">X54+1</f>
        <v>201505</v>
      </c>
      <c r="Z54" s="484">
        <f t="shared" ref="Z54" si="95">Y54+1</f>
        <v>201506</v>
      </c>
      <c r="AA54" s="484">
        <f t="shared" ref="AA54" si="96">Z54+1</f>
        <v>201507</v>
      </c>
      <c r="AB54" s="484">
        <f t="shared" ref="AB54" si="97">AA54+1</f>
        <v>201508</v>
      </c>
      <c r="AC54" s="484">
        <f t="shared" ref="AC54" si="98">AB54+1</f>
        <v>201509</v>
      </c>
      <c r="AD54" s="484">
        <f t="shared" ref="AD54" si="99">AC54+1</f>
        <v>201510</v>
      </c>
      <c r="AE54" s="484">
        <f>AD54+1</f>
        <v>201511</v>
      </c>
      <c r="AF54" s="484">
        <f t="shared" ref="AF54" si="100">AE54+1</f>
        <v>201512</v>
      </c>
      <c r="AG54" s="484">
        <v>201601</v>
      </c>
      <c r="AH54" s="484">
        <f>AG54+1</f>
        <v>201602</v>
      </c>
      <c r="AI54" s="484">
        <f t="shared" ref="AI54:AR54" si="101">AH54+1</f>
        <v>201603</v>
      </c>
      <c r="AJ54" s="484">
        <f t="shared" si="101"/>
        <v>201604</v>
      </c>
      <c r="AK54" s="484">
        <f t="shared" si="101"/>
        <v>201605</v>
      </c>
      <c r="AL54" s="484">
        <f t="shared" si="101"/>
        <v>201606</v>
      </c>
      <c r="AM54" s="484">
        <f t="shared" si="101"/>
        <v>201607</v>
      </c>
      <c r="AN54" s="484">
        <f t="shared" si="101"/>
        <v>201608</v>
      </c>
      <c r="AO54" s="484">
        <f t="shared" si="101"/>
        <v>201609</v>
      </c>
      <c r="AP54" s="484">
        <f t="shared" si="101"/>
        <v>201610</v>
      </c>
      <c r="AQ54" s="484">
        <f t="shared" si="101"/>
        <v>201611</v>
      </c>
      <c r="AR54" s="484">
        <f t="shared" si="101"/>
        <v>201612</v>
      </c>
      <c r="AX54" s="563"/>
    </row>
    <row r="55" spans="1:50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333</v>
      </c>
      <c r="C56" s="491">
        <f t="shared" ref="C56:C63" si="102">SUM(AG56:AR56)</f>
        <v>32486</v>
      </c>
      <c r="D56" s="491">
        <f t="shared" ref="D56:D63" si="103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2"/>
        <v>11768846</v>
      </c>
      <c r="D57" s="491">
        <f t="shared" si="103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2"/>
        <v>0</v>
      </c>
      <c r="D58" s="491">
        <f t="shared" si="103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2"/>
        <v>754431</v>
      </c>
      <c r="D59" s="491">
        <f t="shared" si="103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2"/>
        <v>151032</v>
      </c>
      <c r="D60" s="491">
        <f t="shared" si="103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2"/>
        <v>0</v>
      </c>
      <c r="D61" s="491">
        <f t="shared" si="103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2"/>
        <v>306053</v>
      </c>
      <c r="D62" s="491">
        <f t="shared" si="103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2"/>
        <v>6302982</v>
      </c>
      <c r="D63" s="491">
        <f t="shared" si="103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f>SUM(AG64:AR64)</f>
        <v>53753842</v>
      </c>
      <c r="D64" s="542">
        <f t="shared" ref="D64:D65" si="104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5">SUM(G55:G63)</f>
        <v>24248041</v>
      </c>
      <c r="H64" s="542">
        <f t="shared" ref="H64" si="106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7">SUM(V55:V63)</f>
        <v>22001617</v>
      </c>
      <c r="W64" s="542">
        <f t="shared" ref="W64:AR64" si="108">SUM(W55:W63)</f>
        <v>17611817</v>
      </c>
      <c r="X64" s="542">
        <f t="shared" si="108"/>
        <v>14163392</v>
      </c>
      <c r="Y64" s="542">
        <f t="shared" si="108"/>
        <v>7782410</v>
      </c>
      <c r="Z64" s="542">
        <f t="shared" si="108"/>
        <v>5881684</v>
      </c>
      <c r="AA64" s="542">
        <f t="shared" si="108"/>
        <v>5669948</v>
      </c>
      <c r="AB64" s="542">
        <f t="shared" si="108"/>
        <v>5554978</v>
      </c>
      <c r="AC64" s="542">
        <f t="shared" si="108"/>
        <v>7484702</v>
      </c>
      <c r="AD64" s="542">
        <f t="shared" si="108"/>
        <v>10158046</v>
      </c>
      <c r="AE64" s="542">
        <f t="shared" si="108"/>
        <v>24566038</v>
      </c>
      <c r="AF64" s="542">
        <f t="shared" si="108"/>
        <v>29412416</v>
      </c>
      <c r="AG64" s="542">
        <f t="shared" si="108"/>
        <v>30707107</v>
      </c>
      <c r="AH64" s="542">
        <f t="shared" si="108"/>
        <v>23046735</v>
      </c>
      <c r="AI64" s="542">
        <f t="shared" si="108"/>
        <v>0</v>
      </c>
      <c r="AJ64" s="542">
        <f t="shared" si="108"/>
        <v>0</v>
      </c>
      <c r="AK64" s="542">
        <f t="shared" si="108"/>
        <v>0</v>
      </c>
      <c r="AL64" s="542">
        <f t="shared" si="108"/>
        <v>0</v>
      </c>
      <c r="AM64" s="542">
        <f t="shared" si="108"/>
        <v>0</v>
      </c>
      <c r="AN64" s="542">
        <f t="shared" si="108"/>
        <v>0</v>
      </c>
      <c r="AO64" s="542">
        <f t="shared" si="108"/>
        <v>0</v>
      </c>
      <c r="AP64" s="542">
        <f t="shared" si="108"/>
        <v>0</v>
      </c>
      <c r="AQ64" s="542">
        <f t="shared" si="108"/>
        <v>0</v>
      </c>
      <c r="AR64" s="542">
        <f t="shared" si="108"/>
        <v>0</v>
      </c>
    </row>
    <row r="65" spans="1:51" ht="16.5" thickTop="1">
      <c r="A65" s="483"/>
      <c r="B65" s="481" t="s">
        <v>269</v>
      </c>
      <c r="C65" s="491">
        <f>SUM(AG65:AR65)</f>
        <v>53753842</v>
      </c>
      <c r="D65" s="491">
        <f t="shared" si="104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9">U67+1</f>
        <v>201502</v>
      </c>
      <c r="W67" s="484">
        <f t="shared" ref="W67" si="110">V67+1</f>
        <v>201503</v>
      </c>
      <c r="X67" s="484">
        <f t="shared" ref="X67" si="111">W67+1</f>
        <v>201504</v>
      </c>
      <c r="Y67" s="484">
        <f t="shared" ref="Y67" si="112">X67+1</f>
        <v>201505</v>
      </c>
      <c r="Z67" s="484">
        <f t="shared" ref="Z67" si="113">Y67+1</f>
        <v>201506</v>
      </c>
      <c r="AA67" s="484">
        <f t="shared" ref="AA67" si="114">Z67+1</f>
        <v>201507</v>
      </c>
      <c r="AB67" s="484">
        <f t="shared" ref="AB67" si="115">AA67+1</f>
        <v>201508</v>
      </c>
      <c r="AC67" s="484">
        <f t="shared" ref="AC67" si="116">AB67+1</f>
        <v>201509</v>
      </c>
      <c r="AD67" s="484">
        <f t="shared" ref="AD67" si="117">AC67+1</f>
        <v>201510</v>
      </c>
      <c r="AE67" s="484">
        <f>AD67+1</f>
        <v>201511</v>
      </c>
      <c r="AF67" s="484">
        <f t="shared" ref="AF67" si="118">AE67+1</f>
        <v>201512</v>
      </c>
      <c r="AG67" s="484">
        <v>201601</v>
      </c>
      <c r="AH67" s="484">
        <f>AG67+1</f>
        <v>201602</v>
      </c>
      <c r="AI67" s="484">
        <f t="shared" ref="AI67:AR67" si="119">AH67+1</f>
        <v>201603</v>
      </c>
      <c r="AJ67" s="484">
        <f t="shared" si="119"/>
        <v>201604</v>
      </c>
      <c r="AK67" s="484">
        <f t="shared" si="119"/>
        <v>201605</v>
      </c>
      <c r="AL67" s="484">
        <f t="shared" si="119"/>
        <v>201606</v>
      </c>
      <c r="AM67" s="484">
        <f t="shared" si="119"/>
        <v>201607</v>
      </c>
      <c r="AN67" s="484">
        <f t="shared" si="119"/>
        <v>201608</v>
      </c>
      <c r="AO67" s="484">
        <f t="shared" si="119"/>
        <v>201609</v>
      </c>
      <c r="AP67" s="484">
        <f t="shared" si="119"/>
        <v>201610</v>
      </c>
      <c r="AQ67" s="484">
        <f t="shared" si="119"/>
        <v>201611</v>
      </c>
      <c r="AR67" s="484">
        <f t="shared" si="119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336</v>
      </c>
      <c r="AF68" s="496" t="s">
        <v>336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336</v>
      </c>
      <c r="AR68" s="496" t="s">
        <v>336</v>
      </c>
    </row>
    <row r="69" spans="1:51">
      <c r="A69" s="483"/>
      <c r="B69" s="579" t="s">
        <v>333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336</v>
      </c>
      <c r="AF69" s="496" t="s">
        <v>336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336</v>
      </c>
      <c r="AR69" s="496" t="s">
        <v>336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336</v>
      </c>
      <c r="AF70" s="496" t="s">
        <v>336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336</v>
      </c>
      <c r="AR70" s="496" t="s">
        <v>336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336</v>
      </c>
      <c r="AF71" s="496" t="s">
        <v>336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336</v>
      </c>
      <c r="AR71" s="496" t="s">
        <v>336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336</v>
      </c>
      <c r="AF72" s="496" t="s">
        <v>336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336</v>
      </c>
      <c r="AR72" s="496" t="s">
        <v>336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336</v>
      </c>
      <c r="AF73" s="496" t="s">
        <v>336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336</v>
      </c>
      <c r="AR73" s="496" t="s">
        <v>336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336</v>
      </c>
      <c r="AF74" s="496" t="s">
        <v>336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336</v>
      </c>
      <c r="AR74" s="496" t="s">
        <v>336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336</v>
      </c>
      <c r="AF75" s="496" t="s">
        <v>336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336</v>
      </c>
      <c r="AR75" s="496" t="s">
        <v>336</v>
      </c>
      <c r="AT75" s="522">
        <f>AT4</f>
        <v>201602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336</v>
      </c>
      <c r="AF76" s="496" t="s">
        <v>336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336</v>
      </c>
      <c r="AR76" s="496" t="s">
        <v>336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20">U78+1</f>
        <v>201502</v>
      </c>
      <c r="W78" s="484">
        <f t="shared" ref="W78" si="121">V78+1</f>
        <v>201503</v>
      </c>
      <c r="X78" s="484">
        <f t="shared" ref="X78" si="122">W78+1</f>
        <v>201504</v>
      </c>
      <c r="Y78" s="484">
        <f t="shared" ref="Y78" si="123">X78+1</f>
        <v>201505</v>
      </c>
      <c r="Z78" s="484">
        <f t="shared" ref="Z78" si="124">Y78+1</f>
        <v>201506</v>
      </c>
      <c r="AA78" s="484">
        <f t="shared" ref="AA78" si="125">Z78+1</f>
        <v>201507</v>
      </c>
      <c r="AB78" s="484">
        <f t="shared" ref="AB78" si="126">AA78+1</f>
        <v>201508</v>
      </c>
      <c r="AC78" s="484">
        <f t="shared" ref="AC78" si="127">AB78+1</f>
        <v>201509</v>
      </c>
      <c r="AD78" s="484">
        <f t="shared" ref="AD78" si="128">AC78+1</f>
        <v>201510</v>
      </c>
      <c r="AE78" s="484">
        <f>AD78+1</f>
        <v>201511</v>
      </c>
      <c r="AF78" s="484">
        <f t="shared" ref="AF78" si="129">AE78+1</f>
        <v>201512</v>
      </c>
      <c r="AG78" s="484">
        <v>201601</v>
      </c>
      <c r="AH78" s="484">
        <f>AG78+1</f>
        <v>201602</v>
      </c>
      <c r="AI78" s="484">
        <f t="shared" ref="AI78:AR78" si="130">AH78+1</f>
        <v>201603</v>
      </c>
      <c r="AJ78" s="484">
        <f t="shared" si="130"/>
        <v>201604</v>
      </c>
      <c r="AK78" s="484">
        <f t="shared" si="130"/>
        <v>201605</v>
      </c>
      <c r="AL78" s="484">
        <f t="shared" si="130"/>
        <v>201606</v>
      </c>
      <c r="AM78" s="484">
        <f t="shared" si="130"/>
        <v>201607</v>
      </c>
      <c r="AN78" s="484">
        <f t="shared" si="130"/>
        <v>201608</v>
      </c>
      <c r="AO78" s="484">
        <f t="shared" si="130"/>
        <v>201609</v>
      </c>
      <c r="AP78" s="484">
        <f t="shared" si="130"/>
        <v>201610</v>
      </c>
      <c r="AQ78" s="484">
        <f t="shared" si="130"/>
        <v>201611</v>
      </c>
      <c r="AR78" s="484">
        <f t="shared" si="130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31">AF82</f>
        <v>-18146.93566000001</v>
      </c>
      <c r="AH79" s="482">
        <f t="shared" si="131"/>
        <v>-14523.147320000011</v>
      </c>
      <c r="AI79" s="482">
        <f t="shared" si="131"/>
        <v>-11852.264220000012</v>
      </c>
      <c r="AJ79" s="482">
        <f t="shared" si="131"/>
        <v>-11852.264220000012</v>
      </c>
      <c r="AK79" s="482">
        <f t="shared" si="131"/>
        <v>-11852.264220000012</v>
      </c>
      <c r="AL79" s="482">
        <f t="shared" si="131"/>
        <v>-11852.264220000012</v>
      </c>
      <c r="AM79" s="482">
        <f t="shared" si="131"/>
        <v>-11852.264220000012</v>
      </c>
      <c r="AN79" s="482">
        <f t="shared" si="131"/>
        <v>-11852.264220000012</v>
      </c>
      <c r="AO79" s="482">
        <f t="shared" si="131"/>
        <v>-11852.264220000012</v>
      </c>
      <c r="AP79" s="482">
        <f t="shared" si="131"/>
        <v>-11852.264220000012</v>
      </c>
      <c r="AQ79" s="482">
        <f t="shared" si="131"/>
        <v>-11852.264220000012</v>
      </c>
      <c r="AR79" s="482">
        <f t="shared" si="131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2">SUMPRODUCT(AH55:AH63,AH68:AH76)</f>
        <v>2670.8831</v>
      </c>
      <c r="AI80" s="563">
        <f t="shared" si="132"/>
        <v>0</v>
      </c>
      <c r="AJ80" s="563">
        <f t="shared" si="132"/>
        <v>0</v>
      </c>
      <c r="AK80" s="563">
        <f t="shared" si="132"/>
        <v>0</v>
      </c>
      <c r="AL80" s="563">
        <f t="shared" si="132"/>
        <v>0</v>
      </c>
      <c r="AM80" s="563">
        <f t="shared" si="132"/>
        <v>0</v>
      </c>
      <c r="AN80" s="563">
        <f t="shared" si="132"/>
        <v>0</v>
      </c>
      <c r="AO80" s="563">
        <f t="shared" si="132"/>
        <v>0</v>
      </c>
      <c r="AP80" s="563">
        <f t="shared" si="132"/>
        <v>0</v>
      </c>
      <c r="AQ80" s="563">
        <f t="shared" si="132"/>
        <v>0</v>
      </c>
      <c r="AR80" s="563">
        <f t="shared" si="132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f>SUM(C80:C81)</f>
        <v>6294.6714400000001</v>
      </c>
      <c r="D82" s="541"/>
      <c r="E82" s="541">
        <f t="shared" ref="E82:H82" si="133">SUM(E79:E81)</f>
        <v>38932.729789999998</v>
      </c>
      <c r="F82" s="541">
        <f t="shared" si="133"/>
        <v>8140.2385399999985</v>
      </c>
      <c r="G82" s="541">
        <f t="shared" si="133"/>
        <v>-693.68146000000161</v>
      </c>
      <c r="H82" s="541">
        <f t="shared" si="133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4">SUM(V79:V81)</f>
        <v>-38138.117780000015</v>
      </c>
      <c r="W82" s="541">
        <f t="shared" si="134"/>
        <v>-34282.961340000016</v>
      </c>
      <c r="X82" s="541">
        <f t="shared" si="134"/>
        <v>-31253.873050000017</v>
      </c>
      <c r="Y82" s="541">
        <f t="shared" si="134"/>
        <v>-29770.929110000015</v>
      </c>
      <c r="Z82" s="541">
        <f t="shared" si="134"/>
        <v>-28708.282540000015</v>
      </c>
      <c r="AA82" s="541">
        <f t="shared" si="134"/>
        <v>-27692.487530000013</v>
      </c>
      <c r="AB82" s="541">
        <f t="shared" si="134"/>
        <v>-26711.886850000014</v>
      </c>
      <c r="AC82" s="541">
        <f t="shared" si="134"/>
        <v>-25249.174790000012</v>
      </c>
      <c r="AD82" s="541">
        <f t="shared" si="134"/>
        <v>-23171.93566000001</v>
      </c>
      <c r="AE82" s="541">
        <f t="shared" si="134"/>
        <v>-21380.93566000001</v>
      </c>
      <c r="AF82" s="541">
        <f t="shared" si="134"/>
        <v>-18146.93566000001</v>
      </c>
      <c r="AG82" s="541">
        <f t="shared" si="134"/>
        <v>-14523.147320000011</v>
      </c>
      <c r="AH82" s="541">
        <f t="shared" si="134"/>
        <v>-11852.264220000012</v>
      </c>
      <c r="AI82" s="541">
        <f t="shared" si="134"/>
        <v>-11852.264220000012</v>
      </c>
      <c r="AJ82" s="541">
        <f t="shared" si="134"/>
        <v>-11852.264220000012</v>
      </c>
      <c r="AK82" s="541">
        <f t="shared" si="134"/>
        <v>-11852.264220000012</v>
      </c>
      <c r="AL82" s="541">
        <f t="shared" si="134"/>
        <v>-11852.264220000012</v>
      </c>
      <c r="AM82" s="541">
        <f t="shared" si="134"/>
        <v>-11852.264220000012</v>
      </c>
      <c r="AN82" s="541">
        <f t="shared" si="134"/>
        <v>-11852.264220000012</v>
      </c>
      <c r="AO82" s="541">
        <f t="shared" si="134"/>
        <v>-11852.264220000012</v>
      </c>
      <c r="AP82" s="541">
        <f t="shared" si="134"/>
        <v>-11852.264220000012</v>
      </c>
      <c r="AQ82" s="541">
        <f t="shared" si="134"/>
        <v>-11852.264220000012</v>
      </c>
      <c r="AR82" s="541">
        <f t="shared" si="134"/>
        <v>-11852.264220000012</v>
      </c>
    </row>
    <row r="83" spans="2:44" ht="16.5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-14523.15</v>
      </c>
      <c r="AI83" s="482">
        <f>_xll.Get_Balance(AI78,"YTD","USD","Total","A","","001",$A$78,"GD","WA","DL")</f>
        <v>-14523.15</v>
      </c>
      <c r="AJ83" s="482">
        <f>_xll.Get_Balance(AJ78,"YTD","USD","Total","A","","001",$A$78,"GD","WA","DL")</f>
        <v>0</v>
      </c>
      <c r="AK83" s="482">
        <f>_xll.Get_Balance(AK78,"YTD","USD","Total","A","","001",$A$78,"GD","WA","DL")</f>
        <v>0</v>
      </c>
      <c r="AL83" s="482">
        <f>_xll.Get_Balance(AL78,"YTD","USD","Total","A","","001",$A$78,"GD","WA","DL")</f>
        <v>0</v>
      </c>
      <c r="AM83" s="482">
        <f>_xll.Get_Balance(AM78,"YTD","USD","Total","A","","001",$A$78,"GD","WA","DL")</f>
        <v>0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135">E82-E83</f>
        <v>-2.1000000560889021E-4</v>
      </c>
      <c r="F84" s="482">
        <f t="shared" si="135"/>
        <v>-1.4600000013160752E-3</v>
      </c>
      <c r="G84" s="482">
        <f t="shared" si="135"/>
        <v>-1.4600000016571357E-3</v>
      </c>
      <c r="H84" s="482">
        <f t="shared" si="135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6">V82-V83</f>
        <v>1.2219999982335139E-2</v>
      </c>
      <c r="W84" s="482">
        <f t="shared" ref="W84:AR84" si="137">W82-W83</f>
        <v>8.6599999849568121E-3</v>
      </c>
      <c r="X84" s="482">
        <f t="shared" si="137"/>
        <v>6.9499999844992999E-3</v>
      </c>
      <c r="Y84" s="482">
        <f t="shared" si="137"/>
        <v>1.0889999983191956E-2</v>
      </c>
      <c r="Z84" s="482">
        <f t="shared" si="137"/>
        <v>7.4599999861675315E-3</v>
      </c>
      <c r="AA84" s="482">
        <f t="shared" si="137"/>
        <v>2.469999988534255E-3</v>
      </c>
      <c r="AB84" s="482">
        <f t="shared" si="137"/>
        <v>3.1499999859079253E-3</v>
      </c>
      <c r="AC84" s="482">
        <f t="shared" si="137"/>
        <v>5.2099999884376302E-3</v>
      </c>
      <c r="AD84" s="482">
        <f t="shared" si="137"/>
        <v>4.339999988587806E-3</v>
      </c>
      <c r="AE84" s="482">
        <f t="shared" si="137"/>
        <v>4.339999988587806E-3</v>
      </c>
      <c r="AF84" s="482">
        <f t="shared" si="137"/>
        <v>4.339999988587806E-3</v>
      </c>
      <c r="AG84" s="482">
        <f t="shared" si="137"/>
        <v>2.6799999886861769E-3</v>
      </c>
      <c r="AH84" s="482">
        <f t="shared" si="137"/>
        <v>2670.8857799999878</v>
      </c>
      <c r="AI84" s="482">
        <f t="shared" si="137"/>
        <v>2670.8857799999878</v>
      </c>
      <c r="AJ84" s="482">
        <f t="shared" si="137"/>
        <v>-11852.264220000012</v>
      </c>
      <c r="AK84" s="482">
        <f t="shared" si="137"/>
        <v>-11852.264220000012</v>
      </c>
      <c r="AL84" s="482">
        <f t="shared" si="137"/>
        <v>-11852.264220000012</v>
      </c>
      <c r="AM84" s="482">
        <f t="shared" si="137"/>
        <v>-11852.264220000012</v>
      </c>
      <c r="AN84" s="482">
        <f t="shared" si="137"/>
        <v>-11852.264220000012</v>
      </c>
      <c r="AO84" s="482">
        <f t="shared" si="137"/>
        <v>-11852.264220000012</v>
      </c>
      <c r="AP84" s="482">
        <f t="shared" si="137"/>
        <v>-11852.264220000012</v>
      </c>
      <c r="AQ84" s="482">
        <f t="shared" si="137"/>
        <v>-11852.264220000012</v>
      </c>
      <c r="AR84" s="482">
        <f t="shared" si="137"/>
        <v>-11852.264220000012</v>
      </c>
    </row>
  </sheetData>
  <conditionalFormatting sqref="E29 K29:AS29 L65:AS65">
    <cfRule type="cellIs" dxfId="270" priority="32" operator="notEqual">
      <formula>E28</formula>
    </cfRule>
  </conditionalFormatting>
  <conditionalFormatting sqref="F29">
    <cfRule type="cellIs" dxfId="269" priority="31" operator="notEqual">
      <formula>F28</formula>
    </cfRule>
  </conditionalFormatting>
  <conditionalFormatting sqref="G29">
    <cfRule type="cellIs" dxfId="268" priority="30" operator="notEqual">
      <formula>G28</formula>
    </cfRule>
  </conditionalFormatting>
  <conditionalFormatting sqref="H29">
    <cfRule type="cellIs" dxfId="267" priority="29" operator="notEqual">
      <formula>H28</formula>
    </cfRule>
  </conditionalFormatting>
  <conditionalFormatting sqref="G65">
    <cfRule type="cellIs" dxfId="266" priority="24" operator="notEqual">
      <formula>G64</formula>
    </cfRule>
  </conditionalFormatting>
  <conditionalFormatting sqref="H65">
    <cfRule type="cellIs" dxfId="265" priority="23" operator="notEqual">
      <formula>H64</formula>
    </cfRule>
  </conditionalFormatting>
  <conditionalFormatting sqref="E65">
    <cfRule type="cellIs" dxfId="264" priority="26" operator="notEqual">
      <formula>E64</formula>
    </cfRule>
  </conditionalFormatting>
  <conditionalFormatting sqref="F65">
    <cfRule type="cellIs" dxfId="263" priority="25" operator="notEqual">
      <formula>F64</formula>
    </cfRule>
  </conditionalFormatting>
  <conditionalFormatting sqref="AY80 AY47 AY11">
    <cfRule type="cellIs" dxfId="262" priority="20" operator="notEqual">
      <formula>0</formula>
    </cfRule>
  </conditionalFormatting>
  <conditionalFormatting sqref="D65">
    <cfRule type="cellIs" dxfId="261" priority="16" operator="notEqual">
      <formula>D64</formula>
    </cfRule>
  </conditionalFormatting>
  <conditionalFormatting sqref="C65">
    <cfRule type="cellIs" dxfId="260" priority="15" operator="notEqual">
      <formula>C64</formula>
    </cfRule>
  </conditionalFormatting>
  <conditionalFormatting sqref="D29">
    <cfRule type="cellIs" dxfId="259" priority="14" operator="notEqual">
      <formula>D28</formula>
    </cfRule>
  </conditionalFormatting>
  <conditionalFormatting sqref="C29">
    <cfRule type="cellIs" dxfId="258" priority="13" operator="notEqual">
      <formula>C28</formula>
    </cfRule>
  </conditionalFormatting>
  <conditionalFormatting sqref="I29">
    <cfRule type="cellIs" dxfId="257" priority="12" operator="notEqual">
      <formula>I28</formula>
    </cfRule>
  </conditionalFormatting>
  <conditionalFormatting sqref="I65">
    <cfRule type="cellIs" dxfId="256" priority="11" operator="notEqual">
      <formula>I64</formula>
    </cfRule>
  </conditionalFormatting>
  <conditionalFormatting sqref="J29">
    <cfRule type="cellIs" dxfId="255" priority="10" operator="notEqual">
      <formula>J28</formula>
    </cfRule>
  </conditionalFormatting>
  <conditionalFormatting sqref="J65">
    <cfRule type="cellIs" dxfId="254" priority="9" operator="notEqual">
      <formula>J64</formula>
    </cfRule>
  </conditionalFormatting>
  <conditionalFormatting sqref="K65">
    <cfRule type="cellIs" dxfId="253" priority="7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A93"/>
  <sheetViews>
    <sheetView zoomScale="89" zoomScaleNormal="89" zoomScaleSheetLayoutView="85" workbookViewId="0">
      <selection activeCell="AU17" sqref="AU17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4" width="16.28515625" style="482" customWidth="1"/>
    <col min="35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-4647235.483478996</v>
      </c>
      <c r="AJ5" s="482">
        <f t="shared" ref="AJ5" si="16">AI13</f>
        <v>-3254362.7610679949</v>
      </c>
      <c r="AK5" s="482">
        <f t="shared" ref="AK5" si="17">AJ13</f>
        <v>-3496646.3670059955</v>
      </c>
      <c r="AL5" s="482">
        <f t="shared" ref="AL5" si="18">AK13</f>
        <v>-3302167.6809059954</v>
      </c>
      <c r="AM5" s="482">
        <f t="shared" ref="AM5" si="19">AL13</f>
        <v>-3312738.6364359963</v>
      </c>
      <c r="AN5" s="482">
        <f t="shared" ref="AN5" si="20">AM13</f>
        <v>-3393941.2178279953</v>
      </c>
      <c r="AO5" s="482">
        <f t="shared" ref="AO5" si="21">AN13</f>
        <v>-3485780.6659419942</v>
      </c>
      <c r="AP5" s="482">
        <f t="shared" ref="AP5" si="22">AO13</f>
        <v>-3782234.4602199951</v>
      </c>
      <c r="AQ5" s="482">
        <f t="shared" ref="AQ5" si="23">AP13</f>
        <v>-3917618.3108489951</v>
      </c>
      <c r="AR5" s="482">
        <f t="shared" ref="AR5" si="24">AQ13</f>
        <v>-4559782.7746589957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>SUM(AG6:AS6)</f>
        <v>-1986647.1169159976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1481485.3942430012</v>
      </c>
      <c r="AJ6" s="482">
        <f>Apr!$J$55</f>
        <v>-329784.44286800071</v>
      </c>
      <c r="AK6" s="482">
        <f>May!$J$55</f>
        <v>-132940.32528599957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>
      <c r="B7" s="481" t="s">
        <v>255</v>
      </c>
      <c r="C7" s="482">
        <f t="shared" ref="C7:C12" si="25">SUM(AG7:AS7)</f>
        <v>148026.65475199965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-85321.711832000175</v>
      </c>
      <c r="AJ7" s="482">
        <f>Apr!$K$55</f>
        <v>90312.58692999999</v>
      </c>
      <c r="AK7" s="482">
        <f>May!$K$55</f>
        <v>330250.67138599989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>
      <c r="B8" s="481" t="s">
        <v>258</v>
      </c>
      <c r="C8" s="482">
        <f t="shared" si="25"/>
        <v>-38380.199999999997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6">ROUND(((AG5+AG9+AG10+AG11)*(AG4/12))+((SUM(AG6:AG7)/2)*(AG4/12)),2)</f>
        <v>-3325.45</v>
      </c>
      <c r="AH8" s="489">
        <f t="shared" si="26"/>
        <v>-3747.17</v>
      </c>
      <c r="AI8" s="489">
        <f t="shared" si="26"/>
        <v>-3290.96</v>
      </c>
      <c r="AJ8" s="489">
        <f t="shared" si="26"/>
        <v>-2811.75</v>
      </c>
      <c r="AK8" s="489">
        <f t="shared" si="26"/>
        <v>-2831.66</v>
      </c>
      <c r="AL8" s="489">
        <f t="shared" si="26"/>
        <v>-2755.06</v>
      </c>
      <c r="AM8" s="489">
        <f t="shared" si="26"/>
        <v>-2793.29</v>
      </c>
      <c r="AN8" s="489">
        <f t="shared" si="26"/>
        <v>-2865.36</v>
      </c>
      <c r="AO8" s="489">
        <f t="shared" si="26"/>
        <v>-3027.08</v>
      </c>
      <c r="AP8" s="489">
        <f t="shared" si="26"/>
        <v>-3206.94</v>
      </c>
      <c r="AQ8" s="489">
        <f t="shared" si="26"/>
        <v>-3530.78</v>
      </c>
      <c r="AR8" s="489">
        <f t="shared" si="26"/>
        <v>-4194.7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25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f t="shared" si="25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5" thickBot="1">
      <c r="B11" s="481" t="s">
        <v>264</v>
      </c>
      <c r="C11" s="482">
        <f t="shared" si="25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25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7">SUM(F5:F12)</f>
        <v>-179650.44284699953</v>
      </c>
      <c r="G13" s="541">
        <f t="shared" si="27"/>
        <v>-770749.33284699952</v>
      </c>
      <c r="H13" s="541">
        <f t="shared" si="27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8">SUM(U5:U12)</f>
        <v>-645308.82581999747</v>
      </c>
      <c r="V13" s="541">
        <f t="shared" si="28"/>
        <v>-754837.52375499834</v>
      </c>
      <c r="W13" s="541">
        <f t="shared" si="28"/>
        <v>-287477.8915199968</v>
      </c>
      <c r="X13" s="541">
        <f t="shared" si="28"/>
        <v>-1224292.1730279976</v>
      </c>
      <c r="Y13" s="541">
        <f t="shared" si="28"/>
        <v>-1390232.6525299973</v>
      </c>
      <c r="Z13" s="541">
        <f t="shared" si="28"/>
        <v>-1678662.999059998</v>
      </c>
      <c r="AA13" s="541">
        <f t="shared" si="28"/>
        <v>-2022423.1820719973</v>
      </c>
      <c r="AB13" s="541">
        <f t="shared" si="28"/>
        <v>-2418884.2503219969</v>
      </c>
      <c r="AC13" s="541">
        <f t="shared" si="28"/>
        <v>-3067053.2533299979</v>
      </c>
      <c r="AD13" s="541">
        <f t="shared" si="28"/>
        <v>-3722405.068684998</v>
      </c>
      <c r="AE13" s="541">
        <f t="shared" si="28"/>
        <v>-2684344.9824949973</v>
      </c>
      <c r="AF13" s="541">
        <f t="shared" si="28"/>
        <v>-3634681.6735539967</v>
      </c>
      <c r="AG13" s="541">
        <f t="shared" si="28"/>
        <v>-4349728.1832369966</v>
      </c>
      <c r="AH13" s="541">
        <f t="shared" si="28"/>
        <v>-4647235.483478996</v>
      </c>
      <c r="AI13" s="541">
        <f t="shared" si="28"/>
        <v>-3254362.7610679949</v>
      </c>
      <c r="AJ13" s="541">
        <f t="shared" si="28"/>
        <v>-3496646.3670059955</v>
      </c>
      <c r="AK13" s="541">
        <f t="shared" si="28"/>
        <v>-3302167.6809059954</v>
      </c>
      <c r="AL13" s="541">
        <f t="shared" si="28"/>
        <v>-3312738.6364359963</v>
      </c>
      <c r="AM13" s="541">
        <f t="shared" si="28"/>
        <v>-3393941.2178279953</v>
      </c>
      <c r="AN13" s="541">
        <f t="shared" si="28"/>
        <v>-3485780.6659419942</v>
      </c>
      <c r="AO13" s="541">
        <f t="shared" si="28"/>
        <v>-3782234.4602199951</v>
      </c>
      <c r="AP13" s="541">
        <f t="shared" si="28"/>
        <v>-3917618.3108489951</v>
      </c>
      <c r="AQ13" s="541">
        <f t="shared" si="28"/>
        <v>-4559782.7746589957</v>
      </c>
      <c r="AR13" s="541">
        <f t="shared" si="28"/>
        <v>-5511682.3357179957</v>
      </c>
    </row>
    <row r="14" spans="1:51" ht="16.5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-4349728.18</v>
      </c>
      <c r="AI14" s="482">
        <f>_xll.Get_Balance(AI3,"YTD","USD","Total","A","","001",$A$3,"GD","ID","DL")</f>
        <v>-4349728.18</v>
      </c>
      <c r="AJ14" s="482">
        <f>_xll.Get_Balance(AJ3,"YTD","USD","Total","A","","001",$A$3,"GD","ID","DL")</f>
        <v>0</v>
      </c>
      <c r="AK14" s="482">
        <f>_xll.Get_Balance(AK3,"YTD","USD","Total","A","","001",$A$3,"GD","ID","DL")</f>
        <v>0</v>
      </c>
      <c r="AL14" s="482">
        <f>_xll.Get_Balance(AL3,"YTD","USD","Total","A","","001",$A$3,"GD","ID","DL")</f>
        <v>0</v>
      </c>
      <c r="AM14" s="482">
        <f>_xll.Get_Balance(AM3,"YTD","USD","Total","A","","001",$A$3,"GD","ID","DL")</f>
        <v>0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29">E13-E14</f>
        <v>-1.5300058177672327E-2</v>
      </c>
      <c r="F15" s="482">
        <f t="shared" si="29"/>
        <v>-2.2846999519970268E-2</v>
      </c>
      <c r="G15" s="482">
        <f t="shared" si="29"/>
        <v>-2.2846999461762607E-2</v>
      </c>
      <c r="H15" s="482">
        <f t="shared" si="29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30">S13-S14</f>
        <v>8.8100053835660219E-4</v>
      </c>
      <c r="T15" s="482">
        <f t="shared" si="30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A15" si="31">W13-W14</f>
        <v>-1.5199967892840505E-3</v>
      </c>
      <c r="X15" s="482">
        <f t="shared" si="31"/>
        <v>-3.0279976781457663E-3</v>
      </c>
      <c r="Y15" s="482">
        <f t="shared" si="31"/>
        <v>-2.5299973785877228E-3</v>
      </c>
      <c r="Z15" s="482">
        <f t="shared" si="31"/>
        <v>9.4000203534960747E-4</v>
      </c>
      <c r="AA15" s="482">
        <f t="shared" si="31"/>
        <v>-2.0719973836094141E-3</v>
      </c>
      <c r="AB15" s="482">
        <f t="shared" ref="AB15:AR15" si="32">AB13-AB14</f>
        <v>-3.2199686393141747E-4</v>
      </c>
      <c r="AC15" s="482">
        <f t="shared" si="32"/>
        <v>-3.3299978822469711E-3</v>
      </c>
      <c r="AD15" s="482">
        <f t="shared" si="32"/>
        <v>1.3150018639862537E-3</v>
      </c>
      <c r="AE15" s="482">
        <f t="shared" si="32"/>
        <v>-2.4949973449110985E-3</v>
      </c>
      <c r="AF15" s="482">
        <f t="shared" si="32"/>
        <v>-3.5539967939257622E-3</v>
      </c>
      <c r="AG15" s="482">
        <f t="shared" si="32"/>
        <v>-3.2369969412684441E-3</v>
      </c>
      <c r="AH15" s="482">
        <f t="shared" si="32"/>
        <v>-297507.30347899627</v>
      </c>
      <c r="AI15" s="482">
        <f t="shared" si="32"/>
        <v>1095365.4189320048</v>
      </c>
      <c r="AJ15" s="482">
        <f t="shared" si="32"/>
        <v>-3496646.3670059955</v>
      </c>
      <c r="AK15" s="482">
        <f t="shared" si="32"/>
        <v>-3302167.6809059954</v>
      </c>
      <c r="AL15" s="482">
        <f t="shared" si="32"/>
        <v>-3312738.6364359963</v>
      </c>
      <c r="AM15" s="482">
        <f t="shared" si="32"/>
        <v>-3393941.2178279953</v>
      </c>
      <c r="AN15" s="482">
        <f t="shared" si="32"/>
        <v>-3485780.6659419942</v>
      </c>
      <c r="AO15" s="482">
        <f t="shared" si="32"/>
        <v>-3782234.4602199951</v>
      </c>
      <c r="AP15" s="482">
        <f t="shared" si="32"/>
        <v>-3917618.3108489951</v>
      </c>
      <c r="AQ15" s="482">
        <f t="shared" si="32"/>
        <v>-4559782.7746589957</v>
      </c>
      <c r="AR15" s="482">
        <f t="shared" si="32"/>
        <v>-5511682.3357179957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3">U18+1</f>
        <v>201502</v>
      </c>
      <c r="W18" s="484">
        <f t="shared" ref="W18" si="34">V18+1</f>
        <v>201503</v>
      </c>
      <c r="X18" s="484">
        <f t="shared" ref="X18" si="35">W18+1</f>
        <v>201504</v>
      </c>
      <c r="Y18" s="484">
        <f t="shared" ref="Y18" si="36">X18+1</f>
        <v>201505</v>
      </c>
      <c r="Z18" s="484">
        <f t="shared" ref="Z18" si="37">Y18+1</f>
        <v>201506</v>
      </c>
      <c r="AA18" s="484">
        <f t="shared" ref="AA18" si="38">Z18+1</f>
        <v>201507</v>
      </c>
      <c r="AB18" s="484">
        <f t="shared" ref="AB18" si="39">AA18+1</f>
        <v>201508</v>
      </c>
      <c r="AC18" s="484">
        <f t="shared" ref="AC18" si="40">AB18+1</f>
        <v>201509</v>
      </c>
      <c r="AD18" s="484">
        <f t="shared" ref="AD18" si="41">AC18+1</f>
        <v>201510</v>
      </c>
      <c r="AE18" s="484">
        <f t="shared" ref="AE18" si="42">AD18+1</f>
        <v>201511</v>
      </c>
      <c r="AF18" s="484">
        <f t="shared" ref="AF18" si="43">AE18+1</f>
        <v>201512</v>
      </c>
      <c r="AG18" s="484">
        <v>201601</v>
      </c>
      <c r="AH18" s="484">
        <f>AG18+1</f>
        <v>201602</v>
      </c>
      <c r="AI18" s="484">
        <f t="shared" ref="AI18:AS18" si="44">AH18+1</f>
        <v>201603</v>
      </c>
      <c r="AJ18" s="484">
        <f t="shared" si="44"/>
        <v>201604</v>
      </c>
      <c r="AK18" s="484">
        <f t="shared" si="44"/>
        <v>201605</v>
      </c>
      <c r="AL18" s="484">
        <f t="shared" si="44"/>
        <v>201606</v>
      </c>
      <c r="AM18" s="484">
        <f t="shared" si="44"/>
        <v>201607</v>
      </c>
      <c r="AN18" s="484">
        <f t="shared" si="44"/>
        <v>201608</v>
      </c>
      <c r="AO18" s="484">
        <f t="shared" si="44"/>
        <v>201609</v>
      </c>
      <c r="AP18" s="484">
        <f t="shared" si="44"/>
        <v>201610</v>
      </c>
      <c r="AQ18" s="484">
        <f t="shared" si="44"/>
        <v>201611</v>
      </c>
      <c r="AR18" s="484">
        <f t="shared" si="44"/>
        <v>201612</v>
      </c>
      <c r="AS18" s="484">
        <f t="shared" si="44"/>
        <v>201613</v>
      </c>
      <c r="AU18" s="558"/>
    </row>
    <row r="19" spans="1:51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45">SUM(AG20:AR20)</f>
        <v>5183179</v>
      </c>
      <c r="D20" s="491">
        <f t="shared" ref="D20:D24" si="46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45"/>
        <v>0</v>
      </c>
      <c r="D21" s="491">
        <f t="shared" si="46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45"/>
        <v>0</v>
      </c>
      <c r="D22" s="491">
        <f t="shared" si="46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45"/>
        <v>0</v>
      </c>
      <c r="D23" s="491">
        <f t="shared" si="46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45"/>
        <v>0</v>
      </c>
      <c r="D24" s="491">
        <f t="shared" si="46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47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47"/>
        <v>0</v>
      </c>
      <c r="D26" s="491">
        <f>SUM(G26:R26)</f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8">SUM(G19:G26)</f>
        <v>9508099</v>
      </c>
      <c r="H27" s="542">
        <f t="shared" si="48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9">SUM(U19:U26)</f>
        <v>11809937</v>
      </c>
      <c r="V27" s="542">
        <f t="shared" si="49"/>
        <v>7940694</v>
      </c>
      <c r="W27" s="542">
        <f t="shared" si="49"/>
        <v>7017973</v>
      </c>
      <c r="X27" s="542">
        <f t="shared" si="49"/>
        <v>5254736</v>
      </c>
      <c r="Y27" s="542">
        <f t="shared" si="49"/>
        <v>2699945</v>
      </c>
      <c r="Z27" s="542">
        <f t="shared" si="49"/>
        <v>2074520</v>
      </c>
      <c r="AA27" s="542">
        <f t="shared" si="49"/>
        <v>1954290</v>
      </c>
      <c r="AB27" s="542">
        <f t="shared" si="49"/>
        <v>2252954</v>
      </c>
      <c r="AC27" s="542">
        <f t="shared" si="49"/>
        <v>2632656</v>
      </c>
      <c r="AD27" s="542">
        <f t="shared" ref="AD27:AR27" si="50">SUM(AD19:AD26)</f>
        <v>3869259</v>
      </c>
      <c r="AE27" s="542">
        <f t="shared" si="50"/>
        <v>9627846</v>
      </c>
      <c r="AF27" s="542">
        <f t="shared" si="50"/>
        <v>11920005</v>
      </c>
      <c r="AG27" s="542">
        <f t="shared" si="50"/>
        <v>11685014</v>
      </c>
      <c r="AH27" s="542">
        <f t="shared" si="50"/>
        <v>8801085</v>
      </c>
      <c r="AI27" s="542">
        <f t="shared" si="50"/>
        <v>0</v>
      </c>
      <c r="AJ27" s="542">
        <f t="shared" si="50"/>
        <v>0</v>
      </c>
      <c r="AK27" s="542">
        <f t="shared" si="50"/>
        <v>0</v>
      </c>
      <c r="AL27" s="542">
        <f t="shared" si="50"/>
        <v>0</v>
      </c>
      <c r="AM27" s="542">
        <f t="shared" si="50"/>
        <v>0</v>
      </c>
      <c r="AN27" s="542">
        <f t="shared" si="50"/>
        <v>0</v>
      </c>
      <c r="AO27" s="542">
        <f t="shared" si="50"/>
        <v>0</v>
      </c>
      <c r="AP27" s="542">
        <f t="shared" si="50"/>
        <v>0</v>
      </c>
      <c r="AQ27" s="542">
        <f t="shared" si="50"/>
        <v>0</v>
      </c>
      <c r="AR27" s="542">
        <f t="shared" si="50"/>
        <v>0</v>
      </c>
    </row>
    <row r="28" spans="1:51" ht="16.5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51">U30+1</f>
        <v>201502</v>
      </c>
      <c r="W30" s="484">
        <f t="shared" ref="W30" si="52">V30+1</f>
        <v>201503</v>
      </c>
      <c r="X30" s="484">
        <f t="shared" ref="X30" si="53">W30+1</f>
        <v>201504</v>
      </c>
      <c r="Y30" s="484">
        <f t="shared" ref="Y30" si="54">X30+1</f>
        <v>201505</v>
      </c>
      <c r="Z30" s="484">
        <f t="shared" ref="Z30" si="55">Y30+1</f>
        <v>201506</v>
      </c>
      <c r="AA30" s="484">
        <f t="shared" ref="AA30" si="56">Z30+1</f>
        <v>201507</v>
      </c>
      <c r="AB30" s="484">
        <f t="shared" ref="AB30" si="57">AA30+1</f>
        <v>201508</v>
      </c>
      <c r="AC30" s="484">
        <f t="shared" ref="AC30" si="58">AB30+1</f>
        <v>201509</v>
      </c>
      <c r="AD30" s="484">
        <f t="shared" ref="AD30" si="59">AC30+1</f>
        <v>201510</v>
      </c>
      <c r="AE30" s="484">
        <f t="shared" ref="AE30" si="60">AD30+1</f>
        <v>201511</v>
      </c>
      <c r="AF30" s="484">
        <f t="shared" ref="AF30" si="61">AE30+1</f>
        <v>201512</v>
      </c>
      <c r="AG30" s="484">
        <v>201601</v>
      </c>
      <c r="AH30" s="484">
        <f>AG30+1</f>
        <v>201602</v>
      </c>
      <c r="AI30" s="484">
        <f t="shared" ref="AI30:AR30" si="62">AH30+1</f>
        <v>201603</v>
      </c>
      <c r="AJ30" s="484">
        <f t="shared" si="62"/>
        <v>201604</v>
      </c>
      <c r="AK30" s="484">
        <f t="shared" si="62"/>
        <v>201605</v>
      </c>
      <c r="AL30" s="484">
        <f t="shared" si="62"/>
        <v>201606</v>
      </c>
      <c r="AM30" s="484">
        <f t="shared" si="62"/>
        <v>201607</v>
      </c>
      <c r="AN30" s="484">
        <f t="shared" si="62"/>
        <v>201608</v>
      </c>
      <c r="AO30" s="484">
        <f t="shared" si="62"/>
        <v>201609</v>
      </c>
      <c r="AP30" s="484">
        <f t="shared" si="62"/>
        <v>201610</v>
      </c>
      <c r="AQ30" s="484">
        <f t="shared" si="62"/>
        <v>201611</v>
      </c>
      <c r="AR30" s="484">
        <f t="shared" si="62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336</v>
      </c>
      <c r="AF31" s="492" t="s">
        <v>336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336</v>
      </c>
      <c r="AR31" s="492" t="s">
        <v>336</v>
      </c>
      <c r="AT31" s="592"/>
      <c r="AU31" s="593"/>
      <c r="AV31" s="593"/>
      <c r="AW31" s="593"/>
      <c r="AX31" s="593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336</v>
      </c>
      <c r="AF32" s="492" t="s">
        <v>336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336</v>
      </c>
      <c r="AR32" s="492" t="s">
        <v>336</v>
      </c>
      <c r="AT32" s="593"/>
      <c r="AU32" s="593"/>
      <c r="AV32" s="593"/>
      <c r="AW32" s="593"/>
      <c r="AX32" s="593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3"/>
      <c r="AU33" s="593"/>
      <c r="AV33" s="593"/>
      <c r="AW33" s="593"/>
      <c r="AX33" s="593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3"/>
      <c r="AU34" s="593"/>
      <c r="AV34" s="593"/>
      <c r="AW34" s="593"/>
      <c r="AX34" s="593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3"/>
      <c r="AU35" s="593"/>
      <c r="AV35" s="593"/>
      <c r="AW35" s="593"/>
      <c r="AX35" s="593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336</v>
      </c>
      <c r="AF36" s="492" t="s">
        <v>336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336</v>
      </c>
      <c r="AR36" s="492" t="s">
        <v>336</v>
      </c>
      <c r="AT36" s="593"/>
      <c r="AU36" s="593"/>
      <c r="AV36" s="593"/>
      <c r="AW36" s="593"/>
      <c r="AX36" s="593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3">U40+1</f>
        <v>201502</v>
      </c>
      <c r="W40" s="484">
        <f t="shared" ref="W40" si="64">V40+1</f>
        <v>201503</v>
      </c>
      <c r="X40" s="484">
        <f t="shared" ref="X40" si="65">W40+1</f>
        <v>201504</v>
      </c>
      <c r="Y40" s="484">
        <f t="shared" ref="Y40" si="66">X40+1</f>
        <v>201505</v>
      </c>
      <c r="Z40" s="484">
        <f t="shared" ref="Z40" si="67">Y40+1</f>
        <v>201506</v>
      </c>
      <c r="AA40" s="484">
        <f t="shared" ref="AA40" si="68">Z40+1</f>
        <v>201507</v>
      </c>
      <c r="AB40" s="484">
        <f t="shared" ref="AB40" si="69">AA40+1</f>
        <v>201508</v>
      </c>
      <c r="AC40" s="484">
        <f t="shared" ref="AC40" si="70">AB40+1</f>
        <v>201509</v>
      </c>
      <c r="AD40" s="484">
        <f t="shared" ref="AD40" si="71">AC40+1</f>
        <v>201510</v>
      </c>
      <c r="AE40" s="484">
        <f t="shared" ref="AE40" si="72">AD40+1</f>
        <v>201511</v>
      </c>
      <c r="AF40" s="484">
        <f t="shared" ref="AF40" si="73">AE40+1</f>
        <v>201512</v>
      </c>
      <c r="AG40" s="484">
        <v>201601</v>
      </c>
      <c r="AH40" s="484">
        <f>AG40+1</f>
        <v>201602</v>
      </c>
      <c r="AI40" s="484">
        <f t="shared" ref="AI40:AR40" si="74">AH40+1</f>
        <v>201603</v>
      </c>
      <c r="AJ40" s="484">
        <f t="shared" si="74"/>
        <v>201604</v>
      </c>
      <c r="AK40" s="484">
        <f t="shared" si="74"/>
        <v>201605</v>
      </c>
      <c r="AL40" s="484">
        <f t="shared" si="74"/>
        <v>201606</v>
      </c>
      <c r="AM40" s="484">
        <f t="shared" si="74"/>
        <v>201607</v>
      </c>
      <c r="AN40" s="484">
        <f t="shared" si="74"/>
        <v>201608</v>
      </c>
      <c r="AO40" s="484">
        <f t="shared" si="74"/>
        <v>201609</v>
      </c>
      <c r="AP40" s="484">
        <f t="shared" si="74"/>
        <v>201610</v>
      </c>
      <c r="AQ40" s="484">
        <f t="shared" si="74"/>
        <v>201611</v>
      </c>
      <c r="AR40" s="484">
        <f t="shared" si="74"/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5">V47</f>
        <v>-1139196.8415066958</v>
      </c>
      <c r="X42" s="482">
        <f t="shared" ref="X42" si="76">W47</f>
        <v>-927936.74257669575</v>
      </c>
      <c r="Y42" s="482">
        <f t="shared" ref="Y42" si="77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8">AB47</f>
        <v>-496357.29729955469</v>
      </c>
      <c r="AD42" s="482">
        <f t="shared" ref="AD42" si="79">AC47</f>
        <v>-416678.50147523766</v>
      </c>
      <c r="AE42" s="482">
        <f t="shared" ref="AE42" si="80">AD47</f>
        <v>-299312.54063388787</v>
      </c>
      <c r="AF42" s="482">
        <f>AE47</f>
        <v>-1658528.5495927494</v>
      </c>
      <c r="AG42" s="482">
        <f t="shared" ref="AG42:AR42" si="81">AF47</f>
        <v>-1317584.0800507434</v>
      </c>
      <c r="AH42" s="482">
        <f t="shared" si="81"/>
        <v>-983065.53286414407</v>
      </c>
      <c r="AI42" s="482">
        <f t="shared" si="81"/>
        <v>-731100.32081221836</v>
      </c>
      <c r="AJ42" s="482">
        <f t="shared" si="81"/>
        <v>-731709.57107956184</v>
      </c>
      <c r="AK42" s="482">
        <f t="shared" si="81"/>
        <v>-732319.32905546145</v>
      </c>
      <c r="AL42" s="482">
        <f t="shared" si="81"/>
        <v>-732929.59516300762</v>
      </c>
      <c r="AM42" s="482">
        <f t="shared" si="81"/>
        <v>-733540.36982564349</v>
      </c>
      <c r="AN42" s="482">
        <f t="shared" si="81"/>
        <v>-734151.65346716484</v>
      </c>
      <c r="AO42" s="482">
        <f t="shared" si="81"/>
        <v>-734763.44651172077</v>
      </c>
      <c r="AP42" s="482">
        <f t="shared" si="81"/>
        <v>-735375.74938381382</v>
      </c>
      <c r="AQ42" s="482">
        <f t="shared" si="81"/>
        <v>-735988.5625083003</v>
      </c>
      <c r="AR42" s="482">
        <f t="shared" si="81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2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3">SUMPRODUCT(V19:V26,V31:V38)</f>
        <v>241476.50453999999</v>
      </c>
      <c r="W43" s="482">
        <f t="shared" si="83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4">SUMPRODUCT(AC19:AC26,AC31:AC38)</f>
        <v>80059.068960000004</v>
      </c>
      <c r="AD43" s="482">
        <f t="shared" si="84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5">SUMPRODUCT(AH19:AH24,AH31:AH36)</f>
        <v>252679.15035000001</v>
      </c>
      <c r="AI43" s="563">
        <f t="shared" si="85"/>
        <v>0</v>
      </c>
      <c r="AJ43" s="563">
        <f t="shared" si="85"/>
        <v>0</v>
      </c>
      <c r="AK43" s="563">
        <f t="shared" si="85"/>
        <v>0</v>
      </c>
      <c r="AL43" s="563">
        <f t="shared" si="85"/>
        <v>0</v>
      </c>
      <c r="AM43" s="563">
        <f t="shared" si="85"/>
        <v>0</v>
      </c>
      <c r="AN43" s="563">
        <f t="shared" si="85"/>
        <v>0</v>
      </c>
      <c r="AO43" s="563">
        <f t="shared" si="85"/>
        <v>0</v>
      </c>
      <c r="AP43" s="563">
        <f t="shared" si="85"/>
        <v>0</v>
      </c>
      <c r="AQ43" s="563">
        <f t="shared" si="85"/>
        <v>0</v>
      </c>
      <c r="AR43" s="563">
        <f t="shared" si="85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>
      <c r="B44" s="481" t="s">
        <v>4</v>
      </c>
      <c r="C44" s="482">
        <f t="shared" ref="C44:C46" si="86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7">((AC42*(AC41/12))+((AC43/2)*(AC41/12)))</f>
        <v>-380.27313568296228</v>
      </c>
      <c r="AD44" s="489">
        <f t="shared" si="87"/>
        <v>-298.20534865019806</v>
      </c>
      <c r="AE44" s="489">
        <f>((AE42+AE45)*(AE41/12))+(((AE43+AE46)/2)*(AE41/12))</f>
        <v>-1514.5789588615733</v>
      </c>
      <c r="AF44" s="489">
        <f t="shared" ref="AF44:AR44" si="88">((AF42*(AF41/12))+((AF43/2)*(AF41/12)))</f>
        <v>-1239.530457993958</v>
      </c>
      <c r="AG44" s="489">
        <f t="shared" si="88"/>
        <v>-958.20475340061967</v>
      </c>
      <c r="AH44" s="489">
        <f t="shared" si="88"/>
        <v>-713.93829807428676</v>
      </c>
      <c r="AI44" s="489">
        <f t="shared" si="88"/>
        <v>-609.25026734351536</v>
      </c>
      <c r="AJ44" s="489">
        <f t="shared" si="88"/>
        <v>-609.75797589963486</v>
      </c>
      <c r="AK44" s="489">
        <f t="shared" si="88"/>
        <v>-610.26610754621788</v>
      </c>
      <c r="AL44" s="489">
        <f t="shared" si="88"/>
        <v>-610.77466263583972</v>
      </c>
      <c r="AM44" s="489">
        <f t="shared" si="88"/>
        <v>-611.28364152136965</v>
      </c>
      <c r="AN44" s="489">
        <f t="shared" si="88"/>
        <v>-611.79304455597071</v>
      </c>
      <c r="AO44" s="489">
        <f t="shared" si="88"/>
        <v>-612.30287209310063</v>
      </c>
      <c r="AP44" s="489">
        <f t="shared" si="88"/>
        <v>-612.81312448651158</v>
      </c>
      <c r="AQ44" s="489">
        <f t="shared" si="88"/>
        <v>-613.3238020902503</v>
      </c>
      <c r="AR44" s="489">
        <f t="shared" si="88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>
      <c r="B45" s="481" t="s">
        <v>259</v>
      </c>
      <c r="C45" s="482">
        <f t="shared" si="86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>
      <c r="B46" s="481" t="s">
        <v>148</v>
      </c>
      <c r="C46" s="482">
        <f t="shared" si="86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89">AU44</f>
        <v>191000</v>
      </c>
      <c r="AV46" s="528" t="str">
        <f t="shared" si="89"/>
        <v>GD</v>
      </c>
      <c r="AW46" s="528" t="str">
        <f t="shared" si="89"/>
        <v>ID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90">SUM(F42:F46)</f>
        <v>122203.74560073584</v>
      </c>
      <c r="G47" s="541">
        <f t="shared" si="90"/>
        <v>121907.05607206978</v>
      </c>
      <c r="H47" s="541">
        <f t="shared" si="90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91">SUM(V42:V46)</f>
        <v>-1139196.8415066958</v>
      </c>
      <c r="W47" s="541">
        <f t="shared" si="91"/>
        <v>-927936.74257669575</v>
      </c>
      <c r="X47" s="541">
        <f t="shared" si="91"/>
        <v>-767403.9580847763</v>
      </c>
      <c r="Y47" s="541">
        <f t="shared" si="91"/>
        <v>-685903.92338007619</v>
      </c>
      <c r="Z47" s="541">
        <f t="shared" si="91"/>
        <v>-623363.07088572613</v>
      </c>
      <c r="AA47" s="541">
        <f t="shared" si="91"/>
        <v>-564427.81872858922</v>
      </c>
      <c r="AB47" s="541">
        <f t="shared" si="91"/>
        <v>-496357.29729955469</v>
      </c>
      <c r="AC47" s="541">
        <f t="shared" si="91"/>
        <v>-416678.50147523766</v>
      </c>
      <c r="AD47" s="541">
        <f t="shared" si="91"/>
        <v>-299312.54063388787</v>
      </c>
      <c r="AE47" s="541">
        <f t="shared" si="91"/>
        <v>-1658528.5495927494</v>
      </c>
      <c r="AF47" s="541">
        <f t="shared" si="91"/>
        <v>-1317584.0800507434</v>
      </c>
      <c r="AG47" s="541">
        <f t="shared" si="91"/>
        <v>-983065.53286414407</v>
      </c>
      <c r="AH47" s="541">
        <f t="shared" si="91"/>
        <v>-731100.32081221836</v>
      </c>
      <c r="AI47" s="541">
        <f t="shared" si="91"/>
        <v>-731709.57107956184</v>
      </c>
      <c r="AJ47" s="541">
        <f t="shared" si="91"/>
        <v>-732319.32905546145</v>
      </c>
      <c r="AK47" s="541">
        <f t="shared" si="91"/>
        <v>-732929.59516300762</v>
      </c>
      <c r="AL47" s="541">
        <f t="shared" si="91"/>
        <v>-733540.36982564349</v>
      </c>
      <c r="AM47" s="541">
        <f t="shared" si="91"/>
        <v>-734151.65346716484</v>
      </c>
      <c r="AN47" s="541">
        <f t="shared" si="91"/>
        <v>-734763.44651172077</v>
      </c>
      <c r="AO47" s="541">
        <f t="shared" si="91"/>
        <v>-735375.74938381382</v>
      </c>
      <c r="AP47" s="541">
        <f t="shared" si="91"/>
        <v>-735988.5625083003</v>
      </c>
      <c r="AQ47" s="541">
        <f t="shared" si="91"/>
        <v>-736601.88631039055</v>
      </c>
      <c r="AR47" s="541">
        <f t="shared" si="91"/>
        <v>-737215.72121564916</v>
      </c>
      <c r="AT47" s="501" t="str">
        <f>AT46</f>
        <v>Large Customer Refund</v>
      </c>
      <c r="AU47" s="529">
        <f t="shared" si="89"/>
        <v>805110</v>
      </c>
      <c r="AV47" s="529" t="str">
        <f t="shared" si="89"/>
        <v>GD</v>
      </c>
      <c r="AW47" s="529" t="str">
        <f t="shared" si="89"/>
        <v>ID</v>
      </c>
      <c r="AX47" s="503">
        <v>0</v>
      </c>
      <c r="AY47" s="521">
        <f>AX46</f>
        <v>0</v>
      </c>
    </row>
    <row r="48" spans="1:51" ht="17.25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-983065.53</v>
      </c>
      <c r="AI48" s="482">
        <f>_xll.Get_Balance(AI40,"YTD","USD","Total","A","","001",$A$40,"GD","ID","DL")</f>
        <v>-983065.53</v>
      </c>
      <c r="AJ48" s="482">
        <f>_xll.Get_Balance(AJ40,"YTD","USD","Total","A","","001",$A$40,"GD","ID","DL")</f>
        <v>0</v>
      </c>
      <c r="AK48" s="482">
        <f>_xll.Get_Balance(AK40,"YTD","USD","Total","A","","001",$A$40,"GD","ID","DL")</f>
        <v>0</v>
      </c>
      <c r="AL48" s="482">
        <f>_xll.Get_Balance(AL40,"YTD","USD","Total","A","","001",$A$40,"GD","ID","DL")</f>
        <v>0</v>
      </c>
      <c r="AM48" s="482">
        <f>_xll.Get_Balance(AM40,"YTD","USD","Total","A","","001",$A$40,"GD","ID","DL")</f>
        <v>0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92">E47-E48</f>
        <v>2.2137390881653118E-2</v>
      </c>
      <c r="F49" s="482">
        <f t="shared" si="92"/>
        <v>90.56560073584842</v>
      </c>
      <c r="G49" s="482">
        <f t="shared" si="92"/>
        <v>90.646072069779621</v>
      </c>
      <c r="H49" s="482">
        <f t="shared" si="92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93">V47-V48</f>
        <v>-1.506695756688714E-3</v>
      </c>
      <c r="W49" s="482">
        <f t="shared" si="93"/>
        <v>-2.5766957551240921E-3</v>
      </c>
      <c r="X49" s="482">
        <f t="shared" si="93"/>
        <v>1.9152236636728048E-3</v>
      </c>
      <c r="Y49" s="482">
        <f t="shared" ref="Y49:AR49" si="94">Y47-Y48</f>
        <v>-3.3800761448219419E-3</v>
      </c>
      <c r="Z49" s="482">
        <f t="shared" si="94"/>
        <v>-8.8572618551552296E-4</v>
      </c>
      <c r="AA49" s="482">
        <f t="shared" si="94"/>
        <v>1.2714107288047671E-3</v>
      </c>
      <c r="AB49" s="482">
        <f t="shared" si="94"/>
        <v>2.7004453004337847E-3</v>
      </c>
      <c r="AC49" s="482">
        <f t="shared" si="94"/>
        <v>-1.4752376591786742E-3</v>
      </c>
      <c r="AD49" s="482">
        <f t="shared" si="94"/>
        <v>-6.3388788839802146E-4</v>
      </c>
      <c r="AE49" s="482">
        <f t="shared" si="94"/>
        <v>4.0725059807300568E-4</v>
      </c>
      <c r="AF49" s="482">
        <f t="shared" si="94"/>
        <v>-5.0743343308568001E-5</v>
      </c>
      <c r="AG49" s="482">
        <f t="shared" si="94"/>
        <v>-2.8641440439969301E-3</v>
      </c>
      <c r="AH49" s="482">
        <f t="shared" si="94"/>
        <v>251965.20918778167</v>
      </c>
      <c r="AI49" s="482">
        <f t="shared" si="94"/>
        <v>251355.95892043819</v>
      </c>
      <c r="AJ49" s="482">
        <f t="shared" si="94"/>
        <v>-732319.32905546145</v>
      </c>
      <c r="AK49" s="482">
        <f t="shared" si="94"/>
        <v>-732929.59516300762</v>
      </c>
      <c r="AL49" s="482">
        <f t="shared" si="94"/>
        <v>-733540.36982564349</v>
      </c>
      <c r="AM49" s="482">
        <f t="shared" si="94"/>
        <v>-734151.65346716484</v>
      </c>
      <c r="AN49" s="482">
        <f t="shared" si="94"/>
        <v>-734763.44651172077</v>
      </c>
      <c r="AO49" s="482">
        <f t="shared" si="94"/>
        <v>-735375.74938381382</v>
      </c>
      <c r="AP49" s="482">
        <f t="shared" si="94"/>
        <v>-735988.5625083003</v>
      </c>
      <c r="AQ49" s="482">
        <f t="shared" si="94"/>
        <v>-736601.88631039055</v>
      </c>
      <c r="AR49" s="482">
        <f t="shared" si="94"/>
        <v>-737215.72121564916</v>
      </c>
      <c r="AS49" s="482">
        <f t="shared" si="93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5">U51+1</f>
        <v>201502</v>
      </c>
      <c r="W51" s="484">
        <f t="shared" ref="W51" si="96">V51+1</f>
        <v>201503</v>
      </c>
      <c r="X51" s="484">
        <f t="shared" ref="X51" si="97">W51+1</f>
        <v>201504</v>
      </c>
      <c r="Y51" s="484">
        <f t="shared" ref="Y51" si="98">X51+1</f>
        <v>201505</v>
      </c>
      <c r="Z51" s="484">
        <f t="shared" ref="Z51" si="99">Y51+1</f>
        <v>201506</v>
      </c>
      <c r="AA51" s="484">
        <f t="shared" ref="AA51" si="100">Z51+1</f>
        <v>201507</v>
      </c>
      <c r="AB51" s="484">
        <f t="shared" ref="AB51" si="101">AA51+1</f>
        <v>201508</v>
      </c>
      <c r="AC51" s="484">
        <f t="shared" ref="AC51" si="102">AB51+1</f>
        <v>201509</v>
      </c>
      <c r="AD51" s="484">
        <f t="shared" ref="AD51" si="103">AC51+1</f>
        <v>201510</v>
      </c>
      <c r="AE51" s="484">
        <f t="shared" ref="AE51" si="104">AD51+1</f>
        <v>201511</v>
      </c>
      <c r="AF51" s="484">
        <f t="shared" ref="AF51" si="105">AE51+1</f>
        <v>201512</v>
      </c>
      <c r="AG51" s="484">
        <v>201601</v>
      </c>
      <c r="AH51" s="484">
        <f>AG51+1</f>
        <v>201602</v>
      </c>
      <c r="AI51" s="484">
        <f t="shared" ref="AI51:AR51" si="106">AH51+1</f>
        <v>201603</v>
      </c>
      <c r="AJ51" s="484">
        <f t="shared" si="106"/>
        <v>201604</v>
      </c>
      <c r="AK51" s="484">
        <f t="shared" si="106"/>
        <v>201605</v>
      </c>
      <c r="AL51" s="484">
        <f t="shared" si="106"/>
        <v>201606</v>
      </c>
      <c r="AM51" s="484">
        <f t="shared" si="106"/>
        <v>201607</v>
      </c>
      <c r="AN51" s="484">
        <f t="shared" si="106"/>
        <v>201608</v>
      </c>
      <c r="AO51" s="484">
        <f t="shared" si="106"/>
        <v>201609</v>
      </c>
      <c r="AP51" s="484">
        <f t="shared" si="106"/>
        <v>201610</v>
      </c>
      <c r="AQ51" s="484">
        <f t="shared" si="106"/>
        <v>201611</v>
      </c>
      <c r="AR51" s="484">
        <f t="shared" si="106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107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107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107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107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107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107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108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5" thickBot="1">
      <c r="A60" s="483"/>
      <c r="B60" s="481" t="s">
        <v>21</v>
      </c>
      <c r="C60" s="542">
        <f t="shared" si="107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9">SUM(G52:G59)</f>
        <v>9560411</v>
      </c>
      <c r="H60" s="542">
        <f t="shared" si="109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10">SUM(U52:U59)</f>
        <v>11853389</v>
      </c>
      <c r="V60" s="542">
        <f t="shared" si="110"/>
        <v>7975879</v>
      </c>
      <c r="W60" s="542">
        <f t="shared" si="110"/>
        <v>7051984</v>
      </c>
      <c r="X60" s="542">
        <f t="shared" si="110"/>
        <v>5286030</v>
      </c>
      <c r="Y60" s="542">
        <f t="shared" si="110"/>
        <v>2733897</v>
      </c>
      <c r="Z60" s="542">
        <f t="shared" si="110"/>
        <v>2096440</v>
      </c>
      <c r="AA60" s="542">
        <f t="shared" si="110"/>
        <v>1982316</v>
      </c>
      <c r="AB60" s="542">
        <f t="shared" si="110"/>
        <v>2300576</v>
      </c>
      <c r="AC60" s="542">
        <f t="shared" si="110"/>
        <v>2659390</v>
      </c>
      <c r="AD60" s="542">
        <f t="shared" ref="AD60:AS60" si="111">SUM(AD52:AD59)</f>
        <v>3938193</v>
      </c>
      <c r="AE60" s="542">
        <f t="shared" si="111"/>
        <v>9651342</v>
      </c>
      <c r="AF60" s="542">
        <f t="shared" si="111"/>
        <v>11926102</v>
      </c>
      <c r="AG60" s="542">
        <f t="shared" si="111"/>
        <v>11687768</v>
      </c>
      <c r="AH60" s="542">
        <f t="shared" si="111"/>
        <v>8803437</v>
      </c>
      <c r="AI60" s="542">
        <f t="shared" si="111"/>
        <v>0</v>
      </c>
      <c r="AJ60" s="542">
        <f t="shared" si="111"/>
        <v>0</v>
      </c>
      <c r="AK60" s="542">
        <f t="shared" si="111"/>
        <v>0</v>
      </c>
      <c r="AL60" s="542">
        <f t="shared" si="111"/>
        <v>0</v>
      </c>
      <c r="AM60" s="542">
        <f t="shared" si="111"/>
        <v>0</v>
      </c>
      <c r="AN60" s="542">
        <f t="shared" si="111"/>
        <v>0</v>
      </c>
      <c r="AO60" s="542">
        <f t="shared" si="111"/>
        <v>0</v>
      </c>
      <c r="AP60" s="542">
        <f t="shared" si="111"/>
        <v>3938193</v>
      </c>
      <c r="AQ60" s="542">
        <f t="shared" si="111"/>
        <v>0</v>
      </c>
      <c r="AR60" s="542">
        <f t="shared" si="111"/>
        <v>0</v>
      </c>
      <c r="AS60" s="542">
        <f t="shared" si="111"/>
        <v>11687768</v>
      </c>
    </row>
    <row r="61" spans="1:45" ht="16.5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2">U63+1</f>
        <v>201502</v>
      </c>
      <c r="W63" s="484">
        <f t="shared" ref="W63" si="113">V63+1</f>
        <v>201503</v>
      </c>
      <c r="X63" s="484">
        <f t="shared" ref="X63" si="114">W63+1</f>
        <v>201504</v>
      </c>
      <c r="Y63" s="484">
        <f t="shared" ref="Y63" si="115">X63+1</f>
        <v>201505</v>
      </c>
      <c r="Z63" s="484">
        <f t="shared" ref="Z63" si="116">Y63+1</f>
        <v>201506</v>
      </c>
      <c r="AA63" s="484">
        <f t="shared" ref="AA63" si="117">Z63+1</f>
        <v>201507</v>
      </c>
      <c r="AB63" s="484">
        <f t="shared" ref="AB63" si="118">AA63+1</f>
        <v>201508</v>
      </c>
      <c r="AC63" s="484">
        <f t="shared" ref="AC63" si="119">AB63+1</f>
        <v>201509</v>
      </c>
      <c r="AD63" s="484">
        <f t="shared" ref="AD63" si="120">AC63+1</f>
        <v>201510</v>
      </c>
      <c r="AE63" s="484">
        <f t="shared" ref="AE63" si="121">AD63+1</f>
        <v>201511</v>
      </c>
      <c r="AF63" s="484">
        <f t="shared" ref="AF63" si="122">AE63+1</f>
        <v>201512</v>
      </c>
      <c r="AG63" s="484">
        <v>201601</v>
      </c>
      <c r="AH63" s="484">
        <f>AG63+1</f>
        <v>201602</v>
      </c>
      <c r="AI63" s="484">
        <f t="shared" ref="AI63:AR63" si="123">AH63+1</f>
        <v>201603</v>
      </c>
      <c r="AJ63" s="484">
        <f t="shared" si="123"/>
        <v>201604</v>
      </c>
      <c r="AK63" s="484">
        <f t="shared" si="123"/>
        <v>201605</v>
      </c>
      <c r="AL63" s="484">
        <f t="shared" si="123"/>
        <v>201606</v>
      </c>
      <c r="AM63" s="484">
        <f t="shared" si="123"/>
        <v>201607</v>
      </c>
      <c r="AN63" s="484">
        <f t="shared" si="123"/>
        <v>201608</v>
      </c>
      <c r="AO63" s="484">
        <f t="shared" si="123"/>
        <v>201609</v>
      </c>
      <c r="AP63" s="484">
        <f t="shared" si="123"/>
        <v>201610</v>
      </c>
      <c r="AQ63" s="484">
        <f t="shared" si="123"/>
        <v>201611</v>
      </c>
      <c r="AR63" s="484">
        <f t="shared" si="12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2" t="s">
        <v>328</v>
      </c>
      <c r="AU67" s="593"/>
      <c r="AV67" s="593"/>
      <c r="AW67" s="593"/>
      <c r="AX67" s="593"/>
      <c r="AY67" s="593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3"/>
      <c r="AU68" s="593"/>
      <c r="AV68" s="593"/>
      <c r="AW68" s="593"/>
      <c r="AX68" s="593"/>
      <c r="AY68" s="593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3"/>
      <c r="AU69" s="593"/>
      <c r="AV69" s="593"/>
      <c r="AW69" s="593"/>
      <c r="AX69" s="593"/>
      <c r="AY69" s="593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3"/>
      <c r="AU70" s="593"/>
      <c r="AV70" s="593"/>
      <c r="AW70" s="593"/>
      <c r="AX70" s="593"/>
      <c r="AY70" s="593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3"/>
      <c r="AU71" s="593"/>
      <c r="AV71" s="593"/>
      <c r="AW71" s="593"/>
      <c r="AX71" s="593"/>
      <c r="AY71" s="593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3"/>
      <c r="AU72" s="593"/>
      <c r="AV72" s="593"/>
      <c r="AW72" s="593"/>
      <c r="AX72" s="593"/>
      <c r="AY72" s="593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4">U73+1</f>
        <v>201502</v>
      </c>
      <c r="W73" s="484">
        <f t="shared" ref="W73" si="125">V73+1</f>
        <v>201503</v>
      </c>
      <c r="X73" s="484">
        <f t="shared" ref="X73" si="126">W73+1</f>
        <v>201504</v>
      </c>
      <c r="Y73" s="484">
        <f t="shared" ref="Y73" si="127">X73+1</f>
        <v>201505</v>
      </c>
      <c r="Z73" s="484">
        <f t="shared" ref="Z73" si="128">Y73+1</f>
        <v>201506</v>
      </c>
      <c r="AA73" s="484">
        <f t="shared" ref="AA73" si="129">Z73+1</f>
        <v>201507</v>
      </c>
      <c r="AB73" s="484">
        <f t="shared" ref="AB73" si="130">AA73+1</f>
        <v>201508</v>
      </c>
      <c r="AC73" s="484">
        <f t="shared" ref="AC73" si="131">AB73+1</f>
        <v>201509</v>
      </c>
      <c r="AD73" s="484">
        <f t="shared" ref="AD73" si="132">AC73+1</f>
        <v>201510</v>
      </c>
      <c r="AE73" s="484">
        <f t="shared" ref="AE73" si="133">AD73+1</f>
        <v>201511</v>
      </c>
      <c r="AF73" s="484">
        <f t="shared" ref="AF73" si="134">AE73+1</f>
        <v>201512</v>
      </c>
      <c r="AG73" s="484">
        <v>201601</v>
      </c>
      <c r="AH73" s="484">
        <f>AG73+1</f>
        <v>201602</v>
      </c>
      <c r="AI73" s="484">
        <f t="shared" ref="AI73:AR73" si="135">AH73+1</f>
        <v>201603</v>
      </c>
      <c r="AJ73" s="484">
        <f t="shared" si="135"/>
        <v>201604</v>
      </c>
      <c r="AK73" s="484">
        <f t="shared" si="135"/>
        <v>201605</v>
      </c>
      <c r="AL73" s="484">
        <f t="shared" si="135"/>
        <v>201606</v>
      </c>
      <c r="AM73" s="484">
        <f t="shared" si="135"/>
        <v>201607</v>
      </c>
      <c r="AN73" s="484">
        <f t="shared" si="135"/>
        <v>201608</v>
      </c>
      <c r="AO73" s="484">
        <f t="shared" si="135"/>
        <v>201609</v>
      </c>
      <c r="AP73" s="484">
        <f t="shared" si="135"/>
        <v>201610</v>
      </c>
      <c r="AQ73" s="484">
        <f t="shared" si="135"/>
        <v>201611</v>
      </c>
      <c r="AR73" s="484">
        <f t="shared" si="13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7">AA79</f>
        <v>-11951.205399782522</v>
      </c>
      <c r="AC75" s="482">
        <f t="shared" ref="AC75" si="138">AB79</f>
        <v>-11961.164737615674</v>
      </c>
      <c r="AD75" s="482">
        <f t="shared" ref="AD75" si="139">AC79</f>
        <v>-11971.132374897021</v>
      </c>
      <c r="AE75" s="482">
        <f t="shared" ref="AE75" si="140">AD79</f>
        <v>-11981.108318542769</v>
      </c>
      <c r="AF75" s="482">
        <f t="shared" ref="AF75" si="141">AE79</f>
        <v>-11991.092575474888</v>
      </c>
      <c r="AG75" s="482">
        <f t="shared" ref="AG75" si="142">AF79</f>
        <v>-12001.085152621117</v>
      </c>
      <c r="AH75" s="482">
        <f t="shared" ref="AH75" si="143">AG79</f>
        <v>-12011.086056914968</v>
      </c>
      <c r="AI75" s="482">
        <f t="shared" ref="AI75" si="144">AH79</f>
        <v>-12021.09529529573</v>
      </c>
      <c r="AJ75" s="482">
        <f t="shared" ref="AJ75" si="145">AI79</f>
        <v>-12031.112874708477</v>
      </c>
      <c r="AK75" s="482">
        <f t="shared" ref="AK75" si="146">AJ79</f>
        <v>-12041.138802104068</v>
      </c>
      <c r="AL75" s="482">
        <f t="shared" ref="AL75" si="147">AK79</f>
        <v>-12051.173084439155</v>
      </c>
      <c r="AM75" s="482">
        <f t="shared" ref="AM75" si="148">AL79</f>
        <v>-12061.215728676189</v>
      </c>
      <c r="AN75" s="482">
        <f t="shared" ref="AN75" si="149">AM79</f>
        <v>-12071.266741783418</v>
      </c>
      <c r="AO75" s="482">
        <f t="shared" ref="AO75" si="150">AN79</f>
        <v>-12081.326130734904</v>
      </c>
      <c r="AP75" s="482">
        <f t="shared" ref="AP75" si="151">AO79</f>
        <v>-12091.393902510516</v>
      </c>
      <c r="AQ75" s="482">
        <f t="shared" ref="AQ75" si="152">AP79</f>
        <v>-12101.470064095942</v>
      </c>
      <c r="AR75" s="482">
        <f t="shared" ref="AR75" si="153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4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>
      <c r="B77" s="481" t="s">
        <v>4</v>
      </c>
      <c r="C77" s="482">
        <f t="shared" ref="C77:C78" si="155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6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6"/>
        <v>-9.9593378331521034</v>
      </c>
      <c r="AC77" s="489">
        <f t="shared" si="156"/>
        <v>-9.9676372813463967</v>
      </c>
      <c r="AD77" s="489">
        <f t="shared" si="156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7">((AG75*(AG74/12))+((AG76/2)*(AG74/12)))</f>
        <v>-10.000904293850931</v>
      </c>
      <c r="AH77" s="489">
        <f t="shared" si="157"/>
        <v>-10.009238380762474</v>
      </c>
      <c r="AI77" s="489">
        <f t="shared" si="157"/>
        <v>-10.017579412746443</v>
      </c>
      <c r="AJ77" s="489">
        <f t="shared" si="157"/>
        <v>-10.025927395590397</v>
      </c>
      <c r="AK77" s="489">
        <f t="shared" si="157"/>
        <v>-10.034282335086724</v>
      </c>
      <c r="AL77" s="489">
        <f t="shared" si="157"/>
        <v>-10.042644237032629</v>
      </c>
      <c r="AM77" s="489">
        <f t="shared" si="157"/>
        <v>-10.051013107230158</v>
      </c>
      <c r="AN77" s="489">
        <f t="shared" si="157"/>
        <v>-10.059388951486183</v>
      </c>
      <c r="AO77" s="489">
        <f t="shared" si="157"/>
        <v>-10.067771775612421</v>
      </c>
      <c r="AP77" s="489">
        <f t="shared" si="157"/>
        <v>-10.07616158542543</v>
      </c>
      <c r="AQ77" s="489">
        <f t="shared" si="157"/>
        <v>-10.084558386746618</v>
      </c>
      <c r="AR77" s="489">
        <f t="shared" si="157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>
      <c r="B78" s="481" t="s">
        <v>148</v>
      </c>
      <c r="C78" s="482">
        <f t="shared" si="155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8">SUM(V75:V78)</f>
        <v>-11901.532960675278</v>
      </c>
      <c r="W79" s="541">
        <f t="shared" si="158"/>
        <v>-11911.450904809175</v>
      </c>
      <c r="X79" s="541">
        <f t="shared" si="158"/>
        <v>-11921.377113896517</v>
      </c>
      <c r="Y79" s="541">
        <f t="shared" si="158"/>
        <v>-11931.311594824763</v>
      </c>
      <c r="Z79" s="541">
        <f t="shared" si="158"/>
        <v>-11941.254354487117</v>
      </c>
      <c r="AA79" s="541">
        <f t="shared" si="158"/>
        <v>-11951.205399782522</v>
      </c>
      <c r="AB79" s="541">
        <f t="shared" si="158"/>
        <v>-11961.164737615674</v>
      </c>
      <c r="AC79" s="541">
        <f t="shared" si="158"/>
        <v>-11971.132374897021</v>
      </c>
      <c r="AD79" s="541">
        <f t="shared" si="158"/>
        <v>-11981.108318542769</v>
      </c>
      <c r="AE79" s="541">
        <f t="shared" si="158"/>
        <v>-11991.092575474888</v>
      </c>
      <c r="AF79" s="541">
        <f t="shared" si="158"/>
        <v>-12001.085152621117</v>
      </c>
      <c r="AG79" s="541">
        <f t="shared" si="158"/>
        <v>-12011.086056914968</v>
      </c>
      <c r="AH79" s="541">
        <f t="shared" si="158"/>
        <v>-12021.09529529573</v>
      </c>
      <c r="AI79" s="541">
        <f t="shared" si="158"/>
        <v>-12031.112874708477</v>
      </c>
      <c r="AJ79" s="541">
        <f t="shared" si="158"/>
        <v>-12041.138802104068</v>
      </c>
      <c r="AK79" s="541">
        <f t="shared" si="158"/>
        <v>-12051.173084439155</v>
      </c>
      <c r="AL79" s="541">
        <f t="shared" si="158"/>
        <v>-12061.215728676189</v>
      </c>
      <c r="AM79" s="541">
        <f t="shared" si="158"/>
        <v>-12071.266741783418</v>
      </c>
      <c r="AN79" s="541">
        <f t="shared" si="158"/>
        <v>-12081.326130734904</v>
      </c>
      <c r="AO79" s="541">
        <f t="shared" si="158"/>
        <v>-12091.393902510516</v>
      </c>
      <c r="AP79" s="541">
        <f t="shared" si="158"/>
        <v>-12101.470064095942</v>
      </c>
      <c r="AQ79" s="541">
        <f t="shared" si="158"/>
        <v>-12111.554622482689</v>
      </c>
      <c r="AR79" s="541">
        <f t="shared" si="158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-12011.1</v>
      </c>
      <c r="AI80" s="482">
        <f>_xll.Get_Balance(AI73,"YTD","USD","Total","A","","001",$A$73,"GD","ID","DL")</f>
        <v>-12011.1</v>
      </c>
      <c r="AJ80" s="482">
        <f>_xll.Get_Balance(AJ73,"YTD","USD","Total","A","","001",$A$73,"GD","ID","DL")</f>
        <v>0</v>
      </c>
      <c r="AK80" s="482">
        <f>_xll.Get_Balance(AK73,"YTD","USD","Total","A","","001",$A$73,"GD","ID","DL")</f>
        <v>0</v>
      </c>
      <c r="AL80" s="482">
        <f>_xll.Get_Balance(AL73,"YTD","USD","Total","A","","001",$A$73,"GD","ID","DL")</f>
        <v>0</v>
      </c>
      <c r="AM80" s="482">
        <f>_xll.Get_Balance(AM73,"YTD","USD","Total","A","","001",$A$73,"GD","ID","DL")</f>
        <v>0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C81" si="159">V79-V80</f>
        <v>1.7039324720826698E-2</v>
      </c>
      <c r="W81" s="482">
        <f t="shared" si="159"/>
        <v>1.9095190824373276E-2</v>
      </c>
      <c r="X81" s="482">
        <f t="shared" si="159"/>
        <v>2.2886103482960607E-2</v>
      </c>
      <c r="Y81" s="482">
        <f t="shared" si="159"/>
        <v>1.8405175236694049E-2</v>
      </c>
      <c r="Z81" s="482">
        <f t="shared" si="159"/>
        <v>1.5645512883565971E-2</v>
      </c>
      <c r="AA81" s="482">
        <f t="shared" si="159"/>
        <v>1.4600217476981925E-2</v>
      </c>
      <c r="AB81" s="482">
        <f t="shared" si="159"/>
        <v>1.5262384325978928E-2</v>
      </c>
      <c r="AC81" s="482">
        <f t="shared" si="159"/>
        <v>1.7625102978854557E-2</v>
      </c>
      <c r="AD81" s="482">
        <f t="shared" ref="AD81:AR81" si="160">AD79-AD80</f>
        <v>2.1681457230442902E-2</v>
      </c>
      <c r="AE81" s="482">
        <f t="shared" si="160"/>
        <v>1.7424525112801348E-2</v>
      </c>
      <c r="AF81" s="482">
        <f t="shared" si="160"/>
        <v>1.4847378883132478E-2</v>
      </c>
      <c r="AG81" s="482">
        <f t="shared" si="160"/>
        <v>1.3943085032224189E-2</v>
      </c>
      <c r="AH81" s="482">
        <f t="shared" si="160"/>
        <v>-9.9952952957301022</v>
      </c>
      <c r="AI81" s="482">
        <f t="shared" si="160"/>
        <v>-20.012874708476375</v>
      </c>
      <c r="AJ81" s="482">
        <f t="shared" si="160"/>
        <v>-12041.138802104068</v>
      </c>
      <c r="AK81" s="482">
        <f t="shared" si="160"/>
        <v>-12051.173084439155</v>
      </c>
      <c r="AL81" s="482">
        <f t="shared" si="160"/>
        <v>-12061.215728676189</v>
      </c>
      <c r="AM81" s="482">
        <f t="shared" si="160"/>
        <v>-12071.266741783418</v>
      </c>
      <c r="AN81" s="482">
        <f t="shared" si="160"/>
        <v>-12081.326130734904</v>
      </c>
      <c r="AO81" s="482">
        <f t="shared" si="160"/>
        <v>-12091.393902510516</v>
      </c>
      <c r="AP81" s="482">
        <f t="shared" si="160"/>
        <v>-12101.470064095942</v>
      </c>
      <c r="AQ81" s="482">
        <f t="shared" si="160"/>
        <v>-12111.554622482689</v>
      </c>
      <c r="AR81" s="482">
        <f t="shared" si="160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4"/>
      <c r="AU84" s="595"/>
      <c r="AV84" s="595"/>
      <c r="AW84" s="595"/>
      <c r="AX84" s="595"/>
      <c r="AY84" s="595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5"/>
      <c r="AU85" s="595"/>
      <c r="AV85" s="595"/>
      <c r="AW85" s="595"/>
      <c r="AX85" s="595"/>
      <c r="AY85" s="595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5"/>
      <c r="AU86" s="595"/>
      <c r="AV86" s="595"/>
      <c r="AW86" s="595"/>
      <c r="AX86" s="595"/>
      <c r="AY86" s="595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5"/>
      <c r="AU87" s="595"/>
      <c r="AV87" s="595"/>
      <c r="AW87" s="595"/>
      <c r="AX87" s="595"/>
      <c r="AY87" s="595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5"/>
      <c r="AU88" s="595"/>
      <c r="AV88" s="595"/>
      <c r="AW88" s="595"/>
      <c r="AX88" s="595"/>
      <c r="AY88" s="595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5"/>
      <c r="AU89" s="595"/>
      <c r="AV89" s="595"/>
      <c r="AW89" s="595"/>
      <c r="AX89" s="595"/>
      <c r="AY89" s="595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247" priority="32" operator="notEqual">
      <formula>E27</formula>
    </cfRule>
  </conditionalFormatting>
  <conditionalFormatting sqref="F28">
    <cfRule type="cellIs" dxfId="246" priority="31" operator="notEqual">
      <formula>F27</formula>
    </cfRule>
  </conditionalFormatting>
  <conditionalFormatting sqref="G28">
    <cfRule type="cellIs" dxfId="245" priority="30" operator="notEqual">
      <formula>G27</formula>
    </cfRule>
  </conditionalFormatting>
  <conditionalFormatting sqref="H28">
    <cfRule type="cellIs" dxfId="244" priority="29" operator="notEqual">
      <formula>H27</formula>
    </cfRule>
  </conditionalFormatting>
  <conditionalFormatting sqref="C28">
    <cfRule type="cellIs" dxfId="243" priority="28" operator="notEqual">
      <formula>C27</formula>
    </cfRule>
  </conditionalFormatting>
  <conditionalFormatting sqref="F61">
    <cfRule type="cellIs" dxfId="242" priority="25" operator="notEqual">
      <formula>F60</formula>
    </cfRule>
  </conditionalFormatting>
  <conditionalFormatting sqref="G61">
    <cfRule type="cellIs" dxfId="241" priority="24" operator="notEqual">
      <formula>G60</formula>
    </cfRule>
  </conditionalFormatting>
  <conditionalFormatting sqref="H61">
    <cfRule type="cellIs" dxfId="240" priority="23" operator="notEqual">
      <formula>H60</formula>
    </cfRule>
  </conditionalFormatting>
  <conditionalFormatting sqref="C61">
    <cfRule type="cellIs" dxfId="239" priority="22" operator="notEqual">
      <formula>C60</formula>
    </cfRule>
  </conditionalFormatting>
  <conditionalFormatting sqref="I61">
    <cfRule type="cellIs" dxfId="238" priority="20" operator="notEqual">
      <formula>I60</formula>
    </cfRule>
  </conditionalFormatting>
  <conditionalFormatting sqref="AY81 AY48 AY11">
    <cfRule type="cellIs" dxfId="237" priority="19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3" t="s">
        <v>193</v>
      </c>
      <c r="D1" s="583"/>
      <c r="E1" s="583"/>
      <c r="F1" s="583"/>
      <c r="G1" s="583"/>
      <c r="H1" s="583"/>
      <c r="I1" s="583"/>
      <c r="J1" s="583"/>
      <c r="K1" s="583"/>
      <c r="P1" s="585"/>
      <c r="Q1" s="585"/>
      <c r="R1" s="585"/>
      <c r="S1" s="585"/>
      <c r="T1" s="585"/>
      <c r="U1" s="585"/>
      <c r="V1" s="585"/>
      <c r="W1" s="585"/>
      <c r="X1" s="585"/>
    </row>
    <row r="2" spans="1:34" ht="23.25">
      <c r="C2" s="584" t="s">
        <v>319</v>
      </c>
      <c r="D2" s="584"/>
      <c r="E2" s="584"/>
      <c r="F2" s="584"/>
      <c r="G2" s="584"/>
      <c r="H2" s="584"/>
      <c r="I2" s="584"/>
      <c r="J2" s="584"/>
      <c r="K2" s="584"/>
      <c r="P2" s="583"/>
      <c r="Q2" s="583"/>
      <c r="R2" s="583"/>
      <c r="S2" s="583"/>
      <c r="T2" s="583"/>
      <c r="U2" s="583"/>
      <c r="V2" s="583"/>
      <c r="W2" s="583"/>
      <c r="X2" s="583"/>
      <c r="Z2" s="583"/>
      <c r="AA2" s="583"/>
      <c r="AB2" s="583"/>
      <c r="AC2" s="583"/>
      <c r="AD2" s="583"/>
      <c r="AE2" s="583"/>
      <c r="AF2" s="583"/>
      <c r="AG2" s="583"/>
      <c r="AH2" s="583"/>
    </row>
    <row r="3" spans="1:34" ht="23.25">
      <c r="C3" s="583" t="s">
        <v>195</v>
      </c>
      <c r="D3" s="583"/>
      <c r="E3" s="583"/>
      <c r="F3" s="583"/>
      <c r="G3" s="583"/>
      <c r="H3" s="583"/>
      <c r="I3" s="583"/>
      <c r="J3" s="583"/>
      <c r="K3" s="583"/>
      <c r="P3" s="584"/>
      <c r="Q3" s="584"/>
      <c r="R3" s="584"/>
      <c r="S3" s="584"/>
      <c r="T3" s="584"/>
      <c r="U3" s="584"/>
      <c r="V3" s="584"/>
      <c r="W3" s="584"/>
      <c r="X3" s="584"/>
      <c r="Z3" s="586"/>
      <c r="AA3" s="586"/>
      <c r="AB3" s="586"/>
      <c r="AC3" s="586"/>
      <c r="AD3" s="586"/>
      <c r="AE3" s="586"/>
      <c r="AF3" s="586"/>
      <c r="AG3" s="586"/>
      <c r="AH3" s="586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583"/>
      <c r="Q4" s="583"/>
      <c r="R4" s="583"/>
      <c r="S4" s="583"/>
      <c r="T4" s="583"/>
      <c r="U4" s="583"/>
      <c r="V4" s="583"/>
      <c r="W4" s="583"/>
      <c r="X4" s="583"/>
      <c r="Z4" s="583"/>
      <c r="AA4" s="583"/>
      <c r="AB4" s="583"/>
      <c r="AC4" s="583"/>
      <c r="AD4" s="583"/>
      <c r="AE4" s="583"/>
      <c r="AF4" s="583"/>
      <c r="AG4" s="583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4.6062740653608811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1.0114499975783307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0.9251763833521548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2.5031999999999996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4.6040065166384396</v>
      </c>
      <c r="H19" s="545">
        <f>Apr!$L$14/Apr!$K$43*10</f>
        <v>1.879320750604895</v>
      </c>
      <c r="I19" s="545">
        <f>May!$L$14/May!$K$43*10</f>
        <v>2.0169332339660211</v>
      </c>
      <c r="J19" s="545">
        <f>Jun!$L$14/Jun!$K$43*10</f>
        <v>-7.1252815725731172E-3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1.0855000000000001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1.0855000000000001</v>
      </c>
      <c r="K20" s="545">
        <f>-Jul!$K$53/Jul!$K$29*10</f>
        <v>1.0854999999999997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0.96393908223063496</v>
      </c>
      <c r="H22" s="545">
        <f>Apr!$J$14/Apr!$K$29*10</f>
        <v>1.2571856399369927</v>
      </c>
      <c r="I22" s="545">
        <f>May!$J$14/May!$K$29*10</f>
        <v>2.3004975511953485</v>
      </c>
      <c r="J22" s="545">
        <f>Jun!$J$14/Jun!$K$29*10</f>
        <v>3.5585435299841626</v>
      </c>
      <c r="K22" s="545">
        <f>Jul!$J$14/Jul!$K$29*10</f>
        <v>3.2949009924754682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5">
      <c r="S43" s="546"/>
    </row>
    <row r="44" spans="18:30" ht="15">
      <c r="S44" s="546"/>
    </row>
    <row r="45" spans="18:30" ht="15">
      <c r="S45" s="546"/>
    </row>
    <row r="46" spans="18:30" ht="15">
      <c r="S46" s="546"/>
    </row>
    <row r="47" spans="18:30" ht="15">
      <c r="S47" s="546"/>
    </row>
    <row r="48" spans="18:30" ht="15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3" width="16.28515625" style="482" customWidth="1"/>
    <col min="34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5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5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333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5" thickTop="1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336</v>
      </c>
      <c r="AF32" s="496" t="s">
        <v>336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336</v>
      </c>
      <c r="AR32" s="496" t="s">
        <v>336</v>
      </c>
    </row>
    <row r="33" spans="1:51">
      <c r="A33" s="483"/>
      <c r="B33" s="579" t="s">
        <v>334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336</v>
      </c>
      <c r="AF33" s="496" t="s">
        <v>336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336</v>
      </c>
      <c r="AR33" s="496" t="s">
        <v>336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336</v>
      </c>
      <c r="AF34" s="496" t="s">
        <v>336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336</v>
      </c>
      <c r="AR34" s="496" t="s">
        <v>336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336</v>
      </c>
      <c r="AF36" s="496" t="s">
        <v>336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336</v>
      </c>
      <c r="AR36" s="496" t="s">
        <v>336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336</v>
      </c>
      <c r="AF38" s="496" t="s">
        <v>336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336</v>
      </c>
      <c r="AR38" s="496" t="s">
        <v>336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336</v>
      </c>
      <c r="AF40" s="496" t="s">
        <v>336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336</v>
      </c>
      <c r="AR40" s="496" t="s">
        <v>336</v>
      </c>
      <c r="AT40" s="513">
        <v>201601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5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5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333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5" thickTop="1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336</v>
      </c>
      <c r="AF68" s="496" t="s">
        <v>336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336</v>
      </c>
      <c r="AR68" s="496" t="s">
        <v>336</v>
      </c>
    </row>
    <row r="69" spans="1:51">
      <c r="A69" s="483"/>
      <c r="B69" s="579" t="s">
        <v>333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336</v>
      </c>
      <c r="AF69" s="496" t="s">
        <v>336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336</v>
      </c>
      <c r="AR69" s="496" t="s">
        <v>336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336</v>
      </c>
      <c r="AF70" s="496" t="s">
        <v>336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336</v>
      </c>
      <c r="AR70" s="496" t="s">
        <v>336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336</v>
      </c>
      <c r="AF71" s="496" t="s">
        <v>336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336</v>
      </c>
      <c r="AR71" s="496" t="s">
        <v>336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336</v>
      </c>
      <c r="AF72" s="496" t="s">
        <v>336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336</v>
      </c>
      <c r="AR72" s="496" t="s">
        <v>336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336</v>
      </c>
      <c r="AF73" s="496" t="s">
        <v>336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336</v>
      </c>
      <c r="AR73" s="496" t="s">
        <v>336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336</v>
      </c>
      <c r="AF74" s="496" t="s">
        <v>336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336</v>
      </c>
      <c r="AR74" s="496" t="s">
        <v>336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336</v>
      </c>
      <c r="AF75" s="496" t="s">
        <v>336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336</v>
      </c>
      <c r="AR75" s="496" t="s">
        <v>336</v>
      </c>
      <c r="AT75" s="522">
        <v>201601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336</v>
      </c>
      <c r="AF76" s="496" t="s">
        <v>336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336</v>
      </c>
      <c r="AR76" s="496" t="s">
        <v>336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5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3" width="16.28515625" style="482" customWidth="1"/>
    <col min="34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5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5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5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336</v>
      </c>
      <c r="AF31" s="492" t="s">
        <v>336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336</v>
      </c>
      <c r="AR31" s="492" t="s">
        <v>336</v>
      </c>
      <c r="AT31" s="592"/>
      <c r="AU31" s="593"/>
      <c r="AV31" s="593"/>
      <c r="AW31" s="593"/>
      <c r="AX31" s="593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336</v>
      </c>
      <c r="AF32" s="492" t="s">
        <v>336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336</v>
      </c>
      <c r="AR32" s="492" t="s">
        <v>336</v>
      </c>
      <c r="AT32" s="593"/>
      <c r="AU32" s="593"/>
      <c r="AV32" s="593"/>
      <c r="AW32" s="593"/>
      <c r="AX32" s="593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3"/>
      <c r="AU33" s="593"/>
      <c r="AV33" s="593"/>
      <c r="AW33" s="593"/>
      <c r="AX33" s="593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3"/>
      <c r="AU34" s="593"/>
      <c r="AV34" s="593"/>
      <c r="AW34" s="593"/>
      <c r="AX34" s="593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3"/>
      <c r="AU35" s="593"/>
      <c r="AV35" s="593"/>
      <c r="AW35" s="593"/>
      <c r="AX35" s="593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336</v>
      </c>
      <c r="AF36" s="492" t="s">
        <v>336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336</v>
      </c>
      <c r="AR36" s="492" t="s">
        <v>336</v>
      </c>
      <c r="AT36" s="593"/>
      <c r="AU36" s="593"/>
      <c r="AV36" s="593"/>
      <c r="AW36" s="593"/>
      <c r="AX36" s="593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7.25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5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5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2" t="s">
        <v>328</v>
      </c>
      <c r="AU67" s="593"/>
      <c r="AV67" s="593"/>
      <c r="AW67" s="593"/>
      <c r="AX67" s="593"/>
      <c r="AY67" s="593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3"/>
      <c r="AU68" s="593"/>
      <c r="AV68" s="593"/>
      <c r="AW68" s="593"/>
      <c r="AX68" s="593"/>
      <c r="AY68" s="593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3"/>
      <c r="AU69" s="593"/>
      <c r="AV69" s="593"/>
      <c r="AW69" s="593"/>
      <c r="AX69" s="593"/>
      <c r="AY69" s="593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3"/>
      <c r="AU70" s="593"/>
      <c r="AV70" s="593"/>
      <c r="AW70" s="593"/>
      <c r="AX70" s="593"/>
      <c r="AY70" s="593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3"/>
      <c r="AU71" s="593"/>
      <c r="AV71" s="593"/>
      <c r="AW71" s="593"/>
      <c r="AX71" s="593"/>
      <c r="AY71" s="593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3"/>
      <c r="AU72" s="593"/>
      <c r="AV72" s="593"/>
      <c r="AW72" s="593"/>
      <c r="AX72" s="593"/>
      <c r="AY72" s="593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4"/>
      <c r="AU84" s="595"/>
      <c r="AV84" s="595"/>
      <c r="AW84" s="595"/>
      <c r="AX84" s="595"/>
      <c r="AY84" s="595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5"/>
      <c r="AU85" s="595"/>
      <c r="AV85" s="595"/>
      <c r="AW85" s="595"/>
      <c r="AX85" s="595"/>
      <c r="AY85" s="595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5"/>
      <c r="AU86" s="595"/>
      <c r="AV86" s="595"/>
      <c r="AW86" s="595"/>
      <c r="AX86" s="595"/>
      <c r="AY86" s="595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5"/>
      <c r="AU87" s="595"/>
      <c r="AV87" s="595"/>
      <c r="AW87" s="595"/>
      <c r="AX87" s="595"/>
      <c r="AY87" s="595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5"/>
      <c r="AU88" s="595"/>
      <c r="AV88" s="595"/>
      <c r="AW88" s="595"/>
      <c r="AX88" s="595"/>
      <c r="AY88" s="595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5"/>
      <c r="AU89" s="595"/>
      <c r="AV89" s="595"/>
      <c r="AW89" s="595"/>
      <c r="AX89" s="595"/>
      <c r="AY89" s="595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3" t="s">
        <v>193</v>
      </c>
      <c r="D1" s="583"/>
      <c r="E1" s="583"/>
      <c r="F1" s="583"/>
      <c r="G1" s="583"/>
      <c r="H1" s="583"/>
      <c r="I1" s="583"/>
      <c r="J1" s="583"/>
      <c r="K1" s="583"/>
      <c r="P1" s="585"/>
      <c r="Q1" s="585"/>
      <c r="R1" s="585"/>
      <c r="S1" s="585"/>
      <c r="T1" s="585"/>
      <c r="U1" s="585"/>
      <c r="V1" s="585"/>
      <c r="W1" s="585"/>
      <c r="X1" s="585"/>
    </row>
    <row r="2" spans="1:34" ht="23.25">
      <c r="C2" s="584" t="s">
        <v>337</v>
      </c>
      <c r="D2" s="584"/>
      <c r="E2" s="584"/>
      <c r="F2" s="584"/>
      <c r="G2" s="584"/>
      <c r="H2" s="584"/>
      <c r="I2" s="584"/>
      <c r="J2" s="584"/>
      <c r="K2" s="584"/>
      <c r="P2" s="583"/>
      <c r="Q2" s="583"/>
      <c r="R2" s="583"/>
      <c r="S2" s="583"/>
      <c r="T2" s="583"/>
      <c r="U2" s="583"/>
      <c r="V2" s="583"/>
      <c r="W2" s="583"/>
      <c r="X2" s="583"/>
      <c r="Z2" s="583"/>
      <c r="AA2" s="583"/>
      <c r="AB2" s="583"/>
      <c r="AC2" s="583"/>
      <c r="AD2" s="583"/>
      <c r="AE2" s="583"/>
      <c r="AF2" s="583"/>
      <c r="AG2" s="583"/>
      <c r="AH2" s="583"/>
    </row>
    <row r="3" spans="1:34" ht="23.25">
      <c r="C3" s="583" t="s">
        <v>195</v>
      </c>
      <c r="D3" s="583"/>
      <c r="E3" s="583"/>
      <c r="F3" s="583"/>
      <c r="G3" s="583"/>
      <c r="H3" s="583"/>
      <c r="I3" s="583"/>
      <c r="J3" s="583"/>
      <c r="K3" s="583"/>
      <c r="P3" s="584"/>
      <c r="Q3" s="584"/>
      <c r="R3" s="584"/>
      <c r="S3" s="584"/>
      <c r="T3" s="584"/>
      <c r="U3" s="584"/>
      <c r="V3" s="584"/>
      <c r="W3" s="584"/>
      <c r="X3" s="584"/>
      <c r="Z3" s="586"/>
      <c r="AA3" s="586"/>
      <c r="AB3" s="586"/>
      <c r="AC3" s="586"/>
      <c r="AD3" s="586"/>
      <c r="AE3" s="586"/>
      <c r="AF3" s="586"/>
      <c r="AG3" s="586"/>
      <c r="AH3" s="586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583"/>
      <c r="Q4" s="583"/>
      <c r="R4" s="583"/>
      <c r="S4" s="583"/>
      <c r="T4" s="583"/>
      <c r="U4" s="583"/>
      <c r="V4" s="583"/>
      <c r="W4" s="583"/>
      <c r="X4" s="583"/>
      <c r="Z4" s="583"/>
      <c r="AA4" s="583"/>
      <c r="AB4" s="583"/>
      <c r="AC4" s="583"/>
      <c r="AD4" s="583"/>
      <c r="AE4" s="583"/>
      <c r="AF4" s="583"/>
      <c r="AG4" s="583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Def-Amtz'!S6+'WA - Def-Amtz'!S9)/1000000)</f>
        <v>3.6467914534399961</v>
      </c>
      <c r="D8" s="272">
        <f>C8-(('WA - Def-Amtz'!T6+'WA - Def-Amtz'!T9)/1000000)</f>
        <v>4.1805524017439897</v>
      </c>
      <c r="E8" s="272">
        <f>D8-(('WA - Def-Amtz'!U6+'WA - Def-Amtz'!U9)/1000000)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Def-Amtz'!S7+'WA - Def-Amtz'!S10)/1000000)</f>
        <v>-5.4499761425010025</v>
      </c>
      <c r="D9" s="566">
        <f>C9-(('WA - Def-Amtz'!T7+'WA - Def-Amtz'!T10)/1000000)</f>
        <v>-4.0360349296660027</v>
      </c>
      <c r="E9" s="566">
        <f>D9-(('WA - Def-Amtz'!U7+'WA - Def-Amtz'!U10)/1000000)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'!S6+'ID - Def-Amtz '!S9)/1000000)</f>
        <v>1.8014744099999986</v>
      </c>
      <c r="D14" s="568">
        <f>C14-(('ID - Def-Amtz '!T6+'ID - Def-Amtz '!T9)/1000000)</f>
        <v>2.0113082716959956</v>
      </c>
      <c r="E14" s="568">
        <f>D14-(('ID - Def-Amtz '!U6+'ID - Def-Amtz 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'!S7+'ID - Def-Amtz '!S10)/1000000)</f>
        <v>-2.1068052855590014</v>
      </c>
      <c r="D15" s="568">
        <f>C15-(('ID - Def-Amtz '!T7+'ID - Def-Amtz '!T10)/1000000)</f>
        <v>-1.5923268683940015</v>
      </c>
      <c r="E15" s="568">
        <f>D15-(('ID - Def-Amtz '!U7+'ID - Def-Amtz 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RowHeight="15"/>
  <cols>
    <col min="1" max="1" width="13.140625" style="386" customWidth="1"/>
    <col min="2" max="2" width="9.28515625" style="386" customWidth="1"/>
    <col min="3" max="3" width="17.85546875" style="386" customWidth="1"/>
    <col min="4" max="4" width="18.42578125" style="386" customWidth="1"/>
    <col min="5" max="5" width="20.140625" style="322" bestFit="1" customWidth="1"/>
    <col min="6" max="6" width="16.140625" style="386" customWidth="1"/>
    <col min="7" max="7" width="34.5703125" style="386" bestFit="1" customWidth="1"/>
    <col min="8" max="8" width="16.85546875" style="386" customWidth="1"/>
    <col min="9" max="9" width="18.28515625" style="386" bestFit="1" customWidth="1"/>
    <col min="10" max="10" width="18.28515625" style="386" customWidth="1"/>
    <col min="11" max="11" width="3.42578125" style="386" customWidth="1"/>
    <col min="12" max="16384" width="9.140625" style="386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7" customFormat="1" ht="16.5" thickBot="1">
      <c r="D7" s="142" t="s">
        <v>225</v>
      </c>
      <c r="E7" s="331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75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75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75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75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5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5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5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75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75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75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75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75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5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5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5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75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75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75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75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75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5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75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5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5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75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75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75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2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3" customFormat="1" ht="16.5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5" hidden="1" thickTop="1">
      <c r="D8" s="142" t="s">
        <v>210</v>
      </c>
      <c r="E8" s="328">
        <f>'ID Def 191010'!T17</f>
        <v>-2122091.5699999998</v>
      </c>
    </row>
    <row r="9" spans="1:10" s="387" customFormat="1" ht="16.5" hidden="1" thickBot="1">
      <c r="D9" s="142" t="s">
        <v>206</v>
      </c>
      <c r="E9" s="331">
        <f>E8+E7</f>
        <v>-1319779.9462760291</v>
      </c>
    </row>
    <row r="10" spans="1:10" s="333" customFormat="1" ht="16.5" hidden="1" thickTop="1" thickBot="1">
      <c r="E10" s="322"/>
    </row>
    <row r="11" spans="1:10" ht="15.75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75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75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75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5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5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75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75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75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75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5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5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75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75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5" hidden="1" thickTop="1" thickBot="1">
      <c r="E46" s="322"/>
    </row>
    <row r="47" spans="1:10" s="386" customFormat="1" ht="15.75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75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5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75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5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5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75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75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75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75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5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75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5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5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75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75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5" hidden="1" thickTop="1" thickBot="1">
      <c r="E64" s="322"/>
    </row>
    <row r="65" spans="1:10" s="386" customFormat="1" ht="15.75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75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5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75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5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5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75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75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75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75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5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75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5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5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75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75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5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75" hidden="1" thickTop="1">
      <c r="E82" s="322"/>
    </row>
    <row r="83" spans="1:10" s="386" customFormat="1" ht="15.75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75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5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75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5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5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75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75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75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75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5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75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5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5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75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75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5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5" hidden="1" thickTop="1" thickBot="1">
      <c r="E100" s="322"/>
    </row>
    <row r="101" spans="1:10" s="386" customFormat="1" ht="15.75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75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5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75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5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5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75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75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75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75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5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75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5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5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75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75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5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5" hidden="1" thickTop="1" thickBot="1">
      <c r="E118" s="322"/>
    </row>
    <row r="119" spans="1:10" s="386" customFormat="1" ht="15.75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75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5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75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5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5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75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75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75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75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5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75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5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5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75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75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5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5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75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75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75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75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5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5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75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5" hidden="1" thickTop="1" thickBot="1">
      <c r="E154" s="322"/>
    </row>
    <row r="155" spans="1:10" s="386" customFormat="1" ht="15.75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75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5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75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5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5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75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75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75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75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5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75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5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5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75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75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5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5" hidden="1" thickTop="1" thickBot="1">
      <c r="E172" s="322"/>
    </row>
    <row r="173" spans="1:10" s="386" customFormat="1" ht="15.75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75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5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75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5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5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75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75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75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75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5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75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5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5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75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75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5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5" thickTop="1" thickBot="1">
      <c r="E190" s="322"/>
    </row>
    <row r="191" spans="1:10" s="386" customFormat="1" ht="15.75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75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5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75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5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5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75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75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75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75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5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75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5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5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75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75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5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5" thickTop="1" thickBot="1"/>
    <row r="209" spans="1:10" s="386" customFormat="1" ht="15.75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75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5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75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5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5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75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75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75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75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5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75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5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5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75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75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5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5" thickTop="1" thickBot="1"/>
    <row r="227" spans="1:10" s="386" customFormat="1" ht="15.75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75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5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75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5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5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75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75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75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75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5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75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5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5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75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75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75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75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5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5" thickTop="1" thickBot="1"/>
    <row r="247" spans="1:10" s="386" customFormat="1" ht="15.75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75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5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75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5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5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75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75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75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75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5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75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5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5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75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75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5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5" thickTop="1" thickBot="1">
      <c r="E264" s="322"/>
    </row>
    <row r="265" spans="1:10" s="386" customFormat="1" ht="15.75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75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5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75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5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5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75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75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75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75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5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75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5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5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75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75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5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5" thickTop="1" thickBot="1">
      <c r="E282" s="322"/>
    </row>
    <row r="283" spans="1:10" s="386" customFormat="1" ht="15.75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75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5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75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5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5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75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75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75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75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5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75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5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5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75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75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5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75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5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5" thickTop="1" thickBot="1"/>
    <row r="13" spans="1:18" s="386" customFormat="1" ht="16.5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75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75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5" thickTop="1" thickBot="1"/>
    <row r="21" spans="1:18" s="386" customFormat="1" ht="16.5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75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75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5" thickTop="1" thickBot="1">
      <c r="A28" s="53"/>
      <c r="M28" s="52"/>
    </row>
    <row r="29" spans="1:18" s="386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75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75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5" thickTop="1" thickBot="1">
      <c r="A36" s="53"/>
      <c r="M36" s="52"/>
    </row>
    <row r="37" spans="1:18" s="386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75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75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5" thickTop="1" thickBot="1">
      <c r="A44" s="53"/>
      <c r="M44" s="52"/>
    </row>
    <row r="45" spans="1:18" s="386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75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75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5" thickTop="1" thickBot="1"/>
    <row r="53" spans="1:18" s="386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75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75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5" thickTop="1" thickBot="1">
      <c r="A60" s="53"/>
      <c r="C60" s="387"/>
      <c r="M60" s="52"/>
    </row>
    <row r="61" spans="1:18" s="386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75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75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5" thickTop="1" thickBot="1">
      <c r="A68" s="53"/>
      <c r="C68" s="387"/>
      <c r="M68" s="52"/>
    </row>
    <row r="69" spans="1:18" s="386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75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75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5" thickTop="1" thickBot="1"/>
    <row r="77" spans="1:18" s="386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75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75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5" thickTop="1" thickBot="1"/>
    <row r="85" spans="1:18" s="386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75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75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5" thickTop="1" thickBot="1">
      <c r="A92" s="53"/>
      <c r="M92" s="52"/>
    </row>
    <row r="93" spans="1:18" s="386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75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75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5" thickTop="1" thickBot="1"/>
    <row r="101" spans="1:18" s="386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75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75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75" thickTop="1">
      <c r="A108" s="53"/>
      <c r="M108" s="52"/>
    </row>
    <row r="109" spans="1:18" s="386" customFormat="1" ht="15.75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5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5" thickTop="1" thickBot="1">
      <c r="A111" s="53"/>
      <c r="M111" s="52"/>
    </row>
    <row r="112" spans="1:18" s="386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75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75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5" thickTop="1" thickBot="1">
      <c r="A119" s="53"/>
      <c r="M119" s="52"/>
    </row>
    <row r="120" spans="1:18" s="386" customFormat="1" ht="16.5" thickBot="1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75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75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5" thickBot="1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5" thickBot="1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7.25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5" thickBot="1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75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5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75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75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75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75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75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75" thickTop="1">
      <c r="S9" s="386"/>
      <c r="T9" s="386"/>
      <c r="U9" s="386"/>
    </row>
    <row r="10" spans="1:21" s="203" customFormat="1" ht="15.75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75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5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75" thickTop="1">
      <c r="A13" s="53"/>
      <c r="T13" s="386"/>
    </row>
    <row r="14" spans="1:21" s="333" customFormat="1" ht="15.75" thickBot="1">
      <c r="A14" s="53"/>
      <c r="T14" s="386"/>
    </row>
    <row r="15" spans="1:21" s="333" customFormat="1" ht="16.5" thickBot="1">
      <c r="A15" s="58"/>
      <c r="Q15" s="338" t="s">
        <v>107</v>
      </c>
      <c r="R15" s="334"/>
      <c r="S15" s="334"/>
      <c r="T15" s="229"/>
    </row>
    <row r="16" spans="1:21" s="333" customFormat="1" ht="15.75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75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5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75" thickBot="1"/>
    <row r="24" spans="1:20" s="386" customFormat="1" ht="16.5" thickBot="1">
      <c r="A24" s="58"/>
      <c r="Q24" s="338" t="s">
        <v>218</v>
      </c>
      <c r="R24" s="334"/>
      <c r="S24" s="334"/>
      <c r="T24" s="229"/>
    </row>
    <row r="25" spans="1:20" s="386" customFormat="1" ht="15.75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75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5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5" thickBot="1">
      <c r="A32" s="596" t="s">
        <v>215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203"/>
      <c r="Q32" s="203"/>
      <c r="R32" s="203"/>
      <c r="S32" s="203"/>
      <c r="T32" s="203"/>
    </row>
    <row r="33" spans="1:20" ht="15.75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75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75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75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75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5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5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75" thickBot="1">
      <c r="A41" s="53"/>
    </row>
    <row r="42" spans="1:20" s="386" customFormat="1" ht="16.5" thickBot="1">
      <c r="A42" s="58"/>
      <c r="Q42" s="338" t="s">
        <v>107</v>
      </c>
      <c r="R42" s="334"/>
      <c r="S42" s="334"/>
      <c r="T42" s="229"/>
    </row>
    <row r="43" spans="1:20" s="386" customFormat="1" ht="15.75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75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5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75" thickBot="1"/>
    <row r="51" spans="1:20" s="386" customFormat="1" ht="16.5" thickBot="1">
      <c r="A51" s="58"/>
      <c r="Q51" s="338" t="s">
        <v>107</v>
      </c>
      <c r="R51" s="334"/>
      <c r="S51" s="334"/>
      <c r="T51" s="229"/>
    </row>
    <row r="52" spans="1:20" s="386" customFormat="1" ht="15.75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75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5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75" thickBot="1">
      <c r="A59" s="53"/>
    </row>
    <row r="60" spans="1:20" s="386" customFormat="1" ht="16.5" thickBot="1">
      <c r="A60" s="58"/>
      <c r="Q60" s="338" t="s">
        <v>107</v>
      </c>
      <c r="R60" s="334"/>
      <c r="S60" s="334"/>
      <c r="T60" s="229"/>
    </row>
    <row r="61" spans="1:20" s="386" customFormat="1" ht="15.75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75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5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75" thickBot="1">
      <c r="A68" s="53"/>
    </row>
    <row r="69" spans="1:20" s="386" customFormat="1" ht="16.5" thickBot="1">
      <c r="A69" s="58"/>
      <c r="Q69" s="338" t="s">
        <v>107</v>
      </c>
      <c r="R69" s="334"/>
      <c r="S69" s="334"/>
      <c r="T69" s="229"/>
    </row>
    <row r="70" spans="1:20" s="386" customFormat="1" ht="15.75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75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5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75" thickBot="1">
      <c r="A77" s="53"/>
    </row>
    <row r="78" spans="1:20" s="386" customFormat="1" ht="16.5" thickBot="1">
      <c r="A78" s="58"/>
      <c r="Q78" s="338" t="s">
        <v>107</v>
      </c>
      <c r="R78" s="334"/>
      <c r="S78" s="334"/>
      <c r="T78" s="229"/>
    </row>
    <row r="79" spans="1:20" s="386" customFormat="1" ht="15.75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75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5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75" thickBot="1">
      <c r="A86" s="53"/>
    </row>
    <row r="87" spans="1:20" s="386" customFormat="1" ht="16.5" thickBot="1">
      <c r="A87" s="58"/>
      <c r="Q87" s="338" t="s">
        <v>107</v>
      </c>
      <c r="R87" s="334"/>
      <c r="S87" s="334"/>
      <c r="T87" s="229"/>
    </row>
    <row r="88" spans="1:20" s="386" customFormat="1" ht="15.75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75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5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75" thickBot="1">
      <c r="A95" s="53"/>
    </row>
    <row r="96" spans="1:20" s="386" customFormat="1" ht="16.5" thickBot="1">
      <c r="A96" s="58"/>
      <c r="Q96" s="338" t="s">
        <v>107</v>
      </c>
      <c r="R96" s="334"/>
      <c r="S96" s="334"/>
      <c r="T96" s="229"/>
    </row>
    <row r="97" spans="1:20" s="386" customFormat="1" ht="15.75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75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5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75" thickBot="1"/>
    <row r="105" spans="1:20" s="386" customFormat="1" ht="16.5" thickBot="1">
      <c r="A105" s="58"/>
      <c r="Q105" s="338" t="s">
        <v>107</v>
      </c>
      <c r="R105" s="334"/>
      <c r="S105" s="334"/>
      <c r="T105" s="229"/>
    </row>
    <row r="106" spans="1:20" s="386" customFormat="1" ht="15.75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75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5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75" thickBot="1"/>
    <row r="114" spans="1:20" s="386" customFormat="1" ht="16.5" thickBot="1">
      <c r="A114" s="58"/>
      <c r="Q114" s="338" t="s">
        <v>107</v>
      </c>
      <c r="R114" s="334"/>
      <c r="S114" s="334"/>
      <c r="T114" s="229"/>
    </row>
    <row r="115" spans="1:20" s="386" customFormat="1" ht="15.75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75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5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75" thickBot="1"/>
    <row r="123" spans="1:20" s="386" customFormat="1" ht="16.5" thickBot="1">
      <c r="A123" s="58"/>
      <c r="Q123" s="338" t="s">
        <v>107</v>
      </c>
      <c r="R123" s="334"/>
      <c r="S123" s="334"/>
      <c r="T123" s="229"/>
    </row>
    <row r="124" spans="1:20" s="386" customFormat="1" ht="15.75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75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5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5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75" thickTop="1">
      <c r="A133" s="53"/>
    </row>
    <row r="134" spans="1:20" s="386" customFormat="1">
      <c r="A134" s="53"/>
    </row>
    <row r="135" spans="1:20" s="386" customFormat="1" ht="15.75" thickBot="1">
      <c r="A135" s="53"/>
    </row>
    <row r="136" spans="1:20" s="386" customFormat="1" ht="16.5" thickBot="1">
      <c r="A136" s="58"/>
      <c r="Q136" s="338" t="s">
        <v>107</v>
      </c>
      <c r="R136" s="334"/>
      <c r="S136" s="334"/>
      <c r="T136" s="229"/>
    </row>
    <row r="137" spans="1:20" s="386" customFormat="1" ht="15.75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75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5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75" thickBot="1">
      <c r="A144" s="53"/>
    </row>
    <row r="145" spans="1:20" s="386" customFormat="1" ht="16.5" thickBot="1">
      <c r="A145" s="58"/>
      <c r="Q145" s="338" t="s">
        <v>107</v>
      </c>
      <c r="R145" s="334"/>
      <c r="S145" s="334"/>
      <c r="T145" s="229"/>
    </row>
    <row r="146" spans="1:20" s="386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75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5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75" thickBot="1">
      <c r="A153" s="53"/>
    </row>
    <row r="154" spans="1:20" s="386" customFormat="1" ht="16.5" thickBot="1">
      <c r="A154" s="58"/>
      <c r="Q154" s="338" t="s">
        <v>240</v>
      </c>
      <c r="R154" s="334"/>
      <c r="S154" s="334"/>
      <c r="T154" s="229"/>
    </row>
    <row r="155" spans="1:20" s="386" customFormat="1" ht="15.75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75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75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5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7.25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75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5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5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75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75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75" thickBot="1"/>
    <row r="172" spans="1:20" ht="15.75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75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3" customWidth="1"/>
    <col min="3" max="3" width="18.42578125" style="333" customWidth="1"/>
    <col min="4" max="4" width="19.140625" style="333" bestFit="1" customWidth="1"/>
    <col min="5" max="5" width="19.42578125" style="333" bestFit="1" customWidth="1"/>
    <col min="6" max="7" width="13.140625" style="333" customWidth="1"/>
    <col min="8" max="8" width="16.7109375" style="333" bestFit="1" customWidth="1"/>
    <col min="9" max="9" width="14.42578125" style="333" hidden="1" customWidth="1"/>
    <col min="10" max="10" width="13.28515625" style="333" hidden="1" customWidth="1"/>
    <col min="11" max="11" width="15.140625" style="333" hidden="1" customWidth="1"/>
    <col min="12" max="12" width="18.140625" style="333" hidden="1" customWidth="1"/>
    <col min="13" max="14" width="12.5703125" style="333" customWidth="1"/>
    <col min="15" max="15" width="11.28515625" style="333" customWidth="1"/>
    <col min="16" max="16" width="2.28515625" style="333" customWidth="1"/>
    <col min="17" max="17" width="26.85546875" style="333" customWidth="1"/>
    <col min="18" max="18" width="16.42578125" style="333" customWidth="1"/>
    <col min="19" max="19" width="17" style="333" customWidth="1"/>
    <col min="20" max="20" width="19.7109375" style="333" customWidth="1"/>
    <col min="21" max="16384" width="9.7109375" style="333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203</v>
      </c>
    </row>
    <row r="4" spans="1:20" ht="15.75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5" hidden="1" thickTop="1" thickBot="1">
      <c r="A31" s="53"/>
      <c r="T31" s="340">
        <v>0</v>
      </c>
    </row>
    <row r="32" spans="1:20" s="358" customFormat="1" ht="15.75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75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75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75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75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75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75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75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75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75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75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75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75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75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75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75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75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75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75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75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75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75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75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75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75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75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75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75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75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75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75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75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75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75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75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5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75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75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75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75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75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5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75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75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75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75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75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5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75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75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75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75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75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75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75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75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75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75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75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75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75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75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75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75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75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75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75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75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75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75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75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75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75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75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75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75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75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75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75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75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75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75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75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75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75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75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75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75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75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75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75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75">
      <c r="A167" s="360"/>
      <c r="Q167" s="359"/>
      <c r="T167" s="371"/>
    </row>
    <row r="168" spans="1:20" s="358" customFormat="1" ht="15.75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75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75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75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75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75">
      <c r="A174" s="360"/>
      <c r="Q174" s="359"/>
      <c r="T174" s="371"/>
    </row>
    <row r="175" spans="1:20" s="358" customFormat="1" ht="15.75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75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75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75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75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RowHeight="15"/>
  <cols>
    <col min="1" max="1" width="29.85546875" style="277" customWidth="1"/>
    <col min="2" max="2" width="6.85546875" style="277" bestFit="1" customWidth="1"/>
    <col min="3" max="3" width="15.85546875" style="277" bestFit="1" customWidth="1"/>
    <col min="4" max="4" width="14.85546875" style="277" bestFit="1" customWidth="1"/>
    <col min="5" max="5" width="16.140625" style="277" bestFit="1" customWidth="1"/>
    <col min="6" max="6" width="9.140625" style="277"/>
    <col min="7" max="7" width="36.28515625" style="277" bestFit="1" customWidth="1"/>
    <col min="8" max="8" width="17.5703125" style="277" bestFit="1" customWidth="1"/>
    <col min="9" max="10" width="15.140625" style="277" bestFit="1" customWidth="1"/>
    <col min="11" max="16384" width="9.140625" style="277"/>
  </cols>
  <sheetData>
    <row r="1" spans="1:10" ht="15.75">
      <c r="A1" s="276" t="s">
        <v>202</v>
      </c>
    </row>
    <row r="2" spans="1:10" ht="15.75">
      <c r="A2" s="449"/>
    </row>
    <row r="3" spans="1:10" ht="15.75">
      <c r="A3" s="276"/>
    </row>
    <row r="4" spans="1:10" ht="15.75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.75" hidden="1" thickBot="1"/>
    <row r="6" spans="1:10" ht="15.75" hidden="1">
      <c r="A6" s="597" t="s">
        <v>197</v>
      </c>
      <c r="B6" s="598"/>
      <c r="C6" s="598"/>
      <c r="D6" s="598"/>
      <c r="E6" s="599"/>
      <c r="G6" s="292"/>
      <c r="H6" s="292"/>
      <c r="I6" s="292"/>
    </row>
    <row r="7" spans="1:10" ht="15.75" hidden="1">
      <c r="A7" s="220">
        <v>41305</v>
      </c>
      <c r="B7" s="278"/>
      <c r="C7" s="279" t="s">
        <v>101</v>
      </c>
      <c r="D7" s="280"/>
      <c r="E7" s="281"/>
    </row>
    <row r="8" spans="1:10" ht="16.5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75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5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5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75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5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75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75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75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5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5" hidden="1" thickTop="1">
      <c r="A18" s="286"/>
      <c r="B18" s="287"/>
      <c r="C18" s="312">
        <v>34187405</v>
      </c>
      <c r="D18" s="307"/>
      <c r="E18" s="308"/>
    </row>
    <row r="19" spans="1:10" ht="15.75" hidden="1">
      <c r="A19" s="286"/>
      <c r="B19" s="287"/>
      <c r="C19" s="309">
        <f>C18-C17</f>
        <v>0</v>
      </c>
      <c r="D19" s="307"/>
      <c r="E19" s="308"/>
    </row>
    <row r="20" spans="1:10" ht="15.75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.75" hidden="1" thickBot="1"/>
    <row r="22" spans="1:10" ht="15.75" hidden="1">
      <c r="A22" s="597" t="s">
        <v>197</v>
      </c>
      <c r="B22" s="598"/>
      <c r="C22" s="598"/>
      <c r="D22" s="598"/>
      <c r="E22" s="599"/>
      <c r="G22" s="292"/>
      <c r="H22" s="292"/>
      <c r="I22" s="292"/>
    </row>
    <row r="23" spans="1:10" ht="15.75" hidden="1">
      <c r="A23" s="220">
        <v>41333</v>
      </c>
      <c r="B23" s="278"/>
      <c r="C23" s="279" t="s">
        <v>101</v>
      </c>
      <c r="D23" s="280"/>
      <c r="E23" s="281"/>
    </row>
    <row r="24" spans="1:10" ht="16.5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75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5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5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75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5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75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75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75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5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5" hidden="1" thickTop="1">
      <c r="A34" s="286"/>
      <c r="B34" s="287"/>
      <c r="C34" s="312">
        <v>25850723</v>
      </c>
      <c r="D34" s="307"/>
      <c r="E34" s="308"/>
    </row>
    <row r="35" spans="1:10" ht="15.75" hidden="1">
      <c r="A35" s="286"/>
      <c r="B35" s="287"/>
      <c r="C35" s="309">
        <f>C34-C33</f>
        <v>0</v>
      </c>
      <c r="D35" s="307"/>
      <c r="E35" s="308"/>
    </row>
    <row r="36" spans="1:10" ht="15.75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.75" hidden="1" thickBot="1"/>
    <row r="38" spans="1:10" ht="15.75" hidden="1">
      <c r="A38" s="597" t="s">
        <v>197</v>
      </c>
      <c r="B38" s="598"/>
      <c r="C38" s="598"/>
      <c r="D38" s="598"/>
      <c r="E38" s="599"/>
      <c r="G38" s="292"/>
      <c r="H38" s="292"/>
      <c r="I38" s="292"/>
    </row>
    <row r="39" spans="1:10" ht="15.75" hidden="1">
      <c r="A39" s="220">
        <v>41364</v>
      </c>
      <c r="B39" s="278"/>
      <c r="C39" s="279" t="s">
        <v>101</v>
      </c>
      <c r="D39" s="280"/>
      <c r="E39" s="281"/>
    </row>
    <row r="40" spans="1:10" ht="16.5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75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5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5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75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5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75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75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75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5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5" hidden="1" thickTop="1">
      <c r="A50" s="286"/>
      <c r="B50" s="287"/>
      <c r="C50" s="312">
        <v>21171739</v>
      </c>
      <c r="D50" s="307"/>
      <c r="E50" s="308"/>
    </row>
    <row r="51" spans="1:10" ht="15.75" hidden="1">
      <c r="A51" s="286"/>
      <c r="B51" s="287"/>
      <c r="C51" s="309">
        <f>C50-C49</f>
        <v>0</v>
      </c>
      <c r="D51" s="307"/>
      <c r="E51" s="308"/>
    </row>
    <row r="52" spans="1:10" ht="15.75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.75" hidden="1" thickBot="1"/>
    <row r="54" spans="1:10" ht="15.75" hidden="1">
      <c r="A54" s="597" t="s">
        <v>197</v>
      </c>
      <c r="B54" s="598"/>
      <c r="C54" s="598"/>
      <c r="D54" s="598"/>
      <c r="E54" s="599"/>
      <c r="G54" s="292"/>
      <c r="H54" s="292"/>
      <c r="I54" s="292"/>
    </row>
    <row r="55" spans="1:10" ht="15.75" hidden="1">
      <c r="A55" s="220">
        <v>41394</v>
      </c>
      <c r="B55" s="278"/>
      <c r="C55" s="279" t="s">
        <v>101</v>
      </c>
      <c r="D55" s="280"/>
      <c r="E55" s="281"/>
    </row>
    <row r="56" spans="1:10" ht="16.5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75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5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5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75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5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75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75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75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5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5" hidden="1" thickTop="1">
      <c r="A66" s="286"/>
      <c r="B66" s="287"/>
      <c r="C66" s="312">
        <v>15363701</v>
      </c>
      <c r="D66" s="307"/>
      <c r="E66" s="308"/>
    </row>
    <row r="67" spans="1:10" ht="15.75" hidden="1">
      <c r="A67" s="286"/>
      <c r="B67" s="287"/>
      <c r="C67" s="309">
        <f>C66-C65</f>
        <v>0</v>
      </c>
      <c r="D67" s="307"/>
      <c r="E67" s="308"/>
    </row>
    <row r="68" spans="1:10" ht="15.75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.75" hidden="1" thickBot="1"/>
    <row r="70" spans="1:10" ht="15.75" hidden="1">
      <c r="A70" s="597" t="s">
        <v>197</v>
      </c>
      <c r="B70" s="598"/>
      <c r="C70" s="598"/>
      <c r="D70" s="598"/>
      <c r="E70" s="599"/>
      <c r="G70" s="292"/>
      <c r="H70" s="292"/>
      <c r="I70" s="292"/>
    </row>
    <row r="71" spans="1:10" ht="15.75" hidden="1">
      <c r="A71" s="220">
        <v>41425</v>
      </c>
      <c r="B71" s="278"/>
      <c r="C71" s="279" t="s">
        <v>101</v>
      </c>
      <c r="D71" s="280"/>
      <c r="E71" s="281"/>
    </row>
    <row r="72" spans="1:10" ht="16.5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75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5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5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75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5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75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75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75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5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5" hidden="1" thickTop="1">
      <c r="A82" s="286"/>
      <c r="B82" s="287"/>
      <c r="C82" s="312">
        <v>8636912</v>
      </c>
      <c r="D82" s="307"/>
      <c r="E82" s="308"/>
    </row>
    <row r="83" spans="1:10" ht="15.75" hidden="1">
      <c r="A83" s="286"/>
      <c r="B83" s="287"/>
      <c r="C83" s="309">
        <f>C82-C81</f>
        <v>0</v>
      </c>
      <c r="D83" s="307"/>
      <c r="E83" s="308"/>
    </row>
    <row r="84" spans="1:10" ht="15.75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.75" thickBot="1"/>
    <row r="86" spans="1:10" ht="15.75">
      <c r="A86" s="597" t="s">
        <v>197</v>
      </c>
      <c r="B86" s="598"/>
      <c r="C86" s="598"/>
      <c r="D86" s="598"/>
      <c r="E86" s="599"/>
      <c r="G86" s="292"/>
      <c r="H86" s="292"/>
      <c r="I86" s="292"/>
    </row>
    <row r="87" spans="1:10" ht="15.75">
      <c r="A87" s="220">
        <v>41426</v>
      </c>
      <c r="B87" s="278"/>
      <c r="C87" s="279" t="s">
        <v>101</v>
      </c>
      <c r="D87" s="280"/>
      <c r="E87" s="281"/>
    </row>
    <row r="88" spans="1:10" ht="16.5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75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5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5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75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5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75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75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75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5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5" thickTop="1">
      <c r="A98" s="286"/>
      <c r="B98" s="287"/>
      <c r="C98" s="312">
        <v>6523261</v>
      </c>
      <c r="D98" s="307"/>
      <c r="E98" s="308"/>
    </row>
    <row r="99" spans="1:10" ht="15.75">
      <c r="A99" s="286"/>
      <c r="B99" s="287"/>
      <c r="C99" s="309">
        <f>C98-C97</f>
        <v>0</v>
      </c>
      <c r="D99" s="307"/>
      <c r="E99" s="308"/>
    </row>
    <row r="100" spans="1:10" ht="15.75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.75" thickBot="1"/>
    <row r="102" spans="1:10" ht="15.75">
      <c r="A102" s="597" t="s">
        <v>197</v>
      </c>
      <c r="B102" s="598"/>
      <c r="C102" s="598"/>
      <c r="D102" s="598"/>
      <c r="E102" s="599"/>
      <c r="G102" s="292"/>
      <c r="H102" s="292"/>
      <c r="I102" s="292"/>
    </row>
    <row r="103" spans="1:10" ht="15.75">
      <c r="A103" s="220">
        <v>41456</v>
      </c>
      <c r="B103" s="278"/>
      <c r="C103" s="279" t="s">
        <v>101</v>
      </c>
      <c r="D103" s="280"/>
      <c r="E103" s="281"/>
    </row>
    <row r="104" spans="1:10" ht="16.5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75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5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5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75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5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75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75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75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5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5" thickTop="1">
      <c r="A114" s="286"/>
      <c r="B114" s="287"/>
      <c r="C114" s="312">
        <v>5289747</v>
      </c>
      <c r="D114" s="307"/>
      <c r="E114" s="308"/>
    </row>
    <row r="115" spans="1:10" ht="15.75">
      <c r="A115" s="286"/>
      <c r="B115" s="287"/>
      <c r="C115" s="309">
        <f>C114-C113</f>
        <v>0</v>
      </c>
      <c r="D115" s="307"/>
      <c r="E115" s="308"/>
    </row>
    <row r="116" spans="1:10" ht="15.75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.75" thickBot="1"/>
    <row r="118" spans="1:10" ht="15.75">
      <c r="A118" s="597" t="s">
        <v>197</v>
      </c>
      <c r="B118" s="598"/>
      <c r="C118" s="598"/>
      <c r="D118" s="598"/>
      <c r="E118" s="599"/>
      <c r="G118" s="292"/>
      <c r="H118" s="292"/>
      <c r="I118" s="292"/>
    </row>
    <row r="119" spans="1:10" ht="15.75">
      <c r="A119" s="220">
        <v>41487</v>
      </c>
      <c r="B119" s="278"/>
      <c r="C119" s="279" t="s">
        <v>101</v>
      </c>
      <c r="D119" s="280"/>
      <c r="E119" s="281"/>
    </row>
    <row r="120" spans="1:10" ht="16.5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75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5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5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75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5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75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75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75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5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5" thickTop="1">
      <c r="A130" s="286"/>
      <c r="B130" s="287"/>
      <c r="C130" s="312">
        <v>5485849</v>
      </c>
      <c r="D130" s="307"/>
      <c r="E130" s="308"/>
    </row>
    <row r="131" spans="1:10" ht="15.75">
      <c r="A131" s="286"/>
      <c r="B131" s="287"/>
      <c r="C131" s="309">
        <f>C130-C129</f>
        <v>0</v>
      </c>
      <c r="D131" s="307"/>
      <c r="E131" s="308"/>
    </row>
    <row r="132" spans="1:10" ht="15.75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.75" thickBot="1"/>
    <row r="134" spans="1:10" ht="15.75">
      <c r="A134" s="597" t="s">
        <v>197</v>
      </c>
      <c r="B134" s="598"/>
      <c r="C134" s="598"/>
      <c r="D134" s="598"/>
      <c r="E134" s="599"/>
      <c r="G134" s="292"/>
      <c r="H134" s="292"/>
      <c r="I134" s="292"/>
    </row>
    <row r="135" spans="1:10" ht="15.75">
      <c r="A135" s="220">
        <v>41518</v>
      </c>
      <c r="B135" s="278"/>
      <c r="C135" s="279" t="s">
        <v>101</v>
      </c>
      <c r="D135" s="280"/>
      <c r="E135" s="281"/>
    </row>
    <row r="136" spans="1:10" ht="16.5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75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5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5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75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5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75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75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75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5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5" thickTop="1">
      <c r="A146" s="286"/>
      <c r="B146" s="287"/>
      <c r="C146" s="312">
        <v>6495675</v>
      </c>
      <c r="D146" s="307"/>
      <c r="E146" s="308"/>
    </row>
    <row r="147" spans="1:10" ht="15.75">
      <c r="A147" s="286"/>
      <c r="B147" s="287"/>
      <c r="C147" s="309">
        <f>C146-C145</f>
        <v>0</v>
      </c>
      <c r="D147" s="307"/>
      <c r="E147" s="308"/>
    </row>
    <row r="148" spans="1:10" ht="15.75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.75" thickBot="1"/>
    <row r="150" spans="1:10" ht="15.75">
      <c r="A150" s="597" t="s">
        <v>197</v>
      </c>
      <c r="B150" s="598"/>
      <c r="C150" s="598"/>
      <c r="D150" s="598"/>
      <c r="E150" s="599"/>
      <c r="G150" s="292"/>
      <c r="H150" s="292"/>
      <c r="I150" s="292"/>
    </row>
    <row r="151" spans="1:10" ht="15.75">
      <c r="A151" s="220">
        <v>41578</v>
      </c>
      <c r="B151" s="278"/>
      <c r="C151" s="279" t="s">
        <v>101</v>
      </c>
      <c r="D151" s="280"/>
      <c r="E151" s="281"/>
    </row>
    <row r="152" spans="1:10" ht="16.5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75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5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5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75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5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75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75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75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5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5" thickTop="1">
      <c r="A162" s="286"/>
      <c r="B162" s="287"/>
      <c r="C162" s="312">
        <v>16361170</v>
      </c>
      <c r="D162" s="307"/>
      <c r="E162" s="308"/>
    </row>
    <row r="163" spans="1:10" ht="15.75">
      <c r="A163" s="286"/>
      <c r="B163" s="287"/>
      <c r="C163" s="309">
        <f>C162-C161</f>
        <v>0</v>
      </c>
      <c r="D163" s="307"/>
      <c r="E163" s="308"/>
    </row>
    <row r="164" spans="1:10" ht="15.75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.75" thickBot="1"/>
    <row r="166" spans="1:10" ht="15.75">
      <c r="A166" s="597" t="s">
        <v>197</v>
      </c>
      <c r="B166" s="598"/>
      <c r="C166" s="598"/>
      <c r="D166" s="598"/>
      <c r="E166" s="599"/>
      <c r="G166" s="292"/>
      <c r="H166" s="292"/>
      <c r="I166" s="292"/>
    </row>
    <row r="167" spans="1:10" ht="15.75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5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75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5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5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75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5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75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75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75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5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5" thickTop="1">
      <c r="A178" s="286"/>
      <c r="B178" s="287"/>
      <c r="C178" s="312">
        <v>24248041</v>
      </c>
      <c r="D178" s="307"/>
      <c r="E178" s="308"/>
    </row>
    <row r="179" spans="1:10" ht="15.75">
      <c r="A179" s="286"/>
      <c r="B179" s="287"/>
      <c r="C179" s="309">
        <f>C178-C177</f>
        <v>0</v>
      </c>
      <c r="D179" s="307"/>
      <c r="E179" s="308"/>
    </row>
    <row r="180" spans="1:10" ht="15.75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.75" thickBot="1"/>
    <row r="182" spans="1:10" ht="15.75">
      <c r="A182" s="597" t="s">
        <v>197</v>
      </c>
      <c r="B182" s="598"/>
      <c r="C182" s="598"/>
      <c r="D182" s="598"/>
      <c r="E182" s="599"/>
      <c r="G182" s="292"/>
      <c r="H182" s="292"/>
      <c r="I182" s="292"/>
    </row>
    <row r="183" spans="1:10" ht="15.75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5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75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5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5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75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5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75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75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75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5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5" thickTop="1">
      <c r="A194" s="286"/>
      <c r="B194" s="287"/>
      <c r="C194" s="312">
        <v>34635509</v>
      </c>
      <c r="D194" s="307"/>
      <c r="E194" s="308"/>
    </row>
    <row r="195" spans="1:9" ht="15.75">
      <c r="A195" s="286"/>
      <c r="B195" s="287"/>
      <c r="C195" s="309">
        <f>C194-C193</f>
        <v>3946295</v>
      </c>
      <c r="D195" s="307"/>
      <c r="E195" s="308"/>
    </row>
    <row r="196" spans="1:9" ht="15.75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3" customFormat="1" ht="15.75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75" hidden="1">
      <c r="A8" s="387"/>
      <c r="B8" s="387"/>
      <c r="C8" s="50"/>
      <c r="D8" s="90"/>
      <c r="E8" s="50"/>
      <c r="F8" s="387"/>
      <c r="G8" s="248"/>
    </row>
    <row r="9" spans="1:10" s="203" customFormat="1" ht="15.75" hidden="1">
      <c r="D9" s="261" t="s">
        <v>214</v>
      </c>
      <c r="E9" s="161">
        <f>'WA Def 191010'!R14</f>
        <v>-7340824.0093394704</v>
      </c>
    </row>
    <row r="10" spans="1:10" s="203" customFormat="1" ht="16.5" hidden="1" thickBot="1">
      <c r="D10" s="261" t="s">
        <v>212</v>
      </c>
      <c r="E10" s="392">
        <f>E9+E7</f>
        <v>-4989064.1499659084</v>
      </c>
    </row>
    <row r="11" spans="1:10" s="386" customFormat="1" ht="16.5" hidden="1" thickTop="1" thickBot="1"/>
    <row r="12" spans="1:10" s="386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75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75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5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5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75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75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75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75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5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75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75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75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5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5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5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5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75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75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75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75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75" hidden="1" thickBot="1"/>
    <row r="35" spans="1:10" s="386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75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75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5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5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75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75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75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75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5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75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75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75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5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5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5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5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75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75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75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75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5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5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75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600"/>
      <c r="H67" s="600"/>
      <c r="I67" s="600"/>
      <c r="J67" s="340">
        <f>SUM(I62:J66)</f>
        <v>0</v>
      </c>
    </row>
    <row r="68" spans="1:10" ht="15.75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01"/>
      <c r="H68" s="601"/>
      <c r="I68" s="601"/>
      <c r="J68" s="7"/>
    </row>
    <row r="69" spans="1:10" ht="15.75" hidden="1">
      <c r="A69" s="141" t="s">
        <v>105</v>
      </c>
      <c r="B69" s="95"/>
      <c r="C69" s="207"/>
      <c r="D69" s="121"/>
      <c r="E69" s="227">
        <v>0</v>
      </c>
      <c r="F69" s="387"/>
      <c r="G69" s="601"/>
      <c r="H69" s="601"/>
      <c r="I69" s="601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01"/>
      <c r="H70" s="601"/>
      <c r="I70" s="601"/>
      <c r="J70" s="8"/>
    </row>
    <row r="71" spans="1:10" ht="16.5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5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5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75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75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75" hidden="1" thickBot="1"/>
    <row r="77" spans="1:10" s="386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75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75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5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5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75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75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75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75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5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75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75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75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5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5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5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5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75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75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75" hidden="1" thickBot="1"/>
    <row r="98" spans="1:10" s="386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75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75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5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5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75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75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75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75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5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75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75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75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5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5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5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5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75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75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75" hidden="1" thickBot="1"/>
    <row r="119" spans="1:10" s="386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75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75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5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5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75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75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75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75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5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75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75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75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5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5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5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5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75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75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75" hidden="1" thickBot="1"/>
    <row r="140" spans="1:10" s="386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75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75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5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5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75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75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75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75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5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75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75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75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5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5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5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5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75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75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75" hidden="1" thickBot="1"/>
    <row r="161" spans="1:10" s="386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75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75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5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5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75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75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75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75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5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75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75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75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5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5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5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5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75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75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75" hidden="1" thickBot="1"/>
    <row r="182" spans="1:10" s="386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75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75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5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5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75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75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75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75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5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75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75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75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5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5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5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5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75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75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75" hidden="1" thickBot="1"/>
    <row r="203" spans="1:10" s="386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75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75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5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5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75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75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75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75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5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75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75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75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5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5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5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5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75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75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75" thickBot="1"/>
    <row r="224" spans="1:10" s="386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75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75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5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5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75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75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75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75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5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75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75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75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5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5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5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5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75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75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75" thickBot="1"/>
    <row r="245" spans="1:10" s="386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75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75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5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5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75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75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75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75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5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75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75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75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5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5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5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5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75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75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75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5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5" thickTop="1" thickBot="1"/>
    <row r="268" spans="1:10" s="386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75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75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5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5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75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75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75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75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5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75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75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75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5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5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5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5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75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75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75" thickBot="1"/>
    <row r="289" spans="1:10" s="386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75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75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5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5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75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75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75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75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5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75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75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75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5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5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5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5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75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75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75"/>
  <cols>
    <col min="1" max="1" width="11.140625" bestFit="1" customWidth="1"/>
    <col min="2" max="3" width="16.140625" style="549" customWidth="1"/>
    <col min="4" max="13" width="16.140625" customWidth="1"/>
    <col min="14" max="14" width="7" style="549" customWidth="1"/>
    <col min="15" max="16" width="16.14062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3155445.8915170026</v>
      </c>
      <c r="G3">
        <f>Apr!H55</f>
        <v>-731521.16344200075</v>
      </c>
      <c r="H3">
        <f>May!H55</f>
        <v>-275383.91669399873</v>
      </c>
      <c r="I3">
        <f>Jun!H55</f>
        <v>-980629.26678000088</v>
      </c>
      <c r="J3">
        <f>Jul!H55</f>
        <v>-977679.20593799814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-4526273.9373649899</v>
      </c>
      <c r="P3">
        <f>SUM(D3:M3)</f>
        <v>-2813222.6571129956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-151943.51056800038</v>
      </c>
      <c r="G4" s="554">
        <f>Apr!I55</f>
        <v>205478.97620000015</v>
      </c>
      <c r="H4" s="554">
        <f>May!I55</f>
        <v>850635.07825399959</v>
      </c>
      <c r="I4" s="554">
        <f>Jun!I55</f>
        <v>1337646.2407499996</v>
      </c>
      <c r="J4" s="554">
        <f>Jul!I55</f>
        <v>1130955.6430000002</v>
      </c>
      <c r="K4" s="554">
        <f>Aug!I55</f>
        <v>1197349.4836119998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1070995.7539610001</v>
      </c>
      <c r="P4" s="554">
        <f>SUM(D4:M4)</f>
        <v>3527937.2592279986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3003502.3809490022</v>
      </c>
      <c r="G5" s="549">
        <f t="shared" si="0"/>
        <v>-526042.1872420006</v>
      </c>
      <c r="H5" s="549">
        <f t="shared" si="0"/>
        <v>575251.16156000085</v>
      </c>
      <c r="I5" s="549">
        <f t="shared" si="0"/>
        <v>357016.97396999877</v>
      </c>
      <c r="J5" s="549">
        <f t="shared" si="0"/>
        <v>153276.43706200202</v>
      </c>
      <c r="K5" s="549">
        <f t="shared" si="0"/>
        <v>395378.82833400124</v>
      </c>
      <c r="L5" s="549">
        <f t="shared" si="0"/>
        <v>-456084.70310200192</v>
      </c>
      <c r="M5" s="549">
        <f t="shared" si="0"/>
        <v>-75268.768550999812</v>
      </c>
      <c r="O5">
        <f>SUM(O3:O4)</f>
        <v>-3455278.1834039898</v>
      </c>
      <c r="P5">
        <f>SUM(P3:P4)</f>
        <v>714714.60211500293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1481485.3942430012</v>
      </c>
      <c r="G10" s="549">
        <f>Apr!J55</f>
        <v>-329784.44286800071</v>
      </c>
      <c r="H10" s="549">
        <f>May!J55</f>
        <v>-132940.32528599957</v>
      </c>
      <c r="I10" s="549">
        <f>Jun!J55</f>
        <v>-526274.63333000056</v>
      </c>
      <c r="J10" s="549">
        <f>Jul!J55</f>
        <v>-516382.38517199899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-2566476.410714996</v>
      </c>
      <c r="P10" s="549">
        <f>SUM(D10:M10)</f>
        <v>-1596812.4748469982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-85321.711832000175</v>
      </c>
      <c r="G11" s="554">
        <f>Apr!K55</f>
        <v>90312.58692999999</v>
      </c>
      <c r="H11" s="554">
        <f>May!K55</f>
        <v>330250.67138599989</v>
      </c>
      <c r="I11" s="554">
        <f>Jun!K55</f>
        <v>518458.73779999977</v>
      </c>
      <c r="J11" s="554">
        <f>Jul!K55</f>
        <v>437973.09378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270127.38617899973</v>
      </c>
      <c r="P11" s="554">
        <f>SUM(D11:M11)</f>
        <v>1344530.5575519996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1396163.6824110011</v>
      </c>
      <c r="G12" s="549">
        <f t="shared" si="1"/>
        <v>-239471.85593800072</v>
      </c>
      <c r="H12" s="549">
        <f t="shared" si="1"/>
        <v>197310.34610000032</v>
      </c>
      <c r="I12" s="549">
        <f t="shared" si="1"/>
        <v>-7815.8955300007947</v>
      </c>
      <c r="J12" s="549">
        <f t="shared" si="1"/>
        <v>-78409.291391998995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-2296349.0245359964</v>
      </c>
      <c r="P12" s="549">
        <f>SUM(P10:P11)</f>
        <v>-252281.91729499865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29920E0D424380F7CD2FD80D0862" ma:contentTypeVersion="104" ma:contentTypeDescription="" ma:contentTypeScope="" ma:versionID="fa506f50b49e8c155c6a849d5893ec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2016-03-21T07:00:00+00:00</OpenedDate>
    <Date1 xmlns="dc463f71-b30c-4ab2-9473-d307f9d35888">2016-03-21T07:00:00+00:00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13F5DDF-8AEB-4FE9-8E7E-3994D92CEC66}"/>
</file>

<file path=customXml/itemProps2.xml><?xml version="1.0" encoding="utf-8"?>
<ds:datastoreItem xmlns:ds="http://schemas.openxmlformats.org/officeDocument/2006/customXml" ds:itemID="{6CCB031C-F666-4F20-90CE-ED136201641D}"/>
</file>

<file path=customXml/itemProps3.xml><?xml version="1.0" encoding="utf-8"?>
<ds:datastoreItem xmlns:ds="http://schemas.openxmlformats.org/officeDocument/2006/customXml" ds:itemID="{ACC443F9-CE23-454E-9925-105304E83E52}"/>
</file>

<file path=customXml/itemProps4.xml><?xml version="1.0" encoding="utf-8"?>
<ds:datastoreItem xmlns:ds="http://schemas.openxmlformats.org/officeDocument/2006/customXml" ds:itemID="{C3FAF19B-9509-419C-9175-E8A676787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43</vt:i4>
      </vt:variant>
    </vt:vector>
  </HeadingPairs>
  <TitlesOfParts>
    <vt:vector size="71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</vt:lpstr>
      <vt:lpstr>ID - Def-Amtz </vt:lpstr>
      <vt:lpstr>PGA Graphs 2013-14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Christine Machado</cp:lastModifiedBy>
  <cp:lastPrinted>2016-03-04T18:52:17Z</cp:lastPrinted>
  <dcterms:created xsi:type="dcterms:W3CDTF">2003-05-01T14:02:57Z</dcterms:created>
  <dcterms:modified xsi:type="dcterms:W3CDTF">2016-03-04T19:57:36Z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0x0101006E56B4D1795A2E4DB2F0B01679ED314A009E1929920E0D424380F7CD2FD80D0862</vt:lpwstr>
  </property>
  <property fmtid="{D5CDD505-2E9C-101B-9397-08002B2CF9AE}" pid="3" name="_docset_NoMedatataSyncRequired">
    <vt:lpwstr>False</vt:lpwstr>
  </property>
</Properties>
</file>