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48" windowWidth="17028" windowHeight="10728" firstSheet="3" activeTab="3"/>
  </bookViews>
  <sheets>
    <sheet name="WA bud vs auth" sheetId="1" state="hidden" r:id="rId1"/>
    <sheet name="WA act vs auth" sheetId="2" state="hidden" r:id="rId2"/>
    <sheet name="Directions" sheetId="3" state="hidden" r:id="rId3"/>
    <sheet name="WGJ-2 Page 1" sheetId="5" r:id="rId4"/>
    <sheet name="WGJ-2 Page 2,3" sheetId="6" r:id="rId5"/>
    <sheet name="WGJ-2 Page 4" sheetId="7" r:id="rId6"/>
    <sheet name="ID Rec Adjustment" sheetId="11" state="hidden" r:id="rId7"/>
    <sheet name="Notes" sheetId="12" state="hidden" r:id="rId8"/>
    <sheet name="Our Focus" sheetId="13" state="hidden" r:id="rId9"/>
    <sheet name="RRC Instructions" sheetId="14" state="hidden" r:id="rId10"/>
  </sheets>
  <definedNames>
    <definedName name="AVARpt">'WGJ-2 Page 2,3'!$A$6:$P$126</definedName>
    <definedName name="DefRpt">'WGJ-2 Page 2,3'!$P$83</definedName>
    <definedName name="GLAccts">'WGJ-2 Page 2,3'!$B$85:$R$119</definedName>
    <definedName name="IDAVARpt">#REF!</definedName>
    <definedName name="IDRevRpt">#REF!</definedName>
    <definedName name="INputs">#REF!</definedName>
    <definedName name="_xlnm.Print_Area" localSheetId="8">'Our Focus'!$A$1:$E$33</definedName>
    <definedName name="_xlnm.Print_Area" localSheetId="1">'WA act vs auth'!$BN$1:$BR$77</definedName>
    <definedName name="_xlnm.Print_Area" localSheetId="0">'WA bud vs auth'!$AP$30:$AR$79</definedName>
    <definedName name="_xlnm.Print_Area" localSheetId="3">'WGJ-2 Page 1'!$A$1:$Q$42</definedName>
    <definedName name="_xlnm.Print_Area" localSheetId="4">'WGJ-2 Page 2,3'!$A$1:$R$128</definedName>
    <definedName name="_xlnm.Print_Area" localSheetId="5">'WGJ-2 Page 4'!$A$1:$N$15</definedName>
    <definedName name="_xlnm.Print_Titles" localSheetId="1">'WA act vs auth'!$A:$A</definedName>
    <definedName name="_xlnm.Print_Titles" localSheetId="0">'WA bud vs auth'!$A:$A,'WA bud vs auth'!$1:$2</definedName>
    <definedName name="_xlnm.Print_Titles" localSheetId="4">'WGJ-2 Page 2,3'!$A:$D,'WGJ-2 Page 2,3'!$1:$5</definedName>
    <definedName name="WAAVARpt">'WGJ-2 Page 2,3'!$A$6:$P$126</definedName>
  </definedNames>
  <calcPr calcId="152511"/>
</workbook>
</file>

<file path=xl/calcChain.xml><?xml version="1.0" encoding="utf-8"?>
<calcChain xmlns="http://schemas.openxmlformats.org/spreadsheetml/2006/main">
  <c r="D18" i="5" l="1"/>
  <c r="D20" i="5"/>
  <c r="D21" i="5"/>
  <c r="D22" i="5"/>
  <c r="D23" i="5"/>
  <c r="D24" i="5"/>
  <c r="D17" i="5"/>
  <c r="D17" i="13" s="1"/>
  <c r="C36" i="13"/>
  <c r="C35" i="13"/>
  <c r="Q33" i="13"/>
  <c r="P33" i="13"/>
  <c r="O33" i="13"/>
  <c r="E26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D16" i="13"/>
  <c r="Q8" i="13"/>
  <c r="P8" i="13"/>
  <c r="O8" i="13"/>
  <c r="N8" i="13"/>
  <c r="M8" i="13"/>
  <c r="L8" i="13"/>
  <c r="K8" i="13"/>
  <c r="J8" i="13"/>
  <c r="I8" i="13"/>
  <c r="H8" i="13"/>
  <c r="G8" i="13"/>
  <c r="F8" i="13"/>
  <c r="A7" i="13"/>
  <c r="A8" i="13" s="1"/>
  <c r="A9" i="13" s="1"/>
  <c r="A10" i="13" s="1"/>
  <c r="A11" i="13" s="1"/>
  <c r="A12" i="13" s="1"/>
  <c r="A13" i="13" s="1"/>
  <c r="A14" i="13" s="1"/>
  <c r="A15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D51" i="11"/>
  <c r="D50" i="11"/>
  <c r="D49" i="11"/>
  <c r="D48" i="11"/>
  <c r="D47" i="11"/>
  <c r="D46" i="11"/>
  <c r="D45" i="11"/>
  <c r="D44" i="11"/>
  <c r="D43" i="11"/>
  <c r="D42" i="11"/>
  <c r="C42" i="11"/>
  <c r="D41" i="11"/>
  <c r="C41" i="11"/>
  <c r="D40" i="11"/>
  <c r="C40" i="11"/>
  <c r="D35" i="11"/>
  <c r="C34" i="11"/>
  <c r="E34" i="11" s="1"/>
  <c r="C33" i="11"/>
  <c r="C32" i="11"/>
  <c r="C31" i="11"/>
  <c r="C30" i="11"/>
  <c r="E30" i="11" s="1"/>
  <c r="C29" i="11"/>
  <c r="C28" i="11"/>
  <c r="C27" i="11"/>
  <c r="C26" i="11"/>
  <c r="E25" i="11"/>
  <c r="E24" i="11"/>
  <c r="G24" i="11" s="1"/>
  <c r="H24" i="11" s="1"/>
  <c r="G23" i="11"/>
  <c r="E23" i="11"/>
  <c r="D18" i="11"/>
  <c r="C18" i="11"/>
  <c r="G17" i="11"/>
  <c r="H17" i="11" s="1"/>
  <c r="E17" i="11"/>
  <c r="E16" i="11"/>
  <c r="G16" i="11" s="1"/>
  <c r="H16" i="11" s="1"/>
  <c r="E15" i="11"/>
  <c r="G15" i="11" s="1"/>
  <c r="H15" i="11" s="1"/>
  <c r="E14" i="11"/>
  <c r="G14" i="11" s="1"/>
  <c r="H14" i="11" s="1"/>
  <c r="G13" i="11"/>
  <c r="H13" i="11" s="1"/>
  <c r="E13" i="11"/>
  <c r="E12" i="11"/>
  <c r="G12" i="11" s="1"/>
  <c r="H12" i="11" s="1"/>
  <c r="E11" i="11"/>
  <c r="G11" i="11" s="1"/>
  <c r="H11" i="11" s="1"/>
  <c r="E10" i="11"/>
  <c r="G10" i="11" s="1"/>
  <c r="H10" i="11" s="1"/>
  <c r="G9" i="11"/>
  <c r="H9" i="11" s="1"/>
  <c r="E9" i="11"/>
  <c r="E8" i="11"/>
  <c r="G8" i="11" s="1"/>
  <c r="H8" i="11" s="1"/>
  <c r="E7" i="11"/>
  <c r="G7" i="11" s="1"/>
  <c r="H7" i="11" s="1"/>
  <c r="E6" i="11"/>
  <c r="G6" i="11" s="1"/>
  <c r="H6" i="11" s="1"/>
  <c r="M24" i="7"/>
  <c r="L24" i="7"/>
  <c r="K24" i="7"/>
  <c r="J24" i="7"/>
  <c r="I24" i="7"/>
  <c r="H24" i="7"/>
  <c r="G24" i="7"/>
  <c r="F24" i="7"/>
  <c r="E24" i="7"/>
  <c r="D24" i="7"/>
  <c r="C24" i="7"/>
  <c r="B24" i="7"/>
  <c r="N23" i="7"/>
  <c r="N24" i="7" s="1"/>
  <c r="M22" i="7"/>
  <c r="L22" i="7"/>
  <c r="K22" i="7"/>
  <c r="J22" i="7"/>
  <c r="I22" i="7"/>
  <c r="H22" i="7"/>
  <c r="G22" i="7"/>
  <c r="F22" i="7"/>
  <c r="E22" i="7"/>
  <c r="D22" i="7"/>
  <c r="C22" i="7"/>
  <c r="B22" i="7"/>
  <c r="N21" i="7"/>
  <c r="N22" i="7" s="1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N12" i="7"/>
  <c r="B11" i="7"/>
  <c r="N10" i="7"/>
  <c r="M9" i="7"/>
  <c r="M11" i="7" s="1"/>
  <c r="M13" i="7" s="1"/>
  <c r="M15" i="7" s="1"/>
  <c r="M19" i="7" s="1"/>
  <c r="L9" i="7"/>
  <c r="L11" i="7" s="1"/>
  <c r="L13" i="7" s="1"/>
  <c r="L15" i="7" s="1"/>
  <c r="L19" i="7" s="1"/>
  <c r="K9" i="7"/>
  <c r="K11" i="7" s="1"/>
  <c r="K13" i="7" s="1"/>
  <c r="K15" i="7" s="1"/>
  <c r="K19" i="7" s="1"/>
  <c r="J9" i="7"/>
  <c r="J11" i="7" s="1"/>
  <c r="J13" i="7" s="1"/>
  <c r="J15" i="7" s="1"/>
  <c r="J19" i="7" s="1"/>
  <c r="I9" i="7"/>
  <c r="I11" i="7" s="1"/>
  <c r="I13" i="7" s="1"/>
  <c r="I15" i="7" s="1"/>
  <c r="I19" i="7" s="1"/>
  <c r="H9" i="7"/>
  <c r="H11" i="7" s="1"/>
  <c r="H13" i="7" s="1"/>
  <c r="H15" i="7" s="1"/>
  <c r="H19" i="7" s="1"/>
  <c r="H20" i="7" s="1"/>
  <c r="G9" i="7"/>
  <c r="G11" i="7" s="1"/>
  <c r="G13" i="7" s="1"/>
  <c r="G15" i="7" s="1"/>
  <c r="G19" i="7" s="1"/>
  <c r="F9" i="7"/>
  <c r="F11" i="7" s="1"/>
  <c r="F13" i="7" s="1"/>
  <c r="F15" i="7" s="1"/>
  <c r="F19" i="7" s="1"/>
  <c r="E9" i="7"/>
  <c r="E11" i="7" s="1"/>
  <c r="E13" i="7" s="1"/>
  <c r="E15" i="7" s="1"/>
  <c r="E19" i="7" s="1"/>
  <c r="D9" i="7"/>
  <c r="D11" i="7" s="1"/>
  <c r="D13" i="7" s="1"/>
  <c r="D15" i="7" s="1"/>
  <c r="D19" i="7" s="1"/>
  <c r="C9" i="7"/>
  <c r="C11" i="7" s="1"/>
  <c r="C13" i="7" s="1"/>
  <c r="C15" i="7" s="1"/>
  <c r="C19" i="7" s="1"/>
  <c r="N8" i="7"/>
  <c r="P124" i="6"/>
  <c r="O124" i="6"/>
  <c r="N124" i="6"/>
  <c r="M124" i="6"/>
  <c r="L124" i="6"/>
  <c r="K124" i="6"/>
  <c r="J124" i="6"/>
  <c r="I124" i="6"/>
  <c r="H124" i="6"/>
  <c r="G124" i="6"/>
  <c r="F124" i="6"/>
  <c r="E124" i="6"/>
  <c r="R123" i="6"/>
  <c r="D123" i="6"/>
  <c r="R122" i="6"/>
  <c r="D122" i="6"/>
  <c r="P119" i="6"/>
  <c r="D118" i="6"/>
  <c r="R117" i="6"/>
  <c r="D117" i="6"/>
  <c r="R116" i="6"/>
  <c r="D116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R112" i="6"/>
  <c r="D112" i="6"/>
  <c r="R111" i="6"/>
  <c r="D111" i="6"/>
  <c r="R110" i="6"/>
  <c r="D110" i="6"/>
  <c r="R109" i="6"/>
  <c r="D109" i="6"/>
  <c r="R108" i="6"/>
  <c r="D108" i="6"/>
  <c r="R107" i="6"/>
  <c r="D107" i="6"/>
  <c r="R106" i="6"/>
  <c r="D106" i="6"/>
  <c r="R105" i="6"/>
  <c r="D105" i="6"/>
  <c r="R104" i="6"/>
  <c r="D104" i="6"/>
  <c r="R103" i="6"/>
  <c r="D103" i="6"/>
  <c r="D100" i="6"/>
  <c r="P98" i="6"/>
  <c r="O98" i="6"/>
  <c r="P12" i="5" s="1"/>
  <c r="N98" i="6"/>
  <c r="O12" i="5" s="1"/>
  <c r="O12" i="13" s="1"/>
  <c r="M98" i="6"/>
  <c r="N12" i="5" s="1"/>
  <c r="L98" i="6"/>
  <c r="M12" i="5" s="1"/>
  <c r="K98" i="6"/>
  <c r="J98" i="6"/>
  <c r="K12" i="5" s="1"/>
  <c r="K12" i="13" s="1"/>
  <c r="I98" i="6"/>
  <c r="J12" i="5" s="1"/>
  <c r="J12" i="13" s="1"/>
  <c r="H98" i="6"/>
  <c r="G98" i="6"/>
  <c r="H12" i="5" s="1"/>
  <c r="F98" i="6"/>
  <c r="E98" i="6"/>
  <c r="R98" i="6" s="1"/>
  <c r="R97" i="6"/>
  <c r="D97" i="6"/>
  <c r="R96" i="6"/>
  <c r="D96" i="6"/>
  <c r="R95" i="6"/>
  <c r="D95" i="6"/>
  <c r="P92" i="6"/>
  <c r="Q11" i="5" s="1"/>
  <c r="BN9" i="2" s="1"/>
  <c r="O92" i="6"/>
  <c r="P11" i="5" s="1"/>
  <c r="BH9" i="2" s="1"/>
  <c r="N92" i="6"/>
  <c r="O11" i="5" s="1"/>
  <c r="BB9" i="2" s="1"/>
  <c r="M92" i="6"/>
  <c r="L92" i="6"/>
  <c r="M11" i="5" s="1"/>
  <c r="AQ9" i="2" s="1"/>
  <c r="K92" i="6"/>
  <c r="L11" i="5" s="1"/>
  <c r="AL9" i="2" s="1"/>
  <c r="J92" i="6"/>
  <c r="K11" i="5" s="1"/>
  <c r="AG9" i="2" s="1"/>
  <c r="I92" i="6"/>
  <c r="H92" i="6"/>
  <c r="I11" i="5" s="1"/>
  <c r="V9" i="2" s="1"/>
  <c r="G92" i="6"/>
  <c r="H11" i="5" s="1"/>
  <c r="Q9" i="2" s="1"/>
  <c r="F92" i="6"/>
  <c r="E92" i="6"/>
  <c r="R91" i="6"/>
  <c r="D91" i="6"/>
  <c r="R90" i="6"/>
  <c r="D90" i="6"/>
  <c r="D89" i="6"/>
  <c r="A89" i="6"/>
  <c r="A90" i="6" s="1"/>
  <c r="A91" i="6" s="1"/>
  <c r="A92" i="6" s="1"/>
  <c r="A95" i="6" s="1"/>
  <c r="A96" i="6" s="1"/>
  <c r="A97" i="6" s="1"/>
  <c r="A98" i="6" s="1"/>
  <c r="A100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6" i="6" s="1"/>
  <c r="A117" i="6" s="1"/>
  <c r="A118" i="6" s="1"/>
  <c r="A119" i="6" s="1"/>
  <c r="A122" i="6" s="1"/>
  <c r="A123" i="6" s="1"/>
  <c r="A124" i="6" s="1"/>
  <c r="A126" i="6" s="1"/>
  <c r="A128" i="6" s="1"/>
  <c r="R88" i="6"/>
  <c r="D88" i="6"/>
  <c r="R87" i="6"/>
  <c r="D87" i="6"/>
  <c r="P81" i="6"/>
  <c r="Q10" i="5" s="1"/>
  <c r="Q10" i="13" s="1"/>
  <c r="O81" i="6"/>
  <c r="N81" i="6"/>
  <c r="M81" i="6"/>
  <c r="N10" i="5" s="1"/>
  <c r="N10" i="13" s="1"/>
  <c r="L81" i="6"/>
  <c r="M10" i="5" s="1"/>
  <c r="M10" i="13" s="1"/>
  <c r="K81" i="6"/>
  <c r="L10" i="5" s="1"/>
  <c r="J81" i="6"/>
  <c r="I81" i="6"/>
  <c r="J10" i="5" s="1"/>
  <c r="J10" i="13" s="1"/>
  <c r="H81" i="6"/>
  <c r="I10" i="5" s="1"/>
  <c r="I10" i="13" s="1"/>
  <c r="G81" i="6"/>
  <c r="F81" i="6"/>
  <c r="E81" i="6"/>
  <c r="D81" i="6" s="1"/>
  <c r="R80" i="6"/>
  <c r="D80" i="6"/>
  <c r="R79" i="6"/>
  <c r="D79" i="6"/>
  <c r="R78" i="6"/>
  <c r="D78" i="6"/>
  <c r="R77" i="6"/>
  <c r="D77" i="6"/>
  <c r="R76" i="6"/>
  <c r="D76" i="6"/>
  <c r="R75" i="6"/>
  <c r="D75" i="6"/>
  <c r="P72" i="6"/>
  <c r="O72" i="6"/>
  <c r="N72" i="6"/>
  <c r="M72" i="6"/>
  <c r="L72" i="6"/>
  <c r="K72" i="6"/>
  <c r="J72" i="6"/>
  <c r="I72" i="6"/>
  <c r="H72" i="6"/>
  <c r="G72" i="6"/>
  <c r="F72" i="6"/>
  <c r="E72" i="6"/>
  <c r="P71" i="6"/>
  <c r="O71" i="6"/>
  <c r="N71" i="6"/>
  <c r="M71" i="6"/>
  <c r="L71" i="6"/>
  <c r="K71" i="6"/>
  <c r="J71" i="6"/>
  <c r="I71" i="6"/>
  <c r="H71" i="6"/>
  <c r="G71" i="6"/>
  <c r="F71" i="6"/>
  <c r="E71" i="6"/>
  <c r="R68" i="6"/>
  <c r="D68" i="6"/>
  <c r="R67" i="6"/>
  <c r="D67" i="6"/>
  <c r="P64" i="6"/>
  <c r="Q9" i="5" s="1"/>
  <c r="Q9" i="13" s="1"/>
  <c r="O64" i="6"/>
  <c r="P9" i="5" s="1"/>
  <c r="P9" i="13" s="1"/>
  <c r="N64" i="6"/>
  <c r="M64" i="6"/>
  <c r="N9" i="5" s="1"/>
  <c r="L64" i="6"/>
  <c r="M9" i="5" s="1"/>
  <c r="K64" i="6"/>
  <c r="L9" i="5" s="1"/>
  <c r="L9" i="13" s="1"/>
  <c r="J64" i="6"/>
  <c r="K9" i="5" s="1"/>
  <c r="K9" i="13" s="1"/>
  <c r="I64" i="6"/>
  <c r="J9" i="5" s="1"/>
  <c r="H64" i="6"/>
  <c r="I9" i="5" s="1"/>
  <c r="I9" i="13" s="1"/>
  <c r="G64" i="6"/>
  <c r="H9" i="5" s="1"/>
  <c r="H9" i="13" s="1"/>
  <c r="F64" i="6"/>
  <c r="E64" i="6"/>
  <c r="F9" i="5" s="1"/>
  <c r="F5" i="2" s="1"/>
  <c r="R63" i="6"/>
  <c r="D63" i="6"/>
  <c r="R62" i="6"/>
  <c r="D62" i="6"/>
  <c r="R61" i="6"/>
  <c r="D61" i="6"/>
  <c r="R60" i="6"/>
  <c r="R71" i="6" s="1"/>
  <c r="D60" i="6"/>
  <c r="P57" i="6"/>
  <c r="O57" i="6"/>
  <c r="O47" i="6" s="1"/>
  <c r="N57" i="6"/>
  <c r="N47" i="6" s="1"/>
  <c r="M57" i="6"/>
  <c r="M47" i="6" s="1"/>
  <c r="M40" i="6" s="1"/>
  <c r="L57" i="6"/>
  <c r="L47" i="6" s="1"/>
  <c r="K57" i="6"/>
  <c r="K47" i="6" s="1"/>
  <c r="J57" i="6"/>
  <c r="J47" i="6" s="1"/>
  <c r="I57" i="6"/>
  <c r="H57" i="6"/>
  <c r="G57" i="6"/>
  <c r="G47" i="6" s="1"/>
  <c r="F57" i="6"/>
  <c r="E57" i="6"/>
  <c r="E47" i="6" s="1"/>
  <c r="R56" i="6"/>
  <c r="D56" i="6"/>
  <c r="R55" i="6"/>
  <c r="D55" i="6"/>
  <c r="R54" i="6"/>
  <c r="D54" i="6"/>
  <c r="R53" i="6"/>
  <c r="D53" i="6"/>
  <c r="R52" i="6"/>
  <c r="D52" i="6"/>
  <c r="R51" i="6"/>
  <c r="D51" i="6"/>
  <c r="P47" i="6"/>
  <c r="I47" i="6"/>
  <c r="J7" i="5" s="1"/>
  <c r="J7" i="13" s="1"/>
  <c r="H47" i="6"/>
  <c r="P46" i="6"/>
  <c r="O46" i="6"/>
  <c r="N46" i="6"/>
  <c r="M46" i="6"/>
  <c r="L46" i="6"/>
  <c r="K46" i="6"/>
  <c r="J46" i="6"/>
  <c r="I46" i="6"/>
  <c r="H46" i="6"/>
  <c r="G46" i="6"/>
  <c r="F46" i="6"/>
  <c r="E46" i="6"/>
  <c r="R45" i="6"/>
  <c r="D45" i="6"/>
  <c r="P44" i="6"/>
  <c r="O44" i="6"/>
  <c r="N44" i="6"/>
  <c r="M44" i="6"/>
  <c r="K44" i="6"/>
  <c r="J44" i="6"/>
  <c r="I44" i="6"/>
  <c r="H44" i="6"/>
  <c r="G44" i="6"/>
  <c r="P43" i="6"/>
  <c r="O43" i="6"/>
  <c r="N43" i="6"/>
  <c r="R42" i="6"/>
  <c r="D42" i="6"/>
  <c r="R41" i="6"/>
  <c r="D41" i="6"/>
  <c r="N37" i="6"/>
  <c r="N24" i="6" s="1"/>
  <c r="M37" i="6"/>
  <c r="M24" i="6" s="1"/>
  <c r="L37" i="6"/>
  <c r="L24" i="6" s="1"/>
  <c r="L119" i="6" s="1"/>
  <c r="K37" i="6"/>
  <c r="K24" i="6" s="1"/>
  <c r="J37" i="6"/>
  <c r="J24" i="6" s="1"/>
  <c r="J83" i="6" s="1"/>
  <c r="I37" i="6"/>
  <c r="I24" i="6" s="1"/>
  <c r="P36" i="6"/>
  <c r="O36" i="6"/>
  <c r="O37" i="6" s="1"/>
  <c r="O24" i="6" s="1"/>
  <c r="H36" i="6"/>
  <c r="G36" i="6"/>
  <c r="G37" i="6" s="1"/>
  <c r="G24" i="6" s="1"/>
  <c r="F36" i="6"/>
  <c r="F37" i="6" s="1"/>
  <c r="F24" i="6" s="1"/>
  <c r="E36" i="6"/>
  <c r="E37" i="6" s="1"/>
  <c r="R35" i="6"/>
  <c r="D35" i="6"/>
  <c r="R34" i="6"/>
  <c r="D34" i="6"/>
  <c r="R33" i="6"/>
  <c r="D33" i="6"/>
  <c r="R32" i="6"/>
  <c r="D32" i="6"/>
  <c r="R31" i="6"/>
  <c r="D31" i="6"/>
  <c r="R30" i="6"/>
  <c r="D30" i="6"/>
  <c r="R29" i="6"/>
  <c r="D29" i="6"/>
  <c r="R28" i="6"/>
  <c r="D28" i="6"/>
  <c r="P23" i="6"/>
  <c r="O23" i="6"/>
  <c r="N23" i="6"/>
  <c r="M23" i="6"/>
  <c r="L23" i="6"/>
  <c r="K23" i="6"/>
  <c r="J23" i="6"/>
  <c r="I23" i="6"/>
  <c r="H23" i="6"/>
  <c r="G23" i="6"/>
  <c r="F23" i="6"/>
  <c r="E23" i="6"/>
  <c r="P22" i="6"/>
  <c r="O22" i="6"/>
  <c r="N22" i="6"/>
  <c r="M22" i="6"/>
  <c r="L22" i="6"/>
  <c r="K22" i="6"/>
  <c r="J22" i="6"/>
  <c r="I22" i="6"/>
  <c r="H22" i="6"/>
  <c r="G22" i="6"/>
  <c r="F22" i="6"/>
  <c r="E22" i="6"/>
  <c r="P21" i="6"/>
  <c r="Q14" i="5" s="1"/>
  <c r="Q14" i="13" s="1"/>
  <c r="O21" i="6"/>
  <c r="P14" i="5" s="1"/>
  <c r="N21" i="6"/>
  <c r="M21" i="6"/>
  <c r="L21" i="6"/>
  <c r="M14" i="5" s="1"/>
  <c r="M14" i="13" s="1"/>
  <c r="K21" i="6"/>
  <c r="L14" i="5" s="1"/>
  <c r="J21" i="6"/>
  <c r="K14" i="5" s="1"/>
  <c r="I21" i="6"/>
  <c r="J14" i="5" s="1"/>
  <c r="H21" i="6"/>
  <c r="I14" i="5" s="1"/>
  <c r="I14" i="13" s="1"/>
  <c r="G21" i="6"/>
  <c r="H14" i="5" s="1"/>
  <c r="H14" i="13" s="1"/>
  <c r="F21" i="6"/>
  <c r="G14" i="5" s="1"/>
  <c r="G14" i="13" s="1"/>
  <c r="E21" i="6"/>
  <c r="R20" i="6"/>
  <c r="D20" i="6"/>
  <c r="R19" i="6"/>
  <c r="D19" i="6"/>
  <c r="R18" i="6"/>
  <c r="D18" i="6"/>
  <c r="R17" i="6"/>
  <c r="D17" i="6"/>
  <c r="M16" i="6"/>
  <c r="K16" i="6"/>
  <c r="J16" i="6"/>
  <c r="I16" i="6"/>
  <c r="H16" i="6"/>
  <c r="R15" i="6"/>
  <c r="D15" i="6"/>
  <c r="P14" i="6"/>
  <c r="O14" i="6"/>
  <c r="N14" i="6"/>
  <c r="M14" i="6"/>
  <c r="L14" i="6"/>
  <c r="J14" i="6"/>
  <c r="I14" i="6"/>
  <c r="H14" i="6"/>
  <c r="G14" i="6"/>
  <c r="F14" i="6"/>
  <c r="E14" i="6"/>
  <c r="R13" i="6"/>
  <c r="D13" i="6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40" i="6" s="1"/>
  <c r="A41" i="6" s="1"/>
  <c r="A42" i="6" s="1"/>
  <c r="A43" i="6" s="1"/>
  <c r="A44" i="6" s="1"/>
  <c r="A45" i="6" s="1"/>
  <c r="A46" i="6" s="1"/>
  <c r="A47" i="6" s="1"/>
  <c r="A60" i="6" s="1"/>
  <c r="A61" i="6" s="1"/>
  <c r="A62" i="6" s="1"/>
  <c r="A63" i="6" s="1"/>
  <c r="A64" i="6" s="1"/>
  <c r="A67" i="6" s="1"/>
  <c r="A68" i="6" s="1"/>
  <c r="A71" i="6" s="1"/>
  <c r="A72" i="6" s="1"/>
  <c r="A75" i="6" s="1"/>
  <c r="A76" i="6" s="1"/>
  <c r="A77" i="6" s="1"/>
  <c r="A78" i="6" s="1"/>
  <c r="A79" i="6" s="1"/>
  <c r="A80" i="6" s="1"/>
  <c r="A81" i="6" s="1"/>
  <c r="A83" i="6" s="1"/>
  <c r="A87" i="6" s="1"/>
  <c r="R11" i="6"/>
  <c r="D11" i="6"/>
  <c r="R10" i="6"/>
  <c r="D10" i="6"/>
  <c r="R9" i="6"/>
  <c r="M9" i="6"/>
  <c r="D9" i="6"/>
  <c r="R8" i="6"/>
  <c r="D8" i="6"/>
  <c r="A7" i="6"/>
  <c r="D44" i="5"/>
  <c r="C37" i="5"/>
  <c r="C36" i="5"/>
  <c r="L31" i="5"/>
  <c r="L31" i="13" s="1"/>
  <c r="E26" i="5"/>
  <c r="D24" i="13"/>
  <c r="D23" i="13"/>
  <c r="D21" i="13"/>
  <c r="D20" i="13"/>
  <c r="Q19" i="5"/>
  <c r="Q19" i="13" s="1"/>
  <c r="P19" i="5"/>
  <c r="P19" i="13" s="1"/>
  <c r="O19" i="5"/>
  <c r="O19" i="13" s="1"/>
  <c r="N19" i="5"/>
  <c r="N19" i="13" s="1"/>
  <c r="M19" i="5"/>
  <c r="M19" i="13" s="1"/>
  <c r="L19" i="5"/>
  <c r="L19" i="13" s="1"/>
  <c r="K19" i="5"/>
  <c r="K25" i="5" s="1"/>
  <c r="J19" i="5"/>
  <c r="J19" i="13" s="1"/>
  <c r="I19" i="5"/>
  <c r="I19" i="13" s="1"/>
  <c r="H19" i="5"/>
  <c r="G19" i="5"/>
  <c r="G19" i="13" s="1"/>
  <c r="F19" i="5"/>
  <c r="F19" i="13" s="1"/>
  <c r="D18" i="13"/>
  <c r="Q16" i="5"/>
  <c r="P16" i="5"/>
  <c r="O16" i="5"/>
  <c r="N16" i="5"/>
  <c r="M16" i="5"/>
  <c r="L16" i="5"/>
  <c r="K16" i="5"/>
  <c r="J16" i="5"/>
  <c r="I16" i="5"/>
  <c r="H16" i="5"/>
  <c r="G16" i="5"/>
  <c r="F16" i="5"/>
  <c r="O14" i="5"/>
  <c r="O14" i="13" s="1"/>
  <c r="N14" i="5"/>
  <c r="F14" i="5"/>
  <c r="Q13" i="5"/>
  <c r="P13" i="5"/>
  <c r="P13" i="13" s="1"/>
  <c r="O13" i="5"/>
  <c r="N13" i="5"/>
  <c r="M13" i="5"/>
  <c r="M13" i="13" s="1"/>
  <c r="L13" i="5"/>
  <c r="L13" i="13" s="1"/>
  <c r="K13" i="5"/>
  <c r="K13" i="13" s="1"/>
  <c r="J13" i="5"/>
  <c r="I13" i="5"/>
  <c r="H13" i="5"/>
  <c r="H13" i="13" s="1"/>
  <c r="G13" i="5"/>
  <c r="F13" i="5"/>
  <c r="Q12" i="5"/>
  <c r="L12" i="5"/>
  <c r="I12" i="5"/>
  <c r="I12" i="13" s="1"/>
  <c r="N11" i="5"/>
  <c r="AW9" i="2" s="1"/>
  <c r="J11" i="5"/>
  <c r="AA9" i="2" s="1"/>
  <c r="F11" i="5"/>
  <c r="F9" i="2" s="1"/>
  <c r="P10" i="5"/>
  <c r="O10" i="5"/>
  <c r="O10" i="13" s="1"/>
  <c r="K10" i="5"/>
  <c r="H10" i="5"/>
  <c r="H10" i="13" s="1"/>
  <c r="G10" i="5"/>
  <c r="L6" i="2" s="1"/>
  <c r="O9" i="5"/>
  <c r="O9" i="13" s="1"/>
  <c r="G9" i="5"/>
  <c r="G9" i="13" s="1"/>
  <c r="D8" i="5"/>
  <c r="D8" i="13" s="1"/>
  <c r="A7" i="5"/>
  <c r="A8" i="5" s="1"/>
  <c r="A9" i="5" s="1"/>
  <c r="A10" i="5" s="1"/>
  <c r="A11" i="5" s="1"/>
  <c r="A12" i="5" s="1"/>
  <c r="A13" i="5" s="1"/>
  <c r="A14" i="5" s="1"/>
  <c r="A15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H6" i="5"/>
  <c r="Q4" i="2" s="1"/>
  <c r="S77" i="2"/>
  <c r="T77" i="2" s="1"/>
  <c r="T76" i="2"/>
  <c r="S76" i="2"/>
  <c r="BQ75" i="2"/>
  <c r="BP75" i="2"/>
  <c r="BK75" i="2"/>
  <c r="BJ75" i="2"/>
  <c r="BE75" i="2"/>
  <c r="BD75" i="2"/>
  <c r="AZ75" i="2"/>
  <c r="AY75" i="2"/>
  <c r="AU75" i="2"/>
  <c r="AS75" i="2"/>
  <c r="AO75" i="2"/>
  <c r="AN75" i="2"/>
  <c r="AJ75" i="2"/>
  <c r="AI75" i="2"/>
  <c r="AD75" i="2"/>
  <c r="AC75" i="2"/>
  <c r="Y75" i="2"/>
  <c r="X75" i="2"/>
  <c r="T75" i="2"/>
  <c r="S75" i="2"/>
  <c r="N75" i="2"/>
  <c r="O75" i="2" s="1"/>
  <c r="H75" i="2"/>
  <c r="I75" i="2" s="1"/>
  <c r="BP74" i="2"/>
  <c r="BQ74" i="2" s="1"/>
  <c r="AI74" i="2"/>
  <c r="AJ74" i="2" s="1"/>
  <c r="AC74" i="2"/>
  <c r="AD74" i="2" s="1"/>
  <c r="X74" i="2"/>
  <c r="Y74" i="2" s="1"/>
  <c r="H74" i="2"/>
  <c r="I74" i="2" s="1"/>
  <c r="BP73" i="2"/>
  <c r="BQ73" i="2" s="1"/>
  <c r="BO73" i="2"/>
  <c r="BI73" i="2"/>
  <c r="BJ73" i="2" s="1"/>
  <c r="BK73" i="2" s="1"/>
  <c r="BC73" i="2"/>
  <c r="BD73" i="2" s="1"/>
  <c r="BE73" i="2" s="1"/>
  <c r="AY73" i="2"/>
  <c r="AZ73" i="2" s="1"/>
  <c r="AQ73" i="2"/>
  <c r="AS73" i="2" s="1"/>
  <c r="AU73" i="2" s="1"/>
  <c r="AN73" i="2"/>
  <c r="AO73" i="2" s="1"/>
  <c r="AM73" i="2"/>
  <c r="AH73" i="2"/>
  <c r="AI73" i="2" s="1"/>
  <c r="AJ73" i="2" s="1"/>
  <c r="AB73" i="2"/>
  <c r="AA73" i="2"/>
  <c r="W73" i="2"/>
  <c r="X73" i="2" s="1"/>
  <c r="Y73" i="2" s="1"/>
  <c r="R73" i="2"/>
  <c r="S73" i="2" s="1"/>
  <c r="T73" i="2" s="1"/>
  <c r="M73" i="2"/>
  <c r="L73" i="2"/>
  <c r="G73" i="2"/>
  <c r="H73" i="2" s="1"/>
  <c r="I73" i="2" s="1"/>
  <c r="BO72" i="2"/>
  <c r="BP72" i="2" s="1"/>
  <c r="BQ72" i="2" s="1"/>
  <c r="BJ72" i="2"/>
  <c r="BK72" i="2" s="1"/>
  <c r="BD72" i="2"/>
  <c r="BE72" i="2" s="1"/>
  <c r="AQ72" i="2"/>
  <c r="AN72" i="2"/>
  <c r="AO72" i="2" s="1"/>
  <c r="AI72" i="2"/>
  <c r="AJ72" i="2" s="1"/>
  <c r="AC72" i="2"/>
  <c r="AD72" i="2" s="1"/>
  <c r="X72" i="2"/>
  <c r="Y72" i="2" s="1"/>
  <c r="S72" i="2"/>
  <c r="T72" i="2" s="1"/>
  <c r="N72" i="2"/>
  <c r="O72" i="2" s="1"/>
  <c r="H72" i="2"/>
  <c r="I72" i="2" s="1"/>
  <c r="BO71" i="2"/>
  <c r="BP71" i="2" s="1"/>
  <c r="BQ71" i="2" s="1"/>
  <c r="BJ71" i="2"/>
  <c r="BK71" i="2" s="1"/>
  <c r="BD71" i="2"/>
  <c r="BE71" i="2" s="1"/>
  <c r="AQ71" i="2"/>
  <c r="AN71" i="2"/>
  <c r="AO71" i="2" s="1"/>
  <c r="AI71" i="2"/>
  <c r="AJ71" i="2" s="1"/>
  <c r="AA71" i="2"/>
  <c r="AC71" i="2" s="1"/>
  <c r="AD71" i="2" s="1"/>
  <c r="X71" i="2"/>
  <c r="Y71" i="2" s="1"/>
  <c r="S71" i="2"/>
  <c r="T71" i="2" s="1"/>
  <c r="N71" i="2"/>
  <c r="O71" i="2" s="1"/>
  <c r="H71" i="2"/>
  <c r="I71" i="2" s="1"/>
  <c r="BO70" i="2"/>
  <c r="BP70" i="2" s="1"/>
  <c r="BQ70" i="2" s="1"/>
  <c r="BK70" i="2"/>
  <c r="BJ70" i="2"/>
  <c r="BD70" i="2"/>
  <c r="BE70" i="2" s="1"/>
  <c r="AQ70" i="2"/>
  <c r="AN70" i="2"/>
  <c r="AO70" i="2" s="1"/>
  <c r="AI70" i="2"/>
  <c r="AJ70" i="2" s="1"/>
  <c r="AC70" i="2"/>
  <c r="AD70" i="2" s="1"/>
  <c r="X70" i="2"/>
  <c r="Y70" i="2" s="1"/>
  <c r="S70" i="2"/>
  <c r="T70" i="2" s="1"/>
  <c r="N70" i="2"/>
  <c r="O70" i="2" s="1"/>
  <c r="H70" i="2"/>
  <c r="I70" i="2" s="1"/>
  <c r="BP69" i="2"/>
  <c r="BQ69" i="2" s="1"/>
  <c r="BJ69" i="2"/>
  <c r="BK69" i="2" s="1"/>
  <c r="BD69" i="2"/>
  <c r="BE69" i="2" s="1"/>
  <c r="AZ69" i="2"/>
  <c r="AJ69" i="2"/>
  <c r="AC69" i="2"/>
  <c r="AD69" i="2" s="1"/>
  <c r="X69" i="2"/>
  <c r="Y69" i="2" s="1"/>
  <c r="V69" i="2"/>
  <c r="T69" i="2"/>
  <c r="S69" i="2"/>
  <c r="O69" i="2"/>
  <c r="N69" i="2"/>
  <c r="F69" i="2"/>
  <c r="H69" i="2" s="1"/>
  <c r="I69" i="2" s="1"/>
  <c r="BD68" i="2"/>
  <c r="BE68" i="2" s="1"/>
  <c r="AY68" i="2"/>
  <c r="AZ68" i="2" s="1"/>
  <c r="AQ68" i="2"/>
  <c r="AN68" i="2"/>
  <c r="AO68" i="2" s="1"/>
  <c r="AJ68" i="2"/>
  <c r="AC68" i="2"/>
  <c r="AD68" i="2" s="1"/>
  <c r="X68" i="2"/>
  <c r="Y68" i="2" s="1"/>
  <c r="T68" i="2"/>
  <c r="S68" i="2"/>
  <c r="H68" i="2"/>
  <c r="I68" i="2" s="1"/>
  <c r="AJ67" i="2"/>
  <c r="AC67" i="2"/>
  <c r="AD67" i="2" s="1"/>
  <c r="Y67" i="2"/>
  <c r="F67" i="2"/>
  <c r="H67" i="2" s="1"/>
  <c r="I67" i="2" s="1"/>
  <c r="BP66" i="2"/>
  <c r="BQ66" i="2" s="1"/>
  <c r="BJ66" i="2"/>
  <c r="BK66" i="2" s="1"/>
  <c r="BE66" i="2"/>
  <c r="BD66" i="2"/>
  <c r="AZ66" i="2"/>
  <c r="AN66" i="2"/>
  <c r="AO66" i="2" s="1"/>
  <c r="AI66" i="2"/>
  <c r="AJ66" i="2" s="1"/>
  <c r="AC66" i="2"/>
  <c r="AD66" i="2" s="1"/>
  <c r="Y66" i="2"/>
  <c r="S66" i="2"/>
  <c r="T66" i="2" s="1"/>
  <c r="N66" i="2"/>
  <c r="O66" i="2" s="1"/>
  <c r="H66" i="2"/>
  <c r="I66" i="2" s="1"/>
  <c r="BN65" i="2"/>
  <c r="BP65" i="2" s="1"/>
  <c r="BQ65" i="2" s="1"/>
  <c r="BK65" i="2"/>
  <c r="AQ65" i="2"/>
  <c r="AN65" i="2"/>
  <c r="AO65" i="2" s="1"/>
  <c r="AL65" i="2"/>
  <c r="AJ65" i="2"/>
  <c r="AI65" i="2"/>
  <c r="AD65" i="2"/>
  <c r="AC65" i="2"/>
  <c r="Y65" i="2"/>
  <c r="X65" i="2"/>
  <c r="T65" i="2"/>
  <c r="Q65" i="2"/>
  <c r="S65" i="2" s="1"/>
  <c r="N65" i="2"/>
  <c r="O65" i="2" s="1"/>
  <c r="L65" i="2"/>
  <c r="F65" i="2"/>
  <c r="H65" i="2" s="1"/>
  <c r="I65" i="2" s="1"/>
  <c r="BP64" i="2"/>
  <c r="BQ64" i="2" s="1"/>
  <c r="BJ64" i="2"/>
  <c r="BK64" i="2" s="1"/>
  <c r="BD64" i="2"/>
  <c r="BE64" i="2" s="1"/>
  <c r="AQ64" i="2"/>
  <c r="AI64" i="2"/>
  <c r="AJ64" i="2" s="1"/>
  <c r="AD64" i="2"/>
  <c r="AC64" i="2"/>
  <c r="X64" i="2"/>
  <c r="Y64" i="2" s="1"/>
  <c r="S64" i="2"/>
  <c r="T64" i="2" s="1"/>
  <c r="N64" i="2"/>
  <c r="O64" i="2" s="1"/>
  <c r="I64" i="2"/>
  <c r="H64" i="2"/>
  <c r="BP63" i="2"/>
  <c r="BQ63" i="2" s="1"/>
  <c r="AQ63" i="2"/>
  <c r="AN63" i="2"/>
  <c r="AO63" i="2" s="1"/>
  <c r="AI63" i="2"/>
  <c r="AJ63" i="2" s="1"/>
  <c r="AC63" i="2"/>
  <c r="AD63" i="2" s="1"/>
  <c r="X63" i="2"/>
  <c r="Y63" i="2" s="1"/>
  <c r="S63" i="2"/>
  <c r="T63" i="2" s="1"/>
  <c r="N63" i="2"/>
  <c r="O63" i="2" s="1"/>
  <c r="H63" i="2"/>
  <c r="I63" i="2" s="1"/>
  <c r="BP62" i="2"/>
  <c r="BQ62" i="2" s="1"/>
  <c r="AQ62" i="2"/>
  <c r="AN62" i="2"/>
  <c r="AO62" i="2" s="1"/>
  <c r="AI62" i="2"/>
  <c r="AJ62" i="2" s="1"/>
  <c r="AC62" i="2"/>
  <c r="AD62" i="2" s="1"/>
  <c r="X62" i="2"/>
  <c r="Y62" i="2" s="1"/>
  <c r="S62" i="2"/>
  <c r="T62" i="2" s="1"/>
  <c r="N62" i="2"/>
  <c r="O62" i="2" s="1"/>
  <c r="H62" i="2"/>
  <c r="I62" i="2" s="1"/>
  <c r="BP61" i="2"/>
  <c r="BQ61" i="2" s="1"/>
  <c r="AQ61" i="2"/>
  <c r="AS61" i="2" s="1"/>
  <c r="AN61" i="2"/>
  <c r="AO61" i="2" s="1"/>
  <c r="AJ61" i="2"/>
  <c r="AI61" i="2"/>
  <c r="AC61" i="2"/>
  <c r="AD61" i="2" s="1"/>
  <c r="X61" i="2"/>
  <c r="S61" i="2"/>
  <c r="T61" i="2" s="1"/>
  <c r="N61" i="2"/>
  <c r="O61" i="2" s="1"/>
  <c r="H61" i="2"/>
  <c r="I61" i="2" s="1"/>
  <c r="AI60" i="2"/>
  <c r="AJ60" i="2" s="1"/>
  <c r="AC60" i="2"/>
  <c r="AD60" i="2" s="1"/>
  <c r="X60" i="2"/>
  <c r="Y60" i="2" s="1"/>
  <c r="Q60" i="2"/>
  <c r="S60" i="2" s="1"/>
  <c r="T60" i="2" s="1"/>
  <c r="F60" i="2"/>
  <c r="H60" i="2" s="1"/>
  <c r="I60" i="2" s="1"/>
  <c r="BP59" i="2"/>
  <c r="BQ59" i="2" s="1"/>
  <c r="BK59" i="2"/>
  <c r="BJ59" i="2"/>
  <c r="BD59" i="2"/>
  <c r="BE59" i="2" s="1"/>
  <c r="AY59" i="2"/>
  <c r="AZ59" i="2" s="1"/>
  <c r="AS59" i="2"/>
  <c r="AT59" i="2" s="1"/>
  <c r="AO59" i="2"/>
  <c r="AN59" i="2"/>
  <c r="AI59" i="2"/>
  <c r="AJ59" i="2" s="1"/>
  <c r="AC59" i="2"/>
  <c r="AD59" i="2" s="1"/>
  <c r="X59" i="2"/>
  <c r="Y59" i="2" s="1"/>
  <c r="S59" i="2"/>
  <c r="T59" i="2" s="1"/>
  <c r="N59" i="2"/>
  <c r="O59" i="2" s="1"/>
  <c r="H59" i="2"/>
  <c r="I59" i="2" s="1"/>
  <c r="J59" i="2" s="1"/>
  <c r="BJ58" i="2"/>
  <c r="BK58" i="2" s="1"/>
  <c r="BD58" i="2"/>
  <c r="BE58" i="2" s="1"/>
  <c r="AY58" i="2"/>
  <c r="AZ58" i="2" s="1"/>
  <c r="AQ58" i="2"/>
  <c r="AS58" i="2" s="1"/>
  <c r="AT58" i="2" s="1"/>
  <c r="AN58" i="2"/>
  <c r="AO58" i="2" s="1"/>
  <c r="AJ58" i="2"/>
  <c r="AI58" i="2"/>
  <c r="AC58" i="2"/>
  <c r="AD58" i="2" s="1"/>
  <c r="Y58" i="2"/>
  <c r="X58" i="2"/>
  <c r="S58" i="2"/>
  <c r="T58" i="2" s="1"/>
  <c r="O58" i="2"/>
  <c r="N58" i="2"/>
  <c r="H58" i="2"/>
  <c r="I58" i="2" s="1"/>
  <c r="BP57" i="2"/>
  <c r="BQ57" i="2" s="1"/>
  <c r="BJ57" i="2"/>
  <c r="BK57" i="2" s="1"/>
  <c r="BD57" i="2"/>
  <c r="BE57" i="2" s="1"/>
  <c r="AY57" i="2"/>
  <c r="AZ57" i="2" s="1"/>
  <c r="AQ57" i="2"/>
  <c r="AS57" i="2" s="1"/>
  <c r="AT57" i="2" s="1"/>
  <c r="AN57" i="2"/>
  <c r="AO57" i="2" s="1"/>
  <c r="AJ57" i="2"/>
  <c r="AI57" i="2"/>
  <c r="AC57" i="2"/>
  <c r="AD57" i="2" s="1"/>
  <c r="X57" i="2"/>
  <c r="Y57" i="2" s="1"/>
  <c r="S57" i="2"/>
  <c r="T57" i="2" s="1"/>
  <c r="N57" i="2"/>
  <c r="O57" i="2" s="1"/>
  <c r="H57" i="2"/>
  <c r="I57" i="2" s="1"/>
  <c r="BP56" i="2"/>
  <c r="BQ56" i="2" s="1"/>
  <c r="BJ56" i="2"/>
  <c r="BK56" i="2" s="1"/>
  <c r="BD56" i="2"/>
  <c r="BE56" i="2" s="1"/>
  <c r="AZ56" i="2"/>
  <c r="AY56" i="2"/>
  <c r="AQ56" i="2"/>
  <c r="AS56" i="2" s="1"/>
  <c r="AT56" i="2" s="1"/>
  <c r="AN56" i="2"/>
  <c r="AO56" i="2" s="1"/>
  <c r="AI56" i="2"/>
  <c r="AJ56" i="2" s="1"/>
  <c r="AD56" i="2"/>
  <c r="AC56" i="2"/>
  <c r="X56" i="2"/>
  <c r="Y56" i="2" s="1"/>
  <c r="S56" i="2"/>
  <c r="T56" i="2" s="1"/>
  <c r="N56" i="2"/>
  <c r="O56" i="2" s="1"/>
  <c r="H56" i="2"/>
  <c r="I56" i="2" s="1"/>
  <c r="BP55" i="2"/>
  <c r="BQ55" i="2" s="1"/>
  <c r="BJ55" i="2"/>
  <c r="BK55" i="2" s="1"/>
  <c r="BD55" i="2"/>
  <c r="BE55" i="2" s="1"/>
  <c r="AY55" i="2"/>
  <c r="AZ55" i="2" s="1"/>
  <c r="AQ55" i="2"/>
  <c r="AS55" i="2" s="1"/>
  <c r="AT55" i="2" s="1"/>
  <c r="AN55" i="2"/>
  <c r="AO55" i="2" s="1"/>
  <c r="AJ55" i="2"/>
  <c r="AI55" i="2"/>
  <c r="AC55" i="2"/>
  <c r="AD55" i="2" s="1"/>
  <c r="X55" i="2"/>
  <c r="Y55" i="2" s="1"/>
  <c r="S55" i="2"/>
  <c r="T55" i="2" s="1"/>
  <c r="N55" i="2"/>
  <c r="O55" i="2" s="1"/>
  <c r="I55" i="2"/>
  <c r="H55" i="2"/>
  <c r="BP54" i="2"/>
  <c r="BQ54" i="2" s="1"/>
  <c r="BJ54" i="2"/>
  <c r="BK54" i="2" s="1"/>
  <c r="BD54" i="2"/>
  <c r="BE54" i="2" s="1"/>
  <c r="AY54" i="2"/>
  <c r="AZ54" i="2" s="1"/>
  <c r="AS54" i="2"/>
  <c r="AT54" i="2" s="1"/>
  <c r="AN54" i="2"/>
  <c r="AO54" i="2" s="1"/>
  <c r="AI54" i="2"/>
  <c r="AJ54" i="2" s="1"/>
  <c r="AC54" i="2"/>
  <c r="AD54" i="2" s="1"/>
  <c r="X54" i="2"/>
  <c r="Y54" i="2" s="1"/>
  <c r="S54" i="2"/>
  <c r="T54" i="2" s="1"/>
  <c r="N54" i="2"/>
  <c r="O54" i="2" s="1"/>
  <c r="I54" i="2"/>
  <c r="H54" i="2"/>
  <c r="BP53" i="2"/>
  <c r="BQ53" i="2" s="1"/>
  <c r="BJ53" i="2"/>
  <c r="BK53" i="2" s="1"/>
  <c r="BD53" i="2"/>
  <c r="BE53" i="2" s="1"/>
  <c r="AY53" i="2"/>
  <c r="AZ53" i="2" s="1"/>
  <c r="AQ53" i="2"/>
  <c r="AS53" i="2" s="1"/>
  <c r="AT53" i="2" s="1"/>
  <c r="AN53" i="2"/>
  <c r="AO53" i="2" s="1"/>
  <c r="AI53" i="2"/>
  <c r="AJ53" i="2" s="1"/>
  <c r="AC53" i="2"/>
  <c r="AD53" i="2" s="1"/>
  <c r="Y53" i="2"/>
  <c r="X53" i="2"/>
  <c r="S53" i="2"/>
  <c r="T53" i="2" s="1"/>
  <c r="N53" i="2"/>
  <c r="O53" i="2" s="1"/>
  <c r="H53" i="2"/>
  <c r="I53" i="2" s="1"/>
  <c r="J53" i="2" s="1"/>
  <c r="BP52" i="2"/>
  <c r="BQ52" i="2" s="1"/>
  <c r="BJ52" i="2"/>
  <c r="BK52" i="2" s="1"/>
  <c r="BE52" i="2"/>
  <c r="BD52" i="2"/>
  <c r="AY52" i="2"/>
  <c r="AZ52" i="2" s="1"/>
  <c r="AQ52" i="2"/>
  <c r="AS52" i="2" s="1"/>
  <c r="AT52" i="2" s="1"/>
  <c r="AN52" i="2"/>
  <c r="AO52" i="2" s="1"/>
  <c r="AI52" i="2"/>
  <c r="AJ52" i="2" s="1"/>
  <c r="AD52" i="2"/>
  <c r="AC52" i="2"/>
  <c r="X52" i="2"/>
  <c r="Y52" i="2" s="1"/>
  <c r="S52" i="2"/>
  <c r="T52" i="2" s="1"/>
  <c r="N52" i="2"/>
  <c r="O52" i="2" s="1"/>
  <c r="H52" i="2"/>
  <c r="I52" i="2" s="1"/>
  <c r="BP51" i="2"/>
  <c r="BQ51" i="2" s="1"/>
  <c r="BK51" i="2"/>
  <c r="BJ51" i="2"/>
  <c r="BD51" i="2"/>
  <c r="BE51" i="2" s="1"/>
  <c r="AY51" i="2"/>
  <c r="AZ51" i="2" s="1"/>
  <c r="AQ51" i="2"/>
  <c r="AS51" i="2" s="1"/>
  <c r="AT51" i="2" s="1"/>
  <c r="AN51" i="2"/>
  <c r="AO51" i="2" s="1"/>
  <c r="AI51" i="2"/>
  <c r="AJ51" i="2" s="1"/>
  <c r="AC51" i="2"/>
  <c r="AD51" i="2" s="1"/>
  <c r="X51" i="2"/>
  <c r="Y51" i="2" s="1"/>
  <c r="S51" i="2"/>
  <c r="T51" i="2" s="1"/>
  <c r="N51" i="2"/>
  <c r="O51" i="2" s="1"/>
  <c r="F51" i="2"/>
  <c r="H51" i="2" s="1"/>
  <c r="I51" i="2" s="1"/>
  <c r="BH49" i="2"/>
  <c r="BB49" i="2"/>
  <c r="AW49" i="2"/>
  <c r="AL49" i="2"/>
  <c r="AN49" i="2" s="1"/>
  <c r="AA49" i="2"/>
  <c r="V49" i="2"/>
  <c r="Q49" i="2"/>
  <c r="L49" i="2"/>
  <c r="G49" i="2"/>
  <c r="F49" i="2"/>
  <c r="AN48" i="2"/>
  <c r="X48" i="2"/>
  <c r="N48" i="2"/>
  <c r="H48" i="2"/>
  <c r="I27" i="2" s="1"/>
  <c r="J27" i="2" s="1"/>
  <c r="AN47" i="2"/>
  <c r="X47" i="2"/>
  <c r="S47" i="2"/>
  <c r="N47" i="2"/>
  <c r="H47" i="2"/>
  <c r="AN46" i="2"/>
  <c r="X46" i="2"/>
  <c r="N46" i="2"/>
  <c r="G46" i="2"/>
  <c r="BQ44" i="2"/>
  <c r="BR44" i="2" s="1"/>
  <c r="BP44" i="2"/>
  <c r="BJ44" i="2"/>
  <c r="BK44" i="2" s="1"/>
  <c r="BL44" i="2" s="1"/>
  <c r="BD44" i="2"/>
  <c r="BE44" i="2" s="1"/>
  <c r="BF44" i="2" s="1"/>
  <c r="AZ44" i="2"/>
  <c r="BA44" i="2" s="1"/>
  <c r="AY44" i="2"/>
  <c r="AS44" i="2"/>
  <c r="AT44" i="2" s="1"/>
  <c r="AU44" i="2" s="1"/>
  <c r="AN44" i="2"/>
  <c r="AO44" i="2" s="1"/>
  <c r="AP44" i="2" s="1"/>
  <c r="AI44" i="2"/>
  <c r="AJ44" i="2" s="1"/>
  <c r="AK44" i="2" s="1"/>
  <c r="AC44" i="2"/>
  <c r="AD44" i="2" s="1"/>
  <c r="AE44" i="2" s="1"/>
  <c r="X44" i="2"/>
  <c r="Y44" i="2" s="1"/>
  <c r="Z44" i="2" s="1"/>
  <c r="S44" i="2"/>
  <c r="T44" i="2" s="1"/>
  <c r="U44" i="2" s="1"/>
  <c r="O44" i="2"/>
  <c r="P44" i="2" s="1"/>
  <c r="N44" i="2"/>
  <c r="I44" i="2"/>
  <c r="J44" i="2" s="1"/>
  <c r="H44" i="2"/>
  <c r="BR43" i="2"/>
  <c r="BP43" i="2"/>
  <c r="BQ43" i="2" s="1"/>
  <c r="BK43" i="2"/>
  <c r="BL43" i="2" s="1"/>
  <c r="BJ43" i="2"/>
  <c r="BD43" i="2"/>
  <c r="BE43" i="2" s="1"/>
  <c r="BF43" i="2" s="1"/>
  <c r="AY43" i="2"/>
  <c r="AZ43" i="2" s="1"/>
  <c r="BA43" i="2" s="1"/>
  <c r="AS43" i="2"/>
  <c r="AT43" i="2" s="1"/>
  <c r="AU43" i="2" s="1"/>
  <c r="AN43" i="2"/>
  <c r="AO43" i="2" s="1"/>
  <c r="AP43" i="2" s="1"/>
  <c r="AI43" i="2"/>
  <c r="AJ43" i="2" s="1"/>
  <c r="AK43" i="2" s="1"/>
  <c r="AC43" i="2"/>
  <c r="AD43" i="2" s="1"/>
  <c r="AE43" i="2" s="1"/>
  <c r="Z43" i="2"/>
  <c r="X43" i="2"/>
  <c r="Y43" i="2" s="1"/>
  <c r="T43" i="2"/>
  <c r="U43" i="2" s="1"/>
  <c r="S43" i="2"/>
  <c r="N43" i="2"/>
  <c r="O43" i="2" s="1"/>
  <c r="P43" i="2" s="1"/>
  <c r="H43" i="2"/>
  <c r="I43" i="2" s="1"/>
  <c r="J43" i="2" s="1"/>
  <c r="J63" i="2" s="1"/>
  <c r="BQ42" i="2"/>
  <c r="BR42" i="2" s="1"/>
  <c r="BP42" i="2"/>
  <c r="BK42" i="2"/>
  <c r="BL42" i="2" s="1"/>
  <c r="BJ42" i="2"/>
  <c r="BD42" i="2"/>
  <c r="BE42" i="2" s="1"/>
  <c r="BF42" i="2" s="1"/>
  <c r="AY42" i="2"/>
  <c r="AZ42" i="2" s="1"/>
  <c r="BA42" i="2" s="1"/>
  <c r="AS42" i="2"/>
  <c r="AT42" i="2" s="1"/>
  <c r="AU42" i="2" s="1"/>
  <c r="AN42" i="2"/>
  <c r="AO42" i="2" s="1"/>
  <c r="AP42" i="2" s="1"/>
  <c r="AJ42" i="2"/>
  <c r="AK42" i="2" s="1"/>
  <c r="AI42" i="2"/>
  <c r="AC42" i="2"/>
  <c r="AD42" i="2" s="1"/>
  <c r="AE42" i="2" s="1"/>
  <c r="Y42" i="2"/>
  <c r="Z42" i="2" s="1"/>
  <c r="X42" i="2"/>
  <c r="S42" i="2"/>
  <c r="T42" i="2" s="1"/>
  <c r="U42" i="2" s="1"/>
  <c r="N42" i="2"/>
  <c r="O42" i="2" s="1"/>
  <c r="P42" i="2" s="1"/>
  <c r="H42" i="2"/>
  <c r="I42" i="2" s="1"/>
  <c r="J42" i="2" s="1"/>
  <c r="BP41" i="2"/>
  <c r="BQ41" i="2" s="1"/>
  <c r="BR41" i="2" s="1"/>
  <c r="BJ41" i="2"/>
  <c r="BK41" i="2" s="1"/>
  <c r="BL41" i="2" s="1"/>
  <c r="BD41" i="2"/>
  <c r="BE41" i="2" s="1"/>
  <c r="BF41" i="2" s="1"/>
  <c r="AZ41" i="2"/>
  <c r="BA41" i="2" s="1"/>
  <c r="AY41" i="2"/>
  <c r="AS41" i="2"/>
  <c r="AT41" i="2" s="1"/>
  <c r="AU41" i="2" s="1"/>
  <c r="AN41" i="2"/>
  <c r="AO41" i="2" s="1"/>
  <c r="AP41" i="2" s="1"/>
  <c r="AI41" i="2"/>
  <c r="AJ41" i="2" s="1"/>
  <c r="AK41" i="2" s="1"/>
  <c r="AC41" i="2"/>
  <c r="AD41" i="2" s="1"/>
  <c r="AE41" i="2" s="1"/>
  <c r="X41" i="2"/>
  <c r="Y41" i="2" s="1"/>
  <c r="Z41" i="2" s="1"/>
  <c r="S41" i="2"/>
  <c r="T41" i="2" s="1"/>
  <c r="U41" i="2" s="1"/>
  <c r="N41" i="2"/>
  <c r="O41" i="2" s="1"/>
  <c r="P41" i="2" s="1"/>
  <c r="H41" i="2"/>
  <c r="I41" i="2" s="1"/>
  <c r="J41" i="2" s="1"/>
  <c r="BP40" i="2"/>
  <c r="BQ40" i="2" s="1"/>
  <c r="BR40" i="2" s="1"/>
  <c r="BJ40" i="2"/>
  <c r="BK40" i="2" s="1"/>
  <c r="BL40" i="2" s="1"/>
  <c r="BD40" i="2"/>
  <c r="BE40" i="2" s="1"/>
  <c r="BF40" i="2" s="1"/>
  <c r="AY40" i="2"/>
  <c r="AZ40" i="2" s="1"/>
  <c r="BA40" i="2" s="1"/>
  <c r="AS40" i="2"/>
  <c r="AT40" i="2" s="1"/>
  <c r="AU40" i="2" s="1"/>
  <c r="AN40" i="2"/>
  <c r="AO40" i="2" s="1"/>
  <c r="AP40" i="2" s="1"/>
  <c r="AJ40" i="2"/>
  <c r="AK40" i="2" s="1"/>
  <c r="AI40" i="2"/>
  <c r="AC40" i="2"/>
  <c r="AD40" i="2" s="1"/>
  <c r="AE40" i="2" s="1"/>
  <c r="X40" i="2"/>
  <c r="Y40" i="2" s="1"/>
  <c r="Z40" i="2" s="1"/>
  <c r="S40" i="2"/>
  <c r="T40" i="2" s="1"/>
  <c r="U40" i="2" s="1"/>
  <c r="N40" i="2"/>
  <c r="O40" i="2" s="1"/>
  <c r="P40" i="2" s="1"/>
  <c r="H40" i="2"/>
  <c r="I40" i="2" s="1"/>
  <c r="J40" i="2" s="1"/>
  <c r="BP39" i="2"/>
  <c r="BQ39" i="2" s="1"/>
  <c r="BR39" i="2" s="1"/>
  <c r="BK39" i="2"/>
  <c r="BL39" i="2" s="1"/>
  <c r="BJ39" i="2"/>
  <c r="BD39" i="2"/>
  <c r="BE39" i="2" s="1"/>
  <c r="BF39" i="2" s="1"/>
  <c r="AY39" i="2"/>
  <c r="AZ39" i="2" s="1"/>
  <c r="BA39" i="2" s="1"/>
  <c r="AS39" i="2"/>
  <c r="AT39" i="2" s="1"/>
  <c r="AU39" i="2" s="1"/>
  <c r="AN39" i="2"/>
  <c r="AO39" i="2" s="1"/>
  <c r="AP39" i="2" s="1"/>
  <c r="AI39" i="2"/>
  <c r="AJ39" i="2" s="1"/>
  <c r="AK39" i="2" s="1"/>
  <c r="AC39" i="2"/>
  <c r="AD39" i="2" s="1"/>
  <c r="AE39" i="2" s="1"/>
  <c r="X39" i="2"/>
  <c r="Y39" i="2" s="1"/>
  <c r="Z39" i="2" s="1"/>
  <c r="T39" i="2"/>
  <c r="U39" i="2" s="1"/>
  <c r="S39" i="2"/>
  <c r="N39" i="2"/>
  <c r="O39" i="2" s="1"/>
  <c r="P39" i="2" s="1"/>
  <c r="H39" i="2"/>
  <c r="I39" i="2" s="1"/>
  <c r="J39" i="2" s="1"/>
  <c r="BQ38" i="2"/>
  <c r="BR38" i="2" s="1"/>
  <c r="BP38" i="2"/>
  <c r="BJ38" i="2"/>
  <c r="BK38" i="2" s="1"/>
  <c r="BL38" i="2" s="1"/>
  <c r="BD38" i="2"/>
  <c r="BE38" i="2" s="1"/>
  <c r="BF38" i="2" s="1"/>
  <c r="AY38" i="2"/>
  <c r="AZ38" i="2" s="1"/>
  <c r="BA38" i="2" s="1"/>
  <c r="AS38" i="2"/>
  <c r="AT38" i="2" s="1"/>
  <c r="AU38" i="2" s="1"/>
  <c r="AN38" i="2"/>
  <c r="AO38" i="2" s="1"/>
  <c r="AP38" i="2" s="1"/>
  <c r="AI38" i="2"/>
  <c r="AJ38" i="2" s="1"/>
  <c r="AK38" i="2" s="1"/>
  <c r="AC38" i="2"/>
  <c r="AD38" i="2" s="1"/>
  <c r="AE38" i="2" s="1"/>
  <c r="Y38" i="2"/>
  <c r="Z38" i="2" s="1"/>
  <c r="X38" i="2"/>
  <c r="S38" i="2"/>
  <c r="T38" i="2" s="1"/>
  <c r="U38" i="2" s="1"/>
  <c r="B38" i="2" s="1"/>
  <c r="R38" i="2"/>
  <c r="M38" i="2"/>
  <c r="N38" i="2" s="1"/>
  <c r="O38" i="2" s="1"/>
  <c r="P38" i="2" s="1"/>
  <c r="H38" i="2"/>
  <c r="I38" i="2" s="1"/>
  <c r="J38" i="2" s="1"/>
  <c r="BP37" i="2"/>
  <c r="BQ37" i="2" s="1"/>
  <c r="BR37" i="2" s="1"/>
  <c r="BJ37" i="2"/>
  <c r="BK37" i="2" s="1"/>
  <c r="BL37" i="2" s="1"/>
  <c r="BD37" i="2"/>
  <c r="BE37" i="2" s="1"/>
  <c r="BF37" i="2" s="1"/>
  <c r="AY37" i="2"/>
  <c r="AZ37" i="2" s="1"/>
  <c r="BA37" i="2" s="1"/>
  <c r="AS37" i="2"/>
  <c r="AT37" i="2" s="1"/>
  <c r="AU37" i="2" s="1"/>
  <c r="AO37" i="2"/>
  <c r="AP37" i="2" s="1"/>
  <c r="AN37" i="2"/>
  <c r="AI37" i="2"/>
  <c r="AJ37" i="2" s="1"/>
  <c r="AK37" i="2" s="1"/>
  <c r="AC37" i="2"/>
  <c r="AD37" i="2" s="1"/>
  <c r="AE37" i="2" s="1"/>
  <c r="X37" i="2"/>
  <c r="Y37" i="2" s="1"/>
  <c r="Z37" i="2" s="1"/>
  <c r="S37" i="2"/>
  <c r="T37" i="2" s="1"/>
  <c r="U37" i="2" s="1"/>
  <c r="N37" i="2"/>
  <c r="O37" i="2" s="1"/>
  <c r="P37" i="2" s="1"/>
  <c r="H37" i="2"/>
  <c r="I37" i="2" s="1"/>
  <c r="J37" i="2" s="1"/>
  <c r="BP36" i="2"/>
  <c r="BQ36" i="2" s="1"/>
  <c r="BR36" i="2" s="1"/>
  <c r="BJ36" i="2"/>
  <c r="BK36" i="2" s="1"/>
  <c r="BL36" i="2" s="1"/>
  <c r="BD36" i="2"/>
  <c r="BE36" i="2" s="1"/>
  <c r="BF36" i="2" s="1"/>
  <c r="AY36" i="2"/>
  <c r="AT36" i="2"/>
  <c r="AU36" i="2" s="1"/>
  <c r="AS36" i="2"/>
  <c r="AN36" i="2"/>
  <c r="AO36" i="2" s="1"/>
  <c r="AP36" i="2" s="1"/>
  <c r="AI36" i="2"/>
  <c r="AJ36" i="2" s="1"/>
  <c r="AK36" i="2" s="1"/>
  <c r="AC36" i="2"/>
  <c r="AD36" i="2" s="1"/>
  <c r="AE36" i="2" s="1"/>
  <c r="X36" i="2"/>
  <c r="Y36" i="2" s="1"/>
  <c r="Z36" i="2" s="1"/>
  <c r="S36" i="2"/>
  <c r="T36" i="2" s="1"/>
  <c r="U36" i="2" s="1"/>
  <c r="N36" i="2"/>
  <c r="O36" i="2" s="1"/>
  <c r="P36" i="2" s="1"/>
  <c r="H36" i="2"/>
  <c r="I36" i="2" s="1"/>
  <c r="J36" i="2" s="1"/>
  <c r="BQ35" i="2"/>
  <c r="BR35" i="2" s="1"/>
  <c r="BP35" i="2"/>
  <c r="BK35" i="2"/>
  <c r="BL35" i="2" s="1"/>
  <c r="BJ35" i="2"/>
  <c r="BF35" i="2"/>
  <c r="BD35" i="2"/>
  <c r="BE35" i="2" s="1"/>
  <c r="BA35" i="2"/>
  <c r="AY35" i="2"/>
  <c r="AZ35" i="2" s="1"/>
  <c r="AS35" i="2"/>
  <c r="AT35" i="2" s="1"/>
  <c r="AU35" i="2" s="1"/>
  <c r="AN35" i="2"/>
  <c r="AO35" i="2" s="1"/>
  <c r="AP35" i="2" s="1"/>
  <c r="AI35" i="2"/>
  <c r="AJ35" i="2" s="1"/>
  <c r="AK35" i="2" s="1"/>
  <c r="AD35" i="2"/>
  <c r="AE35" i="2" s="1"/>
  <c r="AC35" i="2"/>
  <c r="X35" i="2"/>
  <c r="Y35" i="2" s="1"/>
  <c r="Z35" i="2" s="1"/>
  <c r="T35" i="2"/>
  <c r="U35" i="2" s="1"/>
  <c r="S35" i="2"/>
  <c r="N35" i="2"/>
  <c r="O35" i="2" s="1"/>
  <c r="P35" i="2" s="1"/>
  <c r="H35" i="2"/>
  <c r="I35" i="2" s="1"/>
  <c r="J35" i="2" s="1"/>
  <c r="J56" i="2" s="1"/>
  <c r="BQ34" i="2"/>
  <c r="BR34" i="2" s="1"/>
  <c r="BP34" i="2"/>
  <c r="BL34" i="2"/>
  <c r="BJ34" i="2"/>
  <c r="BK34" i="2" s="1"/>
  <c r="BD34" i="2"/>
  <c r="BE34" i="2" s="1"/>
  <c r="BF34" i="2" s="1"/>
  <c r="AY34" i="2"/>
  <c r="AZ34" i="2" s="1"/>
  <c r="BA34" i="2" s="1"/>
  <c r="AS34" i="2"/>
  <c r="AT34" i="2" s="1"/>
  <c r="AU34" i="2" s="1"/>
  <c r="AN34" i="2"/>
  <c r="AO34" i="2" s="1"/>
  <c r="AP34" i="2" s="1"/>
  <c r="AJ34" i="2"/>
  <c r="AK34" i="2" s="1"/>
  <c r="AI34" i="2"/>
  <c r="AD34" i="2"/>
  <c r="AE34" i="2" s="1"/>
  <c r="AC34" i="2"/>
  <c r="Y34" i="2"/>
  <c r="Z34" i="2" s="1"/>
  <c r="X34" i="2"/>
  <c r="U34" i="2"/>
  <c r="B34" i="2" s="1"/>
  <c r="S34" i="2"/>
  <c r="T34" i="2" s="1"/>
  <c r="P34" i="2"/>
  <c r="N34" i="2"/>
  <c r="O34" i="2" s="1"/>
  <c r="H34" i="2"/>
  <c r="I34" i="2" s="1"/>
  <c r="J34" i="2" s="1"/>
  <c r="BL33" i="2"/>
  <c r="BJ33" i="2"/>
  <c r="BK33" i="2" s="1"/>
  <c r="BD33" i="2"/>
  <c r="BE33" i="2" s="1"/>
  <c r="BF33" i="2" s="1"/>
  <c r="AY33" i="2"/>
  <c r="AZ33" i="2" s="1"/>
  <c r="BA33" i="2" s="1"/>
  <c r="AS33" i="2"/>
  <c r="AT33" i="2" s="1"/>
  <c r="AU33" i="2" s="1"/>
  <c r="AN33" i="2"/>
  <c r="AO33" i="2" s="1"/>
  <c r="AP33" i="2" s="1"/>
  <c r="AI33" i="2"/>
  <c r="AJ33" i="2" s="1"/>
  <c r="AK33" i="2" s="1"/>
  <c r="AD33" i="2"/>
  <c r="AE33" i="2" s="1"/>
  <c r="AC33" i="2"/>
  <c r="X33" i="2"/>
  <c r="Y33" i="2" s="1"/>
  <c r="Z33" i="2" s="1"/>
  <c r="U33" i="2"/>
  <c r="S33" i="2"/>
  <c r="T33" i="2" s="1"/>
  <c r="N33" i="2"/>
  <c r="O33" i="2" s="1"/>
  <c r="P33" i="2" s="1"/>
  <c r="H33" i="2"/>
  <c r="I33" i="2" s="1"/>
  <c r="J33" i="2" s="1"/>
  <c r="BP32" i="2"/>
  <c r="BQ32" i="2" s="1"/>
  <c r="BR32" i="2" s="1"/>
  <c r="BJ32" i="2"/>
  <c r="BK32" i="2" s="1"/>
  <c r="BL32" i="2" s="1"/>
  <c r="BE32" i="2"/>
  <c r="BF32" i="2" s="1"/>
  <c r="BD32" i="2"/>
  <c r="AY32" i="2"/>
  <c r="AZ32" i="2" s="1"/>
  <c r="BA32" i="2" s="1"/>
  <c r="AU32" i="2"/>
  <c r="AS32" i="2"/>
  <c r="AT32" i="2" s="1"/>
  <c r="AN32" i="2"/>
  <c r="AO32" i="2" s="1"/>
  <c r="AP32" i="2" s="1"/>
  <c r="AI32" i="2"/>
  <c r="AJ32" i="2" s="1"/>
  <c r="AK32" i="2" s="1"/>
  <c r="AC32" i="2"/>
  <c r="AD32" i="2" s="1"/>
  <c r="AE32" i="2" s="1"/>
  <c r="X32" i="2"/>
  <c r="Y32" i="2" s="1"/>
  <c r="Z32" i="2" s="1"/>
  <c r="T32" i="2"/>
  <c r="U32" i="2" s="1"/>
  <c r="S32" i="2"/>
  <c r="O32" i="2"/>
  <c r="P32" i="2" s="1"/>
  <c r="N32" i="2"/>
  <c r="I32" i="2"/>
  <c r="J32" i="2" s="1"/>
  <c r="H32" i="2"/>
  <c r="BP31" i="2"/>
  <c r="BQ31" i="2" s="1"/>
  <c r="BR31" i="2" s="1"/>
  <c r="BJ31" i="2"/>
  <c r="BK31" i="2" s="1"/>
  <c r="BL31" i="2" s="1"/>
  <c r="BD31" i="2"/>
  <c r="BE31" i="2" s="1"/>
  <c r="BF31" i="2" s="1"/>
  <c r="AY31" i="2"/>
  <c r="AU31" i="2"/>
  <c r="AS31" i="2"/>
  <c r="AT31" i="2" s="1"/>
  <c r="AN31" i="2"/>
  <c r="AO31" i="2" s="1"/>
  <c r="AP31" i="2" s="1"/>
  <c r="AI31" i="2"/>
  <c r="AJ31" i="2" s="1"/>
  <c r="AK31" i="2" s="1"/>
  <c r="AC31" i="2"/>
  <c r="AD31" i="2" s="1"/>
  <c r="AE31" i="2" s="1"/>
  <c r="X31" i="2"/>
  <c r="Y31" i="2" s="1"/>
  <c r="Z31" i="2" s="1"/>
  <c r="T31" i="2"/>
  <c r="U31" i="2" s="1"/>
  <c r="S31" i="2"/>
  <c r="N31" i="2"/>
  <c r="O31" i="2" s="1"/>
  <c r="P31" i="2" s="1"/>
  <c r="J31" i="2"/>
  <c r="H31" i="2"/>
  <c r="I31" i="2" s="1"/>
  <c r="BP30" i="2"/>
  <c r="BQ30" i="2" s="1"/>
  <c r="BR30" i="2" s="1"/>
  <c r="BJ30" i="2"/>
  <c r="BK30" i="2" s="1"/>
  <c r="BL30" i="2" s="1"/>
  <c r="BD30" i="2"/>
  <c r="BE30" i="2" s="1"/>
  <c r="BF30" i="2" s="1"/>
  <c r="AY30" i="2"/>
  <c r="AY64" i="2" s="1"/>
  <c r="AZ64" i="2" s="1"/>
  <c r="AS30" i="2"/>
  <c r="AT30" i="2" s="1"/>
  <c r="AU30" i="2" s="1"/>
  <c r="AN30" i="2"/>
  <c r="AO30" i="2" s="1"/>
  <c r="AP30" i="2" s="1"/>
  <c r="AI30" i="2"/>
  <c r="AJ30" i="2" s="1"/>
  <c r="AK30" i="2" s="1"/>
  <c r="AC30" i="2"/>
  <c r="AD30" i="2" s="1"/>
  <c r="AE30" i="2" s="1"/>
  <c r="X30" i="2"/>
  <c r="Y30" i="2" s="1"/>
  <c r="Z30" i="2" s="1"/>
  <c r="S30" i="2"/>
  <c r="T30" i="2" s="1"/>
  <c r="U30" i="2" s="1"/>
  <c r="N30" i="2"/>
  <c r="O30" i="2" s="1"/>
  <c r="P30" i="2" s="1"/>
  <c r="I30" i="2"/>
  <c r="J30" i="2" s="1"/>
  <c r="H30" i="2"/>
  <c r="BO29" i="2"/>
  <c r="BN29" i="2"/>
  <c r="BJ29" i="2"/>
  <c r="BK29" i="2" s="1"/>
  <c r="BL29" i="2" s="1"/>
  <c r="BI29" i="2"/>
  <c r="BC29" i="2"/>
  <c r="BB29" i="2"/>
  <c r="AX29" i="2"/>
  <c r="AY29" i="2" s="1"/>
  <c r="AR29" i="2"/>
  <c r="AS29" i="2" s="1"/>
  <c r="AT29" i="2" s="1"/>
  <c r="AU29" i="2" s="1"/>
  <c r="AM29" i="2"/>
  <c r="AN29" i="2" s="1"/>
  <c r="AO29" i="2" s="1"/>
  <c r="AP29" i="2" s="1"/>
  <c r="AH29" i="2"/>
  <c r="AG29" i="2"/>
  <c r="AI29" i="2" s="1"/>
  <c r="AJ29" i="2" s="1"/>
  <c r="AK29" i="2" s="1"/>
  <c r="AB29" i="2"/>
  <c r="AA29" i="2"/>
  <c r="W29" i="2"/>
  <c r="X29" i="2" s="1"/>
  <c r="Y29" i="2" s="1"/>
  <c r="Z29" i="2" s="1"/>
  <c r="R29" i="2"/>
  <c r="S29" i="2" s="1"/>
  <c r="T29" i="2" s="1"/>
  <c r="U29" i="2" s="1"/>
  <c r="Q29" i="2"/>
  <c r="M29" i="2"/>
  <c r="L29" i="2"/>
  <c r="N29" i="2" s="1"/>
  <c r="O29" i="2" s="1"/>
  <c r="P29" i="2" s="1"/>
  <c r="G29" i="2"/>
  <c r="F29" i="2"/>
  <c r="AY28" i="2"/>
  <c r="AS28" i="2"/>
  <c r="AC28" i="2"/>
  <c r="S28" i="2"/>
  <c r="T28" i="2" s="1"/>
  <c r="U28" i="2" s="1"/>
  <c r="I28" i="2"/>
  <c r="J28" i="2" s="1"/>
  <c r="AY27" i="2"/>
  <c r="AS27" i="2"/>
  <c r="AC27" i="2"/>
  <c r="S27" i="2"/>
  <c r="T27" i="2" s="1"/>
  <c r="U27" i="2" s="1"/>
  <c r="N27" i="2"/>
  <c r="BD26" i="2"/>
  <c r="AN26" i="2"/>
  <c r="AI26" i="2"/>
  <c r="AC26" i="2"/>
  <c r="X26" i="2"/>
  <c r="S26" i="2"/>
  <c r="N26" i="2"/>
  <c r="H26" i="2"/>
  <c r="AX25" i="2"/>
  <c r="AY25" i="2" s="1"/>
  <c r="AS25" i="2"/>
  <c r="AN25" i="2"/>
  <c r="AB25" i="2"/>
  <c r="M25" i="2"/>
  <c r="G25" i="2"/>
  <c r="BN24" i="2"/>
  <c r="BP24" i="2" s="1"/>
  <c r="BQ24" i="2" s="1"/>
  <c r="BR24" i="2" s="1"/>
  <c r="BH24" i="2"/>
  <c r="BJ24" i="2" s="1"/>
  <c r="BK24" i="2" s="1"/>
  <c r="BL24" i="2" s="1"/>
  <c r="BB24" i="2"/>
  <c r="BD24" i="2" s="1"/>
  <c r="BE24" i="2" s="1"/>
  <c r="BF24" i="2" s="1"/>
  <c r="AW24" i="2"/>
  <c r="AY24" i="2" s="1"/>
  <c r="AQ24" i="2"/>
  <c r="AS24" i="2" s="1"/>
  <c r="AT24" i="2" s="1"/>
  <c r="AU24" i="2" s="1"/>
  <c r="AL24" i="2"/>
  <c r="AN24" i="2" s="1"/>
  <c r="AO24" i="2" s="1"/>
  <c r="AP24" i="2" s="1"/>
  <c r="AG24" i="2"/>
  <c r="AI24" i="2" s="1"/>
  <c r="AJ24" i="2" s="1"/>
  <c r="AK24" i="2" s="1"/>
  <c r="AA24" i="2"/>
  <c r="AC24" i="2" s="1"/>
  <c r="AD24" i="2" s="1"/>
  <c r="AE24" i="2" s="1"/>
  <c r="V24" i="2"/>
  <c r="X24" i="2" s="1"/>
  <c r="Y24" i="2" s="1"/>
  <c r="Z24" i="2" s="1"/>
  <c r="Q24" i="2"/>
  <c r="S24" i="2" s="1"/>
  <c r="T24" i="2" s="1"/>
  <c r="U24" i="2" s="1"/>
  <c r="L24" i="2"/>
  <c r="L25" i="2" s="1"/>
  <c r="F24" i="2"/>
  <c r="F25" i="2" s="1"/>
  <c r="A20" i="2"/>
  <c r="AN19" i="2"/>
  <c r="AC19" i="2"/>
  <c r="X19" i="2"/>
  <c r="A16" i="2"/>
  <c r="BI14" i="2"/>
  <c r="AR14" i="2"/>
  <c r="BO12" i="2"/>
  <c r="BP12" i="2" s="1"/>
  <c r="BI12" i="2"/>
  <c r="BJ12" i="2" s="1"/>
  <c r="BC12" i="2"/>
  <c r="BD12" i="2" s="1"/>
  <c r="AX12" i="2"/>
  <c r="AY12" i="2" s="1"/>
  <c r="AR12" i="2"/>
  <c r="AS12" i="2" s="1"/>
  <c r="AM12" i="2"/>
  <c r="AN12" i="2" s="1"/>
  <c r="AH12" i="2"/>
  <c r="AI12" i="2" s="1"/>
  <c r="AB12" i="2"/>
  <c r="AC12" i="2" s="1"/>
  <c r="W12" i="2"/>
  <c r="X12" i="2" s="1"/>
  <c r="R12" i="2"/>
  <c r="S12" i="2" s="1"/>
  <c r="M12" i="2"/>
  <c r="N12" i="2" s="1"/>
  <c r="G12" i="2"/>
  <c r="H12" i="2" s="1"/>
  <c r="A12" i="2"/>
  <c r="BO11" i="2"/>
  <c r="BI11" i="2"/>
  <c r="BC11" i="2"/>
  <c r="AX11" i="2"/>
  <c r="AR11" i="2"/>
  <c r="AQ11" i="2"/>
  <c r="AM11" i="2"/>
  <c r="AH11" i="2"/>
  <c r="AG11" i="2"/>
  <c r="AB11" i="2"/>
  <c r="W11" i="2"/>
  <c r="R11" i="2"/>
  <c r="M11" i="2"/>
  <c r="G11" i="2"/>
  <c r="A11" i="2"/>
  <c r="A10" i="2"/>
  <c r="BO9" i="2"/>
  <c r="BI9" i="2"/>
  <c r="BC9" i="2"/>
  <c r="AX9" i="2"/>
  <c r="AR9" i="2"/>
  <c r="AM9" i="2"/>
  <c r="AH9" i="2"/>
  <c r="AB9" i="2"/>
  <c r="W9" i="2"/>
  <c r="R9" i="2"/>
  <c r="M9" i="2"/>
  <c r="G9" i="2"/>
  <c r="BO8" i="2"/>
  <c r="BI8" i="2"/>
  <c r="BC8" i="2"/>
  <c r="BB8" i="2"/>
  <c r="AX8" i="2"/>
  <c r="AR8" i="2"/>
  <c r="AM8" i="2"/>
  <c r="AH8" i="2"/>
  <c r="AB8" i="2"/>
  <c r="W8" i="2"/>
  <c r="V8" i="2"/>
  <c r="R8" i="2"/>
  <c r="M8" i="2"/>
  <c r="G8" i="2"/>
  <c r="BO7" i="2"/>
  <c r="BI7" i="2"/>
  <c r="BC7" i="2"/>
  <c r="AX7" i="2"/>
  <c r="AR7" i="2"/>
  <c r="AM7" i="2"/>
  <c r="AH7" i="2"/>
  <c r="AB7" i="2"/>
  <c r="W7" i="2"/>
  <c r="R7" i="2"/>
  <c r="M7" i="2"/>
  <c r="G7" i="2"/>
  <c r="A7" i="2"/>
  <c r="BO6" i="2"/>
  <c r="BI6" i="2"/>
  <c r="BC6" i="2"/>
  <c r="AX6" i="2"/>
  <c r="AR6" i="2"/>
  <c r="AM6" i="2"/>
  <c r="AH6" i="2"/>
  <c r="AB6" i="2"/>
  <c r="W6" i="2"/>
  <c r="V6" i="2"/>
  <c r="R6" i="2"/>
  <c r="M6" i="2"/>
  <c r="G6" i="2"/>
  <c r="A6" i="2"/>
  <c r="BO5" i="2"/>
  <c r="BI5" i="2"/>
  <c r="BH5" i="2"/>
  <c r="BC5" i="2"/>
  <c r="AX5" i="2"/>
  <c r="AR5" i="2"/>
  <c r="AM5" i="2"/>
  <c r="AL5" i="2"/>
  <c r="AH5" i="2"/>
  <c r="AB5" i="2"/>
  <c r="W5" i="2"/>
  <c r="V5" i="2"/>
  <c r="R5" i="2"/>
  <c r="M5" i="2"/>
  <c r="G5" i="2"/>
  <c r="A5" i="2"/>
  <c r="BO4" i="2"/>
  <c r="BI4" i="2"/>
  <c r="BC4" i="2"/>
  <c r="AX4" i="2"/>
  <c r="AR4" i="2"/>
  <c r="AM4" i="2"/>
  <c r="AH4" i="2"/>
  <c r="AB4" i="2"/>
  <c r="W4" i="2"/>
  <c r="R4" i="2"/>
  <c r="M4" i="2"/>
  <c r="G4" i="2"/>
  <c r="A4" i="2"/>
  <c r="R82" i="1"/>
  <c r="T80" i="1" s="1"/>
  <c r="N82" i="1"/>
  <c r="F82" i="1"/>
  <c r="H80" i="1" s="1"/>
  <c r="P80" i="1"/>
  <c r="AX78" i="1"/>
  <c r="AT78" i="1"/>
  <c r="AP78" i="1"/>
  <c r="AL78" i="1"/>
  <c r="AH78" i="1"/>
  <c r="AD78" i="1"/>
  <c r="Z78" i="1"/>
  <c r="V78" i="1"/>
  <c r="R78" i="1"/>
  <c r="N78" i="1"/>
  <c r="J78" i="1"/>
  <c r="F78" i="1"/>
  <c r="AZ76" i="1"/>
  <c r="AV76" i="1"/>
  <c r="AR76" i="1"/>
  <c r="AN76" i="1"/>
  <c r="AJ76" i="1"/>
  <c r="AF76" i="1"/>
  <c r="AB76" i="1"/>
  <c r="X76" i="1"/>
  <c r="T76" i="1"/>
  <c r="P76" i="1"/>
  <c r="L76" i="1"/>
  <c r="H76" i="1"/>
  <c r="H71" i="1"/>
  <c r="H69" i="1"/>
  <c r="H67" i="1"/>
  <c r="L65" i="1"/>
  <c r="H65" i="1"/>
  <c r="H62" i="1"/>
  <c r="L61" i="1"/>
  <c r="AY48" i="1"/>
  <c r="AY46" i="1" s="1"/>
  <c r="AZ46" i="1" s="1"/>
  <c r="AX48" i="1"/>
  <c r="AU48" i="1"/>
  <c r="AT48" i="1"/>
  <c r="AV48" i="1" s="1"/>
  <c r="AQ48" i="1"/>
  <c r="AQ46" i="1" s="1"/>
  <c r="AR46" i="1" s="1"/>
  <c r="AP48" i="1"/>
  <c r="AM48" i="1"/>
  <c r="AL48" i="1"/>
  <c r="AN48" i="1" s="1"/>
  <c r="AI48" i="1"/>
  <c r="AH48" i="1"/>
  <c r="AE48" i="1"/>
  <c r="AE46" i="1" s="1"/>
  <c r="AF46" i="1" s="1"/>
  <c r="AD48" i="1"/>
  <c r="AA48" i="1"/>
  <c r="Z48" i="1"/>
  <c r="W48" i="1"/>
  <c r="V48" i="1"/>
  <c r="S48" i="1"/>
  <c r="S46" i="1" s="1"/>
  <c r="T46" i="1" s="1"/>
  <c r="R48" i="1"/>
  <c r="O48" i="1"/>
  <c r="N48" i="1"/>
  <c r="P48" i="1" s="1"/>
  <c r="K48" i="1"/>
  <c r="K46" i="1" s="1"/>
  <c r="L46" i="1" s="1"/>
  <c r="J48" i="1"/>
  <c r="G48" i="1"/>
  <c r="F48" i="1"/>
  <c r="H48" i="1" s="1"/>
  <c r="AZ47" i="1"/>
  <c r="AV47" i="1"/>
  <c r="AR47" i="1"/>
  <c r="AN47" i="1"/>
  <c r="AJ47" i="1"/>
  <c r="AF47" i="1"/>
  <c r="AB47" i="1"/>
  <c r="X47" i="1"/>
  <c r="T47" i="1"/>
  <c r="P47" i="1"/>
  <c r="L47" i="1"/>
  <c r="H47" i="1"/>
  <c r="AU46" i="1"/>
  <c r="AV46" i="1" s="1"/>
  <c r="AM46" i="1"/>
  <c r="AN46" i="1" s="1"/>
  <c r="AI46" i="1"/>
  <c r="AJ46" i="1" s="1"/>
  <c r="W46" i="1"/>
  <c r="X46" i="1" s="1"/>
  <c r="O46" i="1"/>
  <c r="P46" i="1" s="1"/>
  <c r="G46" i="1"/>
  <c r="H46" i="1" s="1"/>
  <c r="B46" i="1"/>
  <c r="AZ43" i="1"/>
  <c r="AV43" i="1"/>
  <c r="AR43" i="1"/>
  <c r="AN43" i="1"/>
  <c r="AJ43" i="1"/>
  <c r="AF43" i="1"/>
  <c r="AB43" i="1"/>
  <c r="X43" i="1"/>
  <c r="T43" i="1"/>
  <c r="P43" i="1"/>
  <c r="L43" i="1"/>
  <c r="H43" i="1"/>
  <c r="AZ42" i="1"/>
  <c r="AV42" i="1"/>
  <c r="AR42" i="1"/>
  <c r="AN42" i="1"/>
  <c r="AJ42" i="1"/>
  <c r="AF42" i="1"/>
  <c r="AB42" i="1"/>
  <c r="X42" i="1"/>
  <c r="T42" i="1"/>
  <c r="P42" i="1"/>
  <c r="L42" i="1"/>
  <c r="L64" i="1" s="1"/>
  <c r="H42" i="1"/>
  <c r="H64" i="1" s="1"/>
  <c r="AY40" i="1"/>
  <c r="AX40" i="1"/>
  <c r="AU40" i="1"/>
  <c r="AV40" i="1" s="1"/>
  <c r="AT40" i="1"/>
  <c r="AQ40" i="1"/>
  <c r="AP40" i="1"/>
  <c r="AM40" i="1"/>
  <c r="AL40" i="1"/>
  <c r="AI40" i="1"/>
  <c r="AH40" i="1"/>
  <c r="AE40" i="1"/>
  <c r="AD40" i="1"/>
  <c r="AA40" i="1"/>
  <c r="Z40" i="1"/>
  <c r="W40" i="1"/>
  <c r="V40" i="1"/>
  <c r="S40" i="1"/>
  <c r="R40" i="1"/>
  <c r="O40" i="1"/>
  <c r="P40" i="1" s="1"/>
  <c r="N40" i="1"/>
  <c r="K40" i="1"/>
  <c r="J40" i="1"/>
  <c r="G40" i="1"/>
  <c r="F40" i="1"/>
  <c r="AZ39" i="1"/>
  <c r="AV39" i="1"/>
  <c r="AR39" i="1"/>
  <c r="AN39" i="1"/>
  <c r="AJ39" i="1"/>
  <c r="AF39" i="1"/>
  <c r="AB39" i="1"/>
  <c r="X39" i="1"/>
  <c r="T39" i="1"/>
  <c r="P39" i="1"/>
  <c r="L39" i="1"/>
  <c r="L60" i="1" s="1"/>
  <c r="H39" i="1"/>
  <c r="H60" i="1" s="1"/>
  <c r="C39" i="1"/>
  <c r="B39" i="1"/>
  <c r="B44" i="1" s="1"/>
  <c r="AZ38" i="1"/>
  <c r="AV38" i="1"/>
  <c r="AR38" i="1"/>
  <c r="AN38" i="1"/>
  <c r="AJ38" i="1"/>
  <c r="AF38" i="1"/>
  <c r="AB38" i="1"/>
  <c r="X38" i="1"/>
  <c r="T38" i="1"/>
  <c r="P38" i="1"/>
  <c r="L38" i="1"/>
  <c r="H38" i="1"/>
  <c r="H68" i="1" s="1"/>
  <c r="C38" i="1"/>
  <c r="B38" i="1"/>
  <c r="AZ37" i="1"/>
  <c r="AV37" i="1"/>
  <c r="AR37" i="1"/>
  <c r="AN37" i="1"/>
  <c r="AJ37" i="1"/>
  <c r="AF37" i="1"/>
  <c r="AB37" i="1"/>
  <c r="X37" i="1"/>
  <c r="T37" i="1"/>
  <c r="P37" i="1"/>
  <c r="L37" i="1"/>
  <c r="H37" i="1"/>
  <c r="C37" i="1"/>
  <c r="B37" i="1"/>
  <c r="AZ36" i="1"/>
  <c r="AV36" i="1"/>
  <c r="AR36" i="1"/>
  <c r="AN36" i="1"/>
  <c r="AJ36" i="1"/>
  <c r="AF36" i="1"/>
  <c r="AB36" i="1"/>
  <c r="X36" i="1"/>
  <c r="T36" i="1"/>
  <c r="P36" i="1"/>
  <c r="L36" i="1"/>
  <c r="H36" i="1"/>
  <c r="C36" i="1"/>
  <c r="B36" i="1"/>
  <c r="AZ35" i="1"/>
  <c r="AV35" i="1"/>
  <c r="AR35" i="1"/>
  <c r="AN35" i="1"/>
  <c r="AJ35" i="1"/>
  <c r="AF35" i="1"/>
  <c r="AB35" i="1"/>
  <c r="X35" i="1"/>
  <c r="T35" i="1"/>
  <c r="P35" i="1"/>
  <c r="L35" i="1"/>
  <c r="H35" i="1"/>
  <c r="C35" i="1"/>
  <c r="B35" i="1"/>
  <c r="AZ34" i="1"/>
  <c r="AV34" i="1"/>
  <c r="AR34" i="1"/>
  <c r="AN34" i="1"/>
  <c r="AJ34" i="1"/>
  <c r="AF34" i="1"/>
  <c r="AB34" i="1"/>
  <c r="X34" i="1"/>
  <c r="T34" i="1"/>
  <c r="P34" i="1"/>
  <c r="L34" i="1"/>
  <c r="H34" i="1"/>
  <c r="H66" i="1" s="1"/>
  <c r="C34" i="1"/>
  <c r="B34" i="1"/>
  <c r="AZ33" i="1"/>
  <c r="AV33" i="1"/>
  <c r="AR33" i="1"/>
  <c r="AN33" i="1"/>
  <c r="AJ33" i="1"/>
  <c r="AF33" i="1"/>
  <c r="AB33" i="1"/>
  <c r="X33" i="1"/>
  <c r="T33" i="1"/>
  <c r="P33" i="1"/>
  <c r="L33" i="1"/>
  <c r="H33" i="1"/>
  <c r="H70" i="1" s="1"/>
  <c r="C33" i="1"/>
  <c r="B33" i="1"/>
  <c r="AX31" i="1"/>
  <c r="AZ31" i="1" s="1"/>
  <c r="AZ55" i="1" s="1"/>
  <c r="AT31" i="1"/>
  <c r="AV31" i="1" s="1"/>
  <c r="AV55" i="1" s="1"/>
  <c r="AR31" i="1"/>
  <c r="AR55" i="1" s="1"/>
  <c r="AP31" i="1"/>
  <c r="AL31" i="1"/>
  <c r="AN31" i="1" s="1"/>
  <c r="AN55" i="1" s="1"/>
  <c r="AH31" i="1"/>
  <c r="AJ31" i="1" s="1"/>
  <c r="AJ55" i="1" s="1"/>
  <c r="AD31" i="1"/>
  <c r="AF31" i="1" s="1"/>
  <c r="AF55" i="1" s="1"/>
  <c r="Z31" i="1"/>
  <c r="AB31" i="1" s="1"/>
  <c r="AB55" i="1" s="1"/>
  <c r="V31" i="1"/>
  <c r="X31" i="1" s="1"/>
  <c r="X55" i="1" s="1"/>
  <c r="R31" i="1"/>
  <c r="T31" i="1" s="1"/>
  <c r="T55" i="1" s="1"/>
  <c r="N31" i="1"/>
  <c r="P31" i="1" s="1"/>
  <c r="P55" i="1" s="1"/>
  <c r="L31" i="1"/>
  <c r="L55" i="1" s="1"/>
  <c r="J31" i="1"/>
  <c r="F31" i="1"/>
  <c r="H31" i="1" s="1"/>
  <c r="H55" i="1" s="1"/>
  <c r="C31" i="1"/>
  <c r="AZ30" i="1"/>
  <c r="AZ54" i="1" s="1"/>
  <c r="AV30" i="1"/>
  <c r="AV54" i="1" s="1"/>
  <c r="AR30" i="1"/>
  <c r="AR54" i="1" s="1"/>
  <c r="AN30" i="1"/>
  <c r="AN54" i="1" s="1"/>
  <c r="AJ30" i="1"/>
  <c r="AJ54" i="1" s="1"/>
  <c r="AF30" i="1"/>
  <c r="AF54" i="1" s="1"/>
  <c r="AB30" i="1"/>
  <c r="AB54" i="1" s="1"/>
  <c r="X30" i="1"/>
  <c r="X54" i="1" s="1"/>
  <c r="T30" i="1"/>
  <c r="T54" i="1" s="1"/>
  <c r="P30" i="1"/>
  <c r="P54" i="1" s="1"/>
  <c r="L30" i="1"/>
  <c r="L54" i="1" s="1"/>
  <c r="H30" i="1"/>
  <c r="H54" i="1" s="1"/>
  <c r="C30" i="1"/>
  <c r="B30" i="1"/>
  <c r="B29" i="1" s="1"/>
  <c r="AZ17" i="1"/>
  <c r="AV17" i="1"/>
  <c r="AR17" i="1"/>
  <c r="AN17" i="1"/>
  <c r="AJ17" i="1"/>
  <c r="AF17" i="1"/>
  <c r="AB17" i="1"/>
  <c r="X17" i="1"/>
  <c r="T17" i="1"/>
  <c r="P17" i="1"/>
  <c r="L17" i="1"/>
  <c r="H17" i="1"/>
  <c r="B17" i="1"/>
  <c r="D17" i="1" s="1"/>
  <c r="A17" i="1"/>
  <c r="AZ16" i="1"/>
  <c r="AV16" i="1"/>
  <c r="AR16" i="1"/>
  <c r="AN16" i="1"/>
  <c r="AJ16" i="1"/>
  <c r="AF16" i="1"/>
  <c r="AB16" i="1"/>
  <c r="X16" i="1"/>
  <c r="T16" i="1"/>
  <c r="P16" i="1"/>
  <c r="L16" i="1"/>
  <c r="H16" i="1"/>
  <c r="B16" i="1"/>
  <c r="D16" i="1" s="1"/>
  <c r="AX13" i="1"/>
  <c r="AX15" i="1" s="1"/>
  <c r="AT13" i="1"/>
  <c r="AT15" i="1" s="1"/>
  <c r="AP13" i="1"/>
  <c r="AL13" i="1"/>
  <c r="AH13" i="1"/>
  <c r="AH15" i="1" s="1"/>
  <c r="AD13" i="1"/>
  <c r="AD15" i="1" s="1"/>
  <c r="Z13" i="1"/>
  <c r="V13" i="1"/>
  <c r="V15" i="1" s="1"/>
  <c r="A13" i="1"/>
  <c r="B11" i="1"/>
  <c r="B10" i="1"/>
  <c r="AZ8" i="1"/>
  <c r="AY8" i="1"/>
  <c r="AU8" i="1"/>
  <c r="AV8" i="1" s="1"/>
  <c r="AQ8" i="1"/>
  <c r="AR8" i="1" s="1"/>
  <c r="AM8" i="1"/>
  <c r="AN8" i="1" s="1"/>
  <c r="AI8" i="1"/>
  <c r="AJ8" i="1" s="1"/>
  <c r="AF8" i="1"/>
  <c r="AE8" i="1"/>
  <c r="AA8" i="1"/>
  <c r="AB8" i="1" s="1"/>
  <c r="W8" i="1"/>
  <c r="X8" i="1" s="1"/>
  <c r="S8" i="1"/>
  <c r="T8" i="1" s="1"/>
  <c r="P8" i="1"/>
  <c r="O8" i="1"/>
  <c r="K8" i="1"/>
  <c r="L8" i="1" s="1"/>
  <c r="H8" i="1"/>
  <c r="G8" i="1"/>
  <c r="C8" i="1"/>
  <c r="B8" i="1"/>
  <c r="A8" i="1"/>
  <c r="AY7" i="1"/>
  <c r="AZ7" i="1" s="1"/>
  <c r="AU7" i="1"/>
  <c r="AV7" i="1" s="1"/>
  <c r="AQ7" i="1"/>
  <c r="AR7" i="1" s="1"/>
  <c r="AM7" i="1"/>
  <c r="AN7" i="1" s="1"/>
  <c r="AI7" i="1"/>
  <c r="AJ7" i="1" s="1"/>
  <c r="AF7" i="1"/>
  <c r="AE7" i="1"/>
  <c r="AA7" i="1"/>
  <c r="AB7" i="1" s="1"/>
  <c r="W7" i="1"/>
  <c r="X7" i="1" s="1"/>
  <c r="S7" i="1"/>
  <c r="T7" i="1" s="1"/>
  <c r="P7" i="1"/>
  <c r="O7" i="1"/>
  <c r="K7" i="1"/>
  <c r="L7" i="1" s="1"/>
  <c r="G7" i="1"/>
  <c r="H7" i="1" s="1"/>
  <c r="B7" i="1"/>
  <c r="AY6" i="1"/>
  <c r="AZ6" i="1" s="1"/>
  <c r="AU6" i="1"/>
  <c r="AV6" i="1" s="1"/>
  <c r="AQ6" i="1"/>
  <c r="AR6" i="1" s="1"/>
  <c r="AM6" i="1"/>
  <c r="AN6" i="1" s="1"/>
  <c r="AI6" i="1"/>
  <c r="AJ6" i="1" s="1"/>
  <c r="AE6" i="1"/>
  <c r="AF6" i="1" s="1"/>
  <c r="AA6" i="1"/>
  <c r="AB6" i="1" s="1"/>
  <c r="W6" i="1"/>
  <c r="X6" i="1" s="1"/>
  <c r="S6" i="1"/>
  <c r="R6" i="1"/>
  <c r="O6" i="1"/>
  <c r="N6" i="1"/>
  <c r="N13" i="1" s="1"/>
  <c r="K6" i="1"/>
  <c r="J6" i="1"/>
  <c r="J13" i="1" s="1"/>
  <c r="G6" i="1"/>
  <c r="C6" i="1" s="1"/>
  <c r="F6" i="1"/>
  <c r="F13" i="1" s="1"/>
  <c r="A6" i="1"/>
  <c r="AY5" i="1"/>
  <c r="AZ5" i="1" s="1"/>
  <c r="AU5" i="1"/>
  <c r="AV5" i="1" s="1"/>
  <c r="AQ5" i="1"/>
  <c r="AR5" i="1" s="1"/>
  <c r="AM5" i="1"/>
  <c r="AN5" i="1" s="1"/>
  <c r="AI5" i="1"/>
  <c r="AJ5" i="1" s="1"/>
  <c r="AE5" i="1"/>
  <c r="AF5" i="1" s="1"/>
  <c r="AA5" i="1"/>
  <c r="AB5" i="1" s="1"/>
  <c r="W5" i="1"/>
  <c r="X5" i="1" s="1"/>
  <c r="S5" i="1"/>
  <c r="T5" i="1" s="1"/>
  <c r="O5" i="1"/>
  <c r="P5" i="1" s="1"/>
  <c r="K5" i="1"/>
  <c r="L5" i="1" s="1"/>
  <c r="G5" i="1"/>
  <c r="H5" i="1" s="1"/>
  <c r="B5" i="1"/>
  <c r="A5" i="1"/>
  <c r="AY4" i="1"/>
  <c r="AU4" i="1"/>
  <c r="AU13" i="1" s="1"/>
  <c r="AQ4" i="1"/>
  <c r="AM4" i="1"/>
  <c r="AM13" i="1" s="1"/>
  <c r="AM15" i="1" s="1"/>
  <c r="AI4" i="1"/>
  <c r="AE4" i="1"/>
  <c r="AE13" i="1" s="1"/>
  <c r="AA4" i="1"/>
  <c r="W4" i="1"/>
  <c r="W13" i="1" s="1"/>
  <c r="W15" i="1" s="1"/>
  <c r="S4" i="1"/>
  <c r="O4" i="1"/>
  <c r="P4" i="1" s="1"/>
  <c r="K4" i="1"/>
  <c r="G4" i="1"/>
  <c r="G13" i="1" s="1"/>
  <c r="G15" i="1" s="1"/>
  <c r="B4" i="1"/>
  <c r="A4" i="1"/>
  <c r="E40" i="6" l="1"/>
  <c r="F7" i="5"/>
  <c r="F7" i="2" s="1"/>
  <c r="M12" i="13"/>
  <c r="AQ8" i="2"/>
  <c r="J9" i="13"/>
  <c r="AA5" i="2"/>
  <c r="AN4" i="1"/>
  <c r="T40" i="1"/>
  <c r="AB40" i="1"/>
  <c r="AJ40" i="1"/>
  <c r="BP29" i="2"/>
  <c r="BQ29" i="2" s="1"/>
  <c r="BR29" i="2" s="1"/>
  <c r="AZ30" i="2"/>
  <c r="BA30" i="2" s="1"/>
  <c r="C32" i="2"/>
  <c r="F10" i="5"/>
  <c r="F10" i="13" s="1"/>
  <c r="R57" i="6"/>
  <c r="R72" i="6"/>
  <c r="D113" i="6"/>
  <c r="AJ48" i="1"/>
  <c r="BJ5" i="2"/>
  <c r="U79" i="2"/>
  <c r="H29" i="2"/>
  <c r="I29" i="2" s="1"/>
  <c r="J29" i="2" s="1"/>
  <c r="C34" i="2"/>
  <c r="D34" i="2" s="1"/>
  <c r="C36" i="2"/>
  <c r="N73" i="2"/>
  <c r="O73" i="2" s="1"/>
  <c r="F12" i="5"/>
  <c r="F12" i="13" s="1"/>
  <c r="D36" i="6"/>
  <c r="P126" i="6"/>
  <c r="Q27" i="5" s="1"/>
  <c r="BN10" i="2" s="1"/>
  <c r="BP10" i="2" s="1"/>
  <c r="K19" i="13"/>
  <c r="AN13" i="1"/>
  <c r="D34" i="1"/>
  <c r="D36" i="1"/>
  <c r="X40" i="1"/>
  <c r="B33" i="2"/>
  <c r="B41" i="2"/>
  <c r="D22" i="6"/>
  <c r="D19" i="5"/>
  <c r="AA8" i="2"/>
  <c r="AC8" i="2" s="1"/>
  <c r="BB5" i="2"/>
  <c r="BD5" i="2" s="1"/>
  <c r="N7" i="5"/>
  <c r="N7" i="13" s="1"/>
  <c r="K14" i="13"/>
  <c r="AG14" i="2"/>
  <c r="M14" i="2"/>
  <c r="BC14" i="2"/>
  <c r="K83" i="6"/>
  <c r="L6" i="5"/>
  <c r="AL4" i="2" s="1"/>
  <c r="AN4" i="2" s="1"/>
  <c r="L14" i="2"/>
  <c r="BB14" i="2"/>
  <c r="X6" i="2"/>
  <c r="N6" i="2"/>
  <c r="X9" i="2"/>
  <c r="AS9" i="2"/>
  <c r="BD9" i="2"/>
  <c r="BP9" i="2"/>
  <c r="AI9" i="2"/>
  <c r="G10" i="13"/>
  <c r="L5" i="2"/>
  <c r="N5" i="2" s="1"/>
  <c r="Q5" i="2"/>
  <c r="S5" i="2" s="1"/>
  <c r="F8" i="2"/>
  <c r="H8" i="2" s="1"/>
  <c r="H9" i="2"/>
  <c r="Q11" i="2"/>
  <c r="S11" i="2" s="1"/>
  <c r="AL11" i="2"/>
  <c r="AN11" i="2" s="1"/>
  <c r="BH11" i="2"/>
  <c r="BJ11" i="2" s="1"/>
  <c r="Q14" i="2"/>
  <c r="S14" i="2" s="1"/>
  <c r="AB48" i="1"/>
  <c r="AA46" i="1"/>
  <c r="AB46" i="1" s="1"/>
  <c r="L12" i="13"/>
  <c r="AL8" i="2"/>
  <c r="N12" i="13"/>
  <c r="AW8" i="2"/>
  <c r="AY8" i="2" s="1"/>
  <c r="F14" i="13"/>
  <c r="F14" i="2"/>
  <c r="J14" i="13"/>
  <c r="AA14" i="2"/>
  <c r="L14" i="13"/>
  <c r="AL14" i="2"/>
  <c r="N14" i="13"/>
  <c r="AW14" i="2"/>
  <c r="P14" i="13"/>
  <c r="BH14" i="2"/>
  <c r="H19" i="13"/>
  <c r="H25" i="13" s="1"/>
  <c r="H25" i="5"/>
  <c r="R43" i="6"/>
  <c r="D43" i="6"/>
  <c r="L10" i="13"/>
  <c r="AL6" i="2"/>
  <c r="AN6" i="2" s="1"/>
  <c r="AY62" i="2"/>
  <c r="AZ62" i="2" s="1"/>
  <c r="AZ24" i="2"/>
  <c r="BA24" i="2" s="1"/>
  <c r="M9" i="13"/>
  <c r="AQ5" i="2"/>
  <c r="AS5" i="2" s="1"/>
  <c r="K10" i="13"/>
  <c r="AG6" i="2"/>
  <c r="AI6" i="2" s="1"/>
  <c r="Q12" i="13"/>
  <c r="BN8" i="2"/>
  <c r="BP8" i="2" s="1"/>
  <c r="G13" i="13"/>
  <c r="L11" i="2"/>
  <c r="N11" i="2" s="1"/>
  <c r="I13" i="13"/>
  <c r="V11" i="2"/>
  <c r="X11" i="2" s="1"/>
  <c r="O13" i="13"/>
  <c r="BB11" i="2"/>
  <c r="BD11" i="2" s="1"/>
  <c r="Q13" i="13"/>
  <c r="BN11" i="2"/>
  <c r="BP11" i="2" s="1"/>
  <c r="D14" i="6"/>
  <c r="P37" i="6"/>
  <c r="P24" i="6" s="1"/>
  <c r="BN76" i="2"/>
  <c r="BP76" i="2" s="1"/>
  <c r="BQ76" i="2" s="1"/>
  <c r="I40" i="6"/>
  <c r="P12" i="13"/>
  <c r="BH8" i="2"/>
  <c r="BJ8" i="2" s="1"/>
  <c r="D20" i="7"/>
  <c r="H31" i="5"/>
  <c r="L20" i="7"/>
  <c r="P31" i="5"/>
  <c r="BH19" i="2" s="1"/>
  <c r="BJ19" i="2" s="1"/>
  <c r="H13" i="1"/>
  <c r="P6" i="1"/>
  <c r="AL15" i="1"/>
  <c r="AN15" i="1" s="1"/>
  <c r="AN19" i="1" s="1"/>
  <c r="J68" i="2"/>
  <c r="J69" i="2"/>
  <c r="N11" i="7"/>
  <c r="C4" i="1"/>
  <c r="C13" i="1" s="1"/>
  <c r="C15" i="1" s="1"/>
  <c r="H4" i="1"/>
  <c r="L6" i="1"/>
  <c r="C7" i="1"/>
  <c r="D7" i="1" s="1"/>
  <c r="D8" i="1"/>
  <c r="O13" i="1"/>
  <c r="O15" i="1" s="1"/>
  <c r="C28" i="1"/>
  <c r="B31" i="1"/>
  <c r="B28" i="1" s="1"/>
  <c r="C40" i="1"/>
  <c r="D35" i="1"/>
  <c r="D37" i="1"/>
  <c r="D38" i="1"/>
  <c r="H40" i="1"/>
  <c r="L40" i="1"/>
  <c r="AF40" i="1"/>
  <c r="AN40" i="1"/>
  <c r="AZ40" i="1"/>
  <c r="AF48" i="1"/>
  <c r="M16" i="2"/>
  <c r="M18" i="2" s="1"/>
  <c r="F6" i="2"/>
  <c r="H6" i="2" s="1"/>
  <c r="Q6" i="2"/>
  <c r="S6" i="2" s="1"/>
  <c r="AW6" i="2"/>
  <c r="AY6" i="2" s="1"/>
  <c r="AX14" i="2"/>
  <c r="H25" i="2"/>
  <c r="AC29" i="2"/>
  <c r="AD29" i="2" s="1"/>
  <c r="AE29" i="2" s="1"/>
  <c r="BD29" i="2"/>
  <c r="BE29" i="2" s="1"/>
  <c r="BF29" i="2" s="1"/>
  <c r="B31" i="2"/>
  <c r="C31" i="2"/>
  <c r="B35" i="2"/>
  <c r="C35" i="2"/>
  <c r="B36" i="2"/>
  <c r="B43" i="2"/>
  <c r="C44" i="2"/>
  <c r="J55" i="2"/>
  <c r="L126" i="6"/>
  <c r="M27" i="5" s="1"/>
  <c r="AQ10" i="2" s="1"/>
  <c r="R81" i="6"/>
  <c r="B13" i="7"/>
  <c r="B15" i="7" s="1"/>
  <c r="B19" i="7" s="1"/>
  <c r="H18" i="11"/>
  <c r="D52" i="11"/>
  <c r="AR40" i="1"/>
  <c r="L48" i="1"/>
  <c r="T48" i="1"/>
  <c r="X48" i="1"/>
  <c r="AR48" i="1"/>
  <c r="AZ48" i="1"/>
  <c r="AB16" i="2"/>
  <c r="AB18" i="2" s="1"/>
  <c r="BO16" i="2"/>
  <c r="BO18" i="2" s="1"/>
  <c r="AC5" i="2"/>
  <c r="AN5" i="2"/>
  <c r="AX16" i="2"/>
  <c r="AX18" i="2" s="1"/>
  <c r="AS8" i="2"/>
  <c r="BD8" i="2"/>
  <c r="S9" i="2"/>
  <c r="BJ9" i="2"/>
  <c r="C30" i="2"/>
  <c r="J62" i="2"/>
  <c r="C40" i="2"/>
  <c r="C41" i="2"/>
  <c r="AC73" i="2"/>
  <c r="AD73" i="2" s="1"/>
  <c r="AY9" i="2"/>
  <c r="R92" i="6"/>
  <c r="E41" i="11"/>
  <c r="G41" i="11" s="1"/>
  <c r="H41" i="11" s="1"/>
  <c r="G16" i="2"/>
  <c r="G18" i="2" s="1"/>
  <c r="AM16" i="2"/>
  <c r="AM18" i="2" s="1"/>
  <c r="X8" i="2"/>
  <c r="AG8" i="2"/>
  <c r="AI8" i="2" s="1"/>
  <c r="AN9" i="2"/>
  <c r="AI11" i="2"/>
  <c r="BC16" i="2"/>
  <c r="BC18" i="2" s="1"/>
  <c r="BN5" i="2"/>
  <c r="BP5" i="2" s="1"/>
  <c r="AA6" i="2"/>
  <c r="AC6" i="2" s="1"/>
  <c r="AN8" i="2"/>
  <c r="V14" i="2"/>
  <c r="AQ14" i="2"/>
  <c r="BN14" i="2"/>
  <c r="X5" i="2"/>
  <c r="AG5" i="2"/>
  <c r="AI5" i="2" s="1"/>
  <c r="AQ6" i="2"/>
  <c r="AS6" i="2" s="1"/>
  <c r="BB6" i="2"/>
  <c r="BD6" i="2" s="1"/>
  <c r="BN6" i="2"/>
  <c r="BP6" i="2" s="1"/>
  <c r="AA7" i="2"/>
  <c r="AC7" i="2" s="1"/>
  <c r="AH13" i="2"/>
  <c r="AH16" i="2" s="1"/>
  <c r="AH18" i="2" s="1"/>
  <c r="AC9" i="2"/>
  <c r="L25" i="13"/>
  <c r="P25" i="13"/>
  <c r="AV13" i="1"/>
  <c r="AU15" i="1"/>
  <c r="A34" i="5"/>
  <c r="A33" i="5"/>
  <c r="AF13" i="1"/>
  <c r="AE15" i="1"/>
  <c r="AF15" i="1" s="1"/>
  <c r="AF19" i="1" s="1"/>
  <c r="AF21" i="1" s="1"/>
  <c r="H84" i="1"/>
  <c r="D54" i="1"/>
  <c r="H7" i="2"/>
  <c r="F119" i="6"/>
  <c r="F126" i="6" s="1"/>
  <c r="G6" i="5"/>
  <c r="H40" i="6"/>
  <c r="I7" i="5"/>
  <c r="P40" i="6"/>
  <c r="Q7" i="5"/>
  <c r="M27" i="13"/>
  <c r="J31" i="5"/>
  <c r="J31" i="13" s="1"/>
  <c r="F20" i="7"/>
  <c r="N31" i="5"/>
  <c r="J20" i="7"/>
  <c r="AA13" i="1"/>
  <c r="AA15" i="1" s="1"/>
  <c r="AB4" i="1"/>
  <c r="N15" i="1"/>
  <c r="P15" i="1" s="1"/>
  <c r="P19" i="1" s="1"/>
  <c r="P21" i="1" s="1"/>
  <c r="J15" i="1"/>
  <c r="AB13" i="1"/>
  <c r="Z15" i="1"/>
  <c r="D30" i="1"/>
  <c r="C29" i="1"/>
  <c r="D39" i="1"/>
  <c r="D48" i="1" s="1"/>
  <c r="C45" i="1"/>
  <c r="C46" i="1" s="1"/>
  <c r="D46" i="1" s="1"/>
  <c r="D47" i="1" s="1"/>
  <c r="N9" i="13"/>
  <c r="AW5" i="2"/>
  <c r="AY5" i="2" s="1"/>
  <c r="J119" i="6"/>
  <c r="J126" i="6" s="1"/>
  <c r="K6" i="5"/>
  <c r="E24" i="6"/>
  <c r="O83" i="6"/>
  <c r="O119" i="6"/>
  <c r="O126" i="6" s="1"/>
  <c r="P6" i="5"/>
  <c r="Q31" i="5"/>
  <c r="BN19" i="2" s="1"/>
  <c r="BP19" i="2" s="1"/>
  <c r="M20" i="7"/>
  <c r="D41" i="2"/>
  <c r="J61" i="2"/>
  <c r="AV4" i="1"/>
  <c r="C5" i="1"/>
  <c r="B6" i="1"/>
  <c r="D6" i="1" s="1"/>
  <c r="H6" i="1"/>
  <c r="D55" i="1"/>
  <c r="W13" i="2"/>
  <c r="W16" i="2" s="1"/>
  <c r="W18" i="2" s="1"/>
  <c r="B30" i="2"/>
  <c r="D30" i="2" s="1"/>
  <c r="C33" i="2"/>
  <c r="D33" i="2" s="1"/>
  <c r="C37" i="2"/>
  <c r="J51" i="2"/>
  <c r="J52" i="2"/>
  <c r="J58" i="2"/>
  <c r="S13" i="1"/>
  <c r="S15" i="1" s="1"/>
  <c r="T4" i="1"/>
  <c r="AY13" i="1"/>
  <c r="AZ4" i="1"/>
  <c r="H5" i="2"/>
  <c r="AY60" i="2"/>
  <c r="AZ60" i="2" s="1"/>
  <c r="AZ29" i="2"/>
  <c r="BA29" i="2" s="1"/>
  <c r="AI13" i="1"/>
  <c r="AJ4" i="1"/>
  <c r="R13" i="1"/>
  <c r="T6" i="1"/>
  <c r="P10" i="13"/>
  <c r="BH6" i="2"/>
  <c r="BJ6" i="2" s="1"/>
  <c r="D16" i="6"/>
  <c r="D36" i="2"/>
  <c r="X4" i="1"/>
  <c r="D5" i="1"/>
  <c r="X13" i="1"/>
  <c r="F15" i="1"/>
  <c r="H15" i="1" s="1"/>
  <c r="H19" i="1" s="1"/>
  <c r="AR16" i="2"/>
  <c r="AR18" i="2" s="1"/>
  <c r="BI16" i="2"/>
  <c r="BI18" i="2" s="1"/>
  <c r="AB13" i="2"/>
  <c r="D31" i="2"/>
  <c r="B32" i="2"/>
  <c r="D32" i="2" s="1"/>
  <c r="B37" i="2"/>
  <c r="D37" i="2" s="1"/>
  <c r="C39" i="2"/>
  <c r="B40" i="2"/>
  <c r="D40" i="2" s="1"/>
  <c r="B42" i="2"/>
  <c r="C43" i="2"/>
  <c r="B44" i="2"/>
  <c r="J54" i="2"/>
  <c r="J57" i="2"/>
  <c r="K13" i="1"/>
  <c r="K15" i="1" s="1"/>
  <c r="L4" i="1"/>
  <c r="AQ13" i="1"/>
  <c r="AQ15" i="1" s="1"/>
  <c r="AQ19" i="1" s="1"/>
  <c r="AR4" i="1"/>
  <c r="AR13" i="1"/>
  <c r="AP15" i="1"/>
  <c r="Q8" i="2"/>
  <c r="S8" i="2" s="1"/>
  <c r="H12" i="13"/>
  <c r="F13" i="13"/>
  <c r="D13" i="5"/>
  <c r="D13" i="13" s="1"/>
  <c r="F11" i="2"/>
  <c r="J13" i="13"/>
  <c r="AA11" i="2"/>
  <c r="AC11" i="2" s="1"/>
  <c r="N13" i="13"/>
  <c r="AW11" i="2"/>
  <c r="AY11" i="2" s="1"/>
  <c r="I119" i="6"/>
  <c r="I126" i="6" s="1"/>
  <c r="J27" i="5" s="1"/>
  <c r="J6" i="5"/>
  <c r="I83" i="6"/>
  <c r="M119" i="6"/>
  <c r="M126" i="6" s="1"/>
  <c r="N6" i="5"/>
  <c r="M83" i="6"/>
  <c r="D46" i="6"/>
  <c r="M31" i="5"/>
  <c r="I20" i="7"/>
  <c r="AF4" i="1"/>
  <c r="X15" i="1"/>
  <c r="X19" i="1" s="1"/>
  <c r="X21" i="1" s="1"/>
  <c r="D29" i="1"/>
  <c r="L84" i="1"/>
  <c r="B40" i="1"/>
  <c r="R13" i="2"/>
  <c r="R16" i="2" s="1"/>
  <c r="R18" i="2" s="1"/>
  <c r="N25" i="2"/>
  <c r="C29" i="2"/>
  <c r="C38" i="2"/>
  <c r="D38" i="2" s="1"/>
  <c r="B39" i="2"/>
  <c r="C42" i="2"/>
  <c r="N15" i="7"/>
  <c r="N19" i="7" s="1"/>
  <c r="N20" i="7" s="1"/>
  <c r="I31" i="5"/>
  <c r="I31" i="13" s="1"/>
  <c r="E20" i="7"/>
  <c r="C20" i="7"/>
  <c r="G31" i="5"/>
  <c r="E26" i="11"/>
  <c r="C35" i="11"/>
  <c r="E47" i="11"/>
  <c r="G47" i="11" s="1"/>
  <c r="H47" i="11" s="1"/>
  <c r="G30" i="11"/>
  <c r="H30" i="11" s="1"/>
  <c r="E51" i="11"/>
  <c r="G51" i="11" s="1"/>
  <c r="H51" i="11" s="1"/>
  <c r="G34" i="11"/>
  <c r="H34" i="11" s="1"/>
  <c r="AY63" i="2"/>
  <c r="AZ63" i="2" s="1"/>
  <c r="AZ31" i="2"/>
  <c r="BA31" i="2" s="1"/>
  <c r="D21" i="6"/>
  <c r="M6" i="5"/>
  <c r="L83" i="6"/>
  <c r="L128" i="6" s="1"/>
  <c r="G40" i="6"/>
  <c r="H7" i="5"/>
  <c r="K40" i="6"/>
  <c r="L7" i="5"/>
  <c r="O40" i="6"/>
  <c r="P7" i="5"/>
  <c r="D33" i="1"/>
  <c r="S4" i="2"/>
  <c r="H24" i="2"/>
  <c r="I24" i="2" s="1"/>
  <c r="J24" i="2" s="1"/>
  <c r="N24" i="2"/>
  <c r="O24" i="2" s="1"/>
  <c r="P24" i="2" s="1"/>
  <c r="H37" i="6"/>
  <c r="H24" i="6" s="1"/>
  <c r="D64" i="6"/>
  <c r="R113" i="6"/>
  <c r="D124" i="6"/>
  <c r="C47" i="11"/>
  <c r="AY65" i="2"/>
  <c r="AZ65" i="2" s="1"/>
  <c r="AZ36" i="2"/>
  <c r="BA36" i="2" s="1"/>
  <c r="F9" i="13"/>
  <c r="D9" i="5"/>
  <c r="D9" i="13" s="1"/>
  <c r="N119" i="6"/>
  <c r="N126" i="6" s="1"/>
  <c r="O6" i="5"/>
  <c r="G83" i="6"/>
  <c r="G119" i="6"/>
  <c r="G126" i="6" s="1"/>
  <c r="H27" i="5" s="1"/>
  <c r="Q6" i="5"/>
  <c r="D44" i="6"/>
  <c r="L40" i="6"/>
  <c r="M7" i="5"/>
  <c r="D57" i="6"/>
  <c r="F47" i="6"/>
  <c r="F83" i="6" s="1"/>
  <c r="J40" i="6"/>
  <c r="K7" i="5"/>
  <c r="N40" i="6"/>
  <c r="O7" i="5"/>
  <c r="G11" i="5"/>
  <c r="L9" i="2" s="1"/>
  <c r="N9" i="2" s="1"/>
  <c r="D92" i="6"/>
  <c r="K20" i="7"/>
  <c r="O31" i="5"/>
  <c r="BB19" i="2" s="1"/>
  <c r="BD19" i="2" s="1"/>
  <c r="P25" i="5"/>
  <c r="R14" i="6"/>
  <c r="R23" i="6"/>
  <c r="R44" i="6"/>
  <c r="R46" i="6"/>
  <c r="N9" i="7"/>
  <c r="H6" i="13"/>
  <c r="H15" i="5"/>
  <c r="F7" i="13"/>
  <c r="D98" i="6"/>
  <c r="G12" i="5"/>
  <c r="D12" i="5" s="1"/>
  <c r="D12" i="13" s="1"/>
  <c r="G20" i="7"/>
  <c r="K31" i="5"/>
  <c r="H23" i="11"/>
  <c r="J75" i="2"/>
  <c r="L25" i="5"/>
  <c r="N83" i="6"/>
  <c r="C43" i="11"/>
  <c r="C51" i="11"/>
  <c r="E29" i="11"/>
  <c r="C46" i="11"/>
  <c r="E33" i="11"/>
  <c r="C50" i="11"/>
  <c r="G25" i="5"/>
  <c r="O25" i="5"/>
  <c r="R16" i="6"/>
  <c r="D23" i="6"/>
  <c r="R36" i="6"/>
  <c r="R37" i="6" s="1"/>
  <c r="K119" i="6"/>
  <c r="K126" i="6" s="1"/>
  <c r="G18" i="11"/>
  <c r="E42" i="11"/>
  <c r="G42" i="11" s="1"/>
  <c r="H42" i="11" s="1"/>
  <c r="G25" i="13"/>
  <c r="K25" i="13"/>
  <c r="O25" i="13"/>
  <c r="E28" i="11"/>
  <c r="C45" i="11"/>
  <c r="E32" i="11"/>
  <c r="C49" i="11"/>
  <c r="F25" i="5"/>
  <c r="J25" i="5"/>
  <c r="N25" i="5"/>
  <c r="R21" i="6"/>
  <c r="R64" i="6"/>
  <c r="R124" i="6"/>
  <c r="E18" i="11"/>
  <c r="F25" i="13"/>
  <c r="J25" i="13"/>
  <c r="N25" i="13"/>
  <c r="C44" i="11"/>
  <c r="E27" i="11"/>
  <c r="C48" i="11"/>
  <c r="E31" i="11"/>
  <c r="D10" i="5"/>
  <c r="D10" i="13" s="1"/>
  <c r="D14" i="5"/>
  <c r="D14" i="13" s="1"/>
  <c r="D19" i="13"/>
  <c r="D25" i="13" s="1"/>
  <c r="I25" i="5"/>
  <c r="M25" i="5"/>
  <c r="Q25" i="5"/>
  <c r="R22" i="6"/>
  <c r="I25" i="13"/>
  <c r="M25" i="13"/>
  <c r="Q25" i="13"/>
  <c r="E40" i="11"/>
  <c r="G25" i="11"/>
  <c r="H25" i="11" s="1"/>
  <c r="N13" i="7" l="1"/>
  <c r="D44" i="2"/>
  <c r="D40" i="1"/>
  <c r="Q27" i="13"/>
  <c r="D35" i="2"/>
  <c r="AW7" i="2"/>
  <c r="AY7" i="2" s="1"/>
  <c r="D39" i="2"/>
  <c r="D4" i="1"/>
  <c r="D43" i="2"/>
  <c r="N14" i="2"/>
  <c r="B14" i="2"/>
  <c r="O128" i="6"/>
  <c r="K128" i="6"/>
  <c r="P83" i="6"/>
  <c r="P128" i="6" s="1"/>
  <c r="L6" i="13"/>
  <c r="I128" i="6"/>
  <c r="L15" i="5"/>
  <c r="L26" i="5" s="1"/>
  <c r="M128" i="6"/>
  <c r="C5" i="2"/>
  <c r="C11" i="2"/>
  <c r="R12" i="6"/>
  <c r="H31" i="13"/>
  <c r="Q19" i="2"/>
  <c r="S19" i="2" s="1"/>
  <c r="C52" i="11"/>
  <c r="D12" i="6"/>
  <c r="F128" i="6"/>
  <c r="B29" i="2"/>
  <c r="P13" i="1"/>
  <c r="D28" i="1"/>
  <c r="D31" i="1"/>
  <c r="B6" i="2"/>
  <c r="D11" i="5"/>
  <c r="B5" i="2"/>
  <c r="H27" i="13"/>
  <c r="Q10" i="2"/>
  <c r="S10" i="2" s="1"/>
  <c r="O27" i="13"/>
  <c r="O27" i="5"/>
  <c r="BB10" i="2" s="1"/>
  <c r="BD10" i="2" s="1"/>
  <c r="N128" i="6"/>
  <c r="K27" i="13"/>
  <c r="K27" i="5"/>
  <c r="AG10" i="2" s="1"/>
  <c r="J128" i="6"/>
  <c r="J27" i="13"/>
  <c r="AA10" i="2"/>
  <c r="G128" i="6"/>
  <c r="R15" i="1"/>
  <c r="T15" i="1" s="1"/>
  <c r="T19" i="1" s="1"/>
  <c r="T21" i="1" s="1"/>
  <c r="T13" i="1"/>
  <c r="P6" i="13"/>
  <c r="P15" i="5"/>
  <c r="BH4" i="2"/>
  <c r="G40" i="11"/>
  <c r="G31" i="11"/>
  <c r="H31" i="11" s="1"/>
  <c r="E48" i="11"/>
  <c r="G48" i="11" s="1"/>
  <c r="H48" i="11" s="1"/>
  <c r="E46" i="11"/>
  <c r="G46" i="11" s="1"/>
  <c r="H46" i="11" s="1"/>
  <c r="G29" i="11"/>
  <c r="H29" i="11" s="1"/>
  <c r="O15" i="5"/>
  <c r="O6" i="13"/>
  <c r="BB4" i="2"/>
  <c r="I6" i="5"/>
  <c r="H83" i="6"/>
  <c r="D7" i="6"/>
  <c r="H119" i="6"/>
  <c r="H126" i="6" s="1"/>
  <c r="I27" i="5" s="1"/>
  <c r="M6" i="13"/>
  <c r="M15" i="5"/>
  <c r="AQ4" i="2"/>
  <c r="E43" i="11"/>
  <c r="G43" i="11" s="1"/>
  <c r="H43" i="11" s="1"/>
  <c r="G26" i="11"/>
  <c r="H26" i="11" s="1"/>
  <c r="H21" i="1"/>
  <c r="K6" i="13"/>
  <c r="K15" i="5"/>
  <c r="AG4" i="2"/>
  <c r="AS11" i="2"/>
  <c r="AS10" i="2"/>
  <c r="I7" i="13"/>
  <c r="V7" i="2"/>
  <c r="X7" i="2" s="1"/>
  <c r="C6" i="2"/>
  <c r="L15" i="1"/>
  <c r="L19" i="1" s="1"/>
  <c r="L21" i="1" s="1"/>
  <c r="M7" i="13"/>
  <c r="AQ7" i="2"/>
  <c r="AS7" i="2" s="1"/>
  <c r="L7" i="13"/>
  <c r="L15" i="13" s="1"/>
  <c r="AL7" i="2"/>
  <c r="L4" i="2"/>
  <c r="G6" i="13"/>
  <c r="AU19" i="1"/>
  <c r="AV15" i="1"/>
  <c r="AV19" i="1" s="1"/>
  <c r="G27" i="11"/>
  <c r="H27" i="11" s="1"/>
  <c r="E44" i="11"/>
  <c r="G44" i="11" s="1"/>
  <c r="H44" i="11" s="1"/>
  <c r="E50" i="11"/>
  <c r="G50" i="11" s="1"/>
  <c r="H50" i="11" s="1"/>
  <c r="G33" i="11"/>
  <c r="H33" i="11" s="1"/>
  <c r="Q6" i="13"/>
  <c r="Q15" i="5"/>
  <c r="BN4" i="2"/>
  <c r="G31" i="13"/>
  <c r="L19" i="2"/>
  <c r="N19" i="2" s="1"/>
  <c r="F31" i="5"/>
  <c r="B20" i="7"/>
  <c r="J6" i="13"/>
  <c r="J15" i="13" s="1"/>
  <c r="J15" i="5"/>
  <c r="AA4" i="2"/>
  <c r="E119" i="6"/>
  <c r="E126" i="6" s="1"/>
  <c r="D24" i="6"/>
  <c r="F6" i="5"/>
  <c r="E83" i="6"/>
  <c r="R7" i="6"/>
  <c r="R24" i="6" s="1"/>
  <c r="Q7" i="13"/>
  <c r="BN7" i="2"/>
  <c r="BP7" i="2" s="1"/>
  <c r="D25" i="5"/>
  <c r="AR15" i="1"/>
  <c r="AR19" i="1" s="1"/>
  <c r="D49" i="1"/>
  <c r="AB15" i="1"/>
  <c r="AB19" i="1" s="1"/>
  <c r="AB21" i="1" s="1"/>
  <c r="G32" i="11"/>
  <c r="H32" i="11" s="1"/>
  <c r="E49" i="11"/>
  <c r="G49" i="11" s="1"/>
  <c r="H49" i="11" s="1"/>
  <c r="K31" i="13"/>
  <c r="AG19" i="2"/>
  <c r="AI19" i="2" s="1"/>
  <c r="K7" i="13"/>
  <c r="AG7" i="2"/>
  <c r="AI7" i="2" s="1"/>
  <c r="N27" i="13"/>
  <c r="N27" i="5"/>
  <c r="AW10" i="2" s="1"/>
  <c r="AY10" i="2" s="1"/>
  <c r="G28" i="11"/>
  <c r="H28" i="11" s="1"/>
  <c r="E45" i="11"/>
  <c r="G45" i="11" s="1"/>
  <c r="H45" i="11" s="1"/>
  <c r="L27" i="13"/>
  <c r="L27" i="5"/>
  <c r="AL10" i="2" s="1"/>
  <c r="AN10" i="2" s="1"/>
  <c r="AO10" i="2" s="1"/>
  <c r="G12" i="13"/>
  <c r="L8" i="2"/>
  <c r="N8" i="2" s="1"/>
  <c r="H26" i="5"/>
  <c r="H28" i="5" s="1"/>
  <c r="H30" i="5" s="1"/>
  <c r="H32" i="5" s="1"/>
  <c r="O7" i="13"/>
  <c r="BB7" i="2"/>
  <c r="BD7" i="2" s="1"/>
  <c r="F40" i="6"/>
  <c r="G7" i="5"/>
  <c r="G15" i="5" s="1"/>
  <c r="D47" i="6"/>
  <c r="P7" i="13"/>
  <c r="BH7" i="2"/>
  <c r="BJ7" i="2" s="1"/>
  <c r="H7" i="13"/>
  <c r="H15" i="13" s="1"/>
  <c r="Q7" i="2"/>
  <c r="M31" i="13"/>
  <c r="AQ19" i="2"/>
  <c r="AS19" i="2" s="1"/>
  <c r="N6" i="13"/>
  <c r="N15" i="13" s="1"/>
  <c r="N15" i="5"/>
  <c r="AW4" i="2"/>
  <c r="B11" i="2"/>
  <c r="H11" i="2"/>
  <c r="AI15" i="1"/>
  <c r="AJ15" i="1" s="1"/>
  <c r="AJ19" i="1" s="1"/>
  <c r="AJ13" i="1"/>
  <c r="AY15" i="1"/>
  <c r="AZ13" i="1"/>
  <c r="P27" i="13"/>
  <c r="P27" i="5"/>
  <c r="BH10" i="2" s="1"/>
  <c r="BJ10" i="2" s="1"/>
  <c r="N31" i="13"/>
  <c r="AW19" i="2"/>
  <c r="AY19" i="2" s="1"/>
  <c r="G27" i="5"/>
  <c r="D42" i="2"/>
  <c r="E35" i="11"/>
  <c r="B13" i="1"/>
  <c r="D29" i="2"/>
  <c r="D37" i="6"/>
  <c r="L13" i="1"/>
  <c r="D5" i="2" l="1"/>
  <c r="D11" i="2"/>
  <c r="H35" i="11"/>
  <c r="D6" i="2"/>
  <c r="H128" i="6"/>
  <c r="L28" i="5"/>
  <c r="L30" i="5" s="1"/>
  <c r="L32" i="5" s="1"/>
  <c r="F27" i="5"/>
  <c r="D126" i="6"/>
  <c r="E128" i="6"/>
  <c r="D128" i="6" s="1"/>
  <c r="H26" i="13"/>
  <c r="H28" i="13" s="1"/>
  <c r="H30" i="13" s="1"/>
  <c r="H32" i="13" s="1"/>
  <c r="F6" i="13"/>
  <c r="F15" i="13" s="1"/>
  <c r="D6" i="5"/>
  <c r="D6" i="13" s="1"/>
  <c r="F15" i="5"/>
  <c r="F4" i="2"/>
  <c r="AC4" i="2"/>
  <c r="AA13" i="2"/>
  <c r="AA16" i="2" s="1"/>
  <c r="F31" i="13"/>
  <c r="D31" i="13" s="1"/>
  <c r="D31" i="5"/>
  <c r="F19" i="2"/>
  <c r="Q26" i="5"/>
  <c r="Q28" i="5" s="1"/>
  <c r="Q30" i="5" s="1"/>
  <c r="Q32" i="5" s="1"/>
  <c r="G26" i="5"/>
  <c r="G28" i="5" s="1"/>
  <c r="G30" i="5" s="1"/>
  <c r="G32" i="5" s="1"/>
  <c r="I27" i="13"/>
  <c r="V10" i="2"/>
  <c r="X10" i="2" s="1"/>
  <c r="O26" i="5"/>
  <c r="O28" i="5" s="1"/>
  <c r="O30" i="5" s="1"/>
  <c r="O32" i="5" s="1"/>
  <c r="N26" i="13"/>
  <c r="N28" i="13" s="1"/>
  <c r="N30" i="13" s="1"/>
  <c r="N32" i="13" s="1"/>
  <c r="BP4" i="2"/>
  <c r="BN16" i="2"/>
  <c r="N4" i="2"/>
  <c r="AG13" i="2"/>
  <c r="AG16" i="2" s="1"/>
  <c r="AI4" i="2"/>
  <c r="M26" i="5"/>
  <c r="M28" i="5" s="1"/>
  <c r="M30" i="5" s="1"/>
  <c r="M32" i="5" s="1"/>
  <c r="H40" i="11"/>
  <c r="H52" i="11" s="1"/>
  <c r="G52" i="11"/>
  <c r="M15" i="13"/>
  <c r="E52" i="11"/>
  <c r="C7" i="2"/>
  <c r="O15" i="13"/>
  <c r="P15" i="13"/>
  <c r="L26" i="13"/>
  <c r="L28" i="13" s="1"/>
  <c r="L30" i="13" s="1"/>
  <c r="L32" i="13" s="1"/>
  <c r="B15" i="1"/>
  <c r="D15" i="1" s="1"/>
  <c r="D13" i="1"/>
  <c r="N26" i="5"/>
  <c r="N28" i="5" s="1"/>
  <c r="N30" i="5" s="1"/>
  <c r="N32" i="5" s="1"/>
  <c r="S7" i="2"/>
  <c r="Q13" i="2"/>
  <c r="Q16" i="2" s="1"/>
  <c r="R40" i="6"/>
  <c r="R47" i="6" s="1"/>
  <c r="R83" i="6" s="1"/>
  <c r="D40" i="6"/>
  <c r="R119" i="6"/>
  <c r="D119" i="6"/>
  <c r="J26" i="13"/>
  <c r="J28" i="13" s="1"/>
  <c r="J30" i="13" s="1"/>
  <c r="J32" i="13" s="1"/>
  <c r="AS4" i="2"/>
  <c r="AQ16" i="2"/>
  <c r="BB16" i="2"/>
  <c r="BD4" i="2"/>
  <c r="P26" i="5"/>
  <c r="P28" i="5" s="1"/>
  <c r="P30" i="5" s="1"/>
  <c r="P32" i="5" s="1"/>
  <c r="R126" i="6"/>
  <c r="AY19" i="1"/>
  <c r="AZ15" i="1"/>
  <c r="AZ19" i="1" s="1"/>
  <c r="AZ21" i="1" s="1"/>
  <c r="K26" i="5"/>
  <c r="K28" i="5" s="1"/>
  <c r="K30" i="5" s="1"/>
  <c r="K32" i="5" s="1"/>
  <c r="G27" i="13"/>
  <c r="L10" i="2"/>
  <c r="N10" i="2" s="1"/>
  <c r="AY4" i="2"/>
  <c r="AW16" i="2"/>
  <c r="G7" i="13"/>
  <c r="G15" i="13" s="1"/>
  <c r="L7" i="2"/>
  <c r="N7" i="2" s="1"/>
  <c r="D7" i="5"/>
  <c r="D7" i="13" s="1"/>
  <c r="J26" i="5"/>
  <c r="J28" i="5" s="1"/>
  <c r="J30" i="5" s="1"/>
  <c r="J32" i="5" s="1"/>
  <c r="AA20" i="2" s="1"/>
  <c r="AN7" i="2"/>
  <c r="AL16" i="2"/>
  <c r="I6" i="13"/>
  <c r="I15" i="13" s="1"/>
  <c r="I15" i="5"/>
  <c r="V4" i="2"/>
  <c r="BH16" i="2"/>
  <c r="BJ4" i="2"/>
  <c r="Q15" i="13"/>
  <c r="G35" i="11"/>
  <c r="K15" i="13"/>
  <c r="D15" i="13" l="1"/>
  <c r="D26" i="13" s="1"/>
  <c r="G26" i="13"/>
  <c r="G28" i="13" s="1"/>
  <c r="G30" i="13" s="1"/>
  <c r="G32" i="13" s="1"/>
  <c r="I26" i="13"/>
  <c r="I28" i="13" s="1"/>
  <c r="I30" i="13" s="1"/>
  <c r="I32" i="13" s="1"/>
  <c r="BD16" i="2"/>
  <c r="BB18" i="2"/>
  <c r="BD18" i="2" s="1"/>
  <c r="BD20" i="2" s="1"/>
  <c r="P35" i="13"/>
  <c r="P36" i="13"/>
  <c r="P26" i="13"/>
  <c r="P28" i="13" s="1"/>
  <c r="P30" i="13" s="1"/>
  <c r="P32" i="13" s="1"/>
  <c r="P34" i="13"/>
  <c r="P37" i="13" s="1"/>
  <c r="AI16" i="2"/>
  <c r="AG18" i="2"/>
  <c r="AI18" i="2" s="1"/>
  <c r="AI20" i="2" s="1"/>
  <c r="H4" i="2"/>
  <c r="B4" i="2"/>
  <c r="F27" i="13"/>
  <c r="D27" i="13" s="1"/>
  <c r="D27" i="5"/>
  <c r="F10" i="2"/>
  <c r="H10" i="2" s="1"/>
  <c r="I9" i="2" s="1"/>
  <c r="J9" i="2" s="1"/>
  <c r="Q34" i="13"/>
  <c r="Q38" i="13" s="1"/>
  <c r="Q35" i="13"/>
  <c r="Q36" i="13"/>
  <c r="Q26" i="13"/>
  <c r="Q28" i="13" s="1"/>
  <c r="Q30" i="13" s="1"/>
  <c r="Q32" i="13" s="1"/>
  <c r="I26" i="5"/>
  <c r="I28" i="5" s="1"/>
  <c r="I30" i="5" s="1"/>
  <c r="I32" i="5" s="1"/>
  <c r="B7" i="2"/>
  <c r="D7" i="2" s="1"/>
  <c r="S13" i="2"/>
  <c r="BN18" i="2"/>
  <c r="BP18" i="2" s="1"/>
  <c r="BP20" i="2" s="1"/>
  <c r="BP21" i="2" s="1"/>
  <c r="BP16" i="2"/>
  <c r="B19" i="2"/>
  <c r="D19" i="2" s="1"/>
  <c r="H19" i="2"/>
  <c r="F26" i="13"/>
  <c r="V13" i="2"/>
  <c r="V16" i="2" s="1"/>
  <c r="X4" i="2"/>
  <c r="C4" i="2" s="1"/>
  <c r="C16" i="2" s="1"/>
  <c r="AW18" i="2"/>
  <c r="AY18" i="2" s="1"/>
  <c r="AY20" i="2" s="1"/>
  <c r="AY16" i="2"/>
  <c r="Q18" i="2"/>
  <c r="S18" i="2" s="1"/>
  <c r="S20" i="2" s="1"/>
  <c r="S16" i="2"/>
  <c r="M26" i="13"/>
  <c r="M28" i="13" s="1"/>
  <c r="M30" i="13" s="1"/>
  <c r="M32" i="13" s="1"/>
  <c r="AA18" i="2"/>
  <c r="AC18" i="2" s="1"/>
  <c r="AC20" i="2" s="1"/>
  <c r="AC16" i="2"/>
  <c r="L16" i="2"/>
  <c r="K26" i="13"/>
  <c r="K28" i="13" s="1"/>
  <c r="K30" i="13" s="1"/>
  <c r="K32" i="13" s="1"/>
  <c r="BH18" i="2"/>
  <c r="BJ18" i="2" s="1"/>
  <c r="BJ20" i="2" s="1"/>
  <c r="BJ21" i="2" s="1"/>
  <c r="BJ16" i="2"/>
  <c r="AL18" i="2"/>
  <c r="AN18" i="2" s="1"/>
  <c r="AN20" i="2" s="1"/>
  <c r="AN16" i="2"/>
  <c r="AQ18" i="2"/>
  <c r="AS18" i="2" s="1"/>
  <c r="AS20" i="2" s="1"/>
  <c r="AS16" i="2"/>
  <c r="D19" i="1"/>
  <c r="D56" i="1"/>
  <c r="D57" i="1" s="1"/>
  <c r="O36" i="13"/>
  <c r="O26" i="13"/>
  <c r="O28" i="13" s="1"/>
  <c r="O30" i="13" s="1"/>
  <c r="O32" i="13" s="1"/>
  <c r="O34" i="13"/>
  <c r="O38" i="13" s="1"/>
  <c r="O35" i="13"/>
  <c r="F26" i="5"/>
  <c r="D15" i="5"/>
  <c r="B20" i="2" l="1"/>
  <c r="D20" i="2" s="1"/>
  <c r="F28" i="13"/>
  <c r="F30" i="13" s="1"/>
  <c r="F32" i="13" s="1"/>
  <c r="D32" i="13" s="1"/>
  <c r="D28" i="13"/>
  <c r="P38" i="13"/>
  <c r="P41" i="13" s="1"/>
  <c r="O37" i="13"/>
  <c r="Q37" i="13"/>
  <c r="O41" i="13"/>
  <c r="Q41" i="13"/>
  <c r="V18" i="2"/>
  <c r="X18" i="2" s="1"/>
  <c r="X20" i="2" s="1"/>
  <c r="X16" i="2"/>
  <c r="F16" i="2"/>
  <c r="F28" i="5"/>
  <c r="D26" i="5"/>
  <c r="D4" i="2"/>
  <c r="B16" i="2"/>
  <c r="D16" i="2" s="1"/>
  <c r="L18" i="2"/>
  <c r="N18" i="2" s="1"/>
  <c r="N20" i="2" s="1"/>
  <c r="N16" i="2"/>
  <c r="F33" i="13" l="1"/>
  <c r="F34" i="13" s="1"/>
  <c r="D30" i="13"/>
  <c r="Q39" i="13"/>
  <c r="Q40" i="13" s="1"/>
  <c r="P39" i="13"/>
  <c r="P40" i="13" s="1"/>
  <c r="F30" i="5"/>
  <c r="D28" i="5"/>
  <c r="F18" i="2"/>
  <c r="H16" i="2"/>
  <c r="G33" i="13"/>
  <c r="F36" i="13" l="1"/>
  <c r="F35" i="13"/>
  <c r="H33" i="13"/>
  <c r="G36" i="13"/>
  <c r="G35" i="13"/>
  <c r="G34" i="13"/>
  <c r="D30" i="5"/>
  <c r="F32" i="5"/>
  <c r="H18" i="2"/>
  <c r="H20" i="2" s="1"/>
  <c r="B18" i="2"/>
  <c r="D18" i="2" s="1"/>
  <c r="F37" i="13" l="1"/>
  <c r="F38" i="13"/>
  <c r="F39" i="13" s="1"/>
  <c r="F40" i="13" s="1"/>
  <c r="G37" i="13"/>
  <c r="G38" i="13"/>
  <c r="D32" i="5"/>
  <c r="F34" i="5"/>
  <c r="I33" i="13"/>
  <c r="H34" i="13"/>
  <c r="H35" i="13"/>
  <c r="H36" i="13"/>
  <c r="G39" i="13" l="1"/>
  <c r="G40" i="13" s="1"/>
  <c r="F41" i="13"/>
  <c r="H38" i="13"/>
  <c r="H39" i="13" s="1"/>
  <c r="H40" i="13" s="1"/>
  <c r="G41" i="13"/>
  <c r="H37" i="13"/>
  <c r="G34" i="5"/>
  <c r="F35" i="5"/>
  <c r="F37" i="5"/>
  <c r="F36" i="5"/>
  <c r="J33" i="13"/>
  <c r="I35" i="13"/>
  <c r="I36" i="13"/>
  <c r="I34" i="13"/>
  <c r="H41" i="13" l="1"/>
  <c r="F39" i="5"/>
  <c r="F40" i="5" s="1"/>
  <c r="F41" i="5" s="1"/>
  <c r="F46" i="5" s="1"/>
  <c r="I37" i="13"/>
  <c r="F38" i="5"/>
  <c r="J35" i="13"/>
  <c r="J34" i="13"/>
  <c r="J36" i="13"/>
  <c r="K33" i="13"/>
  <c r="H34" i="5"/>
  <c r="G37" i="5"/>
  <c r="G36" i="5"/>
  <c r="G35" i="5"/>
  <c r="I38" i="13"/>
  <c r="F42" i="5" l="1"/>
  <c r="L33" i="13"/>
  <c r="K35" i="13"/>
  <c r="K34" i="13"/>
  <c r="K36" i="13"/>
  <c r="I39" i="13"/>
  <c r="I40" i="13" s="1"/>
  <c r="I41" i="13"/>
  <c r="G38" i="5"/>
  <c r="G39" i="5"/>
  <c r="J37" i="13"/>
  <c r="H35" i="5"/>
  <c r="H36" i="5"/>
  <c r="H37" i="5"/>
  <c r="I34" i="5"/>
  <c r="J38" i="13"/>
  <c r="K37" i="13" l="1"/>
  <c r="H39" i="5"/>
  <c r="H42" i="5" s="1"/>
  <c r="L34" i="13"/>
  <c r="L35" i="13"/>
  <c r="L36" i="13"/>
  <c r="M33" i="13"/>
  <c r="J39" i="13"/>
  <c r="J40" i="13" s="1"/>
  <c r="J41" i="13"/>
  <c r="G40" i="5"/>
  <c r="G41" i="5" s="1"/>
  <c r="G42" i="5"/>
  <c r="K38" i="13"/>
  <c r="J34" i="5"/>
  <c r="I36" i="5"/>
  <c r="I37" i="5"/>
  <c r="I35" i="5"/>
  <c r="H38" i="5"/>
  <c r="H40" i="5" l="1"/>
  <c r="H41" i="5" s="1"/>
  <c r="H46" i="5" s="1"/>
  <c r="I39" i="5"/>
  <c r="I40" i="5" s="1"/>
  <c r="I41" i="5" s="1"/>
  <c r="I46" i="5" s="1"/>
  <c r="L37" i="13"/>
  <c r="K39" i="13"/>
  <c r="K40" i="13" s="1"/>
  <c r="K41" i="13"/>
  <c r="J35" i="5"/>
  <c r="K34" i="5"/>
  <c r="J37" i="5"/>
  <c r="J36" i="5"/>
  <c r="I38" i="5"/>
  <c r="G46" i="5"/>
  <c r="L38" i="13"/>
  <c r="N33" i="13"/>
  <c r="M35" i="13"/>
  <c r="M36" i="13"/>
  <c r="M34" i="13"/>
  <c r="I42" i="5" l="1"/>
  <c r="J39" i="5"/>
  <c r="J40" i="5" s="1"/>
  <c r="J41" i="5" s="1"/>
  <c r="L39" i="13"/>
  <c r="L40" i="13" s="1"/>
  <c r="L41" i="13"/>
  <c r="J38" i="5"/>
  <c r="N35" i="13"/>
  <c r="N36" i="13"/>
  <c r="N34" i="13"/>
  <c r="L34" i="5"/>
  <c r="K37" i="5"/>
  <c r="K36" i="5"/>
  <c r="K35" i="5"/>
  <c r="M37" i="13"/>
  <c r="M38" i="13"/>
  <c r="J42" i="5" l="1"/>
  <c r="K39" i="5"/>
  <c r="K42" i="5" s="1"/>
  <c r="N37" i="13"/>
  <c r="M39" i="13"/>
  <c r="M40" i="13" s="1"/>
  <c r="M41" i="13"/>
  <c r="N38" i="13"/>
  <c r="L35" i="5"/>
  <c r="L36" i="5"/>
  <c r="L37" i="5"/>
  <c r="M34" i="5"/>
  <c r="J46" i="5"/>
  <c r="K38" i="5"/>
  <c r="K40" i="5" l="1"/>
  <c r="K41" i="5" s="1"/>
  <c r="K46" i="5" s="1"/>
  <c r="L39" i="5"/>
  <c r="L42" i="5" s="1"/>
  <c r="M35" i="5"/>
  <c r="N34" i="5"/>
  <c r="M36" i="5"/>
  <c r="M37" i="5"/>
  <c r="N39" i="13"/>
  <c r="N40" i="13" s="1"/>
  <c r="O39" i="13"/>
  <c r="O40" i="13" s="1"/>
  <c r="N41" i="13"/>
  <c r="L38" i="5"/>
  <c r="L40" i="5" l="1"/>
  <c r="L41" i="5" s="1"/>
  <c r="L46" i="5" s="1"/>
  <c r="N36" i="5"/>
  <c r="N35" i="5"/>
  <c r="N37" i="5"/>
  <c r="O34" i="5"/>
  <c r="D40" i="13"/>
  <c r="M38" i="5"/>
  <c r="M39" i="5"/>
  <c r="N38" i="5" l="1"/>
  <c r="M40" i="5"/>
  <c r="M41" i="5" s="1"/>
  <c r="M42" i="5"/>
  <c r="O35" i="5"/>
  <c r="O37" i="5"/>
  <c r="O36" i="5"/>
  <c r="P34" i="5"/>
  <c r="N39" i="5"/>
  <c r="O38" i="5" l="1"/>
  <c r="M46" i="5"/>
  <c r="N40" i="5"/>
  <c r="N41" i="5" s="1"/>
  <c r="N46" i="5" s="1"/>
  <c r="N42" i="5"/>
  <c r="O39" i="5"/>
  <c r="Q34" i="5"/>
  <c r="P36" i="5"/>
  <c r="P37" i="5"/>
  <c r="P35" i="5"/>
  <c r="P39" i="5" l="1"/>
  <c r="P42" i="5" s="1"/>
  <c r="O40" i="5"/>
  <c r="O41" i="5" s="1"/>
  <c r="O46" i="5" s="1"/>
  <c r="O42" i="5"/>
  <c r="Q35" i="5"/>
  <c r="Q36" i="5"/>
  <c r="Q37" i="5"/>
  <c r="P38" i="5"/>
  <c r="P40" i="5" l="1"/>
  <c r="P41" i="5" s="1"/>
  <c r="P46" i="5" s="1"/>
  <c r="Q38" i="5"/>
  <c r="Q39" i="5"/>
  <c r="Q40" i="5" l="1"/>
  <c r="Q41" i="5" s="1"/>
  <c r="D41" i="5" s="1"/>
  <c r="Q42" i="5"/>
</calcChain>
</file>

<file path=xl/comments1.xml><?xml version="1.0" encoding="utf-8"?>
<comments xmlns="http://schemas.openxmlformats.org/spreadsheetml/2006/main">
  <authors>
    <author>tmm8381</author>
    <author>gaa9730</author>
    <author>tzj0fg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XXXX Monthly SMUD Deals</t>
        </r>
      </text>
    </comment>
    <comment ref="B18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2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Contract ended April 2014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O36" authorId="1" shapeId="0">
      <text>
        <r>
          <rPr>
            <b/>
            <sz val="8"/>
            <color indexed="81"/>
            <rFont val="Tahoma"/>
            <family val="2"/>
          </rPr>
          <t>gaa9730
We can charge up to the mid point and for Nov 14-Oct 15 it is $43.110
 but average contract rate is only $42.90 so it is like a mini-surcharge</t>
        </r>
      </text>
    </comment>
    <comment ref="C4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Lancaster</t>
        </r>
      </text>
    </comment>
    <comment ref="B5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J60" authorId="1" shapeId="0">
      <text>
        <r>
          <rPr>
            <b/>
            <sz val="8"/>
            <color indexed="81"/>
            <rFont val="Tahoma"/>
            <family val="2"/>
          </rPr>
          <t>TMM8381:</t>
        </r>
        <r>
          <rPr>
            <sz val="8"/>
            <color indexed="81"/>
            <rFont val="Tahoma"/>
            <family val="2"/>
          </rPr>
          <t xml:space="preserve">
Inventory adjustment expense, physical less than book</t>
        </r>
      </text>
    </comment>
    <comment ref="E67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On Jan report this was wrong so I corrected in February (Jan was 64406)
</t>
        </r>
      </text>
    </comment>
    <comment ref="J6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No fuel burned in June 2014, inventory adjustment, taking fuel pile down as per physical survey calculation</t>
        </r>
      </text>
    </comment>
    <comment ref="G71" authorId="1" shapeId="0">
      <text>
        <r>
          <rPr>
            <b/>
            <sz val="9"/>
            <color indexed="81"/>
            <rFont val="Tahoma"/>
            <family val="2"/>
          </rPr>
          <t>gaa9730:</t>
        </r>
        <r>
          <rPr>
            <sz val="9"/>
            <color indexed="81"/>
            <rFont val="Tahoma"/>
            <family val="2"/>
          </rPr>
          <t xml:space="preserve">
Inventory adjustment</t>
        </r>
      </text>
    </comment>
    <comment ref="B102" authorId="3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6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Clearwater included to offset any variance in SMUD sale 447 rev's for Brown Power 
No Longer use included Clr water RECS her due to new REC Deferral
</t>
        </r>
      </text>
    </comment>
    <comment ref="E119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2" authorId="2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gaa9730</author>
    <author>tzj0fg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sharedStrings.xml><?xml version="1.0" encoding="utf-8"?>
<sst xmlns="http://schemas.openxmlformats.org/spreadsheetml/2006/main" count="658" uniqueCount="362">
  <si>
    <t>2007 ANNUAL</t>
  </si>
  <si>
    <t>budget</t>
  </si>
  <si>
    <t>Authorized</t>
  </si>
  <si>
    <t>Variance</t>
  </si>
  <si>
    <t>SYSTEM</t>
  </si>
  <si>
    <t>Settlement/Compliance Filing Adj.</t>
  </si>
  <si>
    <t>Credit CS2 1/2 Exchange</t>
  </si>
  <si>
    <t>Potlatch 62 aMW directly assigned</t>
  </si>
  <si>
    <t>WASHINGTON ALLOCATION @ 65.16%</t>
  </si>
  <si>
    <t>Retail Revenue Credit</t>
  </si>
  <si>
    <t>100 % Net Power Cost Increase (Decrease)</t>
  </si>
  <si>
    <t>Amount in excess of $9.0 million Company Band??</t>
  </si>
  <si>
    <t>NO</t>
  </si>
  <si>
    <t>CUMULATIVE YTD</t>
  </si>
  <si>
    <t>90% Net Power Cost above $9.0 million Company Band</t>
  </si>
  <si>
    <t>MWH</t>
  </si>
  <si>
    <t>Native Load Average MW</t>
  </si>
  <si>
    <t>Hydro Average MW</t>
  </si>
  <si>
    <t>Total Hydro Generation</t>
  </si>
  <si>
    <r>
      <t xml:space="preserve">Native Load </t>
    </r>
    <r>
      <rPr>
        <b/>
        <sz val="10"/>
        <rFont val="Arial"/>
        <family val="2"/>
      </rPr>
      <t>(Budget is net 40 aMW for Potlatch)</t>
    </r>
  </si>
  <si>
    <t>Colstrip</t>
  </si>
  <si>
    <t>Kettle Falls-Wood</t>
  </si>
  <si>
    <t>Kettle Falls CT Gas</t>
  </si>
  <si>
    <t xml:space="preserve">Northeast CT </t>
  </si>
  <si>
    <t>Rathdrum</t>
  </si>
  <si>
    <t>Boulder Park</t>
  </si>
  <si>
    <t>Coyote Springs 2</t>
  </si>
  <si>
    <t>Total Thermal</t>
  </si>
  <si>
    <t>average short-term purchase price</t>
  </si>
  <si>
    <t>average short-term sales price</t>
  </si>
  <si>
    <t>gas price $/dth</t>
  </si>
  <si>
    <t>Heat Rate BTU/MWh</t>
  </si>
  <si>
    <t>$/MWh gas rate</t>
  </si>
  <si>
    <t>Washington Share  + = increase deferral</t>
  </si>
  <si>
    <t>when expense is higher, increases the deferral</t>
  </si>
  <si>
    <t>Hydro Variance @ 65.16%</t>
  </si>
  <si>
    <t>lowers def</t>
  </si>
  <si>
    <t>Load Variance @ 65.16%</t>
  </si>
  <si>
    <t>incr def</t>
  </si>
  <si>
    <t>Other</t>
  </si>
  <si>
    <t>Total increase in deferral before RRC</t>
  </si>
  <si>
    <t>CS2 MWh Variance</t>
  </si>
  <si>
    <t>CS2 Fuel Variance</t>
  </si>
  <si>
    <t>CS2 Transportation</t>
  </si>
  <si>
    <t>RRC Variance</t>
  </si>
  <si>
    <t>PV on Auth surplus/deficiency balancing the system</t>
  </si>
  <si>
    <t>KF Fuel Variance</t>
  </si>
  <si>
    <t>KF MWh Variance</t>
  </si>
  <si>
    <t>Boulder Park Fuel Variance</t>
  </si>
  <si>
    <t>Boulder Park MWh Variance</t>
  </si>
  <si>
    <t>Colstrip Fuel Variance</t>
  </si>
  <si>
    <t xml:space="preserve">  </t>
  </si>
  <si>
    <t>Colstrip MWh Variance</t>
  </si>
  <si>
    <t>LADWP margin</t>
  </si>
  <si>
    <t>Douglas Settlement</t>
  </si>
  <si>
    <t xml:space="preserve">Reserve Sales + Asset Optimization </t>
  </si>
  <si>
    <t>Forward Sales $ not included in Authorized</t>
  </si>
  <si>
    <t>Forward Sales MWh</t>
  </si>
  <si>
    <t>Forward Sales Rate</t>
  </si>
  <si>
    <t>Forward Purchase $ not included in Authorized</t>
  </si>
  <si>
    <t>Forward Purchase MWh</t>
  </si>
  <si>
    <t>Forward Purchase Rate</t>
  </si>
  <si>
    <t>SYSTEM TOTAL</t>
  </si>
  <si>
    <t>Washington Share @ 65.16%</t>
  </si>
  <si>
    <t xml:space="preserve"> YTD</t>
  </si>
  <si>
    <t>Actual</t>
  </si>
  <si>
    <t>WA SHARE</t>
  </si>
  <si>
    <t>565 Transmission Expense</t>
  </si>
  <si>
    <t>456 Transmission Revenue</t>
  </si>
  <si>
    <t>Potlatch 62 aMW directly assigned.</t>
  </si>
  <si>
    <t>WA ALLOCATION @ 65.83%</t>
  </si>
  <si>
    <t xml:space="preserve"> + = increases deferral</t>
  </si>
  <si>
    <t>() = lowers deferral</t>
  </si>
  <si>
    <t>$ IMPACT</t>
  </si>
  <si>
    <t>Native Load less Potlatch gen</t>
  </si>
  <si>
    <t>RRC-WA Share MWh</t>
  </si>
  <si>
    <t>receive less from customers</t>
  </si>
  <si>
    <t>WNP3</t>
  </si>
  <si>
    <t>Small Pwr</t>
  </si>
  <si>
    <t>Upriver</t>
  </si>
  <si>
    <t>Grant Displacement egy</t>
  </si>
  <si>
    <t>Thompson River</t>
  </si>
  <si>
    <t>Stimson</t>
  </si>
  <si>
    <t>PPM Wind</t>
  </si>
  <si>
    <t>CS2 gas price $/DTH</t>
  </si>
  <si>
    <t>average ST purchase price</t>
  </si>
  <si>
    <t>average ST sales price</t>
  </si>
  <si>
    <t>Colstrip $/MWh</t>
  </si>
  <si>
    <t>ACT</t>
  </si>
  <si>
    <t>AUTH</t>
  </si>
  <si>
    <t>SYS VAR</t>
  </si>
  <si>
    <t>NET</t>
  </si>
  <si>
    <t>ACTUAL</t>
  </si>
  <si>
    <t>SYS VARIANCE</t>
  </si>
  <si>
    <t>Kettle Falls fuel expense</t>
  </si>
  <si>
    <t>Colstrip fuel expense</t>
  </si>
  <si>
    <t>Colstrip oil</t>
  </si>
  <si>
    <t>CS2 fuel expense</t>
  </si>
  <si>
    <t>KFCT fuel expense</t>
  </si>
  <si>
    <t>Boulder Park fuel expense</t>
  </si>
  <si>
    <t>Rathdrum fuel expense</t>
  </si>
  <si>
    <t>Northeast fuel expense</t>
  </si>
  <si>
    <t>CS2 transportation</t>
  </si>
  <si>
    <t>BPA NT 555 + 447</t>
  </si>
  <si>
    <t>small power</t>
  </si>
  <si>
    <t>Fiancial Swap out of money</t>
  </si>
  <si>
    <t>Seattle + Douglas Capacity Payment</t>
  </si>
  <si>
    <t>SMUD margin</t>
  </si>
  <si>
    <t>lowers deferral</t>
  </si>
  <si>
    <t>Northwest Energy capacity revenue</t>
  </si>
  <si>
    <t>Grant Residential Exchg Credit</t>
  </si>
  <si>
    <t>Well's Tribe</t>
  </si>
  <si>
    <t>Rocky Reach</t>
  </si>
  <si>
    <t>Wanapum</t>
  </si>
  <si>
    <t>Wells</t>
  </si>
  <si>
    <t>Priest Rapids Products/Grant Displ</t>
  </si>
  <si>
    <t>Thompson River Co-Gen</t>
  </si>
  <si>
    <t>wnp3</t>
  </si>
  <si>
    <t>NET SALES/PURCHASES</t>
  </si>
  <si>
    <t>WA ERM / ID PCA</t>
  </si>
  <si>
    <t>Most data entry occurs on the WA Monthly tab (highlighted yellow)</t>
  </si>
  <si>
    <t>The ID Monthly tab then links as appropriate.</t>
  </si>
  <si>
    <t>Specific deal activity is input for 447 and 555 from NUCUT PTR or Sales and G&amp;P reports.</t>
  </si>
  <si>
    <t>These contracts document actuals as filed in the initial Authorized expenses from GRC in ID/WA</t>
  </si>
  <si>
    <t>WNP#3 needs adjustment for Mid Point in WA (Vol's from PTR)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</si>
  <si>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</si>
  <si>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</si>
  <si>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KFGS Hog Fuel and Colstrip Coal tons burned input form JV's</t>
  </si>
  <si>
    <t>Fed Prod Tax credit for ID comes from J McCauley-Corp</t>
  </si>
  <si>
    <t>Paouse Wind in PCA at 100% until later GRC</t>
  </si>
  <si>
    <t xml:space="preserve">GL Wand updates are added for each specific account used in the </t>
  </si>
  <si>
    <t>deferral calculations (highlighted green).</t>
  </si>
  <si>
    <t>If new accounts added to GL etc make sure they are added/excluded as appropriate</t>
  </si>
  <si>
    <t>Overrides of GL can occur if necessary for all accounts</t>
  </si>
  <si>
    <t>456016 rev's and 557160 exp's may require overides for special circumstances</t>
  </si>
  <si>
    <t>Retail Revenue credits are calculated by Rates and input</t>
  </si>
  <si>
    <t>on the WA &amp; ID Summary tabs.</t>
  </si>
  <si>
    <t>Authorized levels come from Bill Johnson after Gen Rate case settlements.</t>
  </si>
  <si>
    <t>Certain costs/benefits may need tracked outside of Authorized accounts</t>
  </si>
  <si>
    <t>REC's Purchases &amp; Sales</t>
  </si>
  <si>
    <t>FPTC - ID (From J. McCauley)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</si>
  <si>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</si>
  <si>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</si>
  <si>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</si>
  <si>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</si>
  <si>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</si>
  <si>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</si>
  <si>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</si>
  <si>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</si>
  <si>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</si>
  <si>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</si>
  <si>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</si>
  <si>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</si>
  <si>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</si>
  <si>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</si>
  <si>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</si>
  <si>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Less SMUD RECs</t>
  </si>
  <si>
    <t>501 Thermal Fuel</t>
  </si>
  <si>
    <t>547 CT Fuel</t>
  </si>
  <si>
    <t>557 Broker Fees</t>
  </si>
  <si>
    <t>Less Clearwater directly assigned to ID</t>
  </si>
  <si>
    <t>Adjusted Actual Net Expense</t>
  </si>
  <si>
    <t xml:space="preserve"> AUTHORIZED NET EXPENSE-SYSTEM</t>
  </si>
  <si>
    <t>Total through December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</si>
  <si>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</si>
  <si>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</si>
  <si>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</si>
  <si>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</si>
  <si>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</si>
  <si>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</si>
  <si>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</si>
  <si>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</si>
  <si>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</si>
  <si>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</si>
  <si>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</si>
  <si>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</si>
  <si>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</si>
  <si>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</si>
  <si>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</si>
  <si>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</t>
  </si>
  <si>
    <t>Acct 557280 Entry; (+) Rebate, (-) Surcharge</t>
  </si>
  <si>
    <t>Company Band Gross Margin Impact, Cumulative</t>
  </si>
  <si>
    <t>company absorbed</t>
  </si>
  <si>
    <t>GL Wand Entries</t>
  </si>
  <si>
    <t>Difference</t>
  </si>
  <si>
    <t>Explanation</t>
  </si>
  <si>
    <t>NSJ 016</t>
  </si>
  <si>
    <t>Correct 2012 &amp; 2013 REC Expenses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</si>
  <si>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</si>
  <si>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</si>
  <si>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</si>
  <si>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</si>
  <si>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</si>
  <si>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</si>
  <si>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</si>
  <si>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</si>
  <si>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</si>
  <si>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</si>
  <si>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</si>
  <si>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</si>
  <si>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</si>
  <si>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r>
      <t xml:space="preserve">Arch Ford (Jim Ford) 100133, Glen/Rose Marie (Sheep Creek) 100151, Idaho County L&amp;P (John Day) 100460, James White 100163, Mike Johnson (Hydrotech) 214285, Spokane Co. 186693, Deep Creek + </t>
    </r>
    <r>
      <rPr>
        <strike/>
        <sz val="10"/>
        <rFont val="Arial"/>
        <family val="2"/>
      </rPr>
      <t>Kootenai Ele Co (Fighting Creek)</t>
    </r>
  </si>
  <si>
    <t>Stimson Lumber</t>
  </si>
  <si>
    <t>City of Spokane-Upriver</t>
  </si>
  <si>
    <t>City of Spokane - Waste-to-Energy</t>
  </si>
  <si>
    <t xml:space="preserve">JP Morgan Ventures - Stateline Wind </t>
  </si>
  <si>
    <t>118945, look for all other deals at contract price - Now under J.P. Morgan Ventures Energy Corp.</t>
  </si>
  <si>
    <t>Rathdrum Power, LLC (Lancaster PPA )</t>
  </si>
  <si>
    <t>100074, 100075, 100076</t>
  </si>
  <si>
    <t>Palouse Wind</t>
  </si>
  <si>
    <t>Clearwater (PFI)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</si>
  <si>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</si>
  <si>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</si>
  <si>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</si>
  <si>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</si>
  <si>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</si>
  <si>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</si>
  <si>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</si>
  <si>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</si>
  <si>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</si>
  <si>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</si>
  <si>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</si>
  <si>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</si>
  <si>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</si>
  <si>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</si>
  <si>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</si>
  <si>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Peaker LLC/PGE Cap Sale</t>
  </si>
  <si>
    <t>Nichols Pumping Index Sale</t>
  </si>
  <si>
    <t>from Nichols billing worksheet - POWERACC\BILLING\NICHOLS</t>
  </si>
  <si>
    <t>Soverign/Kaiser Load Following</t>
  </si>
  <si>
    <t>223178-180 Capacity only - RF (Regulation)</t>
  </si>
  <si>
    <t>Pend Oreille DES</t>
  </si>
  <si>
    <t xml:space="preserve">223173-177 Capacity and Reserves
excludes deviation 
energy
</t>
  </si>
  <si>
    <t>SMUD 50 + 25</t>
  </si>
  <si>
    <t>All LT charges (filter by LT in PTR)</t>
  </si>
  <si>
    <t>Merchant Ancillary Services</t>
  </si>
  <si>
    <t>Total 447 Sales for Resale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</si>
  <si>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</si>
  <si>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</si>
  <si>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</si>
  <si>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</si>
  <si>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</si>
  <si>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</si>
  <si>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</si>
  <si>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</si>
  <si>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</si>
  <si>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</si>
  <si>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</si>
  <si>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</si>
  <si>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</si>
  <si>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</si>
  <si>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</si>
  <si>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</si>
  <si>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</si>
  <si>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</si>
  <si>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</si>
  <si>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</si>
  <si>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</si>
  <si>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</si>
  <si>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</si>
  <si>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</si>
  <si>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</si>
  <si>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</si>
  <si>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AN-Sale of excess BPA Trans</t>
  </si>
  <si>
    <t xml:space="preserve">Exclude Prior Year BPA Settlement </t>
  </si>
  <si>
    <t>456705 ED AN - Do not include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</si>
  <si>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</si>
  <si>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</si>
  <si>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</si>
  <si>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</si>
  <si>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</si>
  <si>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</si>
  <si>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</si>
  <si>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Total 557170 ED AN Broker Fees</t>
  </si>
  <si>
    <t>RESOURCE OPTIMIZATION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</si>
  <si>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</si>
  <si>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</si>
  <si>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</si>
  <si>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</si>
  <si>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</si>
  <si>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</si>
  <si>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</si>
  <si>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Intraco Thermal Gas-456730</t>
  </si>
  <si>
    <t>Fuel Bookouts-456711</t>
  </si>
  <si>
    <t>Fuel Bookouts-456720</t>
  </si>
  <si>
    <t xml:space="preserve"> Resource Optimizaton Subtotal</t>
  </si>
  <si>
    <t>Misc. Power Exp. Authorized</t>
  </si>
  <si>
    <t>Misc. Power Exp. Actual-557160 ED AN</t>
  </si>
  <si>
    <t>KFWF Contract Buyout</t>
  </si>
  <si>
    <t>Misc. Power Exp. Subtotal</t>
  </si>
  <si>
    <t>Wind REC Exp Authorized</t>
  </si>
  <si>
    <t xml:space="preserve">Wind REC Exp Actual 557395 </t>
  </si>
  <si>
    <t>Wind REC Subtotal</t>
  </si>
  <si>
    <t>Net Resource Optimization</t>
  </si>
  <si>
    <t>Washington Electric Jurisdiction</t>
  </si>
  <si>
    <t>Energy Recovery Mechanism (ERM) Retail Revenue Credit Calculation - 2014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</si>
  <si>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</si>
  <si>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</si>
  <si>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</si>
  <si>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</si>
  <si>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</si>
  <si>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</si>
  <si>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</si>
  <si>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Difference from Test Year</t>
  </si>
  <si>
    <t>Production Rate - $/MWh</t>
  </si>
  <si>
    <t>Total Revenue Credit - $</t>
  </si>
  <si>
    <t>Value to Put in Deferral Calculaton Spreadsheet:</t>
  </si>
  <si>
    <t>Budget</t>
  </si>
  <si>
    <t>Forecast</t>
  </si>
  <si>
    <t>Resource Optimization</t>
  </si>
  <si>
    <t>Idaho REC Revenue Adjustment from 2013</t>
  </si>
  <si>
    <t>As Recorded</t>
  </si>
  <si>
    <t>Incorrect Authorized</t>
  </si>
  <si>
    <t>PT Ratio</t>
  </si>
  <si>
    <t>Idaho Share - 100%</t>
  </si>
  <si>
    <t>Idaho Share - 90%</t>
  </si>
  <si>
    <t>Rebate</t>
  </si>
  <si>
    <t>Corrected</t>
  </si>
  <si>
    <t>Correct Authorized</t>
  </si>
  <si>
    <t>Difference - Adjusted in Jan. 2014</t>
  </si>
  <si>
    <t>REC's</t>
  </si>
  <si>
    <t>While preparing the 2013 WA GRC it became appearent that 456016 REC Sales Rev had been included</t>
  </si>
  <si>
    <t xml:space="preserve">(proforma amounts of $700K and $850K) in the last ID and WA GRC's effective 10/1/2011  </t>
  </si>
  <si>
    <t>and 01/01/2012 respectively.</t>
  </si>
  <si>
    <t xml:space="preserve">The revenues were included in Base Rates, thereby lowering Customer Rates.  Resource Acct had </t>
  </si>
  <si>
    <t>not been tracking 456016 Rev's against the proforma amounts, instead had been including 100%</t>
  </si>
  <si>
    <t>of 456016 in Other Res Costs.  This effectively gives the customers twice the benefits up to</t>
  </si>
  <si>
    <t>the proforma amount in Rates (lower Base Rates, and credits in the ERM and PCA).</t>
  </si>
  <si>
    <t>Starting Feb 2012 a separate calculation of actual REC Rev's as compared to proforma amounts</t>
  </si>
  <si>
    <t xml:space="preserve">will be included in the ERM and PCA for 2012  A true up of Jan 2012 will be included in the </t>
  </si>
  <si>
    <t>Feb 2012 entry (surcharge direction).</t>
  </si>
  <si>
    <t>Spoke with Liz Andrews, Ron Mckenzie and Bill Johnson - start at 1/1/2012 both ID &amp; WA.</t>
  </si>
  <si>
    <t>ID customers keep any benefit for 10-12/2011 (immaterial at 10%)</t>
  </si>
  <si>
    <t>456 Rev</t>
  </si>
  <si>
    <t>The 2013 WA GRC for Transmission Rev is to only include 456100, no other subtasks (700&amp;705)</t>
  </si>
  <si>
    <t>WASHINGTON POWER COST DEFERRALS - For Our Focus</t>
  </si>
  <si>
    <t>Instructions on How to Calculate the Retail Revenue Credit</t>
  </si>
  <si>
    <t>To Calculate Idaho's Retail Revenue Credit</t>
  </si>
  <si>
    <t>Open File H:\Power Deferrals\Power Deferral Calculation\ID Retail Rev YYYY.xlsx</t>
  </si>
  <si>
    <r>
      <t xml:space="preserve">Discoverer - Open an existing workbook - </t>
    </r>
    <r>
      <rPr>
        <b/>
        <u/>
        <sz val="10"/>
        <rFont val="Arial"/>
        <family val="2"/>
      </rPr>
      <t>Revenue_RateSch_CM_YTD</t>
    </r>
  </si>
  <si>
    <t>Report Period = YYYYMM</t>
  </si>
  <si>
    <t>Rate Schedule = %</t>
  </si>
  <si>
    <t>Choose the Electric Tab at the bottom of page</t>
  </si>
  <si>
    <t>Change the State Code (Top of Screen) from &lt;All&gt; to ID (for Idaho)</t>
  </si>
  <si>
    <t>Enter current month usage at "Total Billed Sales"</t>
  </si>
  <si>
    <t>Check that YTD Usage is correct</t>
  </si>
  <si>
    <t>Deduct Clearwater Paper Generation</t>
  </si>
  <si>
    <t xml:space="preserve">From a file provided by Cheryl Kettner called PotlatchGen.xls </t>
  </si>
  <si>
    <t xml:space="preserve">She will email this file to you every month </t>
  </si>
  <si>
    <t>Enter in Generation MWhs for correct month</t>
  </si>
  <si>
    <t>Prior Month Unbilled</t>
  </si>
  <si>
    <t xml:space="preserve">This is a calculation from the previous month </t>
  </si>
  <si>
    <t xml:space="preserve">Can be verified by checking the Prior Month Unbilled Calculation </t>
  </si>
  <si>
    <t>Information is provided by Rick Lloyd but the file can be found</t>
  </si>
  <si>
    <t>H:\Revenue\Unbilled Revenue\</t>
  </si>
  <si>
    <t>Current Month Unbilled</t>
  </si>
  <si>
    <t>Rest of the file is based on calculations.  The inputs only change with a new</t>
  </si>
  <si>
    <t>rate case.  Bill Johnson, Tara Knox and/or Liz Andrews provide the inputs</t>
  </si>
  <si>
    <t>To Calculate Washington's Retail Revenue Credit</t>
  </si>
  <si>
    <t>Open File H:\Power Deferrals\Power Deferral Calculation\WA Retail Rev YYYY.xlsx</t>
  </si>
  <si>
    <t>Change the State Code (Top of Screen) from &lt;All&gt; to WA (for Washington)</t>
  </si>
  <si>
    <t>glwError (Period)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</si>
</sst>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* #,##0.0_);_(* \(#,##0.0\);_(* &quot;-&quot;??_);_(@_)"/>
    <numFmt numFmtId="167" formatCode="_(&quot;$&quot;* #,##0.00_);_(&quot;$&quot;* \(#,##0.00\);_(&quot;$&quot;* &quot;-&quot;_);_(@_)"/>
    <numFmt numFmtId="168" formatCode="_(* #,##0.0000_);_(* \(#,##0.0000\);_(* &quot;-&quot;??_);_(@_)"/>
    <numFmt numFmtId="169" formatCode="0.000"/>
    <numFmt numFmtId="170" formatCode="_(&quot;$&quot;* #,##0.0_);_(&quot;$&quot;* \(#,##0.0\);_(&quot;$&quot;* &quot;-&quot;??_);_(@_)"/>
    <numFmt numFmtId="171" formatCode="_(&quot;$&quot;* #,##0.000_);_(&quot;$&quot;* \(#,##0.000\);_(&quot;$&quot;* &quot;-&quot;??_);_(@_)"/>
    <numFmt numFmtId="172" formatCode="_(&quot;$&quot;* #,##0.0000_);_(&quot;$&quot;* \(#,##0.0000\);_(&quot;$&quot;* &quot;-&quot;??_);_(@_)"/>
    <numFmt numFmtId="173" formatCode="&quot;$&quot;#,##0;[Red]&quot;$&quot;#,##0"/>
    <numFmt numFmtId="174" formatCode="&quot;$&quot;#,##0"/>
    <numFmt numFmtId="175" formatCode="[$-409]mmm/yy;@"/>
    <numFmt numFmtId="176" formatCode="&quot;$&quot;#,##0.0_);\(&quot;$&quot;#,##0.0\)"/>
    <numFmt numFmtId="177" formatCode="&quot;$&quot;#,##0.00"/>
    <numFmt numFmtId="178" formatCode="0_);\(0\)"/>
    <numFmt numFmtId="179" formatCode="mmmm\ yyyy"/>
  </numFmts>
  <fonts count="43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strike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2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7" fillId="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5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2">
    <xf numFmtId="0" fontId="0" fillId="0" borderId="0" xfId="0"/>
    <xf numFmtId="0" fontId="3" fillId="0" borderId="0" xfId="0" applyFont="1" applyAlignment="1">
      <alignment horizontal="center"/>
    </xf>
    <xf numFmtId="17" fontId="3" fillId="0" borderId="1" xfId="0" applyNumberFormat="1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164" fontId="0" fillId="0" borderId="0" xfId="0" applyNumberFormat="1"/>
    <xf numFmtId="164" fontId="0" fillId="0" borderId="0" xfId="2" applyNumberFormat="1" applyFont="1"/>
    <xf numFmtId="164" fontId="0" fillId="0" borderId="0" xfId="2" applyNumberFormat="1" applyFont="1" applyBorder="1"/>
    <xf numFmtId="164" fontId="0" fillId="0" borderId="1" xfId="0" applyNumberFormat="1" applyBorder="1"/>
    <xf numFmtId="164" fontId="0" fillId="0" borderId="1" xfId="2" applyNumberFormat="1" applyFont="1" applyBorder="1"/>
    <xf numFmtId="164" fontId="5" fillId="3" borderId="0" xfId="2" applyNumberFormat="1" applyFont="1" applyFill="1" applyBorder="1"/>
    <xf numFmtId="165" fontId="0" fillId="0" borderId="0" xfId="2" applyNumberFormat="1" applyFont="1"/>
    <xf numFmtId="0" fontId="6" fillId="0" borderId="0" xfId="0" applyFont="1"/>
    <xf numFmtId="164" fontId="2" fillId="0" borderId="0" xfId="2" applyNumberFormat="1" applyFont="1" applyFill="1"/>
    <xf numFmtId="164" fontId="2" fillId="0" borderId="0" xfId="2" applyNumberFormat="1" applyFont="1" applyFill="1" applyBorder="1"/>
    <xf numFmtId="0" fontId="2" fillId="0" borderId="0" xfId="0" applyFont="1" applyFill="1" applyBorder="1"/>
    <xf numFmtId="0" fontId="2" fillId="0" borderId="0" xfId="0" applyFont="1" applyFill="1"/>
    <xf numFmtId="164" fontId="0" fillId="0" borderId="0" xfId="2" applyNumberFormat="1" applyFont="1" applyAlignment="1">
      <alignment horizontal="right"/>
    </xf>
    <xf numFmtId="164" fontId="2" fillId="0" borderId="0" xfId="2" applyNumberFormat="1" applyFont="1" applyFill="1" applyAlignment="1">
      <alignment horizontal="right"/>
    </xf>
    <xf numFmtId="0" fontId="2" fillId="0" borderId="1" xfId="0" applyFont="1" applyBorder="1"/>
    <xf numFmtId="0" fontId="2" fillId="0" borderId="0" xfId="0" applyFont="1" applyBorder="1"/>
    <xf numFmtId="166" fontId="2" fillId="0" borderId="0" xfId="0" applyNumberFormat="1" applyFont="1" applyBorder="1"/>
    <xf numFmtId="166" fontId="4" fillId="4" borderId="0" xfId="1" applyNumberFormat="1" applyFont="1" applyFill="1"/>
    <xf numFmtId="166" fontId="0" fillId="0" borderId="0" xfId="0" applyNumberFormat="1"/>
    <xf numFmtId="43" fontId="4" fillId="4" borderId="0" xfId="1" applyNumberFormat="1" applyFont="1" applyFill="1"/>
    <xf numFmtId="164" fontId="2" fillId="0" borderId="0" xfId="2" applyNumberFormat="1" applyFont="1"/>
    <xf numFmtId="165" fontId="0" fillId="0" borderId="0" xfId="0" applyNumberFormat="1"/>
    <xf numFmtId="165" fontId="4" fillId="4" borderId="0" xfId="1" applyNumberFormat="1" applyFont="1" applyFill="1"/>
    <xf numFmtId="165" fontId="0" fillId="0" borderId="0" xfId="1" applyNumberFormat="1" applyFont="1"/>
    <xf numFmtId="165" fontId="0" fillId="5" borderId="0" xfId="1" applyNumberFormat="1" applyFont="1" applyFill="1"/>
    <xf numFmtId="165" fontId="0" fillId="0" borderId="1" xfId="0" applyNumberFormat="1" applyBorder="1"/>
    <xf numFmtId="165" fontId="0" fillId="0" borderId="1" xfId="1" applyNumberFormat="1" applyFont="1" applyBorder="1"/>
    <xf numFmtId="165" fontId="0" fillId="0" borderId="0" xfId="1" applyNumberFormat="1" applyFont="1" applyBorder="1"/>
    <xf numFmtId="44" fontId="0" fillId="0" borderId="0" xfId="2" applyFont="1"/>
    <xf numFmtId="167" fontId="0" fillId="0" borderId="0" xfId="3" applyNumberFormat="1" applyFont="1"/>
    <xf numFmtId="43" fontId="0" fillId="0" borderId="0" xfId="0" applyNumberFormat="1"/>
    <xf numFmtId="44" fontId="0" fillId="0" borderId="0" xfId="2" applyFont="1" applyBorder="1"/>
    <xf numFmtId="44" fontId="0" fillId="0" borderId="0" xfId="2" applyFont="1" applyBorder="1" applyAlignment="1">
      <alignment horizontal="right"/>
    </xf>
    <xf numFmtId="168" fontId="0" fillId="0" borderId="0" xfId="0" applyNumberFormat="1"/>
    <xf numFmtId="44" fontId="0" fillId="0" borderId="0" xfId="0" applyNumberFormat="1"/>
    <xf numFmtId="169" fontId="0" fillId="0" borderId="0" xfId="0" applyNumberFormat="1"/>
    <xf numFmtId="170" fontId="0" fillId="0" borderId="0" xfId="2" applyNumberFormat="1" applyFont="1"/>
    <xf numFmtId="0" fontId="7" fillId="0" borderId="0" xfId="0" applyFont="1"/>
    <xf numFmtId="164" fontId="0" fillId="4" borderId="0" xfId="2" applyNumberFormat="1" applyFont="1" applyFill="1"/>
    <xf numFmtId="165" fontId="0" fillId="4" borderId="0" xfId="0" applyNumberFormat="1" applyFill="1"/>
    <xf numFmtId="165" fontId="5" fillId="3" borderId="0" xfId="0" applyNumberFormat="1" applyFont="1" applyFill="1"/>
    <xf numFmtId="164" fontId="0" fillId="0" borderId="0" xfId="2" applyNumberFormat="1" applyFont="1" applyFill="1"/>
    <xf numFmtId="0" fontId="4" fillId="0" borderId="1" xfId="0" applyFont="1" applyBorder="1"/>
    <xf numFmtId="0" fontId="4" fillId="0" borderId="0" xfId="0" applyFont="1" applyFill="1"/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/>
    <xf numFmtId="17" fontId="3" fillId="0" borderId="0" xfId="0" applyNumberFormat="1" applyFont="1" applyFill="1" applyBorder="1" applyAlignment="1">
      <alignment horizontal="centerContinuous"/>
    </xf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164" fontId="0" fillId="0" borderId="1" xfId="2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6" borderId="1" xfId="0" applyFont="1" applyFill="1" applyBorder="1"/>
    <xf numFmtId="0" fontId="0" fillId="0" borderId="0" xfId="0" applyFill="1"/>
    <xf numFmtId="164" fontId="0" fillId="0" borderId="0" xfId="2" applyNumberFormat="1" applyFont="1" applyFill="1" applyBorder="1"/>
    <xf numFmtId="164" fontId="4" fillId="0" borderId="0" xfId="2" applyNumberFormat="1" applyFont="1" applyBorder="1"/>
    <xf numFmtId="164" fontId="0" fillId="0" borderId="2" xfId="2" applyNumberFormat="1" applyFont="1" applyBorder="1"/>
    <xf numFmtId="164" fontId="0" fillId="0" borderId="0" xfId="0" applyNumberFormat="1" applyBorder="1"/>
    <xf numFmtId="164" fontId="0" fillId="0" borderId="3" xfId="2" applyNumberFormat="1" applyFont="1" applyBorder="1"/>
    <xf numFmtId="164" fontId="0" fillId="6" borderId="0" xfId="2" applyNumberFormat="1" applyFont="1" applyFill="1" applyBorder="1"/>
    <xf numFmtId="164" fontId="0" fillId="5" borderId="0" xfId="2" applyNumberFormat="1" applyFont="1" applyFill="1" applyBorder="1"/>
    <xf numFmtId="165" fontId="0" fillId="0" borderId="0" xfId="2" applyNumberFormat="1" applyFont="1" applyFill="1" applyBorder="1"/>
    <xf numFmtId="0" fontId="8" fillId="0" borderId="0" xfId="0" applyFont="1"/>
    <xf numFmtId="164" fontId="0" fillId="7" borderId="4" xfId="2" applyNumberFormat="1" applyFont="1" applyFill="1" applyBorder="1"/>
    <xf numFmtId="164" fontId="0" fillId="7" borderId="0" xfId="2" applyNumberFormat="1" applyFont="1" applyFill="1"/>
    <xf numFmtId="164" fontId="0" fillId="0" borderId="4" xfId="2" applyNumberFormat="1" applyFont="1" applyBorder="1"/>
    <xf numFmtId="9" fontId="0" fillId="0" borderId="0" xfId="2" applyNumberFormat="1" applyFont="1" applyFill="1" applyBorder="1" applyAlignment="1">
      <alignment horizontal="right"/>
    </xf>
    <xf numFmtId="164" fontId="0" fillId="0" borderId="5" xfId="2" applyNumberFormat="1" applyFont="1" applyFill="1" applyBorder="1"/>
    <xf numFmtId="164" fontId="0" fillId="8" borderId="0" xfId="2" applyNumberFormat="1" applyFont="1" applyFill="1" applyBorder="1"/>
    <xf numFmtId="164" fontId="0" fillId="7" borderId="1" xfId="2" applyNumberFormat="1" applyFont="1" applyFill="1" applyBorder="1" applyAlignment="1">
      <alignment horizontal="center"/>
    </xf>
    <xf numFmtId="164" fontId="0" fillId="5" borderId="1" xfId="2" applyNumberFormat="1" applyFont="1" applyFill="1" applyBorder="1" applyAlignment="1">
      <alignment horizontal="center"/>
    </xf>
    <xf numFmtId="43" fontId="8" fillId="0" borderId="0" xfId="1" applyFont="1" applyFill="1" applyBorder="1"/>
    <xf numFmtId="164" fontId="0" fillId="0" borderId="0" xfId="2" applyNumberFormat="1" applyFont="1" applyFill="1" applyBorder="1" applyAlignment="1">
      <alignment horizontal="center"/>
    </xf>
    <xf numFmtId="0" fontId="2" fillId="0" borderId="0" xfId="0" applyFont="1"/>
    <xf numFmtId="165" fontId="2" fillId="0" borderId="0" xfId="1" applyNumberFormat="1" applyFont="1"/>
    <xf numFmtId="164" fontId="0" fillId="0" borderId="0" xfId="0" applyNumberFormat="1" applyFill="1"/>
    <xf numFmtId="165" fontId="0" fillId="0" borderId="0" xfId="1" applyNumberFormat="1" applyFont="1" applyFill="1"/>
    <xf numFmtId="165" fontId="0" fillId="0" borderId="0" xfId="1" applyNumberFormat="1" applyFont="1" applyFill="1" applyBorder="1"/>
    <xf numFmtId="164" fontId="0" fillId="6" borderId="0" xfId="0" applyNumberFormat="1" applyFill="1"/>
    <xf numFmtId="165" fontId="2" fillId="0" borderId="0" xfId="1" applyNumberFormat="1" applyFont="1" applyFill="1" applyBorder="1"/>
    <xf numFmtId="165" fontId="0" fillId="0" borderId="0" xfId="0" applyNumberFormat="1" applyFill="1" applyBorder="1"/>
    <xf numFmtId="165" fontId="2" fillId="5" borderId="0" xfId="1" applyNumberFormat="1" applyFont="1" applyFill="1" applyBorder="1"/>
    <xf numFmtId="165" fontId="2" fillId="0" borderId="0" xfId="1" applyNumberFormat="1" applyFont="1" applyFill="1"/>
    <xf numFmtId="165" fontId="4" fillId="0" borderId="0" xfId="1" applyNumberFormat="1" applyFont="1" applyFill="1" applyBorder="1"/>
    <xf numFmtId="164" fontId="0" fillId="0" borderId="0" xfId="0" applyNumberFormat="1" applyFill="1" applyBorder="1"/>
    <xf numFmtId="164" fontId="0" fillId="9" borderId="0" xfId="2" applyNumberFormat="1" applyFont="1" applyFill="1"/>
    <xf numFmtId="164" fontId="0" fillId="9" borderId="0" xfId="0" applyNumberFormat="1" applyFill="1"/>
    <xf numFmtId="164" fontId="2" fillId="9" borderId="0" xfId="0" applyNumberFormat="1" applyFont="1" applyFill="1"/>
    <xf numFmtId="164" fontId="2" fillId="5" borderId="0" xfId="2" applyNumberFormat="1" applyFont="1" applyFill="1" applyBorder="1"/>
    <xf numFmtId="171" fontId="0" fillId="0" borderId="0" xfId="0" applyNumberFormat="1"/>
    <xf numFmtId="44" fontId="0" fillId="0" borderId="0" xfId="2" applyFont="1" applyFill="1" applyBorder="1"/>
    <xf numFmtId="172" fontId="0" fillId="0" borderId="0" xfId="2" applyNumberFormat="1" applyFont="1"/>
    <xf numFmtId="171" fontId="0" fillId="0" borderId="0" xfId="0" applyNumberFormat="1" applyFill="1" applyBorder="1"/>
    <xf numFmtId="172" fontId="0" fillId="0" borderId="0" xfId="2" applyNumberFormat="1" applyFont="1" applyFill="1" applyBorder="1"/>
    <xf numFmtId="43" fontId="0" fillId="0" borderId="0" xfId="1" applyNumberFormat="1" applyFont="1" applyFill="1" applyBorder="1"/>
    <xf numFmtId="43" fontId="0" fillId="0" borderId="0" xfId="0" applyNumberFormat="1" applyFill="1" applyBorder="1"/>
    <xf numFmtId="167" fontId="0" fillId="10" borderId="0" xfId="3" applyNumberFormat="1" applyFont="1" applyFill="1"/>
    <xf numFmtId="44" fontId="0" fillId="0" borderId="0" xfId="2" applyFont="1" applyFill="1"/>
    <xf numFmtId="44" fontId="0" fillId="5" borderId="0" xfId="2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0" borderId="0" xfId="0" applyFill="1" applyBorder="1" applyAlignment="1">
      <alignment horizontal="center"/>
    </xf>
    <xf numFmtId="164" fontId="0" fillId="5" borderId="0" xfId="2" applyNumberFormat="1" applyFont="1" applyFill="1"/>
    <xf numFmtId="164" fontId="0" fillId="6" borderId="0" xfId="2" applyNumberFormat="1" applyFont="1" applyFill="1"/>
    <xf numFmtId="164" fontId="2" fillId="0" borderId="0" xfId="2" applyNumberFormat="1" applyFont="1" applyProtection="1">
      <protection locked="0"/>
    </xf>
    <xf numFmtId="3" fontId="2" fillId="0" borderId="0" xfId="1" applyNumberFormat="1" applyFont="1" applyProtection="1">
      <protection locked="0"/>
    </xf>
    <xf numFmtId="3" fontId="0" fillId="0" borderId="0" xfId="0" applyNumberFormat="1" applyFill="1" applyBorder="1"/>
    <xf numFmtId="0" fontId="0" fillId="6" borderId="0" xfId="0" applyFill="1" applyBorder="1"/>
    <xf numFmtId="0" fontId="0" fillId="6" borderId="0" xfId="0" applyFill="1" applyBorder="1" applyAlignment="1">
      <alignment horizontal="right"/>
    </xf>
    <xf numFmtId="165" fontId="0" fillId="6" borderId="0" xfId="0" applyNumberFormat="1" applyFill="1" applyBorder="1"/>
    <xf numFmtId="44" fontId="0" fillId="0" borderId="0" xfId="2" applyFont="1" applyFill="1" applyBorder="1" applyAlignment="1">
      <alignment horizontal="center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right"/>
    </xf>
    <xf numFmtId="173" fontId="0" fillId="0" borderId="0" xfId="0" applyNumberForma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0" fillId="0" borderId="0" xfId="0" applyFont="1"/>
    <xf numFmtId="0" fontId="5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center"/>
    </xf>
    <xf numFmtId="5" fontId="2" fillId="0" borderId="0" xfId="1" applyNumberFormat="1" applyFont="1" applyBorder="1"/>
    <xf numFmtId="5" fontId="2" fillId="0" borderId="0" xfId="1" applyNumberFormat="1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/>
    </xf>
    <xf numFmtId="0" fontId="5" fillId="0" borderId="7" xfId="0" applyFont="1" applyBorder="1"/>
    <xf numFmtId="5" fontId="5" fillId="0" borderId="7" xfId="1" applyNumberFormat="1" applyFont="1" applyBorder="1"/>
    <xf numFmtId="0" fontId="2" fillId="11" borderId="0" xfId="0" applyFont="1" applyFill="1" applyBorder="1"/>
    <xf numFmtId="0" fontId="4" fillId="11" borderId="0" xfId="0" applyFont="1" applyFill="1" applyBorder="1"/>
    <xf numFmtId="0" fontId="2" fillId="11" borderId="0" xfId="0" applyFont="1" applyFill="1" applyBorder="1" applyAlignment="1">
      <alignment horizontal="left" indent="1"/>
    </xf>
    <xf numFmtId="5" fontId="5" fillId="0" borderId="7" xfId="0" applyNumberFormat="1" applyFont="1" applyBorder="1"/>
    <xf numFmtId="0" fontId="2" fillId="0" borderId="7" xfId="0" applyFont="1" applyFill="1" applyBorder="1"/>
    <xf numFmtId="5" fontId="2" fillId="0" borderId="7" xfId="2" applyNumberFormat="1" applyFont="1" applyFill="1" applyBorder="1"/>
    <xf numFmtId="5" fontId="2" fillId="0" borderId="0" xfId="0" applyNumberFormat="1" applyFont="1" applyFill="1" applyBorder="1"/>
    <xf numFmtId="5" fontId="2" fillId="0" borderId="0" xfId="2" applyNumberFormat="1" applyFont="1" applyBorder="1"/>
    <xf numFmtId="5" fontId="2" fillId="12" borderId="0" xfId="4" applyNumberFormat="1" applyFont="1" applyFill="1" applyBorder="1"/>
    <xf numFmtId="5" fontId="5" fillId="0" borderId="6" xfId="2" applyNumberFormat="1" applyFont="1" applyFill="1" applyBorder="1" applyAlignment="1">
      <alignment vertical="center"/>
    </xf>
    <xf numFmtId="174" fontId="3" fillId="0" borderId="7" xfId="2" applyNumberFormat="1" applyFont="1" applyBorder="1"/>
    <xf numFmtId="5" fontId="5" fillId="0" borderId="7" xfId="2" applyNumberFormat="1" applyFont="1" applyFill="1" applyBorder="1"/>
    <xf numFmtId="0" fontId="2" fillId="12" borderId="0" xfId="0" applyFont="1" applyFill="1" applyBorder="1"/>
    <xf numFmtId="3" fontId="4" fillId="12" borderId="0" xfId="1" applyNumberFormat="1" applyFont="1" applyFill="1" applyBorder="1"/>
    <xf numFmtId="9" fontId="2" fillId="12" borderId="0" xfId="1" applyNumberFormat="1" applyFont="1" applyFill="1" applyBorder="1"/>
    <xf numFmtId="9" fontId="4" fillId="4" borderId="0" xfId="1" applyNumberFormat="1" applyFont="1" applyFill="1" applyBorder="1"/>
    <xf numFmtId="5" fontId="2" fillId="0" borderId="0" xfId="2" applyNumberFormat="1" applyFont="1" applyFill="1" applyBorder="1"/>
    <xf numFmtId="3" fontId="2" fillId="0" borderId="0" xfId="2" applyNumberFormat="1" applyFont="1" applyFill="1" applyBorder="1" applyAlignment="1"/>
    <xf numFmtId="2" fontId="2" fillId="0" borderId="0" xfId="0" applyNumberFormat="1" applyFont="1" applyBorder="1"/>
    <xf numFmtId="0" fontId="2" fillId="10" borderId="0" xfId="0" applyFont="1" applyFill="1" applyBorder="1"/>
    <xf numFmtId="164" fontId="2" fillId="10" borderId="0" xfId="2" applyNumberFormat="1" applyFont="1" applyFill="1" applyBorder="1" applyAlignment="1"/>
    <xf numFmtId="5" fontId="2" fillId="1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165" fontId="2" fillId="0" borderId="0" xfId="1" applyNumberFormat="1" applyFont="1" applyBorder="1" applyAlignment="1"/>
    <xf numFmtId="0" fontId="2" fillId="0" borderId="0" xfId="0" applyFont="1" applyBorder="1" applyAlignment="1"/>
    <xf numFmtId="5" fontId="5" fillId="0" borderId="7" xfId="2" applyNumberFormat="1" applyFont="1" applyFill="1" applyBorder="1" applyAlignment="1">
      <alignment vertical="center"/>
    </xf>
    <xf numFmtId="0" fontId="2" fillId="0" borderId="8" xfId="0" applyFont="1" applyBorder="1"/>
    <xf numFmtId="5" fontId="5" fillId="0" borderId="8" xfId="2" applyNumberFormat="1" applyFont="1" applyFill="1" applyBorder="1" applyAlignment="1">
      <alignment vertical="center"/>
    </xf>
    <xf numFmtId="5" fontId="2" fillId="0" borderId="0" xfId="0" applyNumberFormat="1" applyFont="1" applyBorder="1"/>
    <xf numFmtId="0" fontId="5" fillId="0" borderId="1" xfId="0" applyFont="1" applyBorder="1" applyAlignment="1">
      <alignment horizontal="center"/>
    </xf>
    <xf numFmtId="5" fontId="2" fillId="0" borderId="0" xfId="1" applyNumberFormat="1" applyFont="1" applyFill="1"/>
    <xf numFmtId="0" fontId="2" fillId="0" borderId="0" xfId="0" applyFont="1" applyFill="1" applyAlignment="1">
      <alignment horizontal="left"/>
    </xf>
    <xf numFmtId="5" fontId="2" fillId="0" borderId="0" xfId="1" applyNumberFormat="1" applyFont="1" applyFill="1" applyProtection="1">
      <protection locked="0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5" fontId="5" fillId="0" borderId="0" xfId="1" applyNumberFormat="1" applyFont="1" applyFill="1" applyBorder="1" applyProtection="1">
      <protection locked="0"/>
    </xf>
    <xf numFmtId="5" fontId="2" fillId="0" borderId="0" xfId="0" applyNumberFormat="1" applyFont="1" applyFill="1" applyAlignment="1" applyProtection="1">
      <alignment horizontal="center"/>
      <protection locked="0"/>
    </xf>
    <xf numFmtId="5" fontId="0" fillId="0" borderId="0" xfId="0" applyNumberFormat="1"/>
    <xf numFmtId="0" fontId="9" fillId="0" borderId="0" xfId="0" applyFont="1" applyFill="1"/>
    <xf numFmtId="0" fontId="0" fillId="0" borderId="0" xfId="0" applyFill="1" applyAlignment="1">
      <alignment horizontal="right"/>
    </xf>
    <xf numFmtId="0" fontId="27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5" fillId="0" borderId="7" xfId="0" applyFont="1" applyFill="1" applyBorder="1" applyAlignment="1">
      <alignment vertical="center"/>
    </xf>
    <xf numFmtId="0" fontId="23" fillId="0" borderId="0" xfId="0" applyFont="1" applyFill="1"/>
    <xf numFmtId="5" fontId="2" fillId="0" borderId="1" xfId="2" applyNumberFormat="1" applyFont="1" applyFill="1" applyBorder="1"/>
    <xf numFmtId="0" fontId="5" fillId="0" borderId="0" xfId="0" applyFont="1" applyFill="1"/>
    <xf numFmtId="5" fontId="5" fillId="0" borderId="0" xfId="2" applyNumberFormat="1" applyFont="1" applyFill="1"/>
    <xf numFmtId="174" fontId="0" fillId="0" borderId="0" xfId="0" applyNumberFormat="1"/>
    <xf numFmtId="0" fontId="0" fillId="0" borderId="1" xfId="0" applyFill="1" applyBorder="1"/>
    <xf numFmtId="0" fontId="27" fillId="0" borderId="7" xfId="0" applyFont="1" applyFill="1" applyBorder="1" applyAlignment="1">
      <alignment vertical="center"/>
    </xf>
    <xf numFmtId="0" fontId="18" fillId="0" borderId="0" xfId="0" applyFont="1" applyFill="1"/>
    <xf numFmtId="0" fontId="24" fillId="0" borderId="0" xfId="0" applyFont="1" applyFill="1" applyAlignment="1">
      <alignment horizontal="left"/>
    </xf>
    <xf numFmtId="0" fontId="18" fillId="0" borderId="1" xfId="0" applyFont="1" applyFill="1" applyBorder="1"/>
    <xf numFmtId="0" fontId="5" fillId="0" borderId="7" xfId="0" applyFont="1" applyFill="1" applyBorder="1" applyAlignment="1">
      <alignment horizontal="left" vertical="center"/>
    </xf>
    <xf numFmtId="5" fontId="5" fillId="0" borderId="7" xfId="0" applyNumberFormat="1" applyFont="1" applyFill="1" applyBorder="1" applyAlignment="1">
      <alignment vertical="center"/>
    </xf>
    <xf numFmtId="5" fontId="2" fillId="0" borderId="0" xfId="2" applyNumberFormat="1" applyFont="1" applyFill="1"/>
    <xf numFmtId="0" fontId="2" fillId="0" borderId="1" xfId="0" applyFont="1" applyFill="1" applyBorder="1"/>
    <xf numFmtId="0" fontId="7" fillId="0" borderId="0" xfId="0" applyFont="1" applyFill="1"/>
    <xf numFmtId="5" fontId="2" fillId="0" borderId="1" xfId="1" applyNumberFormat="1" applyFont="1" applyFill="1" applyBorder="1"/>
    <xf numFmtId="5" fontId="5" fillId="0" borderId="7" xfId="1" applyNumberFormat="1" applyFont="1" applyFill="1" applyBorder="1" applyAlignment="1">
      <alignment vertical="center"/>
    </xf>
    <xf numFmtId="5" fontId="2" fillId="0" borderId="0" xfId="2" applyNumberFormat="1" applyFill="1" applyBorder="1"/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5" fontId="2" fillId="0" borderId="1" xfId="2" applyNumberFormat="1" applyFill="1" applyBorder="1"/>
    <xf numFmtId="0" fontId="16" fillId="0" borderId="0" xfId="0" applyFont="1" applyFill="1"/>
    <xf numFmtId="0" fontId="5" fillId="0" borderId="0" xfId="0" applyFont="1" applyFill="1" applyAlignment="1">
      <alignment horizontal="left"/>
    </xf>
    <xf numFmtId="0" fontId="18" fillId="0" borderId="0" xfId="0" applyFont="1" applyFill="1" applyAlignment="1">
      <alignment horizontal="right"/>
    </xf>
    <xf numFmtId="0" fontId="5" fillId="0" borderId="8" xfId="0" applyFont="1" applyFill="1" applyBorder="1" applyAlignment="1">
      <alignment vertical="center"/>
    </xf>
    <xf numFmtId="5" fontId="5" fillId="0" borderId="8" xfId="1" applyNumberFormat="1" applyFont="1" applyFill="1" applyBorder="1" applyAlignment="1">
      <alignment vertical="center"/>
    </xf>
    <xf numFmtId="165" fontId="12" fillId="0" borderId="0" xfId="0" applyNumberFormat="1" applyFont="1" applyFill="1" applyAlignment="1">
      <alignment vertical="center"/>
    </xf>
    <xf numFmtId="165" fontId="33" fillId="0" borderId="7" xfId="1" applyNumberFormat="1" applyFont="1" applyFill="1" applyBorder="1" applyAlignment="1">
      <alignment vertical="center"/>
    </xf>
    <xf numFmtId="0" fontId="0" fillId="0" borderId="10" xfId="0" applyBorder="1"/>
    <xf numFmtId="0" fontId="5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10" xfId="0" applyFont="1" applyBorder="1"/>
    <xf numFmtId="17" fontId="5" fillId="0" borderId="0" xfId="0" applyNumberFormat="1" applyFont="1"/>
    <xf numFmtId="10" fontId="0" fillId="0" borderId="0" xfId="3" applyNumberFormat="1" applyFont="1"/>
    <xf numFmtId="0" fontId="5" fillId="0" borderId="6" xfId="0" applyFont="1" applyBorder="1"/>
    <xf numFmtId="5" fontId="5" fillId="0" borderId="6" xfId="0" applyNumberFormat="1" applyFont="1" applyBorder="1"/>
    <xf numFmtId="14" fontId="0" fillId="0" borderId="0" xfId="0" applyNumberFormat="1"/>
    <xf numFmtId="0" fontId="5" fillId="0" borderId="0" xfId="0" applyFont="1" applyBorder="1" applyAlignment="1"/>
    <xf numFmtId="0" fontId="13" fillId="0" borderId="0" xfId="0" applyFont="1" applyBorder="1" applyAlignment="1"/>
    <xf numFmtId="175" fontId="39" fillId="0" borderId="1" xfId="0" applyNumberFormat="1" applyFont="1" applyBorder="1" applyAlignment="1">
      <alignment horizontal="center"/>
    </xf>
    <xf numFmtId="5" fontId="40" fillId="11" borderId="0" xfId="2" applyNumberFormat="1" applyFont="1" applyFill="1" applyBorder="1"/>
    <xf numFmtId="5" fontId="40" fillId="11" borderId="0" xfId="1" applyNumberFormat="1" applyFont="1" applyFill="1" applyBorder="1"/>
    <xf numFmtId="5" fontId="40" fillId="11" borderId="0" xfId="0" applyNumberFormat="1" applyFont="1" applyFill="1" applyBorder="1"/>
    <xf numFmtId="10" fontId="40" fillId="11" borderId="0" xfId="3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5" fontId="40" fillId="11" borderId="0" xfId="0" applyNumberFormat="1" applyFont="1" applyFill="1" applyBorder="1" applyAlignment="1">
      <alignment vertical="center"/>
    </xf>
    <xf numFmtId="5" fontId="14" fillId="11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13" fillId="0" borderId="0" xfId="0" applyFont="1"/>
    <xf numFmtId="0" fontId="2" fillId="0" borderId="0" xfId="5" applyFont="1"/>
    <xf numFmtId="0" fontId="13" fillId="0" borderId="0" xfId="5" applyFont="1"/>
    <xf numFmtId="0" fontId="2" fillId="0" borderId="0" xfId="5"/>
    <xf numFmtId="0" fontId="5" fillId="0" borderId="0" xfId="5" applyFont="1"/>
    <xf numFmtId="5" fontId="5" fillId="0" borderId="6" xfId="2" applyNumberFormat="1" applyFont="1" applyFill="1" applyBorder="1" applyAlignment="1">
      <alignment horizontal="right" vertical="center"/>
    </xf>
    <xf numFmtId="0" fontId="12" fillId="0" borderId="0" xfId="0" applyFont="1" applyFill="1"/>
    <xf numFmtId="0" fontId="31" fillId="0" borderId="7" xfId="0" applyFont="1" applyFill="1" applyBorder="1" applyAlignment="1">
      <alignment vertical="center"/>
    </xf>
    <xf numFmtId="17" fontId="31" fillId="0" borderId="7" xfId="0" applyNumberFormat="1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left" vertical="center"/>
    </xf>
    <xf numFmtId="165" fontId="32" fillId="0" borderId="0" xfId="1" applyNumberFormat="1" applyFont="1" applyFill="1" applyAlignment="1">
      <alignment vertical="center"/>
    </xf>
    <xf numFmtId="165" fontId="12" fillId="0" borderId="0" xfId="0" applyNumberFormat="1" applyFont="1" applyFill="1"/>
    <xf numFmtId="0" fontId="12" fillId="0" borderId="0" xfId="0" applyFont="1" applyFill="1" applyAlignment="1">
      <alignment vertical="center"/>
    </xf>
    <xf numFmtId="165" fontId="12" fillId="0" borderId="0" xfId="1" applyNumberFormat="1" applyFont="1" applyFill="1" applyAlignment="1">
      <alignment vertical="center"/>
    </xf>
    <xf numFmtId="0" fontId="12" fillId="0" borderId="0" xfId="0" applyFont="1" applyFill="1" applyAlignment="1">
      <alignment horizontal="center"/>
    </xf>
    <xf numFmtId="0" fontId="13" fillId="0" borderId="7" xfId="0" applyFont="1" applyFill="1" applyBorder="1" applyAlignment="1">
      <alignment horizontal="left" vertical="center"/>
    </xf>
    <xf numFmtId="165" fontId="13" fillId="0" borderId="7" xfId="1" applyNumberFormat="1" applyFont="1" applyFill="1" applyBorder="1" applyAlignment="1">
      <alignment vertical="center"/>
    </xf>
    <xf numFmtId="165" fontId="13" fillId="0" borderId="7" xfId="0" applyNumberFormat="1" applyFont="1" applyFill="1" applyBorder="1" applyAlignment="1">
      <alignment vertical="center"/>
    </xf>
    <xf numFmtId="165" fontId="12" fillId="0" borderId="0" xfId="1" applyNumberFormat="1" applyFont="1" applyFill="1"/>
    <xf numFmtId="0" fontId="13" fillId="0" borderId="0" xfId="0" quotePrefix="1" applyFont="1" applyFill="1" applyAlignment="1">
      <alignment horizontal="left" vertical="center"/>
    </xf>
    <xf numFmtId="165" fontId="30" fillId="0" borderId="0" xfId="1" applyNumberFormat="1" applyFont="1" applyFill="1" applyAlignment="1">
      <alignment vertical="center"/>
    </xf>
    <xf numFmtId="165" fontId="13" fillId="0" borderId="0" xfId="0" applyNumberFormat="1" applyFont="1" applyFill="1" applyAlignment="1">
      <alignment vertical="center"/>
    </xf>
    <xf numFmtId="0" fontId="13" fillId="0" borderId="7" xfId="0" applyFont="1" applyFill="1" applyBorder="1" applyAlignment="1">
      <alignment vertical="center"/>
    </xf>
    <xf numFmtId="165" fontId="33" fillId="0" borderId="7" xfId="0" applyNumberFormat="1" applyFont="1" applyFill="1" applyBorder="1" applyAlignment="1">
      <alignment vertical="center"/>
    </xf>
    <xf numFmtId="177" fontId="34" fillId="0" borderId="0" xfId="0" applyNumberFormat="1" applyFont="1" applyFill="1" applyAlignment="1">
      <alignment horizontal="right" vertical="center"/>
    </xf>
    <xf numFmtId="0" fontId="13" fillId="0" borderId="8" xfId="0" applyFont="1" applyFill="1" applyBorder="1" applyAlignment="1">
      <alignment vertical="center"/>
    </xf>
    <xf numFmtId="5" fontId="13" fillId="0" borderId="8" xfId="0" applyNumberFormat="1" applyFont="1" applyFill="1" applyBorder="1" applyAlignment="1">
      <alignment vertical="center"/>
    </xf>
    <xf numFmtId="0" fontId="12" fillId="0" borderId="0" xfId="0" quotePrefix="1" applyFont="1" applyFill="1" applyAlignment="1">
      <alignment horizontal="left"/>
    </xf>
    <xf numFmtId="0" fontId="35" fillId="0" borderId="0" xfId="0" applyFont="1" applyFill="1" applyAlignment="1">
      <alignment horizontal="left"/>
    </xf>
    <xf numFmtId="0" fontId="13" fillId="0" borderId="7" xfId="0" applyFont="1" applyFill="1" applyBorder="1" applyAlignment="1">
      <alignment horizontal="left" vertical="center" wrapText="1"/>
    </xf>
    <xf numFmtId="17" fontId="31" fillId="0" borderId="7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wrapText="1"/>
    </xf>
    <xf numFmtId="5" fontId="13" fillId="0" borderId="0" xfId="0" applyNumberFormat="1" applyFont="1" applyFill="1" applyBorder="1" applyAlignment="1">
      <alignment vertical="center"/>
    </xf>
    <xf numFmtId="0" fontId="36" fillId="0" borderId="0" xfId="0" applyFont="1" applyFill="1" applyBorder="1"/>
    <xf numFmtId="0" fontId="37" fillId="0" borderId="0" xfId="0" applyFont="1" applyFill="1" applyBorder="1" applyAlignment="1">
      <alignment horizontal="center"/>
    </xf>
    <xf numFmtId="0" fontId="13" fillId="0" borderId="0" xfId="0" applyFont="1" applyFill="1" applyBorder="1"/>
    <xf numFmtId="5" fontId="12" fillId="0" borderId="0" xfId="1" applyNumberFormat="1" applyFont="1" applyFill="1" applyBorder="1"/>
    <xf numFmtId="165" fontId="12" fillId="0" borderId="0" xfId="0" applyNumberFormat="1" applyFont="1" applyFill="1" applyBorder="1"/>
    <xf numFmtId="0" fontId="38" fillId="0" borderId="0" xfId="0" applyFont="1" applyFill="1" applyBorder="1" applyAlignment="1">
      <alignment horizontal="center"/>
    </xf>
    <xf numFmtId="0" fontId="13" fillId="0" borderId="0" xfId="0" applyFont="1" applyFill="1"/>
    <xf numFmtId="5" fontId="34" fillId="0" borderId="0" xfId="0" applyNumberFormat="1" applyFont="1" applyFill="1"/>
    <xf numFmtId="5" fontId="12" fillId="0" borderId="0" xfId="0" applyNumberFormat="1" applyFont="1" applyFill="1"/>
    <xf numFmtId="0" fontId="35" fillId="0" borderId="0" xfId="0" applyFont="1" applyFill="1"/>
    <xf numFmtId="0" fontId="0" fillId="0" borderId="0" xfId="0" applyFill="1" applyAlignment="1">
      <alignment horizontal="center"/>
    </xf>
    <xf numFmtId="165" fontId="2" fillId="0" borderId="0" xfId="1" applyNumberFormat="1" applyFill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center"/>
    </xf>
    <xf numFmtId="17" fontId="5" fillId="0" borderId="0" xfId="0" applyNumberFormat="1" applyFont="1" applyFill="1" applyBorder="1"/>
    <xf numFmtId="5" fontId="0" fillId="0" borderId="0" xfId="0" applyNumberFormat="1" applyFill="1" applyBorder="1"/>
    <xf numFmtId="5" fontId="0" fillId="0" borderId="0" xfId="1" applyNumberFormat="1" applyFont="1" applyFill="1"/>
    <xf numFmtId="0" fontId="25" fillId="0" borderId="0" xfId="0" applyFont="1" applyFill="1" applyAlignment="1">
      <alignment horizontal="left"/>
    </xf>
    <xf numFmtId="5" fontId="14" fillId="0" borderId="0" xfId="1" applyNumberFormat="1" applyFont="1" applyFill="1"/>
    <xf numFmtId="5" fontId="14" fillId="0" borderId="0" xfId="1" applyNumberFormat="1" applyFont="1" applyFill="1" applyProtection="1">
      <protection locked="0"/>
    </xf>
    <xf numFmtId="0" fontId="0" fillId="0" borderId="0" xfId="0" applyFill="1" applyAlignment="1">
      <alignment horizontal="left"/>
    </xf>
    <xf numFmtId="0" fontId="5" fillId="0" borderId="7" xfId="0" applyFont="1" applyFill="1" applyBorder="1" applyAlignment="1">
      <alignment horizontal="center" vertical="center"/>
    </xf>
    <xf numFmtId="5" fontId="5" fillId="0" borderId="7" xfId="1" applyNumberFormat="1" applyFont="1" applyFill="1" applyBorder="1" applyAlignment="1">
      <alignment horizontal="right" vertical="center"/>
    </xf>
    <xf numFmtId="5" fontId="5" fillId="0" borderId="8" xfId="1" applyNumberFormat="1" applyFont="1" applyFill="1" applyBorder="1" applyAlignment="1">
      <alignment horizontal="right"/>
    </xf>
    <xf numFmtId="5" fontId="0" fillId="0" borderId="0" xfId="0" applyNumberFormat="1" applyFill="1"/>
    <xf numFmtId="165" fontId="2" fillId="0" borderId="0" xfId="1" applyNumberFormat="1" applyFill="1"/>
    <xf numFmtId="5" fontId="0" fillId="0" borderId="1" xfId="0" applyNumberFormat="1" applyFill="1" applyBorder="1"/>
    <xf numFmtId="5" fontId="14" fillId="0" borderId="1" xfId="1" applyNumberFormat="1" applyFont="1" applyFill="1" applyBorder="1"/>
    <xf numFmtId="5" fontId="14" fillId="0" borderId="0" xfId="1" applyNumberFormat="1" applyFont="1" applyFill="1" applyBorder="1"/>
    <xf numFmtId="0" fontId="5" fillId="0" borderId="0" xfId="0" applyFont="1" applyFill="1" applyAlignment="1">
      <alignment horizontal="center"/>
    </xf>
    <xf numFmtId="5" fontId="5" fillId="0" borderId="0" xfId="0" applyNumberFormat="1" applyFont="1" applyFill="1"/>
    <xf numFmtId="5" fontId="5" fillId="0" borderId="0" xfId="0" applyNumberFormat="1" applyFont="1" applyFill="1" applyBorder="1"/>
    <xf numFmtId="5" fontId="2" fillId="0" borderId="0" xfId="1" applyNumberFormat="1" applyFill="1" applyBorder="1"/>
    <xf numFmtId="0" fontId="2" fillId="0" borderId="0" xfId="0" applyFont="1" applyFill="1" applyAlignment="1">
      <alignment vertical="top"/>
    </xf>
    <xf numFmtId="5" fontId="5" fillId="0" borderId="0" xfId="1" applyNumberFormat="1" applyFont="1" applyFill="1" applyBorder="1" applyAlignment="1">
      <alignment horizontal="right"/>
    </xf>
    <xf numFmtId="165" fontId="2" fillId="0" borderId="0" xfId="1" applyNumberFormat="1" applyFill="1" applyBorder="1"/>
    <xf numFmtId="176" fontId="2" fillId="0" borderId="0" xfId="1" applyNumberFormat="1" applyFill="1" applyBorder="1"/>
    <xf numFmtId="5" fontId="0" fillId="0" borderId="1" xfId="1" applyNumberFormat="1" applyFont="1" applyFill="1" applyBorder="1"/>
    <xf numFmtId="176" fontId="5" fillId="0" borderId="0" xfId="1" applyNumberFormat="1" applyFont="1" applyFill="1" applyBorder="1"/>
    <xf numFmtId="176" fontId="2" fillId="0" borderId="0" xfId="1" applyNumberFormat="1" applyFont="1" applyFill="1" applyBorder="1"/>
    <xf numFmtId="5" fontId="2" fillId="0" borderId="0" xfId="0" applyNumberFormat="1" applyFont="1" applyFill="1"/>
    <xf numFmtId="5" fontId="2" fillId="0" borderId="1" xfId="0" applyNumberFormat="1" applyFont="1" applyFill="1" applyBorder="1"/>
    <xf numFmtId="176" fontId="5" fillId="0" borderId="0" xfId="1" applyNumberFormat="1" applyFont="1" applyFill="1" applyBorder="1" applyAlignment="1">
      <alignment horizontal="right"/>
    </xf>
    <xf numFmtId="165" fontId="0" fillId="0" borderId="0" xfId="0" applyNumberFormat="1" applyFill="1"/>
    <xf numFmtId="165" fontId="14" fillId="0" borderId="0" xfId="1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2" applyNumberFormat="1" applyFill="1"/>
    <xf numFmtId="177" fontId="2" fillId="0" borderId="0" xfId="2" applyNumberFormat="1" applyFill="1" applyBorder="1"/>
    <xf numFmtId="177" fontId="2" fillId="0" borderId="0" xfId="2" applyNumberFormat="1" applyFill="1"/>
    <xf numFmtId="174" fontId="2" fillId="0" borderId="0" xfId="1" applyNumberFormat="1" applyFill="1" applyBorder="1"/>
    <xf numFmtId="174" fontId="0" fillId="0" borderId="0" xfId="0" applyNumberFormat="1" applyFill="1"/>
    <xf numFmtId="174" fontId="0" fillId="0" borderId="1" xfId="0" applyNumberFormat="1" applyFill="1" applyBorder="1"/>
    <xf numFmtId="174" fontId="5" fillId="0" borderId="0" xfId="1" applyNumberFormat="1" applyFont="1" applyFill="1" applyBorder="1"/>
    <xf numFmtId="174" fontId="5" fillId="0" borderId="7" xfId="0" applyNumberFormat="1" applyFont="1" applyFill="1" applyBorder="1"/>
    <xf numFmtId="174" fontId="0" fillId="0" borderId="0" xfId="0" applyNumberFormat="1" applyFill="1" applyBorder="1"/>
    <xf numFmtId="174" fontId="27" fillId="0" borderId="0" xfId="1" applyNumberFormat="1" applyFont="1" applyFill="1" applyBorder="1" applyAlignment="1">
      <alignment horizontal="right"/>
    </xf>
    <xf numFmtId="174" fontId="27" fillId="0" borderId="7" xfId="1" applyNumberFormat="1" applyFont="1" applyFill="1" applyBorder="1" applyAlignment="1">
      <alignment horizontal="right"/>
    </xf>
    <xf numFmtId="178" fontId="28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8" fillId="0" borderId="0" xfId="1" applyNumberFormat="1" applyFont="1" applyFill="1"/>
    <xf numFmtId="5" fontId="14" fillId="0" borderId="0" xfId="2" applyNumberFormat="1" applyFont="1" applyFill="1" applyBorder="1"/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174" fontId="5" fillId="0" borderId="7" xfId="0" applyNumberFormat="1" applyFont="1" applyFill="1" applyBorder="1" applyAlignment="1">
      <alignment vertical="center"/>
    </xf>
    <xf numFmtId="5" fontId="14" fillId="0" borderId="0" xfId="2" applyNumberFormat="1" applyFont="1" applyFill="1"/>
    <xf numFmtId="5" fontId="14" fillId="0" borderId="1" xfId="2" applyNumberFormat="1" applyFont="1" applyFill="1" applyBorder="1"/>
    <xf numFmtId="1" fontId="0" fillId="0" borderId="0" xfId="0" applyNumberFormat="1" applyFill="1"/>
    <xf numFmtId="0" fontId="5" fillId="0" borderId="8" xfId="0" applyFont="1" applyFill="1" applyBorder="1" applyAlignment="1">
      <alignment horizontal="center" vertical="center"/>
    </xf>
    <xf numFmtId="5" fontId="5" fillId="0" borderId="8" xfId="0" applyNumberFormat="1" applyFont="1" applyFill="1" applyBorder="1" applyAlignment="1">
      <alignment vertical="center"/>
    </xf>
    <xf numFmtId="174" fontId="5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7" xfId="0" applyFont="1" applyFill="1" applyBorder="1"/>
    <xf numFmtId="5" fontId="5" fillId="0" borderId="7" xfId="1" applyNumberFormat="1" applyFont="1" applyFill="1" applyBorder="1"/>
    <xf numFmtId="175" fontId="5" fillId="0" borderId="1" xfId="0" applyNumberFormat="1" applyFont="1" applyFill="1" applyBorder="1" applyAlignment="1">
      <alignment horizontal="center"/>
    </xf>
    <xf numFmtId="5" fontId="16" fillId="0" borderId="0" xfId="0" applyNumberFormat="1" applyFont="1" applyFill="1" applyBorder="1"/>
    <xf numFmtId="5" fontId="14" fillId="0" borderId="0" xfId="0" applyNumberFormat="1" applyFont="1" applyFill="1" applyBorder="1"/>
    <xf numFmtId="5" fontId="5" fillId="0" borderId="7" xfId="0" applyNumberFormat="1" applyFont="1" applyFill="1" applyBorder="1"/>
    <xf numFmtId="10" fontId="14" fillId="0" borderId="0" xfId="3" applyNumberFormat="1" applyFont="1" applyFill="1" applyBorder="1"/>
    <xf numFmtId="5" fontId="2" fillId="0" borderId="0" xfId="4" applyNumberFormat="1" applyFont="1" applyFill="1" applyBorder="1"/>
    <xf numFmtId="5" fontId="2" fillId="0" borderId="0" xfId="0" applyNumberFormat="1" applyFont="1" applyFill="1" applyBorder="1" applyAlignment="1">
      <alignment vertical="center"/>
    </xf>
    <xf numFmtId="5" fontId="14" fillId="0" borderId="6" xfId="2" applyNumberFormat="1" applyFont="1" applyFill="1" applyBorder="1" applyAlignment="1">
      <alignment vertical="center"/>
    </xf>
    <xf numFmtId="174" fontId="3" fillId="0" borderId="7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174" fontId="2" fillId="0" borderId="0" xfId="0" applyNumberFormat="1" applyFont="1" applyFill="1" applyBorder="1"/>
    <xf numFmtId="2" fontId="2" fillId="0" borderId="0" xfId="0" applyNumberFormat="1" applyFont="1" applyFill="1" applyBorder="1"/>
    <xf numFmtId="164" fontId="2" fillId="0" borderId="0" xfId="2" applyNumberFormat="1" applyFont="1" applyFill="1" applyBorder="1" applyAlignment="1"/>
    <xf numFmtId="5" fontId="2" fillId="0" borderId="0" xfId="0" applyNumberFormat="1" applyFont="1" applyFill="1" applyBorder="1" applyAlignment="1"/>
    <xf numFmtId="165" fontId="2" fillId="0" borderId="0" xfId="1" applyNumberFormat="1" applyFont="1" applyFill="1" applyBorder="1" applyAlignment="1"/>
    <xf numFmtId="0" fontId="2" fillId="0" borderId="0" xfId="0" applyFont="1" applyFill="1" applyBorder="1" applyAlignment="1"/>
    <xf numFmtId="0" fontId="2" fillId="0" borderId="8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5" fontId="15" fillId="0" borderId="0" xfId="2" applyNumberFormat="1" applyFont="1" applyFill="1" applyBorder="1"/>
    <xf numFmtId="5" fontId="5" fillId="0" borderId="0" xfId="2" applyNumberFormat="1" applyFont="1" applyFill="1" applyBorder="1"/>
    <xf numFmtId="5" fontId="5" fillId="0" borderId="0" xfId="2" applyNumberFormat="1" applyFont="1" applyFill="1" applyBorder="1" applyAlignment="1">
      <alignment vertical="center"/>
    </xf>
    <xf numFmtId="174" fontId="2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74" fontId="2" fillId="0" borderId="6" xfId="0" applyNumberFormat="1" applyFont="1" applyFill="1" applyBorder="1" applyAlignment="1">
      <alignment horizontal="right"/>
    </xf>
    <xf numFmtId="5" fontId="2" fillId="0" borderId="0" xfId="0" applyNumberFormat="1" applyFont="1" applyFill="1" applyBorder="1" applyAlignment="1">
      <alignment horizontal="right"/>
    </xf>
    <xf numFmtId="5" fontId="14" fillId="0" borderId="0" xfId="2" applyNumberFormat="1" applyFont="1" applyFill="1" applyBorder="1" applyAlignment="1">
      <alignment horizontal="right"/>
    </xf>
    <xf numFmtId="174" fontId="2" fillId="0" borderId="1" xfId="0" applyNumberFormat="1" applyFont="1" applyFill="1" applyBorder="1" applyAlignment="1">
      <alignment horizontal="right"/>
    </xf>
    <xf numFmtId="174" fontId="5" fillId="0" borderId="7" xfId="0" applyNumberFormat="1" applyFont="1" applyFill="1" applyBorder="1" applyAlignment="1">
      <alignment horizontal="right"/>
    </xf>
    <xf numFmtId="174" fontId="15" fillId="0" borderId="7" xfId="0" applyNumberFormat="1" applyFont="1" applyFill="1" applyBorder="1" applyAlignment="1">
      <alignment horizontal="center" wrapText="1"/>
    </xf>
    <xf numFmtId="174" fontId="5" fillId="0" borderId="7" xfId="0" applyNumberFormat="1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left" wrapText="1"/>
    </xf>
    <xf numFmtId="5" fontId="5" fillId="0" borderId="6" xfId="2" applyNumberFormat="1" applyFont="1" applyFill="1" applyBorder="1" applyAlignment="1">
      <alignment horizontal="right" vertical="center"/>
    </xf>
    <xf numFmtId="5" fontId="14" fillId="0" borderId="1" xfId="2" applyNumberFormat="1" applyFont="1" applyFill="1" applyBorder="1" applyAlignment="1">
      <alignment horizontal="right"/>
    </xf>
    <xf numFmtId="174" fontId="5" fillId="0" borderId="1" xfId="0" applyNumberFormat="1" applyFont="1" applyFill="1" applyBorder="1" applyAlignment="1">
      <alignment horizontal="right"/>
    </xf>
    <xf numFmtId="5" fontId="5" fillId="0" borderId="7" xfId="0" applyNumberFormat="1" applyFont="1" applyFill="1" applyBorder="1" applyAlignment="1">
      <alignment horizontal="right"/>
    </xf>
    <xf numFmtId="5" fontId="2" fillId="0" borderId="7" xfId="2" applyNumberFormat="1" applyFont="1" applyFill="1" applyBorder="1" applyAlignment="1">
      <alignment horizontal="right"/>
    </xf>
    <xf numFmtId="5" fontId="2" fillId="0" borderId="0" xfId="2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wrapText="1"/>
    </xf>
    <xf numFmtId="165" fontId="2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179" fontId="30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41" fillId="13" borderId="9" xfId="0" applyFont="1" applyFill="1" applyBorder="1" applyAlignment="1">
      <alignment horizontal="center"/>
    </xf>
    <xf numFmtId="174" fontId="39" fillId="0" borderId="7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74" fontId="2" fillId="0" borderId="6" xfId="0" applyNumberFormat="1" applyFont="1" applyBorder="1" applyAlignment="1">
      <alignment horizontal="right"/>
    </xf>
    <xf numFmtId="5" fontId="2" fillId="0" borderId="0" xfId="0" applyNumberFormat="1" applyFont="1" applyBorder="1" applyAlignment="1">
      <alignment horizontal="right"/>
    </xf>
    <xf numFmtId="174" fontId="2" fillId="0" borderId="0" xfId="0" applyNumberFormat="1" applyFont="1" applyBorder="1" applyAlignment="1">
      <alignment horizontal="right"/>
    </xf>
    <xf numFmtId="174" fontId="2" fillId="0" borderId="1" xfId="0" applyNumberFormat="1" applyFont="1" applyBorder="1" applyAlignment="1">
      <alignment horizontal="right"/>
    </xf>
    <xf numFmtId="174" fontId="5" fillId="0" borderId="7" xfId="0" applyNumberFormat="1" applyFont="1" applyBorder="1" applyAlignment="1">
      <alignment horizontal="right"/>
    </xf>
    <xf numFmtId="5" fontId="42" fillId="14" borderId="0" xfId="2" applyNumberFormat="1" applyFont="1" applyFill="1" applyBorder="1" applyAlignment="1">
      <alignment horizontal="right"/>
    </xf>
    <xf numFmtId="5" fontId="40" fillId="11" borderId="6" xfId="2" applyNumberFormat="1" applyFont="1" applyFill="1" applyBorder="1" applyAlignment="1">
      <alignment horizontal="right"/>
    </xf>
    <xf numFmtId="5" fontId="40" fillId="11" borderId="0" xfId="2" applyNumberFormat="1" applyFont="1" applyFill="1" applyBorder="1" applyAlignment="1">
      <alignment horizontal="right"/>
    </xf>
    <xf numFmtId="5" fontId="40" fillId="11" borderId="1" xfId="2" applyNumberFormat="1" applyFont="1" applyFill="1" applyBorder="1" applyAlignment="1">
      <alignment horizontal="right"/>
    </xf>
    <xf numFmtId="5" fontId="5" fillId="0" borderId="7" xfId="0" applyNumberFormat="1" applyFont="1" applyBorder="1" applyAlignment="1">
      <alignment horizontal="right"/>
    </xf>
    <xf numFmtId="174" fontId="2" fillId="0" borderId="7" xfId="2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left" wrapText="1"/>
    </xf>
    <xf numFmtId="0" fontId="2" fillId="12" borderId="1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</cellXfs>
  <cellStyles count="19">
    <cellStyle name="Accent3" xfId="4" builtinId="37"/>
    <cellStyle name="Accent3 2" xfId="9"/>
    <cellStyle name="Comma" xfId="1" builtinId="3"/>
    <cellStyle name="Comma 2" xfId="10"/>
    <cellStyle name="Comma 3" xfId="11"/>
    <cellStyle name="Currency" xfId="2" builtinId="4"/>
    <cellStyle name="Currency 2" xfId="12"/>
    <cellStyle name="Currency 3" xfId="13"/>
    <cellStyle name="Currency 4" xfId="14"/>
    <cellStyle name="Normal" xfId="0" builtinId="0"/>
    <cellStyle name="Normal 2" xfId="15"/>
    <cellStyle name="Normal 2 2" xfId="7"/>
    <cellStyle name="Normal 3" xfId="5"/>
    <cellStyle name="Normal 4" xfId="8"/>
    <cellStyle name="Normal 5" xfId="6"/>
    <cellStyle name="Normal 6" xfId="16"/>
    <cellStyle name="Percent" xfId="3" builtinId="5"/>
    <cellStyle name="Percent 2" xfId="17"/>
    <cellStyle name="Percent 3" xfId="18"/>
  </cellStyles>
  <dxfs count="3"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5"/>
  <sheetViews>
    <sheetView workbookViewId="0">
      <selection activeCell="C1" sqref="C1"/>
    </sheetView>
  </sheetViews>
  <sheetFormatPr defaultRowHeight="13.2"/>
  <cols>
    <col min="1" max="1" width="34" customWidth="1"/>
    <col min="2" max="3" width="14.44140625" customWidth="1"/>
    <col min="4" max="4" width="15.33203125" customWidth="1"/>
    <col min="5" max="5" width="4.109375" customWidth="1"/>
    <col min="6" max="6" width="13" customWidth="1"/>
    <col min="7" max="7" width="12.6640625" customWidth="1"/>
    <col min="8" max="8" width="13.109375" customWidth="1"/>
    <col min="9" max="9" width="1.44140625" customWidth="1"/>
    <col min="10" max="10" width="13" customWidth="1"/>
    <col min="11" max="11" width="12.6640625" customWidth="1"/>
    <col min="12" max="12" width="13.109375" customWidth="1"/>
    <col min="13" max="13" width="1.33203125" customWidth="1"/>
    <col min="14" max="14" width="13" customWidth="1"/>
    <col min="15" max="15" width="12.6640625" customWidth="1"/>
    <col min="16" max="16" width="13.109375" customWidth="1"/>
    <col min="17" max="17" width="1.109375" customWidth="1"/>
    <col min="18" max="18" width="13" customWidth="1"/>
    <col min="19" max="19" width="12.6640625" customWidth="1"/>
    <col min="20" max="20" width="13.109375" customWidth="1"/>
    <col min="21" max="21" width="1.44140625" style="9" customWidth="1"/>
    <col min="22" max="22" width="13" customWidth="1"/>
    <col min="23" max="23" width="12.6640625" customWidth="1"/>
    <col min="24" max="24" width="13.109375" customWidth="1"/>
    <col min="25" max="25" width="1.44140625" style="9" customWidth="1"/>
    <col min="26" max="26" width="12.5546875" style="9" customWidth="1"/>
    <col min="27" max="27" width="13.33203125" style="9" customWidth="1"/>
    <col min="28" max="28" width="13.88671875" style="9" customWidth="1"/>
    <col min="29" max="29" width="1.44140625" style="9" customWidth="1"/>
    <col min="30" max="30" width="13.88671875" style="9" customWidth="1"/>
    <col min="31" max="31" width="13.33203125" style="9" customWidth="1"/>
    <col min="32" max="32" width="13.88671875" style="9" customWidth="1"/>
    <col min="33" max="33" width="1.44140625" style="9" customWidth="1"/>
    <col min="34" max="34" width="13.88671875" style="9" customWidth="1"/>
    <col min="35" max="35" width="13.33203125" style="9" customWidth="1"/>
    <col min="36" max="36" width="13.88671875" style="9" customWidth="1"/>
    <col min="37" max="37" width="0.6640625" style="9" customWidth="1"/>
    <col min="38" max="38" width="13.88671875" style="9" customWidth="1"/>
    <col min="39" max="39" width="13.33203125" style="9" customWidth="1"/>
    <col min="40" max="40" width="13.88671875" style="9" customWidth="1"/>
    <col min="41" max="41" width="1" customWidth="1"/>
    <col min="42" max="42" width="13.88671875" style="9" customWidth="1"/>
    <col min="43" max="43" width="13.33203125" style="9" customWidth="1"/>
    <col min="44" max="44" width="13.88671875" style="9" customWidth="1"/>
    <col min="45" max="45" width="1" customWidth="1"/>
    <col min="46" max="46" width="12.5546875" customWidth="1"/>
    <col min="47" max="47" width="12.109375" customWidth="1"/>
    <col min="48" max="48" width="14.109375" customWidth="1"/>
    <col min="49" max="49" width="1.33203125" customWidth="1"/>
    <col min="50" max="50" width="12.33203125" bestFit="1" customWidth="1"/>
    <col min="51" max="51" width="12.109375" customWidth="1"/>
    <col min="52" max="52" width="14.33203125" customWidth="1"/>
  </cols>
  <sheetData>
    <row r="1" spans="1:52">
      <c r="C1" s="1" t="s">
        <v>0</v>
      </c>
      <c r="F1" s="2">
        <v>39083</v>
      </c>
      <c r="G1" s="3"/>
      <c r="H1" s="3"/>
      <c r="I1" s="4"/>
      <c r="J1" s="2">
        <v>38749</v>
      </c>
      <c r="K1" s="3"/>
      <c r="L1" s="3"/>
      <c r="M1" s="4"/>
      <c r="N1" s="2">
        <v>38777</v>
      </c>
      <c r="O1" s="3"/>
      <c r="P1" s="3"/>
      <c r="Q1" s="4"/>
      <c r="R1" s="2">
        <v>38808</v>
      </c>
      <c r="S1" s="3"/>
      <c r="T1" s="3"/>
      <c r="U1" s="5"/>
      <c r="V1" s="2">
        <v>38838</v>
      </c>
      <c r="W1" s="3"/>
      <c r="X1" s="3"/>
      <c r="Y1" s="5"/>
      <c r="Z1" s="2">
        <v>38869</v>
      </c>
      <c r="AA1" s="3"/>
      <c r="AB1" s="3"/>
      <c r="AC1" s="5"/>
      <c r="AD1" s="2">
        <v>38899</v>
      </c>
      <c r="AE1" s="3"/>
      <c r="AF1" s="3"/>
      <c r="AG1" s="5"/>
      <c r="AH1" s="2">
        <v>38930</v>
      </c>
      <c r="AI1" s="3"/>
      <c r="AJ1" s="3"/>
      <c r="AK1" s="5"/>
      <c r="AL1" s="2">
        <v>38961</v>
      </c>
      <c r="AM1" s="3"/>
      <c r="AN1" s="3"/>
      <c r="AP1" s="2">
        <v>38991</v>
      </c>
      <c r="AQ1" s="3"/>
      <c r="AR1" s="3"/>
      <c r="AT1" s="2">
        <v>39022</v>
      </c>
      <c r="AU1" s="3"/>
      <c r="AV1" s="3"/>
      <c r="AX1" s="2">
        <v>39052</v>
      </c>
      <c r="AY1" s="3"/>
      <c r="AZ1" s="3"/>
    </row>
    <row r="2" spans="1:52">
      <c r="B2" s="6" t="s">
        <v>1</v>
      </c>
      <c r="C2" s="6" t="s">
        <v>2</v>
      </c>
      <c r="D2" s="7" t="s">
        <v>3</v>
      </c>
      <c r="F2" s="6" t="s">
        <v>1</v>
      </c>
      <c r="G2" s="6" t="s">
        <v>2</v>
      </c>
      <c r="H2" s="7" t="s">
        <v>3</v>
      </c>
      <c r="I2" s="4"/>
      <c r="J2" s="6" t="s">
        <v>1</v>
      </c>
      <c r="K2" s="6" t="s">
        <v>2</v>
      </c>
      <c r="L2" s="7" t="s">
        <v>3</v>
      </c>
      <c r="M2" s="4"/>
      <c r="N2" s="6" t="s">
        <v>1</v>
      </c>
      <c r="O2" s="6" t="s">
        <v>2</v>
      </c>
      <c r="P2" s="6" t="s">
        <v>3</v>
      </c>
      <c r="Q2" s="4"/>
      <c r="R2" s="6" t="s">
        <v>1</v>
      </c>
      <c r="S2" s="6" t="s">
        <v>2</v>
      </c>
      <c r="T2" s="6" t="s">
        <v>3</v>
      </c>
      <c r="U2" s="5"/>
      <c r="V2" s="6" t="s">
        <v>1</v>
      </c>
      <c r="W2" s="6" t="s">
        <v>2</v>
      </c>
      <c r="X2" s="6" t="s">
        <v>3</v>
      </c>
      <c r="Y2" s="5"/>
      <c r="Z2" s="6" t="s">
        <v>1</v>
      </c>
      <c r="AA2" s="6" t="s">
        <v>2</v>
      </c>
      <c r="AB2" s="6" t="s">
        <v>3</v>
      </c>
      <c r="AC2" s="5"/>
      <c r="AD2" s="6" t="s">
        <v>1</v>
      </c>
      <c r="AE2" s="6" t="s">
        <v>2</v>
      </c>
      <c r="AF2" s="6" t="s">
        <v>3</v>
      </c>
      <c r="AG2" s="5"/>
      <c r="AH2" s="6" t="s">
        <v>1</v>
      </c>
      <c r="AI2" s="6" t="s">
        <v>2</v>
      </c>
      <c r="AJ2" s="6" t="s">
        <v>3</v>
      </c>
      <c r="AK2" s="5"/>
      <c r="AL2" s="6" t="s">
        <v>1</v>
      </c>
      <c r="AM2" s="6" t="s">
        <v>2</v>
      </c>
      <c r="AN2" s="6" t="s">
        <v>3</v>
      </c>
      <c r="AP2" s="6" t="s">
        <v>1</v>
      </c>
      <c r="AQ2" s="6" t="s">
        <v>2</v>
      </c>
      <c r="AR2" s="6" t="s">
        <v>3</v>
      </c>
      <c r="AT2" s="6" t="s">
        <v>1</v>
      </c>
      <c r="AU2" s="6" t="s">
        <v>2</v>
      </c>
      <c r="AV2" s="6" t="s">
        <v>3</v>
      </c>
      <c r="AX2" s="6" t="s">
        <v>1</v>
      </c>
      <c r="AY2" s="6" t="s">
        <v>2</v>
      </c>
      <c r="AZ2" s="6" t="s">
        <v>3</v>
      </c>
    </row>
    <row r="3" spans="1:52">
      <c r="A3" s="8" t="s">
        <v>4</v>
      </c>
      <c r="B3" s="9"/>
      <c r="C3" s="9"/>
      <c r="D3" s="9"/>
      <c r="E3" s="9"/>
      <c r="Z3"/>
      <c r="AA3"/>
      <c r="AB3"/>
      <c r="AD3"/>
      <c r="AE3"/>
      <c r="AF3"/>
      <c r="AH3"/>
      <c r="AI3"/>
      <c r="AJ3"/>
      <c r="AL3"/>
      <c r="AM3"/>
      <c r="AN3"/>
      <c r="AP3"/>
      <c r="AQ3"/>
      <c r="AR3"/>
    </row>
    <row r="4" spans="1:52">
      <c r="A4" t="str">
        <f>'WGJ-2 Page 1'!B6</f>
        <v>555 Purchased Power</v>
      </c>
      <c r="B4" s="10">
        <f>SUM(F4,J4,N4,R4,V4,Z4,AD4,AH4,AL4,AP4,AT4,AX4)</f>
        <v>130381374</v>
      </c>
      <c r="C4" s="10" t="e">
        <f>SUM(G4,K4,O4,S4,W4,AA4,AE4,AI4,AM4,AQ4,AU4,AY4)</f>
        <v>#REF!</v>
      </c>
      <c r="D4" s="11" t="e">
        <f>B4-C4</f>
        <v>#REF!</v>
      </c>
      <c r="F4" s="11">
        <v>26249707</v>
      </c>
      <c r="G4" s="11" t="e">
        <f>#REF!</f>
        <v>#REF!</v>
      </c>
      <c r="H4" s="11" t="e">
        <f>F4-G4</f>
        <v>#REF!</v>
      </c>
      <c r="I4" s="11"/>
      <c r="J4" s="11">
        <v>11090357</v>
      </c>
      <c r="K4" s="11" t="e">
        <f>#REF!</f>
        <v>#REF!</v>
      </c>
      <c r="L4" s="11" t="e">
        <f>J4-K4</f>
        <v>#REF!</v>
      </c>
      <c r="M4" s="11"/>
      <c r="N4" s="11">
        <v>13604488</v>
      </c>
      <c r="O4" s="11" t="e">
        <f>#REF!</f>
        <v>#REF!</v>
      </c>
      <c r="P4" s="11" t="e">
        <f>N4-O4</f>
        <v>#REF!</v>
      </c>
      <c r="Q4" s="11"/>
      <c r="R4" s="11">
        <v>10288508</v>
      </c>
      <c r="S4" s="11" t="e">
        <f>#REF!</f>
        <v>#REF!</v>
      </c>
      <c r="T4" s="11" t="e">
        <f>R4-S4</f>
        <v>#REF!</v>
      </c>
      <c r="U4" s="12"/>
      <c r="V4" s="11">
        <v>6214710</v>
      </c>
      <c r="W4" s="11" t="e">
        <f>#REF!</f>
        <v>#REF!</v>
      </c>
      <c r="X4" s="11" t="e">
        <f>V4-W4</f>
        <v>#REF!</v>
      </c>
      <c r="Z4" s="11">
        <v>6973574</v>
      </c>
      <c r="AA4" s="11" t="e">
        <f>#REF!</f>
        <v>#REF!</v>
      </c>
      <c r="AB4" s="11" t="e">
        <f>Z4-AA4</f>
        <v>#REF!</v>
      </c>
      <c r="AD4" s="11">
        <v>6479782</v>
      </c>
      <c r="AE4" s="11" t="e">
        <f>#REF!</f>
        <v>#REF!</v>
      </c>
      <c r="AF4" s="11" t="e">
        <f>AD4-AE4</f>
        <v>#REF!</v>
      </c>
      <c r="AH4" s="11">
        <v>11165165</v>
      </c>
      <c r="AI4" s="11" t="e">
        <f>#REF!</f>
        <v>#REF!</v>
      </c>
      <c r="AJ4" s="11" t="e">
        <f>AH4-AI4</f>
        <v>#REF!</v>
      </c>
      <c r="AL4" s="11">
        <v>7465617</v>
      </c>
      <c r="AM4" s="11" t="e">
        <f>#REF!</f>
        <v>#REF!</v>
      </c>
      <c r="AN4" s="11" t="e">
        <f>AL4-AM4</f>
        <v>#REF!</v>
      </c>
      <c r="AP4" s="11">
        <v>11922083</v>
      </c>
      <c r="AQ4" s="11" t="e">
        <f>#REF!</f>
        <v>#REF!</v>
      </c>
      <c r="AR4" s="11" t="e">
        <f>AP4-AQ4</f>
        <v>#REF!</v>
      </c>
      <c r="AT4" s="11">
        <v>8697940</v>
      </c>
      <c r="AU4" s="11" t="e">
        <f>#REF!</f>
        <v>#REF!</v>
      </c>
      <c r="AV4" s="11" t="e">
        <f>AT4-AU4</f>
        <v>#REF!</v>
      </c>
      <c r="AX4" s="11">
        <v>10229443</v>
      </c>
      <c r="AY4" s="11" t="e">
        <f>#REF!</f>
        <v>#REF!</v>
      </c>
      <c r="AZ4" s="11" t="e">
        <f>AX4-AY4</f>
        <v>#REF!</v>
      </c>
    </row>
    <row r="5" spans="1:52">
      <c r="A5" t="str">
        <f>'WGJ-2 Page 1'!B9</f>
        <v>501 Thermal Fuel</v>
      </c>
      <c r="B5" s="10">
        <f t="shared" ref="B5:C8" si="0">SUM(F5,J5,N5,R5,V5,Z5,AD5,AH5,AL5,AP5,AT5,AX5)</f>
        <v>23109270</v>
      </c>
      <c r="C5" s="10" t="e">
        <f t="shared" si="0"/>
        <v>#REF!</v>
      </c>
      <c r="D5" s="11" t="e">
        <f>B5-C5</f>
        <v>#REF!</v>
      </c>
      <c r="F5" s="11">
        <v>1943989</v>
      </c>
      <c r="G5" s="11" t="e">
        <f>#REF!</f>
        <v>#REF!</v>
      </c>
      <c r="H5" s="11" t="e">
        <f>F5-G5</f>
        <v>#REF!</v>
      </c>
      <c r="I5" s="11"/>
      <c r="J5" s="11">
        <v>1881758</v>
      </c>
      <c r="K5" s="11" t="e">
        <f>#REF!</f>
        <v>#REF!</v>
      </c>
      <c r="L5" s="11" t="e">
        <f>J5-K5</f>
        <v>#REF!</v>
      </c>
      <c r="M5" s="11"/>
      <c r="N5" s="11">
        <v>2084051</v>
      </c>
      <c r="O5" s="11" t="e">
        <f>#REF!</f>
        <v>#REF!</v>
      </c>
      <c r="P5" s="11" t="e">
        <f>N5-O5</f>
        <v>#REF!</v>
      </c>
      <c r="Q5" s="11"/>
      <c r="R5" s="11">
        <v>2048943</v>
      </c>
      <c r="S5" s="11" t="e">
        <f>#REF!</f>
        <v>#REF!</v>
      </c>
      <c r="T5" s="11" t="e">
        <f>R5-S5</f>
        <v>#REF!</v>
      </c>
      <c r="U5" s="12"/>
      <c r="V5" s="11">
        <v>806914</v>
      </c>
      <c r="W5" s="11" t="e">
        <f>#REF!</f>
        <v>#REF!</v>
      </c>
      <c r="X5" s="11" t="e">
        <f>V5-W5</f>
        <v>#REF!</v>
      </c>
      <c r="Z5" s="11">
        <v>2086930</v>
      </c>
      <c r="AA5" s="11" t="e">
        <f>#REF!</f>
        <v>#REF!</v>
      </c>
      <c r="AB5" s="11" t="e">
        <f>Z5-AA5</f>
        <v>#REF!</v>
      </c>
      <c r="AD5" s="11">
        <v>2225970</v>
      </c>
      <c r="AE5" s="11" t="e">
        <f>#REF!</f>
        <v>#REF!</v>
      </c>
      <c r="AF5" s="11" t="e">
        <f>AD5-AE5</f>
        <v>#REF!</v>
      </c>
      <c r="AH5" s="11">
        <v>2142237</v>
      </c>
      <c r="AI5" s="11" t="e">
        <f>#REF!</f>
        <v>#REF!</v>
      </c>
      <c r="AJ5" s="11" t="e">
        <f>AH5-AI5</f>
        <v>#REF!</v>
      </c>
      <c r="AL5" s="11">
        <v>2060328</v>
      </c>
      <c r="AM5" s="11" t="e">
        <f>#REF!</f>
        <v>#REF!</v>
      </c>
      <c r="AN5" s="11" t="e">
        <f>AL5-AM5</f>
        <v>#REF!</v>
      </c>
      <c r="AP5" s="11">
        <v>2000705</v>
      </c>
      <c r="AQ5" s="11" t="e">
        <f>#REF!</f>
        <v>#REF!</v>
      </c>
      <c r="AR5" s="11" t="e">
        <f>AP5-AQ5</f>
        <v>#REF!</v>
      </c>
      <c r="AT5" s="11">
        <v>1902528</v>
      </c>
      <c r="AU5" s="11" t="e">
        <f>#REF!</f>
        <v>#REF!</v>
      </c>
      <c r="AV5" s="11" t="e">
        <f>AT5-AU5</f>
        <v>#REF!</v>
      </c>
      <c r="AX5" s="11">
        <v>1924917</v>
      </c>
      <c r="AY5" s="11" t="e">
        <f>#REF!</f>
        <v>#REF!</v>
      </c>
      <c r="AZ5" s="11" t="e">
        <f>AX5-AY5</f>
        <v>#REF!</v>
      </c>
    </row>
    <row r="6" spans="1:52">
      <c r="A6" t="str">
        <f>'WGJ-2 Page 1'!B10</f>
        <v>547 CT Fuel</v>
      </c>
      <c r="B6" s="10">
        <f t="shared" si="0"/>
        <v>93267468</v>
      </c>
      <c r="C6" s="10" t="e">
        <f t="shared" si="0"/>
        <v>#REF!</v>
      </c>
      <c r="D6" s="11" t="e">
        <f>B6-C6</f>
        <v>#REF!</v>
      </c>
      <c r="F6" s="11">
        <f>525000-172181</f>
        <v>352819</v>
      </c>
      <c r="G6" s="11" t="e">
        <f>#REF!</f>
        <v>#REF!</v>
      </c>
      <c r="H6" s="11" t="e">
        <f>F6-G6</f>
        <v>#REF!</v>
      </c>
      <c r="I6" s="11"/>
      <c r="J6" s="11">
        <f>10725658+33520</f>
        <v>10759178</v>
      </c>
      <c r="K6" s="11" t="e">
        <f>#REF!</f>
        <v>#REF!</v>
      </c>
      <c r="L6" s="11" t="e">
        <f>J6-K6</f>
        <v>#REF!</v>
      </c>
      <c r="M6" s="11"/>
      <c r="N6" s="11">
        <f>13670045-71950</f>
        <v>13598095</v>
      </c>
      <c r="O6" s="11" t="e">
        <f>#REF!</f>
        <v>#REF!</v>
      </c>
      <c r="P6" s="11" t="e">
        <f>N6-O6</f>
        <v>#REF!</v>
      </c>
      <c r="Q6" s="11"/>
      <c r="R6" s="11">
        <f>525000-315000</f>
        <v>210000</v>
      </c>
      <c r="S6" s="11" t="e">
        <f>#REF!</f>
        <v>#REF!</v>
      </c>
      <c r="T6" s="11" t="e">
        <f>R6-S6</f>
        <v>#REF!</v>
      </c>
      <c r="U6" s="12"/>
      <c r="V6" s="11">
        <v>525000</v>
      </c>
      <c r="W6" s="11" t="e">
        <f>#REF!</f>
        <v>#REF!</v>
      </c>
      <c r="X6" s="11" t="e">
        <f>V6-W6</f>
        <v>#REF!</v>
      </c>
      <c r="Z6" s="11">
        <v>525000</v>
      </c>
      <c r="AA6" s="11" t="e">
        <f>#REF!</f>
        <v>#REF!</v>
      </c>
      <c r="AB6" s="11" t="e">
        <f>Z6-AA6</f>
        <v>#REF!</v>
      </c>
      <c r="AD6" s="11">
        <v>9534819</v>
      </c>
      <c r="AE6" s="11" t="e">
        <f>#REF!</f>
        <v>#REF!</v>
      </c>
      <c r="AF6" s="11" t="e">
        <f>AD6-AE6</f>
        <v>#REF!</v>
      </c>
      <c r="AH6" s="11">
        <v>10175122</v>
      </c>
      <c r="AI6" s="11" t="e">
        <f>#REF!</f>
        <v>#REF!</v>
      </c>
      <c r="AJ6" s="11" t="e">
        <f>AH6-AI6</f>
        <v>#REF!</v>
      </c>
      <c r="AL6" s="11">
        <v>10042730</v>
      </c>
      <c r="AM6" s="11" t="e">
        <f>#REF!</f>
        <v>#REF!</v>
      </c>
      <c r="AN6" s="11" t="e">
        <f>AL6-AM6</f>
        <v>#REF!</v>
      </c>
      <c r="AP6" s="11">
        <v>11598604</v>
      </c>
      <c r="AQ6" s="11" t="e">
        <f>#REF!</f>
        <v>#REF!</v>
      </c>
      <c r="AR6" s="11" t="e">
        <f>AP6-AQ6</f>
        <v>#REF!</v>
      </c>
      <c r="AT6" s="11">
        <v>12457409</v>
      </c>
      <c r="AU6" s="11" t="e">
        <f>#REF!</f>
        <v>#REF!</v>
      </c>
      <c r="AV6" s="11" t="e">
        <f>AT6-AU6</f>
        <v>#REF!</v>
      </c>
      <c r="AX6" s="11">
        <v>13488692</v>
      </c>
      <c r="AY6" s="11" t="e">
        <f>#REF!</f>
        <v>#REF!</v>
      </c>
      <c r="AZ6" s="11" t="e">
        <f>AX6-AY6</f>
        <v>#REF!</v>
      </c>
    </row>
    <row r="7" spans="1:52">
      <c r="A7" s="5" t="s">
        <v>5</v>
      </c>
      <c r="B7" s="10">
        <f t="shared" si="0"/>
        <v>0</v>
      </c>
      <c r="C7" s="10" t="e">
        <f t="shared" si="0"/>
        <v>#REF!</v>
      </c>
      <c r="D7" s="11" t="e">
        <f>B7-C7</f>
        <v>#REF!</v>
      </c>
      <c r="E7" s="5"/>
      <c r="F7" s="11">
        <v>0</v>
      </c>
      <c r="G7" s="11" t="e">
        <f>#REF!</f>
        <v>#REF!</v>
      </c>
      <c r="H7" s="11" t="e">
        <f>F7-G7</f>
        <v>#REF!</v>
      </c>
      <c r="I7" s="11"/>
      <c r="J7" s="11"/>
      <c r="K7" s="11" t="e">
        <f>#REF!</f>
        <v>#REF!</v>
      </c>
      <c r="L7" s="11" t="e">
        <f>J7-K7</f>
        <v>#REF!</v>
      </c>
      <c r="M7" s="11"/>
      <c r="N7" s="11"/>
      <c r="O7" s="11" t="e">
        <f>#REF!</f>
        <v>#REF!</v>
      </c>
      <c r="P7" s="11" t="e">
        <f>N7-O7</f>
        <v>#REF!</v>
      </c>
      <c r="Q7" s="11"/>
      <c r="R7" s="11"/>
      <c r="S7" s="11" t="e">
        <f>#REF!</f>
        <v>#REF!</v>
      </c>
      <c r="T7" s="11" t="e">
        <f>R7-S7</f>
        <v>#REF!</v>
      </c>
      <c r="U7" s="12"/>
      <c r="V7" s="11"/>
      <c r="W7" s="11" t="e">
        <f>#REF!</f>
        <v>#REF!</v>
      </c>
      <c r="X7" s="11" t="e">
        <f>V7-W7</f>
        <v>#REF!</v>
      </c>
      <c r="Z7" s="11"/>
      <c r="AA7" s="11" t="e">
        <f>#REF!</f>
        <v>#REF!</v>
      </c>
      <c r="AB7" s="11" t="e">
        <f>Z7-AA7</f>
        <v>#REF!</v>
      </c>
      <c r="AD7" s="11"/>
      <c r="AE7" s="11" t="e">
        <f>#REF!</f>
        <v>#REF!</v>
      </c>
      <c r="AF7" s="11" t="e">
        <f>AD7-AE7</f>
        <v>#REF!</v>
      </c>
      <c r="AH7" s="11"/>
      <c r="AI7" s="11" t="e">
        <f>#REF!</f>
        <v>#REF!</v>
      </c>
      <c r="AJ7" s="11" t="e">
        <f>AH7-AI7</f>
        <v>#REF!</v>
      </c>
      <c r="AL7" s="11"/>
      <c r="AM7" s="11" t="e">
        <f>#REF!</f>
        <v>#REF!</v>
      </c>
      <c r="AN7" s="11" t="e">
        <f>AL7-AM7</f>
        <v>#REF!</v>
      </c>
      <c r="AP7" s="11"/>
      <c r="AQ7" s="11" t="e">
        <f>#REF!</f>
        <v>#REF!</v>
      </c>
      <c r="AR7" s="11" t="e">
        <f>AP7-AQ7</f>
        <v>#REF!</v>
      </c>
      <c r="AT7" s="11"/>
      <c r="AU7" s="11" t="e">
        <f>#REF!</f>
        <v>#REF!</v>
      </c>
      <c r="AV7" s="11" t="e">
        <f>AT7-AU7</f>
        <v>#REF!</v>
      </c>
      <c r="AX7" s="11"/>
      <c r="AY7" s="11" t="e">
        <f>#REF!</f>
        <v>#REF!</v>
      </c>
      <c r="AZ7" s="11" t="e">
        <f>AX7-AY7</f>
        <v>#REF!</v>
      </c>
    </row>
    <row r="8" spans="1:52">
      <c r="A8" t="e">
        <f>#REF!</f>
        <v>#REF!</v>
      </c>
      <c r="B8" s="13">
        <f t="shared" si="0"/>
        <v>-93145882</v>
      </c>
      <c r="C8" s="13" t="e">
        <f t="shared" si="0"/>
        <v>#REF!</v>
      </c>
      <c r="D8" s="14" t="e">
        <f>B8-C8</f>
        <v>#REF!</v>
      </c>
      <c r="F8" s="14">
        <v>-9535791</v>
      </c>
      <c r="G8" s="14" t="e">
        <f>#REF!</f>
        <v>#REF!</v>
      </c>
      <c r="H8" s="14" t="e">
        <f>F8-G8</f>
        <v>#REF!</v>
      </c>
      <c r="I8" s="11"/>
      <c r="J8" s="14">
        <v>-8656319</v>
      </c>
      <c r="K8" s="14" t="e">
        <f>#REF!</f>
        <v>#REF!</v>
      </c>
      <c r="L8" s="14" t="e">
        <f>J8-K8</f>
        <v>#REF!</v>
      </c>
      <c r="M8" s="11"/>
      <c r="N8" s="14">
        <v>-16419702</v>
      </c>
      <c r="O8" s="14" t="e">
        <f>#REF!</f>
        <v>#REF!</v>
      </c>
      <c r="P8" s="14" t="e">
        <f>N8-O8</f>
        <v>#REF!</v>
      </c>
      <c r="Q8" s="11"/>
      <c r="R8" s="14">
        <v>-9587693</v>
      </c>
      <c r="S8" s="14" t="e">
        <f>#REF!</f>
        <v>#REF!</v>
      </c>
      <c r="T8" s="14" t="e">
        <f>R8-S8</f>
        <v>#REF!</v>
      </c>
      <c r="U8" s="12"/>
      <c r="V8" s="14">
        <v>-9613741</v>
      </c>
      <c r="W8" s="14" t="e">
        <f>#REF!</f>
        <v>#REF!</v>
      </c>
      <c r="X8" s="14" t="e">
        <f>V8-W8</f>
        <v>#REF!</v>
      </c>
      <c r="Z8" s="14">
        <v>-12352353</v>
      </c>
      <c r="AA8" s="14" t="e">
        <f>#REF!</f>
        <v>#REF!</v>
      </c>
      <c r="AB8" s="14" t="e">
        <f>Z8-AA8</f>
        <v>#REF!</v>
      </c>
      <c r="AD8" s="14">
        <v>-11607670</v>
      </c>
      <c r="AE8" s="14" t="e">
        <f>#REF!</f>
        <v>#REF!</v>
      </c>
      <c r="AF8" s="14" t="e">
        <f>AD8-AE8</f>
        <v>#REF!</v>
      </c>
      <c r="AH8" s="14">
        <v>-1616134</v>
      </c>
      <c r="AI8" s="14" t="e">
        <f>#REF!</f>
        <v>#REF!</v>
      </c>
      <c r="AJ8" s="14" t="e">
        <f>AH8-AI8</f>
        <v>#REF!</v>
      </c>
      <c r="AL8" s="14">
        <v>-1590665</v>
      </c>
      <c r="AM8" s="14" t="e">
        <f>#REF!</f>
        <v>#REF!</v>
      </c>
      <c r="AN8" s="14" t="e">
        <f>AL8-AM8</f>
        <v>#REF!</v>
      </c>
      <c r="AP8" s="14">
        <v>-2323495</v>
      </c>
      <c r="AQ8" s="14" t="e">
        <f>#REF!</f>
        <v>#REF!</v>
      </c>
      <c r="AR8" s="14" t="e">
        <f>AP8-AQ8</f>
        <v>#REF!</v>
      </c>
      <c r="AT8" s="14">
        <v>-6708026</v>
      </c>
      <c r="AU8" s="14" t="e">
        <f>#REF!</f>
        <v>#REF!</v>
      </c>
      <c r="AV8" s="14" t="e">
        <f>AT8-AU8</f>
        <v>#REF!</v>
      </c>
      <c r="AX8" s="14">
        <v>-3134293</v>
      </c>
      <c r="AY8" s="14" t="e">
        <f>#REF!</f>
        <v>#REF!</v>
      </c>
      <c r="AZ8" s="14" t="e">
        <f>AX8-AY8</f>
        <v>#REF!</v>
      </c>
    </row>
    <row r="9" spans="1:52">
      <c r="F9" s="12"/>
      <c r="G9" s="12"/>
      <c r="H9" s="12"/>
      <c r="I9" s="11"/>
      <c r="J9" s="12"/>
      <c r="K9" s="12"/>
      <c r="L9" s="12"/>
      <c r="M9" s="11"/>
      <c r="N9" s="12"/>
      <c r="O9" s="12"/>
      <c r="P9" s="12"/>
      <c r="Q9" s="11"/>
      <c r="R9" s="12"/>
      <c r="S9" s="12"/>
      <c r="T9" s="12"/>
      <c r="U9" s="12"/>
      <c r="V9" s="12"/>
      <c r="W9" s="12"/>
      <c r="X9" s="12"/>
      <c r="Z9" s="12"/>
      <c r="AA9" s="12"/>
      <c r="AB9" s="12"/>
      <c r="AD9" s="12"/>
      <c r="AE9" s="12"/>
      <c r="AF9" s="12"/>
      <c r="AH9" s="12"/>
      <c r="AI9" s="12"/>
      <c r="AJ9" s="12"/>
      <c r="AL9" s="12"/>
      <c r="AM9" s="12"/>
      <c r="AN9" s="12"/>
      <c r="AP9" s="12"/>
      <c r="AQ9" s="12"/>
      <c r="AR9" s="12"/>
      <c r="AT9" s="12"/>
      <c r="AU9" s="12"/>
      <c r="AV9" s="12"/>
      <c r="AX9" s="12"/>
      <c r="AY9" s="12"/>
      <c r="AZ9" s="12"/>
    </row>
    <row r="10" spans="1:52">
      <c r="A10" t="s">
        <v>6</v>
      </c>
      <c r="B10" s="10">
        <f>SUM(F10:AZ10)</f>
        <v>-1533000</v>
      </c>
      <c r="F10" s="12">
        <v>-130200</v>
      </c>
      <c r="G10" s="12"/>
      <c r="H10" s="12"/>
      <c r="I10" s="11"/>
      <c r="J10" s="12">
        <v>-117600</v>
      </c>
      <c r="K10" s="12"/>
      <c r="L10" s="12"/>
      <c r="M10" s="11"/>
      <c r="N10" s="12">
        <v>-130200</v>
      </c>
      <c r="O10" s="12"/>
      <c r="P10" s="12"/>
      <c r="Q10" s="11"/>
      <c r="R10" s="12">
        <v>-125825</v>
      </c>
      <c r="S10" s="12"/>
      <c r="T10" s="12"/>
      <c r="U10" s="12"/>
      <c r="V10" s="12">
        <v>-130200</v>
      </c>
      <c r="W10" s="12"/>
      <c r="X10" s="12"/>
      <c r="Z10" s="12">
        <v>-126000</v>
      </c>
      <c r="AA10" s="12"/>
      <c r="AB10" s="12"/>
      <c r="AD10" s="12">
        <v>-130200</v>
      </c>
      <c r="AE10" s="12"/>
      <c r="AF10" s="12"/>
      <c r="AH10" s="12">
        <v>-130200</v>
      </c>
      <c r="AI10" s="12"/>
      <c r="AJ10" s="12"/>
      <c r="AL10" s="12">
        <v>-126000</v>
      </c>
      <c r="AM10" s="12"/>
      <c r="AN10" s="12"/>
      <c r="AP10" s="12">
        <v>-130375</v>
      </c>
      <c r="AQ10" s="12"/>
      <c r="AR10" s="12"/>
      <c r="AT10" s="12">
        <v>-126000</v>
      </c>
      <c r="AU10" s="12"/>
      <c r="AV10" s="12"/>
      <c r="AX10" s="12">
        <v>-130200</v>
      </c>
      <c r="AY10" s="12"/>
      <c r="AZ10" s="12"/>
    </row>
    <row r="11" spans="1:52">
      <c r="A11" t="s">
        <v>7</v>
      </c>
      <c r="B11" s="10">
        <f>SUM(F11:AZ11)</f>
        <v>-22419906</v>
      </c>
      <c r="F11" s="12">
        <v>-1877965</v>
      </c>
      <c r="G11" s="12"/>
      <c r="H11" s="12"/>
      <c r="I11" s="11"/>
      <c r="J11" s="12">
        <v>-1587997</v>
      </c>
      <c r="K11" s="12"/>
      <c r="L11" s="12"/>
      <c r="M11" s="11"/>
      <c r="N11" s="12">
        <v>-1915992</v>
      </c>
      <c r="O11" s="12"/>
      <c r="P11" s="12"/>
      <c r="Q11" s="11"/>
      <c r="R11" s="12">
        <v>-1848650</v>
      </c>
      <c r="S11" s="12"/>
      <c r="T11" s="12"/>
      <c r="U11" s="12"/>
      <c r="V11" s="12">
        <v>-1621518</v>
      </c>
      <c r="W11" s="12"/>
      <c r="X11" s="12"/>
      <c r="Z11" s="12">
        <v>-1789893</v>
      </c>
      <c r="AA11" s="12"/>
      <c r="AB11" s="12"/>
      <c r="AD11" s="12">
        <v>-2124926</v>
      </c>
      <c r="AE11" s="12"/>
      <c r="AF11" s="12"/>
      <c r="AH11" s="12">
        <v>-1796588</v>
      </c>
      <c r="AI11" s="12"/>
      <c r="AJ11" s="12"/>
      <c r="AL11" s="12">
        <v>-1888265</v>
      </c>
      <c r="AM11" s="12"/>
      <c r="AN11" s="12"/>
      <c r="AP11" s="12">
        <v>-2084152</v>
      </c>
      <c r="AQ11" s="12"/>
      <c r="AR11" s="12"/>
      <c r="AT11" s="12">
        <v>-1874188</v>
      </c>
      <c r="AU11" s="12"/>
      <c r="AV11" s="12"/>
      <c r="AX11" s="12">
        <v>-2009772</v>
      </c>
      <c r="AY11" s="12"/>
      <c r="AZ11" s="12"/>
    </row>
    <row r="12" spans="1:52">
      <c r="F12" s="12"/>
      <c r="G12" s="12"/>
      <c r="H12" s="12"/>
      <c r="I12" s="11"/>
      <c r="J12" s="12"/>
      <c r="K12" s="12"/>
      <c r="L12" s="12"/>
      <c r="M12" s="11"/>
      <c r="N12" s="12"/>
      <c r="O12" s="12"/>
      <c r="P12" s="12"/>
      <c r="Q12" s="11"/>
      <c r="R12" s="12"/>
      <c r="S12" s="12"/>
      <c r="T12" s="12"/>
      <c r="U12" s="12"/>
      <c r="V12" s="12"/>
      <c r="W12" s="12"/>
      <c r="X12" s="12"/>
      <c r="Z12" s="12"/>
      <c r="AA12" s="12"/>
      <c r="AB12" s="12"/>
      <c r="AD12" s="12"/>
      <c r="AE12" s="12"/>
      <c r="AF12" s="12"/>
      <c r="AH12" s="12"/>
      <c r="AI12" s="12"/>
      <c r="AJ12" s="12"/>
      <c r="AL12" s="12"/>
      <c r="AM12" s="12"/>
      <c r="AN12" s="12"/>
      <c r="AP12" s="12"/>
      <c r="AQ12" s="12"/>
      <c r="AR12" s="12"/>
      <c r="AT12" s="12"/>
      <c r="AU12" s="12"/>
      <c r="AV12" s="12"/>
      <c r="AX12" s="12"/>
      <c r="AY12" s="12"/>
      <c r="AZ12" s="12"/>
    </row>
    <row r="13" spans="1:52">
      <c r="A13" t="e">
        <f>#REF!</f>
        <v>#REF!</v>
      </c>
      <c r="B13" s="11">
        <f>SUM(B4:B11)</f>
        <v>129659324</v>
      </c>
      <c r="C13" s="11" t="e">
        <f>SUM(C4:C11)</f>
        <v>#REF!</v>
      </c>
      <c r="D13" s="15" t="e">
        <f>B13-C13</f>
        <v>#REF!</v>
      </c>
      <c r="F13" s="11">
        <f>SUM(F4:F11)</f>
        <v>17002559</v>
      </c>
      <c r="G13" s="11" t="e">
        <f>SUM(G4:G8)</f>
        <v>#REF!</v>
      </c>
      <c r="H13" s="15" t="e">
        <f>F13-G13</f>
        <v>#REF!</v>
      </c>
      <c r="I13" s="11"/>
      <c r="J13" s="11">
        <f>SUM(J4:J11)</f>
        <v>13369377</v>
      </c>
      <c r="K13" s="11" t="e">
        <f>SUM(K4:K8)</f>
        <v>#REF!</v>
      </c>
      <c r="L13" s="15" t="e">
        <f>J13-K13</f>
        <v>#REF!</v>
      </c>
      <c r="M13" s="11"/>
      <c r="N13" s="11">
        <f>SUM(N4:N11)</f>
        <v>10820740</v>
      </c>
      <c r="O13" s="11" t="e">
        <f>SUM(O4:O8)</f>
        <v>#REF!</v>
      </c>
      <c r="P13" s="15" t="e">
        <f>N13-O13</f>
        <v>#REF!</v>
      </c>
      <c r="Q13" s="11"/>
      <c r="R13" s="11">
        <f>SUM(R4:R11)</f>
        <v>985283</v>
      </c>
      <c r="S13" s="11" t="e">
        <f>SUM(S4:S8)</f>
        <v>#REF!</v>
      </c>
      <c r="T13" s="15" t="e">
        <f>R13-S13</f>
        <v>#REF!</v>
      </c>
      <c r="U13" s="12"/>
      <c r="V13" s="11">
        <f>SUM(V4:V11)</f>
        <v>-3818835</v>
      </c>
      <c r="W13" s="11" t="e">
        <f>SUM(W4:W8)</f>
        <v>#REF!</v>
      </c>
      <c r="X13" s="15" t="e">
        <f>V13-W13</f>
        <v>#REF!</v>
      </c>
      <c r="Z13" s="11">
        <f>SUM(Z4:Z11)</f>
        <v>-4682742</v>
      </c>
      <c r="AA13" s="11" t="e">
        <f>SUM(AA4:AA8)</f>
        <v>#REF!</v>
      </c>
      <c r="AB13" s="15" t="e">
        <f>Z13-AA13</f>
        <v>#REF!</v>
      </c>
      <c r="AD13" s="11">
        <f>SUM(AD4:AD11)</f>
        <v>4377775</v>
      </c>
      <c r="AE13" s="11" t="e">
        <f>SUM(AE4:AE8)</f>
        <v>#REF!</v>
      </c>
      <c r="AF13" s="15" t="e">
        <f>AD13-AE13</f>
        <v>#REF!</v>
      </c>
      <c r="AH13" s="11">
        <f>SUM(AH4:AH11)</f>
        <v>19939602</v>
      </c>
      <c r="AI13" s="11" t="e">
        <f>SUM(AI4:AI8)</f>
        <v>#REF!</v>
      </c>
      <c r="AJ13" s="15" t="e">
        <f>AH13-AI13</f>
        <v>#REF!</v>
      </c>
      <c r="AL13" s="11">
        <f>SUM(AL4:AL11)</f>
        <v>15963745</v>
      </c>
      <c r="AM13" s="11" t="e">
        <f>SUM(AM4:AM8)</f>
        <v>#REF!</v>
      </c>
      <c r="AN13" s="15" t="e">
        <f>AL13-AM13</f>
        <v>#REF!</v>
      </c>
      <c r="AP13" s="11">
        <f>SUM(AP4:AP11)</f>
        <v>20983370</v>
      </c>
      <c r="AQ13" s="11" t="e">
        <f>SUM(AQ4:AQ8)</f>
        <v>#REF!</v>
      </c>
      <c r="AR13" s="15" t="e">
        <f>AP13-AQ13</f>
        <v>#REF!</v>
      </c>
      <c r="AT13" s="11">
        <f>SUM(AT4:AT11)</f>
        <v>14349663</v>
      </c>
      <c r="AU13" s="11" t="e">
        <f>SUM(AU4:AU8)</f>
        <v>#REF!</v>
      </c>
      <c r="AV13" s="15" t="e">
        <f>AT13-AU13</f>
        <v>#REF!</v>
      </c>
      <c r="AX13" s="11">
        <f>SUM(AX4:AX11)</f>
        <v>20368787</v>
      </c>
      <c r="AY13" s="11" t="e">
        <f>SUM(AY4:AY8)</f>
        <v>#REF!</v>
      </c>
      <c r="AZ13" s="15" t="e">
        <f>AX13-AY13</f>
        <v>#REF!</v>
      </c>
    </row>
    <row r="14" spans="1:52"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2"/>
      <c r="V14" s="11"/>
      <c r="W14" s="11"/>
      <c r="X14" s="11"/>
      <c r="Z14" s="11"/>
      <c r="AA14" s="11"/>
      <c r="AB14" s="11"/>
      <c r="AD14" s="11"/>
      <c r="AE14" s="11"/>
      <c r="AF14" s="11"/>
      <c r="AH14" s="11"/>
      <c r="AI14" s="11"/>
      <c r="AJ14" s="11"/>
      <c r="AL14" s="11"/>
      <c r="AM14" s="11"/>
      <c r="AN14" s="11"/>
      <c r="AP14" s="11"/>
      <c r="AQ14" s="11"/>
      <c r="AR14" s="11"/>
      <c r="AT14" s="11"/>
      <c r="AU14" s="11"/>
      <c r="AV14" s="11"/>
      <c r="AX14" s="11"/>
      <c r="AY14" s="11"/>
      <c r="AZ14" s="11"/>
    </row>
    <row r="15" spans="1:52">
      <c r="A15" s="9" t="s">
        <v>8</v>
      </c>
      <c r="B15" s="16">
        <f>B13*0.6516</f>
        <v>84486015.518399999</v>
      </c>
      <c r="C15" s="16" t="e">
        <f>C13*0.6516</f>
        <v>#REF!</v>
      </c>
      <c r="D15" s="12" t="e">
        <f>B15-C15</f>
        <v>#REF!</v>
      </c>
      <c r="E15" s="9"/>
      <c r="F15" s="16">
        <f>F13*0.6516</f>
        <v>11078867.444399999</v>
      </c>
      <c r="G15" s="16" t="e">
        <f>G13*0.6516</f>
        <v>#REF!</v>
      </c>
      <c r="H15" s="12" t="e">
        <f>F15-G15</f>
        <v>#REF!</v>
      </c>
      <c r="I15" s="11"/>
      <c r="J15" s="16">
        <f>J13*0.6516</f>
        <v>8711486.053199999</v>
      </c>
      <c r="K15" s="16" t="e">
        <f>K13*0.6516</f>
        <v>#REF!</v>
      </c>
      <c r="L15" s="12" t="e">
        <f>J15-K15</f>
        <v>#REF!</v>
      </c>
      <c r="M15" s="11"/>
      <c r="N15" s="16">
        <f>N13*0.6516</f>
        <v>7050794.1839999994</v>
      </c>
      <c r="O15" s="16" t="e">
        <f>O13*0.6516</f>
        <v>#REF!</v>
      </c>
      <c r="P15" s="12" t="e">
        <f>N15-O15</f>
        <v>#REF!</v>
      </c>
      <c r="Q15" s="11"/>
      <c r="R15" s="16">
        <f>R13*0.6516</f>
        <v>642010.40279999992</v>
      </c>
      <c r="S15" s="16" t="e">
        <f>S13*0.6516</f>
        <v>#REF!</v>
      </c>
      <c r="T15" s="12" t="e">
        <f>R15-S15</f>
        <v>#REF!</v>
      </c>
      <c r="U15" s="12"/>
      <c r="V15" s="16">
        <f>V13*0.6516</f>
        <v>-2488352.8859999999</v>
      </c>
      <c r="W15" s="16" t="e">
        <f>W13*0.6516</f>
        <v>#REF!</v>
      </c>
      <c r="X15" s="12" t="e">
        <f>V15-W15</f>
        <v>#REF!</v>
      </c>
      <c r="Z15" s="16">
        <f>Z13*0.6516</f>
        <v>-3051274.6871999996</v>
      </c>
      <c r="AA15" s="16" t="e">
        <f>AA13*0.6516</f>
        <v>#REF!</v>
      </c>
      <c r="AB15" s="12" t="e">
        <f>Z15-AA15</f>
        <v>#REF!</v>
      </c>
      <c r="AD15" s="16">
        <f>AD13*0.6516</f>
        <v>2852558.19</v>
      </c>
      <c r="AE15" s="16" t="e">
        <f>AE13*0.6516</f>
        <v>#REF!</v>
      </c>
      <c r="AF15" s="12" t="e">
        <f>AD15-AE15</f>
        <v>#REF!</v>
      </c>
      <c r="AH15" s="16">
        <f>AH13*0.6516</f>
        <v>12992644.663199998</v>
      </c>
      <c r="AI15" s="16" t="e">
        <f>AI13*0.6516</f>
        <v>#REF!</v>
      </c>
      <c r="AJ15" s="12" t="e">
        <f>AH15-AI15</f>
        <v>#REF!</v>
      </c>
      <c r="AL15" s="16">
        <f>AL13*0.6516</f>
        <v>10401976.241999999</v>
      </c>
      <c r="AM15" s="16" t="e">
        <f>AM13*0.6516</f>
        <v>#REF!</v>
      </c>
      <c r="AN15" s="12" t="e">
        <f>AL15-AM15</f>
        <v>#REF!</v>
      </c>
      <c r="AP15" s="16">
        <f>AP13*0.6516</f>
        <v>13672763.891999999</v>
      </c>
      <c r="AQ15" s="16" t="e">
        <f>AQ13*0.6516</f>
        <v>#REF!</v>
      </c>
      <c r="AR15" s="12" t="e">
        <f>AP15-AQ15</f>
        <v>#REF!</v>
      </c>
      <c r="AT15" s="16">
        <f>AT13*0.6516</f>
        <v>9350240.4107999988</v>
      </c>
      <c r="AU15" s="16" t="e">
        <f>AU13*0.6516</f>
        <v>#REF!</v>
      </c>
      <c r="AV15" s="12" t="e">
        <f>AT15-AU15</f>
        <v>#REF!</v>
      </c>
      <c r="AX15" s="16">
        <f>AX13*0.6516</f>
        <v>13272301.609199999</v>
      </c>
      <c r="AY15" s="16" t="e">
        <f>AY13*0.6516</f>
        <v>#REF!</v>
      </c>
      <c r="AZ15" s="12" t="e">
        <f>AX15-AY15</f>
        <v>#REF!</v>
      </c>
    </row>
    <row r="16" spans="1:52">
      <c r="A16" t="s">
        <v>9</v>
      </c>
      <c r="B16" s="10">
        <f>SUM(F16,J16,N16,R16,V16,Z16,AD16,AH16,AL16,AP16,AT16,AX16)</f>
        <v>-9954077</v>
      </c>
      <c r="D16" s="12">
        <f>B16-C16</f>
        <v>-9954077</v>
      </c>
      <c r="F16" s="11">
        <v>-1021784</v>
      </c>
      <c r="G16" s="11"/>
      <c r="H16" s="12">
        <f>F16-G16</f>
        <v>-1021784</v>
      </c>
      <c r="I16" s="11"/>
      <c r="J16" s="11">
        <v>145512</v>
      </c>
      <c r="K16" s="11"/>
      <c r="L16" s="12">
        <f>J16-K16</f>
        <v>145512</v>
      </c>
      <c r="M16" s="11"/>
      <c r="N16" s="11">
        <v>-389601</v>
      </c>
      <c r="O16" s="11"/>
      <c r="P16" s="12">
        <f>N16-O16</f>
        <v>-389601</v>
      </c>
      <c r="Q16" s="11"/>
      <c r="R16" s="11">
        <v>-648479</v>
      </c>
      <c r="S16" s="11"/>
      <c r="T16" s="12">
        <f>R16-S16</f>
        <v>-648479</v>
      </c>
      <c r="U16" s="12"/>
      <c r="V16" s="11">
        <v>-1000049</v>
      </c>
      <c r="W16" s="11"/>
      <c r="X16" s="12">
        <f>V16-W16</f>
        <v>-1000049</v>
      </c>
      <c r="Z16" s="11">
        <v>-1458084</v>
      </c>
      <c r="AA16" s="11"/>
      <c r="AB16" s="12">
        <f>Z16-AA16</f>
        <v>-1458084</v>
      </c>
      <c r="AD16" s="11">
        <v>-1911136</v>
      </c>
      <c r="AE16" s="11"/>
      <c r="AF16" s="12">
        <f>AD16-AE16</f>
        <v>-1911136</v>
      </c>
      <c r="AH16" s="11">
        <v>-972212</v>
      </c>
      <c r="AI16" s="11"/>
      <c r="AJ16" s="12">
        <f>AH16-AI16</f>
        <v>-972212</v>
      </c>
      <c r="AL16" s="11">
        <v>-622762</v>
      </c>
      <c r="AM16" s="11"/>
      <c r="AN16" s="12">
        <f>AL16-AM16</f>
        <v>-622762</v>
      </c>
      <c r="AP16" s="11">
        <v>-42449</v>
      </c>
      <c r="AQ16" s="11"/>
      <c r="AR16" s="12">
        <f>AP16-AQ16</f>
        <v>-42449</v>
      </c>
      <c r="AT16" s="11">
        <v>-1086605</v>
      </c>
      <c r="AU16" s="11"/>
      <c r="AV16" s="12">
        <f>AT16-AU16</f>
        <v>-1086605</v>
      </c>
      <c r="AX16" s="11">
        <v>-946428</v>
      </c>
      <c r="AY16" s="11"/>
      <c r="AZ16" s="12">
        <f>AX16-AY16</f>
        <v>-946428</v>
      </c>
    </row>
    <row r="17" spans="1:53">
      <c r="A17" s="17" t="e">
        <f>#REF!</f>
        <v>#REF!</v>
      </c>
      <c r="B17" s="10">
        <f>SUM(F17,J17,N17,R17,V17,Z17,AD17,AH17,AL17,AP17,AT17,AX17)</f>
        <v>391512</v>
      </c>
      <c r="C17" s="17"/>
      <c r="D17" s="12">
        <f>B17-C17</f>
        <v>391512</v>
      </c>
      <c r="E17" s="17"/>
      <c r="F17" s="11">
        <v>32626</v>
      </c>
      <c r="G17" s="11"/>
      <c r="H17" s="12">
        <f>F17-G17</f>
        <v>32626</v>
      </c>
      <c r="I17" s="11"/>
      <c r="J17" s="11">
        <v>32626</v>
      </c>
      <c r="K17" s="11"/>
      <c r="L17" s="12">
        <f>J17-K17</f>
        <v>32626</v>
      </c>
      <c r="M17" s="11"/>
      <c r="N17" s="11">
        <v>32626</v>
      </c>
      <c r="O17" s="11"/>
      <c r="P17" s="12">
        <f>N17-O17</f>
        <v>32626</v>
      </c>
      <c r="Q17" s="11"/>
      <c r="R17" s="11">
        <v>32626</v>
      </c>
      <c r="S17" s="11"/>
      <c r="T17" s="12">
        <f>R17-S17</f>
        <v>32626</v>
      </c>
      <c r="U17" s="12"/>
      <c r="V17" s="11">
        <v>32626</v>
      </c>
      <c r="W17" s="11"/>
      <c r="X17" s="12">
        <f>V17-W17</f>
        <v>32626</v>
      </c>
      <c r="Z17" s="11">
        <v>32626</v>
      </c>
      <c r="AA17" s="11"/>
      <c r="AB17" s="12">
        <f>Z17-AA17</f>
        <v>32626</v>
      </c>
      <c r="AD17" s="11">
        <v>32626</v>
      </c>
      <c r="AE17" s="11"/>
      <c r="AF17" s="12">
        <f>AD17-AE17</f>
        <v>32626</v>
      </c>
      <c r="AH17" s="11">
        <v>32626</v>
      </c>
      <c r="AI17" s="11"/>
      <c r="AJ17" s="12">
        <f>AH17-AI17</f>
        <v>32626</v>
      </c>
      <c r="AL17" s="11">
        <v>32626</v>
      </c>
      <c r="AM17" s="11"/>
      <c r="AN17" s="12">
        <f>AL17-AM17</f>
        <v>32626</v>
      </c>
      <c r="AP17" s="11">
        <v>32626</v>
      </c>
      <c r="AQ17" s="11"/>
      <c r="AR17" s="12">
        <f>AP17-AQ17</f>
        <v>32626</v>
      </c>
      <c r="AT17" s="11">
        <v>32626</v>
      </c>
      <c r="AU17" s="11"/>
      <c r="AV17" s="12">
        <f>AT17-AU17</f>
        <v>32626</v>
      </c>
      <c r="AX17" s="11">
        <v>32626</v>
      </c>
      <c r="AY17" s="11"/>
      <c r="AZ17" s="12">
        <f>AX17-AY17</f>
        <v>32626</v>
      </c>
    </row>
    <row r="18" spans="1:53"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2"/>
      <c r="V18" s="11"/>
      <c r="W18" s="11"/>
      <c r="X18" s="11"/>
      <c r="Z18" s="11"/>
      <c r="AA18" s="11"/>
      <c r="AB18" s="11"/>
      <c r="AD18" s="11"/>
      <c r="AE18" s="11"/>
      <c r="AF18" s="11"/>
      <c r="AH18" s="11"/>
      <c r="AI18" s="11"/>
      <c r="AJ18" s="11"/>
      <c r="AL18" s="11"/>
      <c r="AM18" s="11"/>
      <c r="AN18" s="11"/>
      <c r="AP18" s="11"/>
      <c r="AQ18" s="11"/>
      <c r="AR18" s="11"/>
      <c r="AT18" s="11"/>
      <c r="AU18" s="11"/>
      <c r="AV18" s="11"/>
      <c r="AX18" s="11"/>
      <c r="AY18" s="11"/>
      <c r="AZ18" s="11"/>
    </row>
    <row r="19" spans="1:53">
      <c r="A19" t="s">
        <v>10</v>
      </c>
      <c r="D19" s="18" t="e">
        <f>D15+D16+D17</f>
        <v>#REF!</v>
      </c>
      <c r="F19" s="11"/>
      <c r="G19" s="11"/>
      <c r="H19" s="18" t="e">
        <f>H15+H16+H17</f>
        <v>#REF!</v>
      </c>
      <c r="I19" s="18"/>
      <c r="J19" s="18"/>
      <c r="K19" s="18"/>
      <c r="L19" s="18" t="e">
        <f>L15+L16+L17</f>
        <v>#REF!</v>
      </c>
      <c r="M19" s="18"/>
      <c r="N19" s="18"/>
      <c r="O19" s="18"/>
      <c r="P19" s="18" t="e">
        <f>P15+P16+P17</f>
        <v>#REF!</v>
      </c>
      <c r="Q19" s="18"/>
      <c r="R19" s="18"/>
      <c r="S19" s="18"/>
      <c r="T19" s="18" t="e">
        <f>T15+T16+T17</f>
        <v>#REF!</v>
      </c>
      <c r="U19" s="19"/>
      <c r="V19" s="18"/>
      <c r="W19" s="18"/>
      <c r="X19" s="18" t="e">
        <f>X15+X16+X17</f>
        <v>#REF!</v>
      </c>
      <c r="Y19" s="20"/>
      <c r="Z19" s="18"/>
      <c r="AA19" s="18"/>
      <c r="AB19" s="18" t="e">
        <f>AB15+AB16+AB17</f>
        <v>#REF!</v>
      </c>
      <c r="AC19" s="20"/>
      <c r="AD19" s="18"/>
      <c r="AE19" s="18"/>
      <c r="AF19" s="18" t="e">
        <f>SUM(AF15:AF17)</f>
        <v>#REF!</v>
      </c>
      <c r="AG19" s="20"/>
      <c r="AH19" s="18"/>
      <c r="AI19" s="18"/>
      <c r="AJ19" s="18" t="e">
        <f>SUM(AJ15:AJ17)</f>
        <v>#REF!</v>
      </c>
      <c r="AK19" s="20"/>
      <c r="AL19" s="18"/>
      <c r="AM19" s="18"/>
      <c r="AN19" s="18" t="e">
        <f>SUM(AN15:AN17)</f>
        <v>#REF!</v>
      </c>
      <c r="AO19" s="21"/>
      <c r="AP19" s="18"/>
      <c r="AQ19" s="18" t="e">
        <f>AQ15</f>
        <v>#REF!</v>
      </c>
      <c r="AR19" s="18" t="e">
        <f>SUM(AR15:AR17)</f>
        <v>#REF!</v>
      </c>
      <c r="AS19" s="21"/>
      <c r="AT19" s="18"/>
      <c r="AU19" s="18" t="e">
        <f>AU15</f>
        <v>#REF!</v>
      </c>
      <c r="AV19" s="18" t="e">
        <f>SUM(AV15:AV17)</f>
        <v>#REF!</v>
      </c>
      <c r="AW19" s="21"/>
      <c r="AX19" s="18"/>
      <c r="AY19" s="18" t="e">
        <f>AY15</f>
        <v>#REF!</v>
      </c>
      <c r="AZ19" s="18" t="e">
        <f>SUM(AZ15:AZ17)</f>
        <v>#REF!</v>
      </c>
    </row>
    <row r="20" spans="1:53">
      <c r="F20" s="11"/>
      <c r="G20" s="11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9"/>
      <c r="V20" s="18"/>
      <c r="W20" s="18"/>
      <c r="X20" s="18"/>
      <c r="Y20" s="20"/>
      <c r="Z20" s="18"/>
      <c r="AA20" s="18"/>
      <c r="AB20" s="18"/>
      <c r="AC20" s="20"/>
      <c r="AD20" s="18"/>
      <c r="AE20" s="18"/>
      <c r="AF20" s="18"/>
      <c r="AG20" s="20"/>
      <c r="AH20" s="18"/>
      <c r="AI20" s="18"/>
      <c r="AJ20" s="18"/>
      <c r="AK20" s="20"/>
      <c r="AL20" s="18"/>
      <c r="AM20" s="18"/>
      <c r="AN20" s="18"/>
      <c r="AO20" s="21"/>
      <c r="AP20" s="18"/>
      <c r="AQ20" s="18"/>
      <c r="AR20" s="18"/>
      <c r="AS20" s="21"/>
      <c r="AT20" s="18"/>
      <c r="AU20" s="18"/>
      <c r="AV20" s="18"/>
      <c r="AW20" s="21"/>
      <c r="AX20" s="18"/>
      <c r="AY20" s="18"/>
      <c r="AZ20" s="18"/>
    </row>
    <row r="21" spans="1:53">
      <c r="A21" t="s">
        <v>11</v>
      </c>
      <c r="F21" s="11"/>
      <c r="G21" s="22" t="s">
        <v>12</v>
      </c>
      <c r="H21" s="18" t="e">
        <f>H19</f>
        <v>#REF!</v>
      </c>
      <c r="I21" s="18"/>
      <c r="J21" s="18"/>
      <c r="K21" s="23" t="s">
        <v>12</v>
      </c>
      <c r="L21" s="18" t="e">
        <f>L19</f>
        <v>#REF!</v>
      </c>
      <c r="M21" s="18"/>
      <c r="N21" s="18"/>
      <c r="O21" s="23" t="s">
        <v>12</v>
      </c>
      <c r="P21" s="18" t="e">
        <f>P19</f>
        <v>#REF!</v>
      </c>
      <c r="Q21" s="18"/>
      <c r="R21" s="18"/>
      <c r="S21" s="23" t="s">
        <v>12</v>
      </c>
      <c r="T21" s="18" t="e">
        <f>T19</f>
        <v>#REF!</v>
      </c>
      <c r="U21" s="19"/>
      <c r="V21" s="18"/>
      <c r="W21" s="23" t="s">
        <v>12</v>
      </c>
      <c r="X21" s="18" t="e">
        <f>X19</f>
        <v>#REF!</v>
      </c>
      <c r="Y21" s="20"/>
      <c r="Z21" s="18"/>
      <c r="AA21" s="18" t="s">
        <v>12</v>
      </c>
      <c r="AB21" s="18" t="e">
        <f>AB19</f>
        <v>#REF!</v>
      </c>
      <c r="AC21" s="20"/>
      <c r="AD21" s="18"/>
      <c r="AE21" s="18" t="s">
        <v>12</v>
      </c>
      <c r="AF21" s="18" t="e">
        <f>AF19</f>
        <v>#REF!</v>
      </c>
      <c r="AG21" s="20"/>
      <c r="AH21" s="18"/>
      <c r="AI21" s="18"/>
      <c r="AJ21" s="18" t="s">
        <v>12</v>
      </c>
      <c r="AK21" s="20"/>
      <c r="AL21" s="18"/>
      <c r="AM21" s="18"/>
      <c r="AN21" s="18"/>
      <c r="AO21" s="21"/>
      <c r="AP21" s="18"/>
      <c r="AQ21" s="18"/>
      <c r="AR21" s="18"/>
      <c r="AS21" s="21"/>
      <c r="AT21" s="18"/>
      <c r="AU21" s="18"/>
      <c r="AV21" s="18"/>
      <c r="AW21" s="21"/>
      <c r="AX21" s="18"/>
      <c r="AY21" s="18"/>
      <c r="AZ21" s="18" t="e">
        <f>H19+L19+P19+T19+X19+AB19+AF19+AJ19+AN19+AR19+AV19+AZ19</f>
        <v>#REF!</v>
      </c>
      <c r="BA21" t="s">
        <v>13</v>
      </c>
    </row>
    <row r="22" spans="1:53"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2"/>
      <c r="V22" s="11"/>
      <c r="W22" s="11"/>
      <c r="X22" s="11"/>
      <c r="Z22" s="11"/>
      <c r="AA22" s="11"/>
      <c r="AB22" s="11"/>
      <c r="AD22" s="11"/>
      <c r="AE22" s="11"/>
      <c r="AF22" s="11"/>
      <c r="AH22" s="11"/>
      <c r="AI22" s="11"/>
      <c r="AJ22" s="11"/>
      <c r="AL22" s="11"/>
      <c r="AM22" s="11"/>
      <c r="AN22" s="11"/>
      <c r="AP22" s="11"/>
      <c r="AQ22" s="11"/>
      <c r="AR22" s="11"/>
      <c r="AT22" s="11"/>
      <c r="AU22" s="11"/>
      <c r="AV22" s="11"/>
      <c r="AX22" s="11"/>
      <c r="AY22" s="11"/>
      <c r="AZ22" s="11"/>
    </row>
    <row r="23" spans="1:53">
      <c r="A23" t="s">
        <v>14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2"/>
      <c r="V23" s="11"/>
      <c r="W23" s="11"/>
      <c r="X23" s="16"/>
      <c r="Z23" s="11"/>
      <c r="AA23" s="11"/>
      <c r="AB23" s="16"/>
      <c r="AD23" s="11"/>
      <c r="AE23" s="11"/>
      <c r="AF23" s="16"/>
      <c r="AH23" s="11"/>
      <c r="AI23" s="11"/>
      <c r="AJ23" s="11"/>
      <c r="AL23" s="11"/>
      <c r="AM23" s="11"/>
      <c r="AN23" s="16"/>
      <c r="AP23" s="11"/>
      <c r="AQ23" s="11"/>
      <c r="AR23" s="16"/>
      <c r="AT23" s="11"/>
      <c r="AU23" s="11"/>
      <c r="AV23" s="16"/>
      <c r="AX23" s="11"/>
      <c r="AY23" s="11"/>
      <c r="AZ23" s="16"/>
    </row>
    <row r="24" spans="1:53"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2"/>
      <c r="V24" s="11"/>
      <c r="W24" s="11"/>
      <c r="X24" s="11"/>
      <c r="Z24" s="11"/>
      <c r="AA24" s="11"/>
      <c r="AB24" s="11"/>
      <c r="AD24" s="11"/>
      <c r="AE24" s="11"/>
      <c r="AF24" s="11"/>
      <c r="AH24" s="11"/>
      <c r="AI24" s="11"/>
      <c r="AJ24" s="11"/>
      <c r="AL24" s="11"/>
      <c r="AM24" s="11"/>
      <c r="AN24" s="11"/>
      <c r="AP24" s="11"/>
      <c r="AQ24" s="11"/>
      <c r="AR24" s="11"/>
      <c r="AT24" s="11"/>
      <c r="AU24" s="11"/>
      <c r="AV24" s="11"/>
      <c r="AX24" s="11"/>
      <c r="AY24" s="11"/>
      <c r="AZ24" s="11"/>
    </row>
    <row r="25" spans="1:53"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2"/>
      <c r="V25" s="11"/>
      <c r="W25" s="11"/>
      <c r="X25" s="11"/>
      <c r="Z25" s="11"/>
      <c r="AA25" s="11"/>
      <c r="AB25" s="11"/>
      <c r="AD25" s="11"/>
      <c r="AE25" s="11"/>
      <c r="AF25" s="11"/>
      <c r="AH25" s="11"/>
      <c r="AI25" s="11"/>
      <c r="AJ25" s="11"/>
      <c r="AL25" s="11"/>
      <c r="AM25" s="11"/>
      <c r="AN25" s="11"/>
      <c r="AP25" s="11"/>
      <c r="AQ25" s="11"/>
      <c r="AR25" s="11"/>
      <c r="AT25" s="11"/>
      <c r="AU25" s="11"/>
      <c r="AV25" s="11"/>
      <c r="AX25" s="11"/>
      <c r="AY25" s="11"/>
      <c r="AZ25" s="11"/>
    </row>
    <row r="26" spans="1:53">
      <c r="A26" s="24" t="s">
        <v>15</v>
      </c>
      <c r="B26" s="25"/>
      <c r="C26" s="25"/>
      <c r="D26" s="25"/>
      <c r="E26" s="25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2"/>
      <c r="V26" s="11"/>
      <c r="W26" s="11"/>
      <c r="X26" s="11"/>
      <c r="Z26" s="11"/>
      <c r="AA26" s="11"/>
      <c r="AB26" s="11"/>
      <c r="AD26" s="11"/>
      <c r="AE26" s="11"/>
      <c r="AF26" s="11"/>
      <c r="AH26" s="11"/>
      <c r="AI26" s="11"/>
      <c r="AJ26" s="11"/>
      <c r="AL26" s="11"/>
      <c r="AM26" s="11"/>
      <c r="AN26" s="11"/>
      <c r="AP26" s="11"/>
      <c r="AQ26" s="11"/>
      <c r="AR26" s="11"/>
      <c r="AT26" s="11"/>
      <c r="AU26" s="11"/>
      <c r="AV26" s="11"/>
      <c r="AX26" s="11"/>
      <c r="AY26" s="11"/>
      <c r="AZ26" s="11"/>
    </row>
    <row r="27" spans="1:53">
      <c r="A27" s="25"/>
      <c r="B27" s="25"/>
      <c r="C27" s="25"/>
      <c r="D27" s="25"/>
      <c r="E27" s="25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2"/>
      <c r="V27" s="11"/>
      <c r="W27" s="11"/>
      <c r="X27" s="11"/>
      <c r="Z27" s="11"/>
      <c r="AA27" s="11"/>
      <c r="AB27" s="11"/>
      <c r="AD27" s="11"/>
      <c r="AE27" s="11"/>
      <c r="AF27" s="11"/>
      <c r="AH27" s="11"/>
      <c r="AI27" s="11"/>
      <c r="AJ27" s="11"/>
      <c r="AL27" s="11"/>
      <c r="AM27" s="11"/>
      <c r="AN27" s="11"/>
      <c r="AP27" s="11"/>
      <c r="AQ27" s="11"/>
      <c r="AR27" s="11"/>
      <c r="AT27" s="11"/>
      <c r="AU27" s="11"/>
      <c r="AV27" s="11"/>
      <c r="AX27" s="11"/>
      <c r="AY27" s="11"/>
      <c r="AZ27" s="11"/>
    </row>
    <row r="28" spans="1:53">
      <c r="A28" s="25" t="s">
        <v>16</v>
      </c>
      <c r="B28" s="26">
        <f>B31/8760</f>
        <v>1024.7037671232877</v>
      </c>
      <c r="C28" s="26">
        <f>C31/8760</f>
        <v>959.21232876712327</v>
      </c>
      <c r="D28" s="27">
        <f>C28-B28</f>
        <v>-65.491438356164394</v>
      </c>
      <c r="E28" s="25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2"/>
      <c r="V28" s="11"/>
      <c r="W28" s="11"/>
      <c r="X28" s="11"/>
      <c r="Z28" s="11"/>
      <c r="AA28" s="11"/>
      <c r="AB28" s="11"/>
      <c r="AD28" s="11"/>
      <c r="AE28" s="11"/>
      <c r="AF28" s="11"/>
      <c r="AH28" s="11"/>
      <c r="AI28" s="11"/>
      <c r="AJ28" s="11"/>
      <c r="AL28" s="11"/>
      <c r="AM28" s="11"/>
      <c r="AN28" s="11"/>
      <c r="AP28" s="11"/>
      <c r="AQ28" s="11"/>
      <c r="AR28" s="11"/>
      <c r="AT28" s="11"/>
      <c r="AU28" s="11"/>
      <c r="AV28" s="11"/>
      <c r="AX28" s="11"/>
      <c r="AY28" s="11"/>
      <c r="AZ28" s="11"/>
    </row>
    <row r="29" spans="1:53">
      <c r="A29" t="s">
        <v>17</v>
      </c>
      <c r="B29" s="28">
        <f>B30/8760</f>
        <v>544.96369863013695</v>
      </c>
      <c r="C29" s="28">
        <f>C30/8760</f>
        <v>503.68721461187215</v>
      </c>
      <c r="D29" s="29">
        <f>B29-C29</f>
        <v>41.276484018264796</v>
      </c>
      <c r="F29" s="11"/>
      <c r="G29" s="11"/>
      <c r="H29" s="30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2"/>
      <c r="V29" s="11"/>
      <c r="W29" s="11"/>
      <c r="X29" s="11"/>
      <c r="Z29" s="11"/>
      <c r="AA29" s="11"/>
      <c r="AB29" s="11"/>
      <c r="AD29" s="11"/>
      <c r="AE29" s="11"/>
      <c r="AF29" s="11"/>
      <c r="AH29" s="11"/>
      <c r="AI29" s="11"/>
      <c r="AJ29" s="11"/>
      <c r="AL29" s="11"/>
      <c r="AM29" s="11"/>
      <c r="AN29" s="11"/>
      <c r="AP29" s="11"/>
      <c r="AQ29" s="11"/>
      <c r="AR29" s="11"/>
      <c r="AT29" s="11"/>
      <c r="AU29" s="11"/>
      <c r="AV29" s="11"/>
      <c r="AX29" s="11"/>
      <c r="AY29" s="11"/>
      <c r="AZ29" s="11"/>
    </row>
    <row r="30" spans="1:53">
      <c r="A30" t="s">
        <v>18</v>
      </c>
      <c r="B30" s="31">
        <f>SUM(F30,J30,N30,R30,V30,Z30,AD30,AH30,AL30,AP30,AT30,AX30)</f>
        <v>4773882</v>
      </c>
      <c r="C30" s="31">
        <f>SUM(G30,K30,O30,S30,W30,AA30,AE30,AI30,AM30,AQ30,AU30,AY30)</f>
        <v>4412300</v>
      </c>
      <c r="D30" s="32">
        <f>B30-C30</f>
        <v>361582</v>
      </c>
      <c r="F30" s="33">
        <v>349531</v>
      </c>
      <c r="G30" s="33">
        <v>311600</v>
      </c>
      <c r="H30" s="32">
        <f>F30-G30</f>
        <v>37931</v>
      </c>
      <c r="J30" s="33">
        <v>352032</v>
      </c>
      <c r="K30" s="33">
        <v>313400</v>
      </c>
      <c r="L30" s="32">
        <f>J30-K30</f>
        <v>38632</v>
      </c>
      <c r="N30" s="33">
        <v>379656</v>
      </c>
      <c r="O30" s="33">
        <v>353500</v>
      </c>
      <c r="P30" s="32">
        <f>N30-O30</f>
        <v>26156</v>
      </c>
      <c r="R30" s="33">
        <v>498497</v>
      </c>
      <c r="S30" s="33">
        <v>425100</v>
      </c>
      <c r="T30" s="32">
        <f>R30-S30</f>
        <v>73397</v>
      </c>
      <c r="V30" s="33">
        <v>698088</v>
      </c>
      <c r="W30" s="33">
        <v>617600</v>
      </c>
      <c r="X30" s="32">
        <f>V30-W30</f>
        <v>80488</v>
      </c>
      <c r="Z30" s="33">
        <v>697424</v>
      </c>
      <c r="AA30" s="33">
        <v>622300</v>
      </c>
      <c r="AB30" s="32">
        <f>Z30-AA30</f>
        <v>75124</v>
      </c>
      <c r="AD30" s="33">
        <v>453192</v>
      </c>
      <c r="AE30" s="33">
        <v>444900</v>
      </c>
      <c r="AF30" s="32">
        <f>AD30-AE30</f>
        <v>8292</v>
      </c>
      <c r="AH30" s="33">
        <v>259896</v>
      </c>
      <c r="AI30" s="33">
        <v>277600</v>
      </c>
      <c r="AJ30" s="32">
        <f>AH30-AI30</f>
        <v>-17704</v>
      </c>
      <c r="AL30" s="33">
        <v>220560</v>
      </c>
      <c r="AM30" s="33">
        <v>171900</v>
      </c>
      <c r="AN30" s="32">
        <f>AL30-AM30</f>
        <v>48660</v>
      </c>
      <c r="AP30" s="33">
        <v>223638</v>
      </c>
      <c r="AQ30" s="33">
        <v>217000</v>
      </c>
      <c r="AR30" s="32">
        <f>AP30-AQ30</f>
        <v>6638</v>
      </c>
      <c r="AT30" s="33">
        <v>291120</v>
      </c>
      <c r="AU30" s="33">
        <v>322400</v>
      </c>
      <c r="AV30" s="32">
        <f>AT30-AU30</f>
        <v>-31280</v>
      </c>
      <c r="AX30" s="33">
        <v>350248</v>
      </c>
      <c r="AY30" s="33">
        <v>335000</v>
      </c>
      <c r="AZ30" s="32">
        <f>AX30-AY30</f>
        <v>15248</v>
      </c>
    </row>
    <row r="31" spans="1:53">
      <c r="A31" t="s">
        <v>19</v>
      </c>
      <c r="B31" s="31">
        <f>SUM(F31,J31,N31,R31,V31,Z31,AD31,AH31,AL31,AP31,AT31,AX31)</f>
        <v>8976405</v>
      </c>
      <c r="C31" s="31">
        <f>SUM(G31,K31,O31,S31,W31,AA31,AE31,AI31,AM31,AQ31,AU31,AY31)</f>
        <v>8402700</v>
      </c>
      <c r="D31" s="32">
        <f>C31-B31</f>
        <v>-573705</v>
      </c>
      <c r="F31" s="33">
        <f>919303-43775</f>
        <v>875528</v>
      </c>
      <c r="G31" s="33">
        <v>819800</v>
      </c>
      <c r="H31" s="32">
        <f>G31-F31</f>
        <v>-55728</v>
      </c>
      <c r="J31" s="33">
        <f>818916-36999</f>
        <v>781917</v>
      </c>
      <c r="K31" s="33">
        <v>694500</v>
      </c>
      <c r="L31" s="32">
        <f>K31-J31</f>
        <v>-87417</v>
      </c>
      <c r="N31" s="33">
        <f>836776-(24986+19655)</f>
        <v>792135</v>
      </c>
      <c r="O31" s="33">
        <v>723400</v>
      </c>
      <c r="P31" s="32">
        <f>O31-N31</f>
        <v>-68735</v>
      </c>
      <c r="R31" s="33">
        <f>727001-(25082+17990)</f>
        <v>683929</v>
      </c>
      <c r="S31" s="33">
        <v>641200</v>
      </c>
      <c r="T31" s="32">
        <f>S31-R31</f>
        <v>-42729</v>
      </c>
      <c r="V31" s="33">
        <f>707463-(21153+16627)</f>
        <v>669683</v>
      </c>
      <c r="W31" s="33">
        <v>630300</v>
      </c>
      <c r="X31" s="32">
        <f>W31-V31</f>
        <v>-39383</v>
      </c>
      <c r="Z31" s="33">
        <f>687851-(23096+18607)</f>
        <v>646148</v>
      </c>
      <c r="AA31" s="33">
        <v>630500</v>
      </c>
      <c r="AB31" s="32">
        <f>AA31-Z31</f>
        <v>-15648</v>
      </c>
      <c r="AD31" s="33">
        <f>780016-(27601+21908)</f>
        <v>730507</v>
      </c>
      <c r="AE31" s="33">
        <v>681000</v>
      </c>
      <c r="AF31" s="32">
        <f>AE31-AD31</f>
        <v>-49507</v>
      </c>
      <c r="AH31" s="33">
        <f>811898-(23969+17890)</f>
        <v>770039</v>
      </c>
      <c r="AI31" s="33">
        <v>675700</v>
      </c>
      <c r="AJ31" s="32">
        <f>AI31-AH31</f>
        <v>-94339</v>
      </c>
      <c r="AL31" s="33">
        <f>716515-(23561+20434)</f>
        <v>672520</v>
      </c>
      <c r="AM31" s="33">
        <v>637900</v>
      </c>
      <c r="AN31" s="32">
        <f>AM31-AL31</f>
        <v>-34620</v>
      </c>
      <c r="AP31" s="33">
        <f>792722-(28196+20363)</f>
        <v>744163</v>
      </c>
      <c r="AQ31" s="33">
        <v>685600</v>
      </c>
      <c r="AR31" s="32">
        <f>AQ31-AP31</f>
        <v>-58563</v>
      </c>
      <c r="AT31" s="33">
        <f>778802-(23990+19677)</f>
        <v>735135</v>
      </c>
      <c r="AU31" s="33">
        <v>740300</v>
      </c>
      <c r="AV31" s="32">
        <f>AU31-AT31</f>
        <v>5165</v>
      </c>
      <c r="AX31" s="33">
        <f>921527-(25293+21533)</f>
        <v>874701</v>
      </c>
      <c r="AY31" s="33">
        <v>842500</v>
      </c>
      <c r="AZ31" s="32">
        <f>AY31-AX31</f>
        <v>-32201</v>
      </c>
    </row>
    <row r="32" spans="1:53">
      <c r="F32" s="33"/>
      <c r="G32" s="33"/>
      <c r="H32" s="33"/>
      <c r="J32" s="33"/>
      <c r="K32" s="33"/>
      <c r="L32" s="33"/>
      <c r="N32" s="33"/>
      <c r="O32" s="33"/>
      <c r="P32" s="33"/>
      <c r="R32" s="33"/>
      <c r="S32" s="33"/>
      <c r="T32" s="33"/>
      <c r="V32" s="33"/>
      <c r="W32" s="33"/>
      <c r="X32" s="33"/>
      <c r="Z32" s="33"/>
      <c r="AA32" s="33"/>
      <c r="AB32" s="33"/>
      <c r="AD32" s="33"/>
      <c r="AE32" s="33"/>
      <c r="AF32" s="33"/>
      <c r="AH32" s="33"/>
      <c r="AI32" s="33"/>
      <c r="AJ32" s="33"/>
      <c r="AL32" s="33"/>
      <c r="AM32" s="33"/>
      <c r="AN32" s="33"/>
      <c r="AP32" s="33"/>
      <c r="AQ32" s="33"/>
      <c r="AR32" s="33"/>
      <c r="AT32" s="33"/>
      <c r="AU32" s="33"/>
      <c r="AV32" s="33"/>
      <c r="AX32" s="33"/>
      <c r="AY32" s="33"/>
      <c r="AZ32" s="33"/>
    </row>
    <row r="33" spans="1:52">
      <c r="A33" t="s">
        <v>20</v>
      </c>
      <c r="B33" s="31">
        <f>SUM(F33,J33,N33,R33,V33,Z33,AD33,AH33,AL33,AP33,AT33,AX33)</f>
        <v>1614672</v>
      </c>
      <c r="C33" s="31">
        <f>SUM(G33,K33,O33,S33,W33,AA33,AE33,AI33,AM33,AQ33,AU33,AY33)</f>
        <v>1586000</v>
      </c>
      <c r="D33" s="33">
        <f>B33-C33</f>
        <v>28672</v>
      </c>
      <c r="F33" s="33">
        <v>145080</v>
      </c>
      <c r="G33" s="33">
        <v>148000</v>
      </c>
      <c r="H33" s="33">
        <f>F33-G33</f>
        <v>-2920</v>
      </c>
      <c r="I33" s="11"/>
      <c r="J33" s="33">
        <v>131040</v>
      </c>
      <c r="K33" s="33">
        <v>133500</v>
      </c>
      <c r="L33" s="33">
        <f>J33-K33</f>
        <v>-2460</v>
      </c>
      <c r="M33" s="11"/>
      <c r="N33" s="33">
        <v>145080</v>
      </c>
      <c r="O33" s="33">
        <v>136500</v>
      </c>
      <c r="P33" s="33">
        <f>N33-O33</f>
        <v>8580</v>
      </c>
      <c r="Q33" s="11"/>
      <c r="R33" s="33">
        <v>140205</v>
      </c>
      <c r="S33" s="33">
        <v>102100</v>
      </c>
      <c r="T33" s="33">
        <f>R33-S33</f>
        <v>38105</v>
      </c>
      <c r="U33" s="12"/>
      <c r="V33" s="33">
        <v>80352</v>
      </c>
      <c r="W33" s="33">
        <v>88300</v>
      </c>
      <c r="X33" s="33">
        <f>V33-W33</f>
        <v>-7948</v>
      </c>
      <c r="Z33" s="33">
        <v>111600</v>
      </c>
      <c r="AA33" s="33">
        <v>96700</v>
      </c>
      <c r="AB33" s="33">
        <f>Z33-AA33</f>
        <v>14900</v>
      </c>
      <c r="AD33" s="33">
        <v>145080</v>
      </c>
      <c r="AE33" s="33">
        <v>147000</v>
      </c>
      <c r="AF33" s="33">
        <f>AD33-AE33</f>
        <v>-1920</v>
      </c>
      <c r="AH33" s="33">
        <v>145080</v>
      </c>
      <c r="AI33" s="33">
        <v>148700</v>
      </c>
      <c r="AJ33" s="33">
        <f>AH33-AI33</f>
        <v>-3620</v>
      </c>
      <c r="AL33" s="33">
        <v>140400</v>
      </c>
      <c r="AM33" s="33">
        <v>143900</v>
      </c>
      <c r="AN33" s="33">
        <f>AL33-AM33</f>
        <v>-3500</v>
      </c>
      <c r="AP33" s="33">
        <v>145275</v>
      </c>
      <c r="AQ33" s="34">
        <v>148700</v>
      </c>
      <c r="AR33" s="33">
        <f>AP33-AQ33</f>
        <v>-3425</v>
      </c>
      <c r="AT33" s="33">
        <v>140400</v>
      </c>
      <c r="AU33" s="34">
        <v>143900</v>
      </c>
      <c r="AV33" s="33">
        <f>AT33-AU33</f>
        <v>-3500</v>
      </c>
      <c r="AX33" s="33">
        <v>145080</v>
      </c>
      <c r="AY33" s="33">
        <v>148700</v>
      </c>
      <c r="AZ33" s="33">
        <f>AX33-AY33</f>
        <v>-3620</v>
      </c>
    </row>
    <row r="34" spans="1:52">
      <c r="A34" t="s">
        <v>21</v>
      </c>
      <c r="B34" s="31">
        <f t="shared" ref="B34:C39" si="1">SUM(F34,J34,N34,R34,V34,Z34,AD34,AH34,AL34,AP34,AT34,AX34)</f>
        <v>352704</v>
      </c>
      <c r="C34" s="31">
        <f t="shared" si="1"/>
        <v>357400</v>
      </c>
      <c r="D34" s="33">
        <f t="shared" ref="D34:D40" si="2">B34-C34</f>
        <v>-4696</v>
      </c>
      <c r="F34" s="33">
        <v>32736</v>
      </c>
      <c r="G34" s="33">
        <v>32000</v>
      </c>
      <c r="H34" s="33">
        <f t="shared" ref="H34:H40" si="3">F34-G34</f>
        <v>736</v>
      </c>
      <c r="J34" s="33">
        <v>29568</v>
      </c>
      <c r="K34" s="33">
        <v>28700</v>
      </c>
      <c r="L34" s="33">
        <f t="shared" ref="L34:L40" si="4">J34-K34</f>
        <v>868</v>
      </c>
      <c r="N34" s="33">
        <v>32736</v>
      </c>
      <c r="O34" s="33">
        <v>33800</v>
      </c>
      <c r="P34" s="33">
        <f t="shared" ref="P34:P40" si="5">N34-O34</f>
        <v>-1064</v>
      </c>
      <c r="R34" s="33">
        <v>31636</v>
      </c>
      <c r="S34" s="33">
        <v>32500</v>
      </c>
      <c r="T34" s="33">
        <f t="shared" ref="T34:T40" si="6">R34-S34</f>
        <v>-864</v>
      </c>
      <c r="V34" s="33">
        <v>0</v>
      </c>
      <c r="W34" s="33">
        <v>17200</v>
      </c>
      <c r="X34" s="33">
        <f t="shared" ref="X34:X40" si="7">V34-W34</f>
        <v>-17200</v>
      </c>
      <c r="Z34" s="33">
        <v>31680</v>
      </c>
      <c r="AA34" s="33">
        <v>12200</v>
      </c>
      <c r="AB34" s="33">
        <f t="shared" ref="AB34:AB40" si="8">Z34-AA34</f>
        <v>19480</v>
      </c>
      <c r="AD34" s="33">
        <v>32736</v>
      </c>
      <c r="AE34" s="33">
        <v>32200</v>
      </c>
      <c r="AF34" s="33">
        <f t="shared" ref="AF34:AF40" si="9">AD34-AE34</f>
        <v>536</v>
      </c>
      <c r="AH34" s="33">
        <v>32736</v>
      </c>
      <c r="AI34" s="33">
        <v>34200</v>
      </c>
      <c r="AJ34" s="33">
        <f t="shared" ref="AJ34:AJ40" si="10">AH34-AI34</f>
        <v>-1464</v>
      </c>
      <c r="AL34" s="33">
        <v>31680</v>
      </c>
      <c r="AM34" s="33">
        <v>33100</v>
      </c>
      <c r="AN34" s="33">
        <f t="shared" ref="AN34:AN40" si="11">AL34-AM34</f>
        <v>-1420</v>
      </c>
      <c r="AP34" s="33">
        <v>32780</v>
      </c>
      <c r="AQ34" s="33">
        <v>34200</v>
      </c>
      <c r="AR34" s="33">
        <f t="shared" ref="AR34:AR40" si="12">AP34-AQ34</f>
        <v>-1420</v>
      </c>
      <c r="AT34" s="33">
        <v>31680</v>
      </c>
      <c r="AU34" s="33">
        <v>33100</v>
      </c>
      <c r="AV34" s="33">
        <f t="shared" ref="AV34:AV40" si="13">AT34-AU34</f>
        <v>-1420</v>
      </c>
      <c r="AX34" s="33">
        <v>32736</v>
      </c>
      <c r="AY34" s="33">
        <v>34200</v>
      </c>
      <c r="AZ34" s="33">
        <f t="shared" ref="AZ34:AZ40" si="14">AX34-AY34</f>
        <v>-1464</v>
      </c>
    </row>
    <row r="35" spans="1:52">
      <c r="A35" t="s">
        <v>22</v>
      </c>
      <c r="B35" s="31">
        <f t="shared" si="1"/>
        <v>0</v>
      </c>
      <c r="C35" s="31">
        <f t="shared" si="1"/>
        <v>10900</v>
      </c>
      <c r="D35" s="33">
        <f t="shared" si="2"/>
        <v>-10900</v>
      </c>
      <c r="F35" s="33"/>
      <c r="G35" s="33">
        <v>200</v>
      </c>
      <c r="H35" s="33">
        <f t="shared" si="3"/>
        <v>-200</v>
      </c>
      <c r="J35" s="33"/>
      <c r="K35" s="33">
        <v>100</v>
      </c>
      <c r="L35" s="33">
        <f t="shared" si="4"/>
        <v>-100</v>
      </c>
      <c r="N35" s="33"/>
      <c r="O35" s="33">
        <v>1500</v>
      </c>
      <c r="P35" s="33">
        <f t="shared" si="5"/>
        <v>-1500</v>
      </c>
      <c r="R35" s="33"/>
      <c r="S35" s="33">
        <v>500</v>
      </c>
      <c r="T35" s="33">
        <f t="shared" si="6"/>
        <v>-500</v>
      </c>
      <c r="V35" s="33"/>
      <c r="W35" s="33">
        <v>1600</v>
      </c>
      <c r="X35" s="33">
        <f t="shared" si="7"/>
        <v>-1600</v>
      </c>
      <c r="Z35" s="33"/>
      <c r="AA35" s="33">
        <v>0</v>
      </c>
      <c r="AB35" s="33">
        <f t="shared" si="8"/>
        <v>0</v>
      </c>
      <c r="AD35" s="33"/>
      <c r="AE35" s="33">
        <v>800</v>
      </c>
      <c r="AF35" s="33">
        <f t="shared" si="9"/>
        <v>-800</v>
      </c>
      <c r="AH35" s="33"/>
      <c r="AI35" s="33">
        <v>1500</v>
      </c>
      <c r="AJ35" s="33">
        <f t="shared" si="10"/>
        <v>-1500</v>
      </c>
      <c r="AL35" s="33"/>
      <c r="AM35" s="33">
        <v>1500</v>
      </c>
      <c r="AN35" s="33">
        <f t="shared" si="11"/>
        <v>-1500</v>
      </c>
      <c r="AP35" s="33"/>
      <c r="AQ35" s="33">
        <v>2700</v>
      </c>
      <c r="AR35" s="33">
        <f t="shared" si="12"/>
        <v>-2700</v>
      </c>
      <c r="AT35" s="33"/>
      <c r="AU35" s="33">
        <v>500</v>
      </c>
      <c r="AV35" s="33">
        <f t="shared" si="13"/>
        <v>-500</v>
      </c>
      <c r="AX35" s="33"/>
      <c r="AY35" s="33">
        <v>0</v>
      </c>
      <c r="AZ35" s="33">
        <f t="shared" si="14"/>
        <v>0</v>
      </c>
    </row>
    <row r="36" spans="1:52">
      <c r="A36" t="s">
        <v>23</v>
      </c>
      <c r="B36" s="31">
        <f t="shared" si="1"/>
        <v>0</v>
      </c>
      <c r="C36" s="31">
        <f t="shared" si="1"/>
        <v>0</v>
      </c>
      <c r="D36" s="33">
        <f t="shared" si="2"/>
        <v>0</v>
      </c>
      <c r="F36" s="33">
        <v>0</v>
      </c>
      <c r="G36" s="33">
        <v>0</v>
      </c>
      <c r="H36" s="33">
        <f t="shared" si="3"/>
        <v>0</v>
      </c>
      <c r="J36" s="33">
        <v>0</v>
      </c>
      <c r="K36" s="33">
        <v>0</v>
      </c>
      <c r="L36" s="33">
        <f t="shared" si="4"/>
        <v>0</v>
      </c>
      <c r="N36" s="33">
        <v>0</v>
      </c>
      <c r="O36" s="33">
        <v>0</v>
      </c>
      <c r="P36" s="33">
        <f t="shared" si="5"/>
        <v>0</v>
      </c>
      <c r="R36" s="33">
        <v>0</v>
      </c>
      <c r="S36" s="33">
        <v>0</v>
      </c>
      <c r="T36" s="33">
        <f t="shared" si="6"/>
        <v>0</v>
      </c>
      <c r="V36" s="33">
        <v>0</v>
      </c>
      <c r="W36" s="33">
        <v>0</v>
      </c>
      <c r="X36" s="33">
        <f t="shared" si="7"/>
        <v>0</v>
      </c>
      <c r="Z36" s="33">
        <v>0</v>
      </c>
      <c r="AA36" s="33">
        <v>0</v>
      </c>
      <c r="AB36" s="33">
        <f t="shared" si="8"/>
        <v>0</v>
      </c>
      <c r="AD36" s="33">
        <v>0</v>
      </c>
      <c r="AE36" s="33">
        <v>0</v>
      </c>
      <c r="AF36" s="33">
        <f t="shared" si="9"/>
        <v>0</v>
      </c>
      <c r="AH36" s="33">
        <v>0</v>
      </c>
      <c r="AI36" s="33">
        <v>0</v>
      </c>
      <c r="AJ36" s="33">
        <f t="shared" si="10"/>
        <v>0</v>
      </c>
      <c r="AL36" s="33">
        <v>0</v>
      </c>
      <c r="AM36" s="33">
        <v>0</v>
      </c>
      <c r="AN36" s="33">
        <f t="shared" si="11"/>
        <v>0</v>
      </c>
      <c r="AP36" s="33">
        <v>0</v>
      </c>
      <c r="AQ36" s="33">
        <v>0</v>
      </c>
      <c r="AR36" s="33">
        <f t="shared" si="12"/>
        <v>0</v>
      </c>
      <c r="AT36" s="33">
        <v>0</v>
      </c>
      <c r="AU36" s="33">
        <v>0</v>
      </c>
      <c r="AV36" s="33">
        <f t="shared" si="13"/>
        <v>0</v>
      </c>
      <c r="AX36" s="33">
        <v>0</v>
      </c>
      <c r="AY36" s="33">
        <v>0</v>
      </c>
      <c r="AZ36" s="33">
        <f t="shared" si="14"/>
        <v>0</v>
      </c>
    </row>
    <row r="37" spans="1:52">
      <c r="A37" t="s">
        <v>24</v>
      </c>
      <c r="B37" s="31">
        <f t="shared" si="1"/>
        <v>0</v>
      </c>
      <c r="C37" s="31">
        <f t="shared" si="1"/>
        <v>1200</v>
      </c>
      <c r="D37" s="33">
        <f t="shared" si="2"/>
        <v>-1200</v>
      </c>
      <c r="F37" s="33">
        <v>0</v>
      </c>
      <c r="G37" s="33">
        <v>0</v>
      </c>
      <c r="H37" s="33">
        <f t="shared" si="3"/>
        <v>0</v>
      </c>
      <c r="J37" s="33">
        <v>0</v>
      </c>
      <c r="K37" s="33">
        <v>0</v>
      </c>
      <c r="L37" s="33">
        <f t="shared" si="4"/>
        <v>0</v>
      </c>
      <c r="N37" s="33">
        <v>0</v>
      </c>
      <c r="O37" s="33">
        <v>0</v>
      </c>
      <c r="P37" s="33">
        <f t="shared" si="5"/>
        <v>0</v>
      </c>
      <c r="R37" s="33">
        <v>0</v>
      </c>
      <c r="S37" s="33">
        <v>0</v>
      </c>
      <c r="T37" s="33">
        <f t="shared" si="6"/>
        <v>0</v>
      </c>
      <c r="V37" s="33">
        <v>0</v>
      </c>
      <c r="W37" s="33">
        <v>200</v>
      </c>
      <c r="X37" s="33">
        <f t="shared" si="7"/>
        <v>-200</v>
      </c>
      <c r="Z37" s="33">
        <v>0</v>
      </c>
      <c r="AA37" s="33">
        <v>0</v>
      </c>
      <c r="AB37" s="33">
        <f t="shared" si="8"/>
        <v>0</v>
      </c>
      <c r="AD37" s="33">
        <v>0</v>
      </c>
      <c r="AE37" s="33">
        <v>400</v>
      </c>
      <c r="AF37" s="33">
        <f t="shared" si="9"/>
        <v>-400</v>
      </c>
      <c r="AH37" s="33">
        <v>0</v>
      </c>
      <c r="AI37" s="33">
        <v>100</v>
      </c>
      <c r="AJ37" s="33">
        <f t="shared" si="10"/>
        <v>-100</v>
      </c>
      <c r="AL37" s="33">
        <v>0</v>
      </c>
      <c r="AM37" s="33">
        <v>0</v>
      </c>
      <c r="AN37" s="33">
        <f t="shared" si="11"/>
        <v>0</v>
      </c>
      <c r="AP37" s="33">
        <v>0</v>
      </c>
      <c r="AQ37" s="33">
        <v>500</v>
      </c>
      <c r="AR37" s="33">
        <f t="shared" si="12"/>
        <v>-500</v>
      </c>
      <c r="AT37" s="33">
        <v>0</v>
      </c>
      <c r="AU37" s="33">
        <v>0</v>
      </c>
      <c r="AV37" s="33">
        <f t="shared" si="13"/>
        <v>0</v>
      </c>
      <c r="AX37" s="33">
        <v>0</v>
      </c>
      <c r="AY37" s="33">
        <v>0</v>
      </c>
      <c r="AZ37" s="33">
        <f t="shared" si="14"/>
        <v>0</v>
      </c>
    </row>
    <row r="38" spans="1:52">
      <c r="A38" t="s">
        <v>25</v>
      </c>
      <c r="B38" s="31">
        <f t="shared" si="1"/>
        <v>0</v>
      </c>
      <c r="C38" s="31">
        <f t="shared" si="1"/>
        <v>60100</v>
      </c>
      <c r="D38" s="33">
        <f t="shared" si="2"/>
        <v>-60100</v>
      </c>
      <c r="F38" s="33">
        <v>0</v>
      </c>
      <c r="G38" s="33">
        <v>1500</v>
      </c>
      <c r="H38" s="33">
        <f t="shared" si="3"/>
        <v>-1500</v>
      </c>
      <c r="J38" s="33">
        <v>0</v>
      </c>
      <c r="K38" s="33">
        <v>500</v>
      </c>
      <c r="L38" s="33">
        <f t="shared" si="4"/>
        <v>-500</v>
      </c>
      <c r="N38" s="33">
        <v>0</v>
      </c>
      <c r="O38" s="33">
        <v>9500</v>
      </c>
      <c r="P38" s="33">
        <f t="shared" si="5"/>
        <v>-9500</v>
      </c>
      <c r="R38" s="33">
        <v>0</v>
      </c>
      <c r="S38" s="33">
        <v>4400</v>
      </c>
      <c r="T38" s="33">
        <f t="shared" si="6"/>
        <v>-4400</v>
      </c>
      <c r="V38" s="33">
        <v>0</v>
      </c>
      <c r="W38" s="33">
        <v>7300</v>
      </c>
      <c r="X38" s="33">
        <f t="shared" si="7"/>
        <v>-7300</v>
      </c>
      <c r="Z38" s="33">
        <v>0</v>
      </c>
      <c r="AA38" s="33">
        <v>100</v>
      </c>
      <c r="AB38" s="33">
        <f t="shared" si="8"/>
        <v>-100</v>
      </c>
      <c r="AD38" s="33">
        <v>0</v>
      </c>
      <c r="AE38" s="33">
        <v>4200</v>
      </c>
      <c r="AF38" s="33">
        <f t="shared" si="9"/>
        <v>-4200</v>
      </c>
      <c r="AH38" s="33">
        <v>0</v>
      </c>
      <c r="AI38" s="33">
        <v>7400</v>
      </c>
      <c r="AJ38" s="33">
        <f t="shared" si="10"/>
        <v>-7400</v>
      </c>
      <c r="AL38" s="33">
        <v>0</v>
      </c>
      <c r="AM38" s="33">
        <v>8400</v>
      </c>
      <c r="AN38" s="33">
        <f t="shared" si="11"/>
        <v>-8400</v>
      </c>
      <c r="AP38" s="33">
        <v>0</v>
      </c>
      <c r="AQ38" s="33">
        <v>11600</v>
      </c>
      <c r="AR38" s="33">
        <f t="shared" si="12"/>
        <v>-11600</v>
      </c>
      <c r="AT38" s="33">
        <v>0</v>
      </c>
      <c r="AU38" s="33">
        <v>4800</v>
      </c>
      <c r="AV38" s="33">
        <f t="shared" si="13"/>
        <v>-4800</v>
      </c>
      <c r="AX38" s="33">
        <v>0</v>
      </c>
      <c r="AY38" s="33">
        <v>400</v>
      </c>
      <c r="AZ38" s="33">
        <f t="shared" si="14"/>
        <v>-400</v>
      </c>
    </row>
    <row r="39" spans="1:52">
      <c r="A39" t="s">
        <v>26</v>
      </c>
      <c r="B39" s="35">
        <f t="shared" si="1"/>
        <v>1473573</v>
      </c>
      <c r="C39" s="35">
        <f t="shared" si="1"/>
        <v>1525700</v>
      </c>
      <c r="D39" s="36">
        <f t="shared" si="2"/>
        <v>-52127</v>
      </c>
      <c r="F39" s="36">
        <v>0</v>
      </c>
      <c r="G39" s="36">
        <v>133900</v>
      </c>
      <c r="H39" s="36">
        <f t="shared" si="3"/>
        <v>-133900</v>
      </c>
      <c r="J39" s="8">
        <v>170016</v>
      </c>
      <c r="K39" s="36">
        <v>101200</v>
      </c>
      <c r="L39" s="36">
        <f t="shared" si="4"/>
        <v>68816</v>
      </c>
      <c r="N39" s="36">
        <v>186744</v>
      </c>
      <c r="O39" s="36">
        <v>172900</v>
      </c>
      <c r="P39" s="36">
        <f t="shared" si="5"/>
        <v>13844</v>
      </c>
      <c r="R39" s="36">
        <v>0</v>
      </c>
      <c r="S39" s="36">
        <v>136600</v>
      </c>
      <c r="T39" s="36">
        <f t="shared" si="6"/>
        <v>-136600</v>
      </c>
      <c r="V39" s="8">
        <v>0</v>
      </c>
      <c r="W39" s="36">
        <v>72600</v>
      </c>
      <c r="X39" s="36">
        <f t="shared" si="7"/>
        <v>-72600</v>
      </c>
      <c r="Z39" s="36">
        <v>0</v>
      </c>
      <c r="AA39" s="36">
        <v>21100</v>
      </c>
      <c r="AB39" s="36">
        <f t="shared" si="8"/>
        <v>-21100</v>
      </c>
      <c r="AD39" s="36">
        <v>174766</v>
      </c>
      <c r="AE39" s="36">
        <v>89500</v>
      </c>
      <c r="AF39" s="36">
        <f t="shared" si="9"/>
        <v>85266</v>
      </c>
      <c r="AH39" s="36">
        <v>183792</v>
      </c>
      <c r="AI39" s="36">
        <v>131000</v>
      </c>
      <c r="AJ39" s="36">
        <f t="shared" si="10"/>
        <v>52792</v>
      </c>
      <c r="AL39" s="36">
        <v>181120</v>
      </c>
      <c r="AM39" s="36">
        <v>157600</v>
      </c>
      <c r="AN39" s="36">
        <f t="shared" si="11"/>
        <v>23520</v>
      </c>
      <c r="AP39" s="36">
        <v>191919</v>
      </c>
      <c r="AQ39" s="36">
        <v>175100</v>
      </c>
      <c r="AR39" s="36">
        <f t="shared" si="12"/>
        <v>16819</v>
      </c>
      <c r="AT39" s="36">
        <v>189040</v>
      </c>
      <c r="AU39" s="36">
        <v>170500</v>
      </c>
      <c r="AV39" s="36">
        <f t="shared" si="13"/>
        <v>18540</v>
      </c>
      <c r="AX39" s="36">
        <v>196176</v>
      </c>
      <c r="AY39" s="36">
        <v>163700</v>
      </c>
      <c r="AZ39" s="36">
        <f t="shared" si="14"/>
        <v>32476</v>
      </c>
    </row>
    <row r="40" spans="1:52">
      <c r="A40" t="s">
        <v>27</v>
      </c>
      <c r="B40" s="31">
        <f>SUM(B33:B39)</f>
        <v>3440949</v>
      </c>
      <c r="C40" s="31">
        <f>SUM(C33:C39)</f>
        <v>3541300</v>
      </c>
      <c r="D40" s="37">
        <f t="shared" si="2"/>
        <v>-100351</v>
      </c>
      <c r="F40" s="31">
        <f>SUM(F33:F39)</f>
        <v>177816</v>
      </c>
      <c r="G40" s="31">
        <f>SUM(G33:G39)</f>
        <v>315600</v>
      </c>
      <c r="H40" s="37">
        <f t="shared" si="3"/>
        <v>-137784</v>
      </c>
      <c r="J40" s="31">
        <f>SUM(J33:J39)</f>
        <v>330624</v>
      </c>
      <c r="K40" s="31">
        <f>SUM(K33:K39)</f>
        <v>264000</v>
      </c>
      <c r="L40" s="37">
        <f t="shared" si="4"/>
        <v>66624</v>
      </c>
      <c r="N40" s="31">
        <f>SUM(N33:N39)</f>
        <v>364560</v>
      </c>
      <c r="O40" s="31">
        <f>SUM(O33:O39)</f>
        <v>354200</v>
      </c>
      <c r="P40" s="37">
        <f t="shared" si="5"/>
        <v>10360</v>
      </c>
      <c r="R40" s="31">
        <f>SUM(R33:R39)</f>
        <v>171841</v>
      </c>
      <c r="S40" s="31">
        <f>SUM(S33:S39)</f>
        <v>276100</v>
      </c>
      <c r="T40" s="37">
        <f t="shared" si="6"/>
        <v>-104259</v>
      </c>
      <c r="V40" s="31">
        <f>SUM(V33:V39)</f>
        <v>80352</v>
      </c>
      <c r="W40" s="31">
        <f>SUM(W33:W39)</f>
        <v>187200</v>
      </c>
      <c r="X40" s="37">
        <f t="shared" si="7"/>
        <v>-106848</v>
      </c>
      <c r="Z40" s="31">
        <f>SUM(Z33:Z39)</f>
        <v>143280</v>
      </c>
      <c r="AA40" s="31">
        <f>SUM(AA33:AA39)</f>
        <v>130100</v>
      </c>
      <c r="AB40" s="37">
        <f t="shared" si="8"/>
        <v>13180</v>
      </c>
      <c r="AD40" s="31">
        <f>SUM(AD33:AD39)</f>
        <v>352582</v>
      </c>
      <c r="AE40" s="31">
        <f>SUM(AE33:AE39)</f>
        <v>274100</v>
      </c>
      <c r="AF40" s="37">
        <f t="shared" si="9"/>
        <v>78482</v>
      </c>
      <c r="AH40" s="31">
        <f>SUM(AH33:AH39)</f>
        <v>361608</v>
      </c>
      <c r="AI40" s="31">
        <f>SUM(AI33:AI39)</f>
        <v>322900</v>
      </c>
      <c r="AJ40" s="37">
        <f t="shared" si="10"/>
        <v>38708</v>
      </c>
      <c r="AL40" s="31">
        <f>SUM(AL33:AL39)</f>
        <v>353200</v>
      </c>
      <c r="AM40" s="31">
        <f>SUM(AM33:AM39)</f>
        <v>344500</v>
      </c>
      <c r="AN40" s="37">
        <f t="shared" si="11"/>
        <v>8700</v>
      </c>
      <c r="AP40" s="31">
        <f>SUM(AP33:AP39)</f>
        <v>369974</v>
      </c>
      <c r="AQ40" s="31">
        <f>SUM(AQ33:AQ39)</f>
        <v>372800</v>
      </c>
      <c r="AR40" s="37">
        <f t="shared" si="12"/>
        <v>-2826</v>
      </c>
      <c r="AT40" s="31">
        <f>SUM(AT33:AT39)</f>
        <v>361120</v>
      </c>
      <c r="AU40" s="31">
        <f>SUM(AU33:AU39)</f>
        <v>352800</v>
      </c>
      <c r="AV40" s="37">
        <f t="shared" si="13"/>
        <v>8320</v>
      </c>
      <c r="AX40" s="31">
        <f>SUM(AX33:AX39)</f>
        <v>373992</v>
      </c>
      <c r="AY40" s="31">
        <f>SUM(AY33:AY39)</f>
        <v>347000</v>
      </c>
      <c r="AZ40" s="37">
        <f t="shared" si="14"/>
        <v>26992</v>
      </c>
    </row>
    <row r="41" spans="1:52">
      <c r="N41" s="38"/>
      <c r="Z41"/>
      <c r="AA41"/>
      <c r="AB41"/>
      <c r="AD41"/>
      <c r="AE41"/>
      <c r="AF41"/>
      <c r="AH41"/>
      <c r="AI41"/>
      <c r="AJ41"/>
      <c r="AL41"/>
      <c r="AM41"/>
      <c r="AN41"/>
      <c r="AP41"/>
      <c r="AQ41"/>
      <c r="AR41"/>
    </row>
    <row r="42" spans="1:52">
      <c r="A42" t="s">
        <v>28</v>
      </c>
      <c r="F42" s="39">
        <v>65.5</v>
      </c>
      <c r="G42" s="39">
        <v>61.06</v>
      </c>
      <c r="H42" s="40">
        <f>F42-G42</f>
        <v>4.4399999999999977</v>
      </c>
      <c r="J42" s="38">
        <v>67</v>
      </c>
      <c r="K42" s="38">
        <v>59.04</v>
      </c>
      <c r="L42" s="40">
        <f>J42-K42</f>
        <v>7.9600000000000009</v>
      </c>
      <c r="N42" s="38">
        <v>55</v>
      </c>
      <c r="O42" s="38">
        <v>63.96</v>
      </c>
      <c r="P42" s="40">
        <f>N42-O42</f>
        <v>-8.9600000000000009</v>
      </c>
      <c r="R42" s="41">
        <v>0</v>
      </c>
      <c r="S42" s="38">
        <v>46.94</v>
      </c>
      <c r="T42" s="40">
        <f>R42-S42</f>
        <v>-46.94</v>
      </c>
      <c r="V42" s="41">
        <v>0</v>
      </c>
      <c r="W42" s="38">
        <v>49</v>
      </c>
      <c r="X42" s="40">
        <f>V42-W42</f>
        <v>-49</v>
      </c>
      <c r="Z42" s="41">
        <v>0</v>
      </c>
      <c r="AA42" s="38">
        <v>49.39</v>
      </c>
      <c r="AB42" s="40">
        <f>Z42-AA42</f>
        <v>-49.39</v>
      </c>
      <c r="AD42" s="41">
        <v>0</v>
      </c>
      <c r="AE42" s="9">
        <v>61.85</v>
      </c>
      <c r="AF42" s="40">
        <f>AD42-AE42</f>
        <v>-61.85</v>
      </c>
      <c r="AH42" s="41">
        <v>77.48</v>
      </c>
      <c r="AI42" s="41">
        <v>65.92</v>
      </c>
      <c r="AJ42" s="40">
        <f>AH42-AI42</f>
        <v>11.560000000000002</v>
      </c>
      <c r="AL42" s="41">
        <v>75</v>
      </c>
      <c r="AM42" s="41">
        <v>65.31</v>
      </c>
      <c r="AN42" s="38">
        <f>AL42-AM42</f>
        <v>9.6899999999999977</v>
      </c>
      <c r="AP42" s="42">
        <v>72.5</v>
      </c>
      <c r="AQ42" s="41">
        <v>60.51</v>
      </c>
      <c r="AR42" s="38">
        <f>AP42-AQ42</f>
        <v>11.990000000000002</v>
      </c>
      <c r="AS42" s="38"/>
      <c r="AT42" s="41">
        <v>0</v>
      </c>
      <c r="AU42" s="41">
        <v>59.38</v>
      </c>
      <c r="AV42" s="38">
        <f>AT42-AU42</f>
        <v>-59.38</v>
      </c>
      <c r="AW42" s="38"/>
      <c r="AX42" s="42">
        <v>83.5</v>
      </c>
      <c r="AY42" s="41">
        <v>68.64</v>
      </c>
      <c r="AZ42" s="38">
        <f>AX42-AY42</f>
        <v>14.86</v>
      </c>
    </row>
    <row r="43" spans="1:52">
      <c r="A43" t="s">
        <v>29</v>
      </c>
      <c r="F43" s="41">
        <v>0</v>
      </c>
      <c r="G43" s="39">
        <v>60.13</v>
      </c>
      <c r="H43" s="40">
        <f>F43-G43</f>
        <v>-60.13</v>
      </c>
      <c r="J43" s="41">
        <v>0</v>
      </c>
      <c r="K43" s="38">
        <v>61.17</v>
      </c>
      <c r="L43" s="40">
        <f>J43-K43</f>
        <v>-61.17</v>
      </c>
      <c r="N43" s="38">
        <v>63</v>
      </c>
      <c r="O43" s="38">
        <v>56.05</v>
      </c>
      <c r="P43" s="40">
        <f>N43-O43</f>
        <v>6.9500000000000028</v>
      </c>
      <c r="R43" s="38">
        <v>53.46</v>
      </c>
      <c r="S43" s="38">
        <v>46.37</v>
      </c>
      <c r="T43" s="40">
        <f>R43-S43</f>
        <v>7.0900000000000034</v>
      </c>
      <c r="V43" s="38">
        <v>30.59</v>
      </c>
      <c r="W43" s="38">
        <v>38.450000000000003</v>
      </c>
      <c r="X43" s="40">
        <f>V43-W43</f>
        <v>-7.860000000000003</v>
      </c>
      <c r="Z43" s="38">
        <v>32.64</v>
      </c>
      <c r="AA43" s="38">
        <v>37.1</v>
      </c>
      <c r="AB43" s="40">
        <f>Z43-AA43</f>
        <v>-4.4600000000000009</v>
      </c>
      <c r="AD43" s="9">
        <v>59.77</v>
      </c>
      <c r="AE43" s="9">
        <v>51.21</v>
      </c>
      <c r="AF43" s="40">
        <f>AD43-AE43</f>
        <v>8.5600000000000023</v>
      </c>
      <c r="AH43" s="41">
        <v>0</v>
      </c>
      <c r="AI43" s="41">
        <v>68.069999999999993</v>
      </c>
      <c r="AJ43" s="40">
        <f>AH43-AI43</f>
        <v>-68.069999999999993</v>
      </c>
      <c r="AL43" s="41">
        <v>0</v>
      </c>
      <c r="AM43" s="41">
        <v>54.45</v>
      </c>
      <c r="AN43" s="38">
        <f>AL43-AM43</f>
        <v>-54.45</v>
      </c>
      <c r="AP43" s="42">
        <v>62</v>
      </c>
      <c r="AQ43" s="41">
        <v>51.14</v>
      </c>
      <c r="AR43" s="38">
        <f>AP43-AQ43</f>
        <v>10.86</v>
      </c>
      <c r="AS43" s="38"/>
      <c r="AT43" s="42">
        <v>69.52</v>
      </c>
      <c r="AU43" s="41">
        <v>57.63</v>
      </c>
      <c r="AV43" s="38">
        <f>AT43-AU43</f>
        <v>11.889999999999993</v>
      </c>
      <c r="AW43" s="38"/>
      <c r="AX43" s="42">
        <v>72</v>
      </c>
      <c r="AY43" s="41">
        <v>61.07</v>
      </c>
      <c r="AZ43" s="38">
        <f>AX43-AY43</f>
        <v>10.93</v>
      </c>
    </row>
    <row r="44" spans="1:52">
      <c r="B44" s="43">
        <f>10316862/B39</f>
        <v>7.0012561305072776</v>
      </c>
      <c r="D44" s="31"/>
    </row>
    <row r="45" spans="1:52">
      <c r="B45" s="43"/>
      <c r="C45" s="33">
        <f>(C39)*B44</f>
        <v>10681816.478314953</v>
      </c>
      <c r="D45" s="31"/>
    </row>
    <row r="46" spans="1:52">
      <c r="A46" t="s">
        <v>30</v>
      </c>
      <c r="B46" s="11">
        <f>87493079</f>
        <v>87493079</v>
      </c>
      <c r="C46" s="40">
        <f>C45*7.25</f>
        <v>77443169.467783406</v>
      </c>
      <c r="D46" s="40">
        <f>B46-C46</f>
        <v>10049909.532216594</v>
      </c>
      <c r="F46" s="38"/>
      <c r="G46" s="44">
        <f>G48/G47</f>
        <v>8.0027739251040213</v>
      </c>
      <c r="H46" s="40">
        <f>F46-G46</f>
        <v>-8.0027739251040213</v>
      </c>
      <c r="J46">
        <v>8.0500000000000007</v>
      </c>
      <c r="K46" s="44">
        <f>K48/K47</f>
        <v>8.0138339920948614</v>
      </c>
      <c r="L46" s="40">
        <f>J46-K46</f>
        <v>3.6166007905139352E-2</v>
      </c>
      <c r="N46">
        <v>8.15</v>
      </c>
      <c r="O46" s="44">
        <f>O48/O47</f>
        <v>7.8641659092786913</v>
      </c>
      <c r="P46" s="40">
        <f>N46-O46</f>
        <v>0.28583409072130905</v>
      </c>
      <c r="R46">
        <v>8.08</v>
      </c>
      <c r="S46" s="44">
        <f>S48/S47</f>
        <v>6.9284668479397613</v>
      </c>
      <c r="T46" s="40">
        <f>R46-S46</f>
        <v>1.1515331520602388</v>
      </c>
      <c r="V46" s="38">
        <v>8.1</v>
      </c>
      <c r="W46" s="44">
        <f>W48/W47</f>
        <v>6.7926013380558832</v>
      </c>
      <c r="X46" s="40">
        <f>V46-W46</f>
        <v>1.3073986619441165</v>
      </c>
      <c r="Y46" s="41"/>
      <c r="Z46" s="41">
        <v>8.15</v>
      </c>
      <c r="AA46" s="44">
        <f>AA48/AA47</f>
        <v>6.9329722410291126</v>
      </c>
      <c r="AB46" s="40">
        <f>Z46-AA46</f>
        <v>1.2170277589708878</v>
      </c>
      <c r="AC46" s="41"/>
      <c r="AD46" s="41">
        <v>8.2200000000000006</v>
      </c>
      <c r="AE46" s="44">
        <f>AE48/AE47</f>
        <v>6.8874700718276136</v>
      </c>
      <c r="AF46" s="40">
        <f>AD46-AE46</f>
        <v>1.332529928172387</v>
      </c>
      <c r="AG46" s="41"/>
      <c r="AH46" s="41">
        <v>8.27</v>
      </c>
      <c r="AI46" s="44">
        <f>AI48/AI47</f>
        <v>6.941112322791712</v>
      </c>
      <c r="AJ46" s="40">
        <f>AH46-AI46</f>
        <v>1.3288876772082876</v>
      </c>
      <c r="AK46" s="41"/>
      <c r="AL46" s="41">
        <v>8.2899999999999991</v>
      </c>
      <c r="AM46" s="44">
        <f>AM48/AM47</f>
        <v>6.9171501087744742</v>
      </c>
      <c r="AN46" s="40">
        <f>AL46-AM46</f>
        <v>1.3728498912255249</v>
      </c>
      <c r="AO46" s="38"/>
      <c r="AP46" s="41">
        <v>8.35</v>
      </c>
      <c r="AQ46" s="44">
        <f>AQ48/AQ47</f>
        <v>6.9511299665497273</v>
      </c>
      <c r="AR46" s="40">
        <f>AP46-AQ46</f>
        <v>1.3988700334502724</v>
      </c>
      <c r="AS46" s="38"/>
      <c r="AT46" s="38">
        <v>8.89</v>
      </c>
      <c r="AU46" s="44">
        <f>AU48/AU47</f>
        <v>7.2852953498114781</v>
      </c>
      <c r="AV46" s="40">
        <f>AT46-AU46</f>
        <v>1.6047046501885225</v>
      </c>
      <c r="AW46" s="38"/>
      <c r="AX46" s="38">
        <v>9.5</v>
      </c>
      <c r="AY46" s="44">
        <f>AY48/AY47</f>
        <v>7.6027576577362765</v>
      </c>
      <c r="AZ46" s="40">
        <f>AX46-AY46</f>
        <v>1.8972423422637235</v>
      </c>
    </row>
    <row r="47" spans="1:52">
      <c r="A47" t="s">
        <v>31</v>
      </c>
      <c r="D47" s="40">
        <f>D46*0.6516</f>
        <v>6548521.0511923321</v>
      </c>
      <c r="G47" s="45">
        <v>7</v>
      </c>
      <c r="H47" s="40">
        <f>F47-G47</f>
        <v>-7</v>
      </c>
      <c r="J47">
        <v>6.976</v>
      </c>
      <c r="K47" s="45">
        <v>7</v>
      </c>
      <c r="L47" s="40">
        <f>J47-K47</f>
        <v>-2.4000000000000021E-2</v>
      </c>
      <c r="N47">
        <v>6.952</v>
      </c>
      <c r="O47" s="45">
        <v>7</v>
      </c>
      <c r="P47" s="40">
        <f>N47-O47</f>
        <v>-4.8000000000000043E-2</v>
      </c>
      <c r="R47">
        <v>6.9429999999999996</v>
      </c>
      <c r="S47" s="45">
        <v>7</v>
      </c>
      <c r="T47" s="40">
        <f>R47-S47</f>
        <v>-5.7000000000000384E-2</v>
      </c>
      <c r="V47">
        <v>6.9379999999999997</v>
      </c>
      <c r="W47" s="45">
        <v>7</v>
      </c>
      <c r="X47" s="40">
        <f>V47-W47</f>
        <v>-6.2000000000000277E-2</v>
      </c>
      <c r="Z47" s="9">
        <v>6.9470000000000001</v>
      </c>
      <c r="AA47" s="45">
        <v>7</v>
      </c>
      <c r="AB47" s="40">
        <f>Z47-AA47</f>
        <v>-5.2999999999999936E-2</v>
      </c>
      <c r="AD47" s="9">
        <v>6.9619999999999997</v>
      </c>
      <c r="AE47" s="45">
        <v>7</v>
      </c>
      <c r="AF47" s="40">
        <f>AD47-AE47</f>
        <v>-3.8000000000000256E-2</v>
      </c>
      <c r="AH47" s="9">
        <v>6.952</v>
      </c>
      <c r="AI47" s="45">
        <v>7</v>
      </c>
      <c r="AJ47" s="40">
        <f>AH47-AI47</f>
        <v>-4.8000000000000043E-2</v>
      </c>
      <c r="AL47" s="9">
        <v>6.9409999999999998</v>
      </c>
      <c r="AM47" s="45">
        <v>7</v>
      </c>
      <c r="AN47" s="40">
        <f>AL47-AM47</f>
        <v>-5.9000000000000163E-2</v>
      </c>
      <c r="AP47" s="9">
        <v>6.944</v>
      </c>
      <c r="AQ47" s="45">
        <v>7</v>
      </c>
      <c r="AR47" s="40">
        <f>AP47-AQ47</f>
        <v>-5.600000000000005E-2</v>
      </c>
      <c r="AT47">
        <v>6.968</v>
      </c>
      <c r="AU47" s="45">
        <v>7</v>
      </c>
      <c r="AV47" s="40">
        <f>AT47-AU47</f>
        <v>-3.2000000000000028E-2</v>
      </c>
      <c r="AX47">
        <v>6.9870000000000001</v>
      </c>
      <c r="AY47" s="45">
        <v>7</v>
      </c>
      <c r="AZ47" s="40">
        <f>AX47-AY47</f>
        <v>-1.2999999999999901E-2</v>
      </c>
    </row>
    <row r="48" spans="1:52">
      <c r="A48" t="s">
        <v>32</v>
      </c>
      <c r="D48" s="46">
        <f>-D39*61*0.6516</f>
        <v>2071923.1451999999</v>
      </c>
      <c r="F48" s="44">
        <f>F46*F47</f>
        <v>0</v>
      </c>
      <c r="G48" s="38">
        <f>7501/G39*1000</f>
        <v>56.019417475728154</v>
      </c>
      <c r="H48" s="40">
        <f>F48-G48</f>
        <v>-56.019417475728154</v>
      </c>
      <c r="J48" s="44">
        <f>J46*J47</f>
        <v>56.156800000000004</v>
      </c>
      <c r="K48" s="38">
        <f>5677/K39*1000</f>
        <v>56.096837944664031</v>
      </c>
      <c r="L48" s="40">
        <f>J48-K48</f>
        <v>5.9962055335972764E-2</v>
      </c>
      <c r="N48" s="44">
        <f>N46*N47</f>
        <v>56.658799999999999</v>
      </c>
      <c r="O48" s="38">
        <f>9518/O39*1000</f>
        <v>55.049161364950841</v>
      </c>
      <c r="P48" s="40">
        <f>N48-O48</f>
        <v>1.6096386350491585</v>
      </c>
      <c r="R48" s="44">
        <f>R46*R47</f>
        <v>56.099439999999994</v>
      </c>
      <c r="S48" s="38">
        <f>6625/S39*1000</f>
        <v>48.499267935578331</v>
      </c>
      <c r="T48" s="40">
        <f>R48-S48</f>
        <v>7.6001720644216633</v>
      </c>
      <c r="V48" s="44">
        <f>V46*V47</f>
        <v>56.197799999999994</v>
      </c>
      <c r="W48" s="38">
        <f>3452/W39*1000</f>
        <v>47.548209366391184</v>
      </c>
      <c r="X48" s="40">
        <f>V48-W48</f>
        <v>8.6495906336088098</v>
      </c>
      <c r="Z48" s="44">
        <f>Z46*Z47</f>
        <v>56.618050000000004</v>
      </c>
      <c r="AA48" s="38">
        <f>1024/AA39*1000</f>
        <v>48.530805687203788</v>
      </c>
      <c r="AB48" s="40">
        <f>Z48-AA48</f>
        <v>8.0872443127962157</v>
      </c>
      <c r="AD48" s="44">
        <f>AD46*AD47</f>
        <v>57.227640000000001</v>
      </c>
      <c r="AE48" s="38">
        <f>4315/AE39*1000</f>
        <v>48.212290502793294</v>
      </c>
      <c r="AF48" s="40">
        <f>AD48-AE48</f>
        <v>9.0153494972067065</v>
      </c>
      <c r="AH48" s="44">
        <f>AH46*AH47</f>
        <v>57.493039999999993</v>
      </c>
      <c r="AI48" s="38">
        <f>6365/AI39*1000</f>
        <v>48.587786259541986</v>
      </c>
      <c r="AJ48" s="40">
        <f>AH48-AI48</f>
        <v>8.9052537404580079</v>
      </c>
      <c r="AL48" s="44">
        <f>AL46*AL47</f>
        <v>57.54088999999999</v>
      </c>
      <c r="AM48" s="38">
        <f>7631/AM39*1000</f>
        <v>48.420050761421322</v>
      </c>
      <c r="AN48" s="40">
        <f>AL48-AM48</f>
        <v>9.1208392385786681</v>
      </c>
      <c r="AP48" s="44">
        <f>AP46*AP47</f>
        <v>57.982399999999998</v>
      </c>
      <c r="AQ48" s="38">
        <f>8520/AQ39*1000</f>
        <v>48.657909765848089</v>
      </c>
      <c r="AR48" s="40">
        <f>AP48-AQ48</f>
        <v>9.3244902341519094</v>
      </c>
      <c r="AT48" s="44">
        <f>AT46*AT47</f>
        <v>61.945520000000002</v>
      </c>
      <c r="AU48" s="38">
        <f>8695/AU39*1000</f>
        <v>50.997067448680347</v>
      </c>
      <c r="AV48" s="40">
        <f>AT48-AU48</f>
        <v>10.948452551319654</v>
      </c>
      <c r="AX48" s="44">
        <f>AX46*AX47</f>
        <v>66.376500000000007</v>
      </c>
      <c r="AY48" s="38">
        <f>8712/AY39*1000</f>
        <v>53.219303604153936</v>
      </c>
      <c r="AZ48" s="40">
        <f>AX48-AY48</f>
        <v>13.157196395846071</v>
      </c>
    </row>
    <row r="49" spans="1:52">
      <c r="D49" s="40">
        <f>D47-D48</f>
        <v>4476597.9059923319</v>
      </c>
      <c r="F49" s="44"/>
      <c r="G49" s="38"/>
      <c r="H49" s="40"/>
      <c r="J49" s="44"/>
      <c r="K49" s="38"/>
      <c r="L49" s="40"/>
      <c r="N49" s="44"/>
      <c r="O49" s="38"/>
      <c r="P49" s="40"/>
      <c r="R49" s="44"/>
      <c r="S49" s="38"/>
      <c r="T49" s="40"/>
      <c r="V49" s="44"/>
      <c r="W49" s="38"/>
      <c r="X49" s="40"/>
      <c r="Z49" s="44"/>
      <c r="AA49" s="38"/>
      <c r="AB49" s="40"/>
      <c r="AD49" s="44"/>
      <c r="AE49" s="38"/>
      <c r="AF49" s="40"/>
      <c r="AH49" s="44"/>
      <c r="AI49" s="38"/>
      <c r="AJ49" s="40"/>
      <c r="AL49" s="44"/>
      <c r="AM49" s="38"/>
      <c r="AN49" s="40"/>
      <c r="AP49" s="44"/>
      <c r="AQ49" s="38"/>
      <c r="AR49" s="40"/>
      <c r="AT49" s="44"/>
      <c r="AU49" s="38"/>
      <c r="AV49" s="40"/>
      <c r="AX49" s="44"/>
      <c r="AY49" s="38"/>
      <c r="AZ49" s="40"/>
    </row>
    <row r="50" spans="1:52">
      <c r="F50" s="44"/>
      <c r="G50" s="38"/>
      <c r="H50" s="40"/>
      <c r="J50" s="44"/>
      <c r="K50" s="38"/>
      <c r="L50" s="40"/>
      <c r="N50" s="44"/>
      <c r="O50" s="38"/>
      <c r="P50" s="40"/>
      <c r="R50" s="44"/>
      <c r="S50" s="38"/>
      <c r="T50" s="40"/>
      <c r="V50" s="44"/>
      <c r="W50" s="38"/>
      <c r="X50" s="40"/>
      <c r="Z50" s="44"/>
      <c r="AA50" s="38"/>
      <c r="AB50" s="40"/>
      <c r="AD50" s="44"/>
      <c r="AE50" s="38"/>
      <c r="AF50" s="40"/>
      <c r="AH50" s="44"/>
      <c r="AI50" s="38"/>
      <c r="AJ50" s="40"/>
      <c r="AL50" s="44"/>
      <c r="AM50" s="38"/>
      <c r="AN50" s="40"/>
      <c r="AP50" s="44"/>
      <c r="AQ50" s="38"/>
      <c r="AR50" s="40"/>
      <c r="AT50" s="44"/>
      <c r="AU50" s="38"/>
      <c r="AV50" s="40"/>
      <c r="AX50" s="44"/>
      <c r="AY50" s="38"/>
      <c r="AZ50" s="40"/>
    </row>
    <row r="51" spans="1:52">
      <c r="F51" s="44"/>
      <c r="G51" s="38"/>
      <c r="H51" s="40"/>
      <c r="J51" s="44"/>
      <c r="K51" s="38"/>
      <c r="L51" s="40"/>
      <c r="N51" s="44"/>
      <c r="O51" s="38"/>
      <c r="P51" s="40"/>
      <c r="R51" s="44"/>
      <c r="S51" s="38"/>
      <c r="T51" s="40"/>
      <c r="V51" s="44"/>
      <c r="W51" s="38"/>
      <c r="X51" s="40"/>
      <c r="Z51" s="44"/>
      <c r="AA51" s="38"/>
      <c r="AB51" s="40"/>
      <c r="AD51" s="44"/>
      <c r="AE51" s="38"/>
      <c r="AF51" s="40"/>
      <c r="AH51" s="44"/>
      <c r="AI51" s="38"/>
      <c r="AJ51" s="40"/>
      <c r="AL51" s="44"/>
      <c r="AM51" s="38"/>
      <c r="AN51" s="40"/>
      <c r="AP51" s="44"/>
      <c r="AQ51" s="38"/>
      <c r="AR51" s="40"/>
      <c r="AT51" s="44"/>
      <c r="AU51" s="38"/>
      <c r="AV51" s="40"/>
      <c r="AX51" s="44"/>
      <c r="AY51" s="38"/>
      <c r="AZ51" s="40"/>
    </row>
    <row r="52" spans="1:52">
      <c r="A52" s="47" t="s">
        <v>33</v>
      </c>
      <c r="B52" s="47"/>
      <c r="C52" s="47"/>
      <c r="D52" s="47"/>
      <c r="E52" s="47"/>
    </row>
    <row r="53" spans="1:52">
      <c r="A53" s="47" t="s">
        <v>34</v>
      </c>
      <c r="B53" s="47"/>
      <c r="C53" s="47"/>
      <c r="D53" s="47"/>
      <c r="E53" s="47"/>
    </row>
    <row r="54" spans="1:52">
      <c r="A54" t="s">
        <v>35</v>
      </c>
      <c r="D54" s="10">
        <f>SUM(H54:AZ54)*0.6516</f>
        <v>-11420798.923151998</v>
      </c>
      <c r="G54" t="s">
        <v>36</v>
      </c>
      <c r="H54" s="11">
        <f>-H30*F42</f>
        <v>-2484480.5</v>
      </c>
      <c r="L54" s="11">
        <f>-L30*J42</f>
        <v>-2588344</v>
      </c>
      <c r="P54" s="11">
        <f>-P30*N42</f>
        <v>-1438580</v>
      </c>
      <c r="T54" s="11">
        <f>-T30*R43</f>
        <v>-3923803.62</v>
      </c>
      <c r="X54" s="11">
        <f>-X30*V43</f>
        <v>-2462127.92</v>
      </c>
      <c r="AB54" s="11">
        <f>-AB30*Z43</f>
        <v>-2452047.36</v>
      </c>
      <c r="AF54" s="11">
        <f>-AF30*AD43</f>
        <v>-495612.84</v>
      </c>
      <c r="AJ54" s="11">
        <f>-AJ30*AH42</f>
        <v>1371705.9200000002</v>
      </c>
      <c r="AN54" s="11">
        <f>-AN30*AL42</f>
        <v>-3649500</v>
      </c>
      <c r="AR54" s="11">
        <f>-AR30*AP42</f>
        <v>-481255</v>
      </c>
      <c r="AV54" s="11">
        <f>-AV30*AT43</f>
        <v>2174585.6</v>
      </c>
      <c r="AZ54" s="11">
        <f>-AZ30*AX43</f>
        <v>-1097856</v>
      </c>
    </row>
    <row r="55" spans="1:52">
      <c r="A55" t="s">
        <v>37</v>
      </c>
      <c r="D55" s="10">
        <f>SUM(H55:AZ55)*0.6516</f>
        <v>23690517.573743999</v>
      </c>
      <c r="G55" t="s">
        <v>38</v>
      </c>
      <c r="H55" s="11">
        <f>-H31*F42</f>
        <v>3650184</v>
      </c>
      <c r="L55" s="11">
        <f>-L31*J42</f>
        <v>5856939</v>
      </c>
      <c r="P55" s="11">
        <f>-P31*N42</f>
        <v>3780425</v>
      </c>
      <c r="T55" s="11">
        <f>-T31*R43</f>
        <v>2284292.34</v>
      </c>
      <c r="X55" s="11">
        <f>-X31*V43</f>
        <v>1204725.97</v>
      </c>
      <c r="AB55" s="11">
        <f>-AB31*Z43</f>
        <v>510750.72000000003</v>
      </c>
      <c r="AF55" s="11">
        <f>-AF31*AD43</f>
        <v>2959033.39</v>
      </c>
      <c r="AJ55" s="11">
        <f>-AJ31*AH42</f>
        <v>7309385.7200000007</v>
      </c>
      <c r="AN55" s="11">
        <f>-AN31*AL42</f>
        <v>2596500</v>
      </c>
      <c r="AR55" s="11">
        <f>-AR31*AP42</f>
        <v>4245817.5</v>
      </c>
      <c r="AV55" s="11">
        <f>-AV31*AT43</f>
        <v>-359070.8</v>
      </c>
      <c r="AZ55" s="11">
        <f>-AZ31*AX43</f>
        <v>2318472</v>
      </c>
    </row>
    <row r="56" spans="1:52">
      <c r="A56" t="s">
        <v>39</v>
      </c>
      <c r="D56" s="13" t="e">
        <f>D15-(D54+D55)</f>
        <v>#REF!</v>
      </c>
      <c r="H56" s="11"/>
      <c r="L56" s="11"/>
    </row>
    <row r="57" spans="1:52">
      <c r="A57" t="s">
        <v>40</v>
      </c>
      <c r="D57" s="10" t="e">
        <f>SUM(D54:D56)</f>
        <v>#REF!</v>
      </c>
      <c r="H57" s="11"/>
      <c r="L57" s="11"/>
    </row>
    <row r="58" spans="1:52">
      <c r="H58" s="11"/>
      <c r="L58" s="11"/>
    </row>
    <row r="59" spans="1:52">
      <c r="H59" s="11"/>
      <c r="L59" s="11"/>
    </row>
    <row r="60" spans="1:52">
      <c r="A60" t="s">
        <v>41</v>
      </c>
      <c r="G60" t="s">
        <v>38</v>
      </c>
      <c r="H60" s="11">
        <f>-H39*F42</f>
        <v>8770450</v>
      </c>
      <c r="L60" s="11">
        <f>L39*J42</f>
        <v>4610672</v>
      </c>
    </row>
    <row r="61" spans="1:52">
      <c r="A61" t="s">
        <v>42</v>
      </c>
      <c r="G61" t="s">
        <v>36</v>
      </c>
      <c r="H61" s="11">
        <v>-7501000</v>
      </c>
      <c r="L61" s="11">
        <f>5677000-10725658</f>
        <v>-5048658</v>
      </c>
    </row>
    <row r="62" spans="1:52">
      <c r="A62" t="s">
        <v>43</v>
      </c>
      <c r="H62" s="11">
        <f>525000-520000</f>
        <v>5000</v>
      </c>
      <c r="L62" s="11"/>
    </row>
    <row r="63" spans="1:52">
      <c r="A63" t="s">
        <v>44</v>
      </c>
      <c r="H63" s="11"/>
    </row>
    <row r="64" spans="1:52">
      <c r="A64" t="s">
        <v>45</v>
      </c>
      <c r="H64" s="11">
        <f>18200*H42</f>
        <v>80807.999999999956</v>
      </c>
      <c r="L64" s="11">
        <f>-44900*L42</f>
        <v>-357404.00000000006</v>
      </c>
    </row>
    <row r="65" spans="1:62">
      <c r="A65" t="s">
        <v>46</v>
      </c>
      <c r="G65" t="s">
        <v>38</v>
      </c>
      <c r="H65" s="48">
        <f>865323-728000</f>
        <v>137323</v>
      </c>
      <c r="L65" s="11">
        <f>865323-728000</f>
        <v>137323</v>
      </c>
    </row>
    <row r="66" spans="1:62">
      <c r="A66" t="s">
        <v>47</v>
      </c>
      <c r="H66" s="48">
        <f>-H34*F42</f>
        <v>-48208</v>
      </c>
      <c r="L66" s="11"/>
    </row>
    <row r="67" spans="1:62">
      <c r="A67" t="s">
        <v>48</v>
      </c>
      <c r="H67" s="48">
        <f>-116000</f>
        <v>-116000</v>
      </c>
      <c r="L67" s="11"/>
    </row>
    <row r="68" spans="1:62">
      <c r="A68" t="s">
        <v>49</v>
      </c>
      <c r="H68" s="48">
        <f>+H38*F42</f>
        <v>-98250</v>
      </c>
      <c r="L68" s="11"/>
    </row>
    <row r="69" spans="1:62">
      <c r="A69" t="s">
        <v>50</v>
      </c>
      <c r="G69" t="s">
        <v>51</v>
      </c>
      <c r="H69" s="48">
        <f>1066171-989000</f>
        <v>77171</v>
      </c>
    </row>
    <row r="70" spans="1:62">
      <c r="A70" t="s">
        <v>52</v>
      </c>
      <c r="H70" s="48">
        <f>-H33*F42</f>
        <v>191260</v>
      </c>
    </row>
    <row r="71" spans="1:62">
      <c r="A71" t="s">
        <v>53</v>
      </c>
      <c r="G71" t="s">
        <v>36</v>
      </c>
      <c r="H71" s="48">
        <f>-25*4343*3</f>
        <v>-325725</v>
      </c>
    </row>
    <row r="72" spans="1:62">
      <c r="A72" t="s">
        <v>54</v>
      </c>
      <c r="H72" s="48">
        <v>-69812</v>
      </c>
    </row>
    <row r="73" spans="1:62">
      <c r="A73" t="s">
        <v>55</v>
      </c>
      <c r="G73" t="s">
        <v>36</v>
      </c>
      <c r="H73" s="48">
        <v>-317400</v>
      </c>
    </row>
    <row r="76" spans="1:62">
      <c r="A76" t="s">
        <v>56</v>
      </c>
      <c r="F76" s="11">
        <v>7402450</v>
      </c>
      <c r="G76" s="11" t="s">
        <v>36</v>
      </c>
      <c r="H76" s="48">
        <f>-(F78-F42)*F77</f>
        <v>-1206150</v>
      </c>
      <c r="I76" s="11"/>
      <c r="J76" s="11">
        <v>6612200</v>
      </c>
      <c r="K76" s="11"/>
      <c r="L76" s="48">
        <f>(J78-J42)*J77</f>
        <v>501799.99999999971</v>
      </c>
      <c r="M76" s="11"/>
      <c r="N76" s="11">
        <v>14137350</v>
      </c>
      <c r="O76" s="11"/>
      <c r="P76" s="48">
        <f>(N78-N42)*N77</f>
        <v>5260350</v>
      </c>
      <c r="Q76" s="11"/>
      <c r="R76" s="11">
        <v>5663000</v>
      </c>
      <c r="S76" s="11"/>
      <c r="T76" s="11">
        <f>-(R78-R43)*R77</f>
        <v>638597.50000000023</v>
      </c>
      <c r="U76" s="12"/>
      <c r="V76" s="11">
        <v>6234450</v>
      </c>
      <c r="W76" s="11"/>
      <c r="X76" s="11">
        <f>(V78-V43)*V77</f>
        <v>1933496.0000000002</v>
      </c>
      <c r="Y76" s="12"/>
      <c r="Z76" s="12">
        <v>5874200</v>
      </c>
      <c r="AA76" s="12"/>
      <c r="AB76" s="11">
        <f>(Z78-Z43)*Z77</f>
        <v>1513495.9999999998</v>
      </c>
      <c r="AC76" s="12"/>
      <c r="AD76" s="12">
        <v>1760050</v>
      </c>
      <c r="AE76" s="12"/>
      <c r="AF76" s="11">
        <f>(AD78-AD43)*AD77</f>
        <v>134305.9999999998</v>
      </c>
      <c r="AG76" s="12"/>
      <c r="AH76" s="12">
        <v>547950</v>
      </c>
      <c r="AI76" s="12"/>
      <c r="AJ76" s="11">
        <f>(AH78-AH42)*AH77</f>
        <v>-56394.000000000029</v>
      </c>
      <c r="AK76" s="12"/>
      <c r="AL76" s="12">
        <v>562000</v>
      </c>
      <c r="AM76" s="12"/>
      <c r="AN76" s="11">
        <f>(AL78-AL42)*AL77</f>
        <v>-38000</v>
      </c>
      <c r="AO76" s="11"/>
      <c r="AP76" s="12">
        <v>544906</v>
      </c>
      <c r="AQ76" s="12"/>
      <c r="AR76" s="11">
        <f>(AP78-AP43)*AP77</f>
        <v>34956.000000000022</v>
      </c>
      <c r="AS76" s="11"/>
      <c r="AT76" s="11">
        <v>530000</v>
      </c>
      <c r="AU76" s="11"/>
      <c r="AV76" s="11">
        <f>(AT78-AT43)*AT77</f>
        <v>-26159.999999999967</v>
      </c>
      <c r="AW76" s="11"/>
      <c r="AX76" s="11">
        <v>569750</v>
      </c>
      <c r="AY76" s="11"/>
      <c r="AZ76" s="11">
        <f>(AX78-AX43)*AX77</f>
        <v>-49450</v>
      </c>
    </row>
    <row r="77" spans="1:62">
      <c r="A77" t="s">
        <v>57</v>
      </c>
      <c r="F77" s="33">
        <v>94600</v>
      </c>
      <c r="J77" s="33">
        <v>91200</v>
      </c>
      <c r="K77" s="33"/>
      <c r="L77" s="33"/>
      <c r="M77" s="33"/>
      <c r="N77" s="33">
        <v>161400</v>
      </c>
      <c r="O77" s="33"/>
      <c r="P77" s="33"/>
      <c r="Q77" s="33"/>
      <c r="R77" s="33">
        <v>117875</v>
      </c>
      <c r="S77" s="33"/>
      <c r="T77" s="33"/>
      <c r="U77" s="37"/>
      <c r="V77" s="33">
        <v>140600</v>
      </c>
      <c r="W77" s="33"/>
      <c r="X77" s="33"/>
      <c r="Y77" s="37"/>
      <c r="Z77" s="37">
        <v>133600</v>
      </c>
      <c r="AA77" s="37"/>
      <c r="AB77" s="37"/>
      <c r="AC77" s="37"/>
      <c r="AD77" s="37">
        <v>27200</v>
      </c>
      <c r="AE77" s="37"/>
      <c r="AF77" s="37"/>
      <c r="AG77" s="37"/>
      <c r="AH77" s="37">
        <v>7800</v>
      </c>
      <c r="AI77" s="37"/>
      <c r="AJ77" s="37"/>
      <c r="AK77" s="37"/>
      <c r="AL77" s="37">
        <v>8000</v>
      </c>
      <c r="AM77" s="37"/>
      <c r="AN77" s="37"/>
      <c r="AO77" s="33"/>
      <c r="AP77" s="37">
        <v>8225</v>
      </c>
      <c r="AQ77" s="37"/>
      <c r="AR77" s="37"/>
      <c r="AS77" s="33"/>
      <c r="AT77" s="33">
        <v>8000</v>
      </c>
      <c r="AU77" s="33"/>
      <c r="AV77" s="33"/>
      <c r="AW77" s="33"/>
      <c r="AX77" s="33">
        <v>8600</v>
      </c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</row>
    <row r="78" spans="1:62">
      <c r="A78" t="s">
        <v>58</v>
      </c>
      <c r="F78" s="38">
        <f>F76/F77</f>
        <v>78.25</v>
      </c>
      <c r="J78" s="38">
        <f>J76/J77</f>
        <v>72.502192982456137</v>
      </c>
      <c r="N78" s="38">
        <f>N76/N77</f>
        <v>87.592007434944236</v>
      </c>
      <c r="R78" s="38">
        <f>R76/R77</f>
        <v>48.042417815482501</v>
      </c>
      <c r="V78" s="38">
        <f>V76/V77</f>
        <v>44.341749644381224</v>
      </c>
      <c r="Z78" s="38">
        <f>Z76/Z77</f>
        <v>43.968562874251496</v>
      </c>
      <c r="AD78" s="38">
        <f>AD76/AD77</f>
        <v>64.70772058823529</v>
      </c>
      <c r="AH78" s="38">
        <f>AH76/AH77</f>
        <v>70.25</v>
      </c>
      <c r="AL78" s="38">
        <f>AL76/AL77</f>
        <v>70.25</v>
      </c>
      <c r="AP78" s="38">
        <f>AP76/AP77</f>
        <v>66.249969604863225</v>
      </c>
      <c r="AT78" s="38">
        <f>AT76/AT77</f>
        <v>66.25</v>
      </c>
      <c r="AX78" s="38">
        <f>AX76/AX77</f>
        <v>66.25</v>
      </c>
    </row>
    <row r="80" spans="1:62">
      <c r="A80" t="s">
        <v>59</v>
      </c>
      <c r="F80" s="11">
        <v>840000</v>
      </c>
      <c r="G80" t="s">
        <v>38</v>
      </c>
      <c r="H80" s="49">
        <f>-(F42-F82)*F81</f>
        <v>185000</v>
      </c>
      <c r="J80" s="38">
        <v>0</v>
      </c>
      <c r="N80" s="11">
        <v>3488100</v>
      </c>
      <c r="P80" s="31">
        <f>(N43-N82)*N81</f>
        <v>-464100.00000000012</v>
      </c>
      <c r="R80" s="11">
        <v>2908500</v>
      </c>
      <c r="T80" s="31">
        <f>(R43-R82)*R81</f>
        <v>-349102.49999999994</v>
      </c>
    </row>
    <row r="81" spans="1:18">
      <c r="A81" t="s">
        <v>60</v>
      </c>
      <c r="F81" s="33">
        <v>10000</v>
      </c>
      <c r="J81">
        <v>0</v>
      </c>
      <c r="N81" s="33">
        <v>48000</v>
      </c>
      <c r="R81" s="33">
        <v>47875</v>
      </c>
    </row>
    <row r="82" spans="1:18">
      <c r="A82" t="s">
        <v>61</v>
      </c>
      <c r="F82" s="38">
        <f>F80/F81</f>
        <v>84</v>
      </c>
      <c r="H82" s="8"/>
      <c r="L82" s="8"/>
      <c r="N82" s="38">
        <f>N80/N81</f>
        <v>72.668750000000003</v>
      </c>
      <c r="R82" s="38">
        <f>R80/R81</f>
        <v>60.751958224543081</v>
      </c>
    </row>
    <row r="84" spans="1:18">
      <c r="A84" t="s">
        <v>62</v>
      </c>
      <c r="H84" s="50">
        <f>SUM(H54:H83)</f>
        <v>930170.5</v>
      </c>
      <c r="L84" s="50">
        <f>SUM(L54:L83)</f>
        <v>3112327.9999999995</v>
      </c>
    </row>
    <row r="85" spans="1:18">
      <c r="A85" t="s">
        <v>63</v>
      </c>
      <c r="H85" s="51"/>
    </row>
  </sheetData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IV65536"/>
    </sheetView>
  </sheetViews>
  <sheetFormatPr defaultRowHeight="13.2"/>
  <cols>
    <col min="1" max="1" width="1.88671875" customWidth="1"/>
    <col min="2" max="2" width="3.6640625" customWidth="1"/>
    <col min="3" max="3" width="3.33203125" customWidth="1"/>
  </cols>
  <sheetData>
    <row r="1" spans="1:11">
      <c r="A1" s="411" t="s">
        <v>148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1" ht="15.6">
      <c r="A2" s="393" t="s">
        <v>336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</row>
    <row r="4" spans="1:11" ht="15.6">
      <c r="A4" s="231" t="s">
        <v>337</v>
      </c>
    </row>
    <row r="5" spans="1:11" ht="15.6">
      <c r="A5" s="231"/>
      <c r="B5" s="126">
        <v>1</v>
      </c>
      <c r="C5" s="126" t="s">
        <v>338</v>
      </c>
    </row>
    <row r="6" spans="1:11" ht="15.6">
      <c r="A6" s="231"/>
    </row>
    <row r="7" spans="1:11">
      <c r="B7" s="126">
        <v>2</v>
      </c>
      <c r="C7" s="126" t="s">
        <v>298</v>
      </c>
    </row>
    <row r="8" spans="1:11">
      <c r="D8" s="82" t="s">
        <v>339</v>
      </c>
    </row>
    <row r="9" spans="1:11">
      <c r="D9" s="82" t="s">
        <v>340</v>
      </c>
    </row>
    <row r="10" spans="1:11">
      <c r="D10" s="232" t="s">
        <v>341</v>
      </c>
    </row>
    <row r="11" spans="1:11">
      <c r="D11" s="82" t="s">
        <v>342</v>
      </c>
    </row>
    <row r="12" spans="1:11">
      <c r="D12" s="82" t="s">
        <v>343</v>
      </c>
    </row>
    <row r="13" spans="1:11">
      <c r="D13" s="82" t="s">
        <v>344</v>
      </c>
    </row>
    <row r="14" spans="1:11">
      <c r="D14" s="82" t="s">
        <v>345</v>
      </c>
    </row>
    <row r="16" spans="1:11">
      <c r="B16" s="126">
        <v>3</v>
      </c>
      <c r="C16" s="126" t="s">
        <v>346</v>
      </c>
    </row>
    <row r="17" spans="2:10">
      <c r="D17" s="82" t="s">
        <v>347</v>
      </c>
    </row>
    <row r="18" spans="2:10">
      <c r="D18" s="82" t="s">
        <v>348</v>
      </c>
    </row>
    <row r="19" spans="2:10">
      <c r="D19" s="82" t="s">
        <v>349</v>
      </c>
    </row>
    <row r="21" spans="2:10">
      <c r="B21" s="126">
        <v>4</v>
      </c>
      <c r="C21" s="126" t="s">
        <v>350</v>
      </c>
    </row>
    <row r="22" spans="2:10">
      <c r="D22" s="82" t="s">
        <v>351</v>
      </c>
    </row>
    <row r="23" spans="2:10">
      <c r="D23" s="82" t="s">
        <v>352</v>
      </c>
    </row>
    <row r="24" spans="2:10">
      <c r="D24" s="82" t="s">
        <v>353</v>
      </c>
    </row>
    <row r="25" spans="2:10">
      <c r="D25" s="82" t="s">
        <v>354</v>
      </c>
    </row>
    <row r="27" spans="2:10">
      <c r="B27" s="126">
        <v>5</v>
      </c>
      <c r="C27" s="126" t="s">
        <v>355</v>
      </c>
      <c r="D27" s="126"/>
    </row>
    <row r="28" spans="2:10">
      <c r="D28" s="82" t="s">
        <v>353</v>
      </c>
    </row>
    <row r="29" spans="2:10">
      <c r="D29" s="82" t="s">
        <v>354</v>
      </c>
    </row>
    <row r="31" spans="2:10">
      <c r="B31" s="126">
        <v>6</v>
      </c>
      <c r="C31" s="126" t="s">
        <v>356</v>
      </c>
      <c r="D31" s="126"/>
      <c r="E31" s="126"/>
      <c r="F31" s="126"/>
      <c r="G31" s="126"/>
      <c r="H31" s="126"/>
      <c r="I31" s="126"/>
      <c r="J31" s="126"/>
    </row>
    <row r="32" spans="2:10">
      <c r="B32" s="126"/>
      <c r="C32" s="126" t="s">
        <v>357</v>
      </c>
      <c r="D32" s="126"/>
      <c r="E32" s="126"/>
      <c r="F32" s="126"/>
      <c r="G32" s="126"/>
      <c r="H32" s="126"/>
      <c r="I32" s="126"/>
      <c r="J32" s="126"/>
    </row>
    <row r="34" spans="1:11" ht="15.6">
      <c r="A34" s="233" t="s">
        <v>358</v>
      </c>
      <c r="B34" s="234"/>
      <c r="C34" s="234"/>
      <c r="D34" s="234"/>
      <c r="E34" s="234"/>
      <c r="F34" s="234"/>
      <c r="G34" s="234"/>
      <c r="H34" s="234"/>
      <c r="I34" s="234"/>
      <c r="J34" s="234"/>
      <c r="K34" s="234"/>
    </row>
    <row r="35" spans="1:11" ht="15.6">
      <c r="A35" s="233"/>
      <c r="B35" s="235">
        <v>1</v>
      </c>
      <c r="C35" s="126" t="s">
        <v>359</v>
      </c>
      <c r="D35" s="234"/>
      <c r="E35" s="234"/>
      <c r="F35" s="234"/>
      <c r="G35" s="234"/>
      <c r="H35" s="234"/>
      <c r="I35" s="234"/>
      <c r="J35" s="234"/>
      <c r="K35" s="234"/>
    </row>
    <row r="36" spans="1:11" ht="15.6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34"/>
    </row>
    <row r="37" spans="1:11">
      <c r="A37" s="234"/>
      <c r="B37" s="235">
        <v>2</v>
      </c>
      <c r="C37" s="235" t="s">
        <v>298</v>
      </c>
      <c r="D37" s="234"/>
      <c r="E37" s="234"/>
      <c r="F37" s="234"/>
      <c r="G37" s="234"/>
      <c r="H37" s="234"/>
      <c r="I37" s="234"/>
      <c r="J37" s="234"/>
      <c r="K37" s="234"/>
    </row>
    <row r="38" spans="1:11">
      <c r="A38" s="234"/>
      <c r="B38" s="234"/>
      <c r="C38" s="234"/>
      <c r="D38" s="232" t="s">
        <v>339</v>
      </c>
      <c r="E38" s="234"/>
      <c r="F38" s="234"/>
      <c r="G38" s="234"/>
      <c r="H38" s="234"/>
      <c r="I38" s="234"/>
      <c r="J38" s="234"/>
      <c r="K38" s="234"/>
    </row>
    <row r="39" spans="1:11">
      <c r="A39" s="234"/>
      <c r="B39" s="234"/>
      <c r="C39" s="234"/>
      <c r="D39" s="232" t="s">
        <v>340</v>
      </c>
      <c r="E39" s="234"/>
      <c r="F39" s="234"/>
      <c r="G39" s="234"/>
      <c r="H39" s="234"/>
      <c r="I39" s="234"/>
      <c r="J39" s="234"/>
      <c r="K39" s="234"/>
    </row>
    <row r="40" spans="1:11">
      <c r="A40" s="234"/>
      <c r="B40" s="234"/>
      <c r="C40" s="234"/>
      <c r="D40" s="232" t="s">
        <v>341</v>
      </c>
      <c r="E40" s="234"/>
      <c r="F40" s="234"/>
      <c r="G40" s="234"/>
      <c r="H40" s="234"/>
      <c r="I40" s="234"/>
      <c r="J40" s="234"/>
      <c r="K40" s="234"/>
    </row>
    <row r="41" spans="1:11">
      <c r="A41" s="234"/>
      <c r="B41" s="234"/>
      <c r="C41" s="234"/>
      <c r="D41" s="232" t="s">
        <v>342</v>
      </c>
      <c r="E41" s="234"/>
      <c r="F41" s="234"/>
      <c r="G41" s="234"/>
      <c r="H41" s="234"/>
      <c r="I41" s="234"/>
      <c r="J41" s="234"/>
      <c r="K41" s="234"/>
    </row>
    <row r="42" spans="1:11">
      <c r="A42" s="234"/>
      <c r="B42" s="234"/>
      <c r="C42" s="234"/>
      <c r="D42" s="232" t="s">
        <v>360</v>
      </c>
      <c r="E42" s="234"/>
      <c r="F42" s="234"/>
      <c r="G42" s="234"/>
      <c r="H42" s="234"/>
      <c r="I42" s="234"/>
      <c r="J42" s="234"/>
      <c r="K42" s="234"/>
    </row>
    <row r="43" spans="1:11">
      <c r="A43" s="234"/>
      <c r="B43" s="234"/>
      <c r="C43" s="234"/>
      <c r="D43" s="82" t="s">
        <v>344</v>
      </c>
      <c r="E43" s="234"/>
      <c r="F43" s="234"/>
      <c r="G43" s="234"/>
      <c r="H43" s="234"/>
      <c r="I43" s="234"/>
      <c r="J43" s="234"/>
      <c r="K43" s="234"/>
    </row>
    <row r="44" spans="1:11">
      <c r="A44" s="234"/>
      <c r="B44" s="234"/>
      <c r="C44" s="234"/>
      <c r="D44" s="232" t="s">
        <v>345</v>
      </c>
      <c r="E44" s="234"/>
      <c r="F44" s="234"/>
      <c r="G44" s="234"/>
      <c r="H44" s="234"/>
      <c r="I44" s="234"/>
      <c r="J44" s="234"/>
      <c r="K44" s="234"/>
    </row>
    <row r="45" spans="1:11">
      <c r="A45" s="234"/>
      <c r="B45" s="234"/>
      <c r="C45" s="234"/>
      <c r="D45" s="234"/>
      <c r="E45" s="234"/>
      <c r="F45" s="234"/>
      <c r="G45" s="234"/>
      <c r="H45" s="234"/>
      <c r="I45" s="234"/>
      <c r="J45" s="234"/>
      <c r="K45" s="234"/>
    </row>
    <row r="46" spans="1:11">
      <c r="A46" s="234"/>
      <c r="B46" s="235">
        <v>3</v>
      </c>
      <c r="C46" s="235" t="s">
        <v>350</v>
      </c>
      <c r="D46" s="234"/>
      <c r="E46" s="234"/>
      <c r="F46" s="234"/>
      <c r="G46" s="234"/>
      <c r="H46" s="234"/>
      <c r="I46" s="234"/>
      <c r="J46" s="234"/>
      <c r="K46" s="234"/>
    </row>
    <row r="47" spans="1:11">
      <c r="A47" s="234"/>
      <c r="B47" s="234"/>
      <c r="C47" s="234"/>
      <c r="D47" s="232" t="s">
        <v>351</v>
      </c>
      <c r="E47" s="234"/>
      <c r="F47" s="234"/>
      <c r="G47" s="234"/>
      <c r="H47" s="234"/>
      <c r="I47" s="234"/>
      <c r="J47" s="234"/>
      <c r="K47" s="234"/>
    </row>
    <row r="48" spans="1:11">
      <c r="A48" s="234"/>
      <c r="B48" s="234"/>
      <c r="C48" s="234"/>
      <c r="D48" s="232" t="s">
        <v>352</v>
      </c>
      <c r="E48" s="234"/>
      <c r="F48" s="234"/>
      <c r="G48" s="234"/>
      <c r="H48" s="234"/>
      <c r="I48" s="234"/>
      <c r="J48" s="234"/>
      <c r="K48" s="234"/>
    </row>
    <row r="49" spans="1:11">
      <c r="A49" s="234"/>
      <c r="B49" s="234"/>
      <c r="C49" s="234"/>
      <c r="D49" s="232" t="s">
        <v>353</v>
      </c>
      <c r="E49" s="234"/>
      <c r="F49" s="234"/>
      <c r="G49" s="234"/>
      <c r="H49" s="234"/>
      <c r="I49" s="234"/>
      <c r="J49" s="234"/>
      <c r="K49" s="234"/>
    </row>
    <row r="50" spans="1:11">
      <c r="A50" s="234"/>
      <c r="B50" s="234"/>
      <c r="C50" s="234"/>
      <c r="D50" s="232" t="s">
        <v>354</v>
      </c>
      <c r="E50" s="234"/>
      <c r="F50" s="234"/>
      <c r="G50" s="234"/>
      <c r="H50" s="234"/>
      <c r="I50" s="234"/>
      <c r="J50" s="234"/>
      <c r="K50" s="234"/>
    </row>
    <row r="51" spans="1:11">
      <c r="A51" s="234"/>
      <c r="B51" s="234"/>
      <c r="C51" s="234"/>
      <c r="D51" s="234"/>
      <c r="E51" s="234"/>
      <c r="F51" s="234"/>
      <c r="G51" s="234"/>
      <c r="H51" s="234"/>
      <c r="I51" s="234"/>
      <c r="J51" s="234"/>
      <c r="K51" s="234"/>
    </row>
    <row r="52" spans="1:11">
      <c r="A52" s="234"/>
      <c r="B52" s="235">
        <v>4</v>
      </c>
      <c r="C52" s="235" t="s">
        <v>355</v>
      </c>
      <c r="D52" s="235"/>
      <c r="E52" s="234"/>
      <c r="F52" s="234"/>
      <c r="G52" s="234"/>
      <c r="H52" s="234"/>
      <c r="I52" s="234"/>
      <c r="J52" s="234"/>
      <c r="K52" s="234"/>
    </row>
    <row r="53" spans="1:11">
      <c r="A53" s="234"/>
      <c r="B53" s="234"/>
      <c r="C53" s="234"/>
      <c r="D53" s="232" t="s">
        <v>353</v>
      </c>
      <c r="E53" s="234"/>
      <c r="F53" s="234"/>
      <c r="G53" s="234"/>
      <c r="H53" s="234"/>
      <c r="I53" s="234"/>
      <c r="J53" s="234"/>
      <c r="K53" s="234"/>
    </row>
    <row r="54" spans="1:11">
      <c r="A54" s="234"/>
      <c r="B54" s="234"/>
      <c r="C54" s="234"/>
      <c r="D54" s="232" t="s">
        <v>354</v>
      </c>
      <c r="E54" s="234"/>
      <c r="F54" s="234"/>
      <c r="G54" s="234"/>
      <c r="H54" s="234"/>
      <c r="I54" s="234"/>
      <c r="J54" s="234"/>
      <c r="K54" s="234"/>
    </row>
    <row r="55" spans="1:11">
      <c r="A55" s="234"/>
      <c r="B55" s="234"/>
      <c r="C55" s="234"/>
      <c r="D55" s="234"/>
      <c r="E55" s="234"/>
      <c r="F55" s="234"/>
      <c r="G55" s="234"/>
      <c r="H55" s="234"/>
      <c r="I55" s="234"/>
      <c r="J55" s="234"/>
      <c r="K55" s="234"/>
    </row>
    <row r="56" spans="1:11">
      <c r="A56" s="234"/>
      <c r="B56" s="235">
        <v>5</v>
      </c>
      <c r="C56" s="235" t="s">
        <v>356</v>
      </c>
      <c r="D56" s="235"/>
      <c r="E56" s="235"/>
      <c r="F56" s="235"/>
      <c r="G56" s="235"/>
      <c r="H56" s="235"/>
      <c r="I56" s="235"/>
      <c r="J56" s="235"/>
      <c r="K56" s="234"/>
    </row>
    <row r="57" spans="1:11">
      <c r="A57" s="234"/>
      <c r="B57" s="235"/>
      <c r="C57" s="235" t="s">
        <v>357</v>
      </c>
      <c r="D57" s="235"/>
      <c r="E57" s="235"/>
      <c r="F57" s="235"/>
      <c r="G57" s="235"/>
      <c r="H57" s="235"/>
      <c r="I57" s="235"/>
      <c r="J57" s="235"/>
      <c r="K57" s="234"/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54"/>
  <sheetViews>
    <sheetView workbookViewId="0">
      <selection activeCell="A14" sqref="A14"/>
    </sheetView>
  </sheetViews>
  <sheetFormatPr defaultRowHeight="13.2"/>
  <cols>
    <col min="1" max="1" width="37.33203125" customWidth="1"/>
    <col min="2" max="2" width="14.109375" customWidth="1"/>
    <col min="3" max="3" width="13.109375" customWidth="1"/>
    <col min="4" max="4" width="13.6640625" customWidth="1"/>
    <col min="5" max="5" width="6.44140625" customWidth="1"/>
    <col min="6" max="6" width="13" customWidth="1"/>
    <col min="7" max="7" width="12.6640625" customWidth="1"/>
    <col min="8" max="8" width="15.6640625" customWidth="1"/>
    <col min="9" max="9" width="12.109375" customWidth="1"/>
    <col min="10" max="10" width="13.44140625" customWidth="1"/>
    <col min="11" max="11" width="6.6640625" customWidth="1"/>
    <col min="12" max="12" width="14" customWidth="1"/>
    <col min="13" max="14" width="13.6640625" customWidth="1"/>
    <col min="15" max="15" width="12.44140625" customWidth="1"/>
    <col min="16" max="16" width="13.44140625" style="62" customWidth="1"/>
    <col min="17" max="17" width="14" customWidth="1"/>
    <col min="18" max="19" width="14.109375" style="57" customWidth="1"/>
    <col min="20" max="20" width="12.5546875" style="57" customWidth="1"/>
    <col min="21" max="21" width="12.6640625" style="57" customWidth="1"/>
    <col min="22" max="22" width="14.6640625" style="57" customWidth="1"/>
    <col min="23" max="23" width="15.109375" style="57" customWidth="1"/>
    <col min="24" max="24" width="13.5546875" style="57" customWidth="1"/>
    <col min="25" max="25" width="13" style="57" customWidth="1"/>
    <col min="26" max="26" width="12.44140625" style="57" customWidth="1"/>
    <col min="27" max="27" width="13.109375" style="57" customWidth="1"/>
    <col min="28" max="28" width="14.44140625" style="57" customWidth="1"/>
    <col min="29" max="29" width="14.33203125" style="57" customWidth="1"/>
    <col min="30" max="30" width="13.44140625" style="57" customWidth="1"/>
    <col min="31" max="31" width="13.33203125" style="57" customWidth="1"/>
    <col min="32" max="32" width="3.33203125" style="57" customWidth="1"/>
    <col min="33" max="33" width="13.109375" style="57" customWidth="1"/>
    <col min="34" max="34" width="14.44140625" style="57" customWidth="1"/>
    <col min="35" max="35" width="14.33203125" style="57" customWidth="1"/>
    <col min="36" max="36" width="13.44140625" style="57" customWidth="1"/>
    <col min="37" max="37" width="13.33203125" style="57" customWidth="1"/>
    <col min="38" max="38" width="13.88671875" style="57" customWidth="1"/>
    <col min="39" max="39" width="12.6640625" style="57" customWidth="1"/>
    <col min="40" max="41" width="13.88671875" style="57" customWidth="1"/>
    <col min="42" max="42" width="13.33203125" style="57" customWidth="1"/>
    <col min="43" max="43" width="13.88671875" style="57" customWidth="1"/>
    <col min="44" max="44" width="12.6640625" style="57" customWidth="1"/>
    <col min="45" max="47" width="13.88671875" style="57" customWidth="1"/>
    <col min="48" max="48" width="4.88671875" style="57" customWidth="1"/>
    <col min="49" max="49" width="13.88671875" style="57" customWidth="1"/>
    <col min="50" max="50" width="12.6640625" style="57" customWidth="1"/>
    <col min="51" max="52" width="13.88671875" style="57" customWidth="1"/>
    <col min="53" max="53" width="10.44140625" style="57" customWidth="1"/>
    <col min="54" max="54" width="13.88671875" style="57" customWidth="1"/>
    <col min="55" max="55" width="12.6640625" style="57" customWidth="1"/>
    <col min="56" max="56" width="13.88671875" style="57" customWidth="1"/>
    <col min="57" max="58" width="13.33203125" style="57" customWidth="1"/>
    <col min="59" max="59" width="4.44140625" style="57" customWidth="1"/>
    <col min="60" max="60" width="13.88671875" style="57" customWidth="1"/>
    <col min="61" max="61" width="12.6640625" style="57" customWidth="1"/>
    <col min="62" max="62" width="13.88671875" style="57" customWidth="1"/>
    <col min="63" max="63" width="13.109375" style="57" customWidth="1"/>
    <col min="64" max="65" width="13.5546875" style="57" customWidth="1"/>
    <col min="66" max="66" width="12.88671875" style="57" customWidth="1"/>
    <col min="67" max="67" width="13.6640625" style="57" customWidth="1"/>
    <col min="68" max="68" width="14" style="57" customWidth="1"/>
    <col min="69" max="69" width="13.109375" style="57" customWidth="1"/>
    <col min="70" max="70" width="11.6640625" style="57" customWidth="1"/>
    <col min="71" max="71" width="14.5546875" style="57" customWidth="1"/>
    <col min="72" max="72" width="9.109375" style="57"/>
  </cols>
  <sheetData>
    <row r="1" spans="1:79">
      <c r="B1" s="8"/>
      <c r="C1" s="7" t="s">
        <v>64</v>
      </c>
      <c r="D1" s="8"/>
      <c r="E1" s="8"/>
      <c r="F1" s="2">
        <v>39448</v>
      </c>
      <c r="G1" s="3"/>
      <c r="H1" s="3"/>
      <c r="I1" s="4"/>
      <c r="J1" s="4"/>
      <c r="L1" s="3"/>
      <c r="M1" s="2">
        <v>39479</v>
      </c>
      <c r="N1" s="52"/>
      <c r="O1" s="4"/>
      <c r="P1" s="53"/>
      <c r="Q1" s="3"/>
      <c r="R1" s="2">
        <v>39508</v>
      </c>
      <c r="S1" s="52"/>
      <c r="T1" s="54"/>
      <c r="U1" s="55"/>
      <c r="V1" s="3"/>
      <c r="W1" s="2">
        <v>39539</v>
      </c>
      <c r="X1" s="52"/>
      <c r="Y1" s="55"/>
      <c r="Z1" s="56"/>
      <c r="AA1" s="3"/>
      <c r="AB1" s="2">
        <v>39569</v>
      </c>
      <c r="AC1" s="52"/>
      <c r="AD1" s="56"/>
      <c r="AE1" s="54"/>
      <c r="AF1" s="54"/>
      <c r="AG1" s="3"/>
      <c r="AH1" s="2">
        <v>39600</v>
      </c>
      <c r="AI1" s="52"/>
      <c r="AJ1" s="56"/>
      <c r="AK1" s="54"/>
      <c r="AL1" s="3"/>
      <c r="AM1" s="2">
        <v>39630</v>
      </c>
      <c r="AN1" s="52"/>
      <c r="AO1" s="5"/>
      <c r="AP1" s="54"/>
      <c r="AQ1" s="3"/>
      <c r="AR1" s="2">
        <v>39661</v>
      </c>
      <c r="AS1" s="52"/>
      <c r="AT1" s="5"/>
      <c r="AU1" s="56"/>
      <c r="AV1" s="54"/>
      <c r="AW1" s="3"/>
      <c r="AX1" s="2">
        <v>39692</v>
      </c>
      <c r="AY1" s="52"/>
      <c r="AZ1" s="56"/>
      <c r="BA1" s="56"/>
      <c r="BB1" s="3"/>
      <c r="BC1" s="2">
        <v>39722</v>
      </c>
      <c r="BD1" s="52"/>
      <c r="BE1" s="56"/>
      <c r="BF1" s="56"/>
      <c r="BG1" s="54"/>
      <c r="BH1" s="3"/>
      <c r="BI1" s="2">
        <v>39753</v>
      </c>
      <c r="BJ1" s="52"/>
      <c r="BK1" s="56"/>
      <c r="BL1" s="54"/>
      <c r="BM1" s="54"/>
      <c r="BN1" s="3"/>
      <c r="BO1" s="2">
        <v>39783</v>
      </c>
      <c r="BP1" s="52"/>
      <c r="BQ1" s="56"/>
    </row>
    <row r="2" spans="1:79">
      <c r="B2" s="6" t="s">
        <v>65</v>
      </c>
      <c r="C2" s="6" t="s">
        <v>2</v>
      </c>
      <c r="D2" s="6" t="s">
        <v>3</v>
      </c>
      <c r="E2" s="6"/>
      <c r="F2" s="6" t="s">
        <v>65</v>
      </c>
      <c r="G2" s="6" t="s">
        <v>2</v>
      </c>
      <c r="H2" s="6" t="s">
        <v>3</v>
      </c>
      <c r="I2" s="4"/>
      <c r="J2" s="4"/>
      <c r="K2" s="5"/>
      <c r="L2" s="6" t="s">
        <v>65</v>
      </c>
      <c r="M2" s="6" t="s">
        <v>2</v>
      </c>
      <c r="N2" s="6" t="s">
        <v>3</v>
      </c>
      <c r="O2" s="4"/>
      <c r="P2" s="53"/>
      <c r="Q2" s="6" t="s">
        <v>65</v>
      </c>
      <c r="R2" s="6" t="s">
        <v>2</v>
      </c>
      <c r="S2" s="6" t="s">
        <v>3</v>
      </c>
      <c r="T2" s="58"/>
      <c r="U2" s="58"/>
      <c r="V2" s="6" t="s">
        <v>65</v>
      </c>
      <c r="W2" s="6" t="s">
        <v>2</v>
      </c>
      <c r="X2" s="6" t="s">
        <v>3</v>
      </c>
      <c r="Y2" s="58"/>
      <c r="Z2" s="55"/>
      <c r="AA2" s="6" t="s">
        <v>65</v>
      </c>
      <c r="AB2" s="6" t="s">
        <v>2</v>
      </c>
      <c r="AC2" s="6" t="s">
        <v>3</v>
      </c>
      <c r="AD2" s="55"/>
      <c r="AE2" s="58"/>
      <c r="AF2" s="58"/>
      <c r="AG2" s="6" t="s">
        <v>65</v>
      </c>
      <c r="AH2" s="6" t="s">
        <v>2</v>
      </c>
      <c r="AI2" s="6" t="s">
        <v>3</v>
      </c>
      <c r="AJ2" s="55"/>
      <c r="AK2" s="58"/>
      <c r="AL2" s="6" t="s">
        <v>65</v>
      </c>
      <c r="AM2" s="6" t="s">
        <v>2</v>
      </c>
      <c r="AN2" s="6" t="s">
        <v>3</v>
      </c>
      <c r="AO2" s="59" t="s">
        <v>66</v>
      </c>
      <c r="AP2" s="58"/>
      <c r="AQ2" s="6" t="s">
        <v>65</v>
      </c>
      <c r="AR2" s="6" t="s">
        <v>2</v>
      </c>
      <c r="AS2" s="6" t="s">
        <v>3</v>
      </c>
      <c r="AT2" s="60"/>
      <c r="AU2" s="55"/>
      <c r="AV2" s="58"/>
      <c r="AW2" s="6" t="s">
        <v>65</v>
      </c>
      <c r="AX2" s="6" t="s">
        <v>2</v>
      </c>
      <c r="AY2" s="6" t="s">
        <v>3</v>
      </c>
      <c r="AZ2" s="55"/>
      <c r="BA2" s="55"/>
      <c r="BB2" s="6" t="s">
        <v>65</v>
      </c>
      <c r="BC2" s="6" t="s">
        <v>2</v>
      </c>
      <c r="BD2" s="6" t="s">
        <v>3</v>
      </c>
      <c r="BE2" s="55"/>
      <c r="BF2" s="55"/>
      <c r="BG2" s="58"/>
      <c r="BH2" s="6" t="s">
        <v>65</v>
      </c>
      <c r="BI2" s="6" t="s">
        <v>2</v>
      </c>
      <c r="BJ2" s="6" t="s">
        <v>3</v>
      </c>
      <c r="BK2" s="55"/>
      <c r="BL2" s="58"/>
      <c r="BM2" s="58"/>
      <c r="BN2" s="6" t="s">
        <v>65</v>
      </c>
      <c r="BO2" s="6" t="s">
        <v>2</v>
      </c>
      <c r="BP2" s="6" t="s">
        <v>3</v>
      </c>
      <c r="BQ2" s="55"/>
    </row>
    <row r="3" spans="1:79">
      <c r="A3" s="61" t="s">
        <v>4</v>
      </c>
      <c r="B3" s="9"/>
      <c r="C3" s="9"/>
      <c r="D3" s="9"/>
      <c r="E3" s="9"/>
    </row>
    <row r="4" spans="1:79">
      <c r="A4" t="str">
        <f>'WGJ-2 Page 1'!B6</f>
        <v>555 Purchased Power</v>
      </c>
      <c r="B4" s="10">
        <f>F4+S4+W4+AA4+AE4+AI4+AL4+AV4+AZ4+BG4+BK4</f>
        <v>73597521.030000001</v>
      </c>
      <c r="C4" s="10" t="e">
        <f>G4+T4+X4+AB4+AF4+#REF!+AM4+AR4+AW4+BB4+BH4+BL4</f>
        <v>#REF!</v>
      </c>
      <c r="D4" s="11" t="e">
        <f>B4-C4</f>
        <v>#REF!</v>
      </c>
      <c r="E4" s="11"/>
      <c r="F4" s="11">
        <f>'WGJ-2 Page 1'!F6</f>
        <v>21637001.565000001</v>
      </c>
      <c r="G4" s="11">
        <f>'WGJ-2 Page 1'!F17</f>
        <v>14997446</v>
      </c>
      <c r="H4" s="11">
        <f t="shared" ref="H4:H12" si="0">F4-G4</f>
        <v>6639555.5650000013</v>
      </c>
      <c r="I4" s="11"/>
      <c r="J4" s="11"/>
      <c r="K4" s="11"/>
      <c r="L4" s="11">
        <f>'WGJ-2 Page 1'!G6</f>
        <v>21929186.82</v>
      </c>
      <c r="M4" s="11">
        <f>'WGJ-2 Page 1'!G17</f>
        <v>13232443</v>
      </c>
      <c r="N4" s="11">
        <f t="shared" ref="N4:N14" si="1">L4-M4</f>
        <v>8696743.8200000003</v>
      </c>
      <c r="O4" s="11"/>
      <c r="P4" s="51"/>
      <c r="Q4" s="11">
        <f>'WGJ-2 Page 1'!H6</f>
        <v>23776856.465</v>
      </c>
      <c r="R4" s="11">
        <f>'WGJ-2 Page 1'!H17</f>
        <v>12710608</v>
      </c>
      <c r="S4" s="11">
        <f>Q4-R4</f>
        <v>11066248.465</v>
      </c>
      <c r="T4" s="63"/>
      <c r="U4" s="63"/>
      <c r="V4" s="11">
        <f>'WGJ-2 Page 1'!I6</f>
        <v>15594828.135</v>
      </c>
      <c r="W4" s="11">
        <f>'WGJ-2 Page 1'!I17</f>
        <v>10429524</v>
      </c>
      <c r="X4" s="11">
        <f t="shared" ref="X4:X12" si="2">V4-W4</f>
        <v>5165304.1349999998</v>
      </c>
      <c r="Y4" s="63"/>
      <c r="Z4" s="63"/>
      <c r="AA4" s="11">
        <f>'WGJ-2 Page 1'!J6</f>
        <v>11696613</v>
      </c>
      <c r="AB4" s="11">
        <f>'WGJ-2 Page 1'!J17</f>
        <v>8530863</v>
      </c>
      <c r="AC4" s="11">
        <f t="shared" ref="AC4:AC12" si="3">AA4-AB4</f>
        <v>3165750</v>
      </c>
      <c r="AD4" s="63"/>
      <c r="AE4" s="63"/>
      <c r="AF4" s="63"/>
      <c r="AG4" s="11">
        <f>'WGJ-2 Page 1'!K6</f>
        <v>11288454</v>
      </c>
      <c r="AH4" s="11">
        <f>'WGJ-2 Page 1'!K17</f>
        <v>8277524</v>
      </c>
      <c r="AI4" s="11">
        <f t="shared" ref="AI4:AI12" si="4">AG4-AH4</f>
        <v>3010930</v>
      </c>
      <c r="AJ4" s="63"/>
      <c r="AK4" s="63"/>
      <c r="AL4" s="11">
        <f>'WGJ-2 Page 1'!L6</f>
        <v>15757204</v>
      </c>
      <c r="AM4" s="11">
        <f>'WGJ-2 Page 1'!L17</f>
        <v>8213533</v>
      </c>
      <c r="AN4" s="11">
        <f t="shared" ref="AN4:AN12" si="5">AL4-AM4</f>
        <v>7543671</v>
      </c>
      <c r="AO4" s="11"/>
      <c r="AP4" s="63"/>
      <c r="AQ4" s="11">
        <f>'WGJ-2 Page 1'!M6</f>
        <v>14301087</v>
      </c>
      <c r="AR4" s="11">
        <f>'WGJ-2 Page 1'!M17</f>
        <v>10240223</v>
      </c>
      <c r="AS4" s="11">
        <f t="shared" ref="AS4:AS12" si="6">AQ4-AR4</f>
        <v>4060864</v>
      </c>
      <c r="AT4" s="11"/>
      <c r="AV4" s="63"/>
      <c r="AW4" s="11">
        <f>'WGJ-2 Page 1'!N6</f>
        <v>13509093</v>
      </c>
      <c r="AX4" s="11">
        <f>'WGJ-2 Page 1'!N17</f>
        <v>8039783</v>
      </c>
      <c r="AY4" s="11">
        <f t="shared" ref="AY4:AY12" si="7">AW4-AX4</f>
        <v>5469310</v>
      </c>
      <c r="BB4" s="11">
        <f>'WGJ-2 Page 1'!O6</f>
        <v>12571027</v>
      </c>
      <c r="BC4" s="11">
        <f>'WGJ-2 Page 1'!O17</f>
        <v>9414550</v>
      </c>
      <c r="BD4" s="11">
        <f t="shared" ref="BD4:BD12" si="8">BB4-BC4</f>
        <v>3156477</v>
      </c>
      <c r="BG4" s="63"/>
      <c r="BH4" s="11">
        <f>'WGJ-2 Page 1'!P6</f>
        <v>18306165.02</v>
      </c>
      <c r="BI4" s="11">
        <f>'WGJ-2 Page 1'!P17</f>
        <v>12788401</v>
      </c>
      <c r="BJ4" s="11">
        <f t="shared" ref="BJ4:BJ12" si="9">BH4-BI4</f>
        <v>5517764.0199999996</v>
      </c>
      <c r="BL4" s="63"/>
      <c r="BM4" s="63"/>
      <c r="BN4" s="11">
        <f>'WGJ-2 Page 1'!Q6</f>
        <v>17702424.780000001</v>
      </c>
      <c r="BO4" s="11">
        <f>'WGJ-2 Page 1'!Q17</f>
        <v>13454232</v>
      </c>
      <c r="BP4" s="11">
        <f t="shared" ref="BP4:BP12" si="10">BN4-BO4</f>
        <v>4248192.7800000012</v>
      </c>
    </row>
    <row r="5" spans="1:79">
      <c r="A5" t="str">
        <f>'WGJ-2 Page 1'!B9</f>
        <v>501 Thermal Fuel</v>
      </c>
      <c r="B5" s="10">
        <f>F5+S5+W5+AA5+AE5+AI5+AL5+AV5+AZ5+BG5+BK5</f>
        <v>6533669</v>
      </c>
      <c r="C5" s="10" t="e">
        <f>G5+T5+X5+AB5+AF5+#REF!+AM5+AR5+AW5+BB5+BH5+BL5</f>
        <v>#REF!</v>
      </c>
      <c r="D5" s="11" t="e">
        <f>B5-C5</f>
        <v>#REF!</v>
      </c>
      <c r="E5" s="11"/>
      <c r="F5" s="11">
        <f>'WGJ-2 Page 1'!F9</f>
        <v>2404223</v>
      </c>
      <c r="G5" s="11">
        <f>'WGJ-2 Page 1'!F20</f>
        <v>2779051</v>
      </c>
      <c r="H5" s="11">
        <f t="shared" si="0"/>
        <v>-374828</v>
      </c>
      <c r="I5" s="11"/>
      <c r="J5" s="11"/>
      <c r="K5" s="11"/>
      <c r="L5" s="11">
        <f>'WGJ-2 Page 1'!G9</f>
        <v>2713455</v>
      </c>
      <c r="M5" s="11">
        <f>'WGJ-2 Page 1'!G20</f>
        <v>2667744</v>
      </c>
      <c r="N5" s="11">
        <f t="shared" si="1"/>
        <v>45711</v>
      </c>
      <c r="O5" s="11"/>
      <c r="P5" s="51"/>
      <c r="Q5" s="11">
        <f>'WGJ-2 Page 1'!H9</f>
        <v>1871612</v>
      </c>
      <c r="R5" s="11">
        <f>'WGJ-2 Page 1'!H20</f>
        <v>2775501</v>
      </c>
      <c r="S5" s="11">
        <f t="shared" ref="S5:S14" si="11">Q5-R5</f>
        <v>-903889</v>
      </c>
      <c r="T5" s="63"/>
      <c r="U5" s="63"/>
      <c r="V5" s="11">
        <f>'WGJ-2 Page 1'!I9</f>
        <v>2179270</v>
      </c>
      <c r="W5" s="11">
        <f>'WGJ-2 Page 1'!I20</f>
        <v>2020557</v>
      </c>
      <c r="X5" s="11">
        <f t="shared" si="2"/>
        <v>158713</v>
      </c>
      <c r="Y5" s="63"/>
      <c r="Z5" s="63"/>
      <c r="AA5" s="11">
        <f>'WGJ-2 Page 1'!J9</f>
        <v>1105711</v>
      </c>
      <c r="AB5" s="11">
        <f>'WGJ-2 Page 1'!J20</f>
        <v>1704426</v>
      </c>
      <c r="AC5" s="11">
        <f t="shared" si="3"/>
        <v>-598715</v>
      </c>
      <c r="AD5" s="63"/>
      <c r="AE5" s="63"/>
      <c r="AF5" s="63"/>
      <c r="AG5" s="11">
        <f>'WGJ-2 Page 1'!K9</f>
        <v>1184588</v>
      </c>
      <c r="AH5" s="11">
        <f>'WGJ-2 Page 1'!K20</f>
        <v>1475295</v>
      </c>
      <c r="AI5" s="11">
        <f t="shared" si="4"/>
        <v>-290707</v>
      </c>
      <c r="AJ5" s="63"/>
      <c r="AK5" s="63"/>
      <c r="AL5" s="11">
        <f>'WGJ-2 Page 1'!L9</f>
        <v>2197774</v>
      </c>
      <c r="AM5" s="11">
        <f>'WGJ-2 Page 1'!L20</f>
        <v>2739032</v>
      </c>
      <c r="AN5" s="11">
        <f t="shared" si="5"/>
        <v>-541258</v>
      </c>
      <c r="AO5" s="11"/>
      <c r="AP5" s="63"/>
      <c r="AQ5" s="11">
        <f>'WGJ-2 Page 1'!M9</f>
        <v>3102692</v>
      </c>
      <c r="AR5" s="11">
        <f>'WGJ-2 Page 1'!M20</f>
        <v>2967332</v>
      </c>
      <c r="AS5" s="11">
        <f t="shared" si="6"/>
        <v>135360</v>
      </c>
      <c r="AT5" s="11"/>
      <c r="AV5" s="63"/>
      <c r="AW5" s="11">
        <f>'WGJ-2 Page 1'!N9</f>
        <v>3305897</v>
      </c>
      <c r="AX5" s="11">
        <f>'WGJ-2 Page 1'!N20</f>
        <v>2919939</v>
      </c>
      <c r="AY5" s="11">
        <f t="shared" si="7"/>
        <v>385958</v>
      </c>
      <c r="BB5" s="11">
        <f>'WGJ-2 Page 1'!O9</f>
        <v>2444916</v>
      </c>
      <c r="BC5" s="11">
        <f>'WGJ-2 Page 1'!O20</f>
        <v>3052588</v>
      </c>
      <c r="BD5" s="11">
        <f t="shared" si="8"/>
        <v>-607672</v>
      </c>
      <c r="BG5" s="63"/>
      <c r="BH5" s="11">
        <f>'WGJ-2 Page 1'!P9</f>
        <v>2249223</v>
      </c>
      <c r="BI5" s="11">
        <f>'WGJ-2 Page 1'!P20</f>
        <v>2913823</v>
      </c>
      <c r="BJ5" s="11">
        <f t="shared" si="9"/>
        <v>-664600</v>
      </c>
      <c r="BL5" s="63"/>
      <c r="BM5" s="63"/>
      <c r="BN5" s="11">
        <f>'WGJ-2 Page 1'!Q9</f>
        <v>2523087</v>
      </c>
      <c r="BO5" s="11">
        <f>'WGJ-2 Page 1'!Q20</f>
        <v>3010108</v>
      </c>
      <c r="BP5" s="11">
        <f t="shared" si="10"/>
        <v>-487021</v>
      </c>
    </row>
    <row r="6" spans="1:79">
      <c r="A6" t="str">
        <f>'WGJ-2 Page 1'!B10</f>
        <v>547 CT Fuel</v>
      </c>
      <c r="B6" s="10">
        <f>F6+S6+W6+AA6+AE6+AI6+AL6+AV6+AZ6+BG6+BK6</f>
        <v>21911732</v>
      </c>
      <c r="C6" s="10" t="e">
        <f>G6+T6+X6+AB6+AF6+#REF!+AM6+AR6+AW6+BB6+BH6+BL6</f>
        <v>#REF!</v>
      </c>
      <c r="D6" s="11" t="e">
        <f>B6-C6</f>
        <v>#REF!</v>
      </c>
      <c r="E6" s="11"/>
      <c r="F6" s="11">
        <f>'WGJ-2 Page 1'!F10</f>
        <v>12167651</v>
      </c>
      <c r="G6" s="11">
        <f>'WGJ-2 Page 1'!F21</f>
        <v>9324060</v>
      </c>
      <c r="H6" s="11">
        <f t="shared" si="0"/>
        <v>2843591</v>
      </c>
      <c r="I6" s="11"/>
      <c r="J6" s="11"/>
      <c r="K6" s="11"/>
      <c r="L6" s="11">
        <f>'WGJ-2 Page 1'!G10</f>
        <v>13775030</v>
      </c>
      <c r="M6" s="11">
        <f>'WGJ-2 Page 1'!G21</f>
        <v>8646899</v>
      </c>
      <c r="N6" s="11">
        <f t="shared" si="1"/>
        <v>5128131</v>
      </c>
      <c r="O6" s="11"/>
      <c r="P6" s="51"/>
      <c r="Q6" s="11">
        <f>'WGJ-2 Page 1'!H10</f>
        <v>2035023</v>
      </c>
      <c r="R6" s="11">
        <f>'WGJ-2 Page 1'!H21</f>
        <v>8377117</v>
      </c>
      <c r="S6" s="11">
        <f t="shared" si="11"/>
        <v>-6342094</v>
      </c>
      <c r="T6" s="63"/>
      <c r="U6" s="63"/>
      <c r="V6" s="11">
        <f>'WGJ-2 Page 1'!I10</f>
        <v>1865777</v>
      </c>
      <c r="W6" s="11">
        <f>'WGJ-2 Page 1'!I21</f>
        <v>4998775</v>
      </c>
      <c r="X6" s="11">
        <f t="shared" si="2"/>
        <v>-3132998</v>
      </c>
      <c r="Y6" s="63"/>
      <c r="Z6" s="63"/>
      <c r="AA6" s="11">
        <f>'WGJ-2 Page 1'!J10</f>
        <v>3891130</v>
      </c>
      <c r="AB6" s="11">
        <f>'WGJ-2 Page 1'!J21</f>
        <v>3034991</v>
      </c>
      <c r="AC6" s="11">
        <f t="shared" si="3"/>
        <v>856139</v>
      </c>
      <c r="AD6" s="63"/>
      <c r="AE6" s="63"/>
      <c r="AF6" s="63"/>
      <c r="AG6" s="11">
        <f>'WGJ-2 Page 1'!K10</f>
        <v>2757899</v>
      </c>
      <c r="AH6" s="11">
        <f>'WGJ-2 Page 1'!K21</f>
        <v>2592359</v>
      </c>
      <c r="AI6" s="11">
        <f t="shared" si="4"/>
        <v>165540</v>
      </c>
      <c r="AJ6" s="63"/>
      <c r="AK6" s="63"/>
      <c r="AL6" s="11">
        <f>'WGJ-2 Page 1'!L10</f>
        <v>7030730</v>
      </c>
      <c r="AM6" s="11">
        <f>'WGJ-2 Page 1'!L21</f>
        <v>7522825</v>
      </c>
      <c r="AN6" s="11">
        <f t="shared" si="5"/>
        <v>-492095</v>
      </c>
      <c r="AO6" s="11"/>
      <c r="AP6" s="63"/>
      <c r="AQ6" s="11">
        <f>'WGJ-2 Page 1'!M10</f>
        <v>10075246</v>
      </c>
      <c r="AR6" s="11">
        <f>'WGJ-2 Page 1'!M21</f>
        <v>8820667</v>
      </c>
      <c r="AS6" s="11">
        <f t="shared" si="6"/>
        <v>1254579</v>
      </c>
      <c r="AT6" s="11"/>
      <c r="AV6" s="63"/>
      <c r="AW6" s="11">
        <f>'WGJ-2 Page 1'!N10</f>
        <v>9938206</v>
      </c>
      <c r="AX6" s="11">
        <f>'WGJ-2 Page 1'!N21</f>
        <v>9214643</v>
      </c>
      <c r="AY6" s="11">
        <f t="shared" si="7"/>
        <v>723563</v>
      </c>
      <c r="BB6" s="11">
        <f>'WGJ-2 Page 1'!O10</f>
        <v>9717054</v>
      </c>
      <c r="BC6" s="11">
        <f>'WGJ-2 Page 1'!O21</f>
        <v>9279297</v>
      </c>
      <c r="BD6" s="11">
        <f t="shared" si="8"/>
        <v>437757</v>
      </c>
      <c r="BG6" s="63"/>
      <c r="BH6" s="11">
        <f>'WGJ-2 Page 1'!P10</f>
        <v>7979846</v>
      </c>
      <c r="BI6" s="11">
        <f>'WGJ-2 Page 1'!P21</f>
        <v>9863116</v>
      </c>
      <c r="BJ6" s="11">
        <f t="shared" si="9"/>
        <v>-1883270</v>
      </c>
      <c r="BL6" s="63"/>
      <c r="BM6" s="63"/>
      <c r="BN6" s="11">
        <f>'WGJ-2 Page 1'!Q10</f>
        <v>7917283</v>
      </c>
      <c r="BO6" s="11">
        <f>'WGJ-2 Page 1'!Q21</f>
        <v>10707641</v>
      </c>
      <c r="BP6" s="11">
        <f t="shared" si="10"/>
        <v>-2790358</v>
      </c>
      <c r="BU6" s="64"/>
      <c r="BV6" s="5"/>
      <c r="BW6" s="9"/>
      <c r="BX6" s="9"/>
      <c r="BY6" s="9"/>
      <c r="BZ6" s="9"/>
      <c r="CA6" s="9"/>
    </row>
    <row r="7" spans="1:79">
      <c r="A7" s="25" t="str">
        <f>'WGJ-2 Page 1'!B7</f>
        <v>447 Sale for Resale</v>
      </c>
      <c r="B7" s="10">
        <f>F7+S7+W7+AA7+AE7+AI7+AL7+AV7+AZ7+BG7+BK7</f>
        <v>-66730769</v>
      </c>
      <c r="C7" s="10" t="e">
        <f>G7+T7+X7+AB7+AF7+#REF!+AM7+AR7+AW7+BB7+BH7+BL7</f>
        <v>#REF!</v>
      </c>
      <c r="D7" s="11" t="e">
        <f>B7-C7</f>
        <v>#REF!</v>
      </c>
      <c r="E7" s="11"/>
      <c r="F7" s="11">
        <f>'WGJ-2 Page 1'!F7</f>
        <v>-16799872</v>
      </c>
      <c r="G7" s="11">
        <f>'WGJ-2 Page 1'!F18</f>
        <v>-6903038</v>
      </c>
      <c r="H7" s="14">
        <f t="shared" si="0"/>
        <v>-9896834</v>
      </c>
      <c r="I7" s="11"/>
      <c r="J7" s="11"/>
      <c r="K7" s="11"/>
      <c r="L7" s="11">
        <f>'WGJ-2 Page 1'!G7</f>
        <v>-12355172</v>
      </c>
      <c r="M7" s="11">
        <f>'WGJ-2 Page 1'!G18</f>
        <v>-6253766</v>
      </c>
      <c r="N7" s="11">
        <f t="shared" si="1"/>
        <v>-6101406</v>
      </c>
      <c r="O7" s="11"/>
      <c r="P7" s="51"/>
      <c r="Q7" s="11">
        <f>'WGJ-2 Page 1'!H7</f>
        <v>-13519401</v>
      </c>
      <c r="R7" s="11">
        <f>'WGJ-2 Page 1'!H18</f>
        <v>-6574919</v>
      </c>
      <c r="S7" s="11">
        <f t="shared" si="11"/>
        <v>-6944482</v>
      </c>
      <c r="T7" s="63"/>
      <c r="U7" s="63"/>
      <c r="V7" s="11">
        <f>'WGJ-2 Page 1'!I7</f>
        <v>-12490297</v>
      </c>
      <c r="W7" s="11">
        <f>'WGJ-2 Page 1'!I18</f>
        <v>-8035136</v>
      </c>
      <c r="X7" s="11">
        <f t="shared" si="2"/>
        <v>-4455161</v>
      </c>
      <c r="Y7" s="63"/>
      <c r="Z7" s="63"/>
      <c r="AA7" s="11">
        <f>'WGJ-2 Page 1'!J7</f>
        <v>-13315264</v>
      </c>
      <c r="AB7" s="11">
        <f>'WGJ-2 Page 1'!J18</f>
        <v>-7462411</v>
      </c>
      <c r="AC7" s="11">
        <f t="shared" si="3"/>
        <v>-5852853</v>
      </c>
      <c r="AD7" s="63"/>
      <c r="AE7" s="63"/>
      <c r="AF7" s="63"/>
      <c r="AG7" s="11">
        <f>'WGJ-2 Page 1'!K7</f>
        <v>-11174889</v>
      </c>
      <c r="AH7" s="11">
        <f>'WGJ-2 Page 1'!K18</f>
        <v>-6358811</v>
      </c>
      <c r="AI7" s="11">
        <f t="shared" si="4"/>
        <v>-4816078</v>
      </c>
      <c r="AJ7" s="63"/>
      <c r="AK7" s="63"/>
      <c r="AL7" s="11">
        <f>'WGJ-2 Page 1'!L7</f>
        <v>-16819937</v>
      </c>
      <c r="AM7" s="11">
        <f>'WGJ-2 Page 1'!L18</f>
        <v>-7752369</v>
      </c>
      <c r="AN7" s="11">
        <f t="shared" si="5"/>
        <v>-9067568</v>
      </c>
      <c r="AO7" s="11"/>
      <c r="AP7" s="63"/>
      <c r="AQ7" s="11">
        <f>'WGJ-2 Page 1'!M7</f>
        <v>-10771540</v>
      </c>
      <c r="AR7" s="11">
        <f>'WGJ-2 Page 1'!M18</f>
        <v>-4810418</v>
      </c>
      <c r="AS7" s="11">
        <f t="shared" si="6"/>
        <v>-5961122</v>
      </c>
      <c r="AT7" s="11"/>
      <c r="AV7" s="63"/>
      <c r="AW7" s="11">
        <f>'WGJ-2 Page 1'!N7</f>
        <v>-10843355</v>
      </c>
      <c r="AX7" s="11">
        <f>'WGJ-2 Page 1'!N18</f>
        <v>-6289985</v>
      </c>
      <c r="AY7" s="11">
        <f t="shared" si="7"/>
        <v>-4553370</v>
      </c>
      <c r="BB7" s="11">
        <f>'WGJ-2 Page 1'!O7</f>
        <v>-10823724</v>
      </c>
      <c r="BC7" s="11">
        <f>'WGJ-2 Page 1'!O18</f>
        <v>-7401091</v>
      </c>
      <c r="BD7" s="11">
        <f t="shared" si="8"/>
        <v>-3422633</v>
      </c>
      <c r="BG7" s="63"/>
      <c r="BH7" s="11">
        <f>'WGJ-2 Page 1'!P7</f>
        <v>-10067740</v>
      </c>
      <c r="BI7" s="11">
        <f>'WGJ-2 Page 1'!P18</f>
        <v>-8405153</v>
      </c>
      <c r="BJ7" s="11">
        <f t="shared" si="9"/>
        <v>-1662587</v>
      </c>
      <c r="BL7" s="63"/>
      <c r="BM7" s="63"/>
      <c r="BN7" s="11">
        <f>'WGJ-2 Page 1'!Q7</f>
        <v>-11906194</v>
      </c>
      <c r="BO7" s="11">
        <f>'WGJ-2 Page 1'!Q18</f>
        <v>-8733727</v>
      </c>
      <c r="BP7" s="11">
        <f t="shared" si="10"/>
        <v>-3172467</v>
      </c>
      <c r="BU7" s="64"/>
      <c r="BV7" s="5"/>
      <c r="BW7" s="9"/>
      <c r="BX7" s="9"/>
      <c r="BY7" s="9"/>
      <c r="BZ7" s="9"/>
      <c r="CA7" s="9"/>
    </row>
    <row r="8" spans="1:79">
      <c r="A8" s="25" t="s">
        <v>67</v>
      </c>
      <c r="B8" s="10"/>
      <c r="C8" s="10"/>
      <c r="D8" s="11"/>
      <c r="E8" s="11"/>
      <c r="F8" s="11">
        <f>'WGJ-2 Page 1'!F12</f>
        <v>1690954</v>
      </c>
      <c r="G8" s="11">
        <f>'WGJ-2 Page 1'!F23</f>
        <v>1520361</v>
      </c>
      <c r="H8" s="65">
        <f t="shared" si="0"/>
        <v>170593</v>
      </c>
      <c r="I8" s="11"/>
      <c r="J8" s="11"/>
      <c r="K8" s="11"/>
      <c r="L8" s="11">
        <f>'WGJ-2 Page 1'!G12</f>
        <v>1610959</v>
      </c>
      <c r="M8" s="11">
        <f>'WGJ-2 Page 1'!G23</f>
        <v>1465382.28</v>
      </c>
      <c r="N8" s="11">
        <f t="shared" si="1"/>
        <v>145576.71999999997</v>
      </c>
      <c r="O8" s="11"/>
      <c r="P8" s="51"/>
      <c r="Q8" s="11">
        <f>'WGJ-2 Page 1'!H12</f>
        <v>1808808</v>
      </c>
      <c r="R8" s="11">
        <f>'WGJ-2 Page 1'!H23</f>
        <v>1508738.57</v>
      </c>
      <c r="S8" s="11">
        <f t="shared" si="11"/>
        <v>300069.42999999993</v>
      </c>
      <c r="T8" s="63"/>
      <c r="U8" s="63"/>
      <c r="V8" s="11">
        <f>'WGJ-2 Page 1'!I12</f>
        <v>1580867</v>
      </c>
      <c r="W8" s="11">
        <f>'WGJ-2 Page 1'!I23</f>
        <v>1443538</v>
      </c>
      <c r="X8" s="11">
        <f t="shared" si="2"/>
        <v>137329</v>
      </c>
      <c r="Y8" s="63"/>
      <c r="Z8" s="63"/>
      <c r="AA8" s="11">
        <f>'WGJ-2 Page 1'!J12</f>
        <v>1616581</v>
      </c>
      <c r="AB8" s="11">
        <f>'WGJ-2 Page 1'!J23</f>
        <v>1426268</v>
      </c>
      <c r="AC8" s="11">
        <f t="shared" si="3"/>
        <v>190313</v>
      </c>
      <c r="AD8" s="63"/>
      <c r="AE8" s="63"/>
      <c r="AF8" s="63"/>
      <c r="AG8" s="11">
        <f>'WGJ-2 Page 1'!K12</f>
        <v>1590834</v>
      </c>
      <c r="AH8" s="11">
        <f>'WGJ-2 Page 1'!K23</f>
        <v>1396752</v>
      </c>
      <c r="AI8" s="11">
        <f t="shared" si="4"/>
        <v>194082</v>
      </c>
      <c r="AJ8" s="63"/>
      <c r="AK8" s="63"/>
      <c r="AL8" s="11">
        <f>'WGJ-2 Page 1'!L12</f>
        <v>1607039</v>
      </c>
      <c r="AM8" s="11">
        <f>'WGJ-2 Page 1'!L23</f>
        <v>1441175</v>
      </c>
      <c r="AN8" s="11">
        <f t="shared" si="5"/>
        <v>165864</v>
      </c>
      <c r="AO8" s="11"/>
      <c r="AP8" s="63"/>
      <c r="AQ8" s="12">
        <f>'WGJ-2 Page 1'!M12</f>
        <v>1648720</v>
      </c>
      <c r="AR8" s="11">
        <f>'WGJ-2 Page 1'!M23</f>
        <v>1489048</v>
      </c>
      <c r="AS8" s="11">
        <f t="shared" si="6"/>
        <v>159672</v>
      </c>
      <c r="AT8" s="11"/>
      <c r="AV8" s="63"/>
      <c r="AW8" s="11">
        <f>'WGJ-2 Page 1'!N12</f>
        <v>1464333</v>
      </c>
      <c r="AX8" s="11">
        <f>'WGJ-2 Page 1'!N23</f>
        <v>1492163</v>
      </c>
      <c r="AY8" s="11">
        <f t="shared" si="7"/>
        <v>-27830</v>
      </c>
      <c r="BB8" s="11">
        <f>'WGJ-2 Page 1'!O12</f>
        <v>1428159</v>
      </c>
      <c r="BC8" s="11">
        <f>'WGJ-2 Page 1'!O23</f>
        <v>1556734</v>
      </c>
      <c r="BD8" s="11">
        <f t="shared" si="8"/>
        <v>-128575</v>
      </c>
      <c r="BG8" s="63"/>
      <c r="BH8" s="11">
        <f>'WGJ-2 Page 1'!P12</f>
        <v>1416770</v>
      </c>
      <c r="BI8" s="11">
        <f>'WGJ-2 Page 1'!P23</f>
        <v>1674187</v>
      </c>
      <c r="BJ8" s="11">
        <f t="shared" si="9"/>
        <v>-257417</v>
      </c>
      <c r="BL8" s="63"/>
      <c r="BM8" s="63"/>
      <c r="BN8" s="11">
        <f>'WGJ-2 Page 1'!Q12</f>
        <v>1431997</v>
      </c>
      <c r="BO8" s="11">
        <f>'WGJ-2 Page 1'!Q23</f>
        <v>1644372</v>
      </c>
      <c r="BP8" s="11">
        <f t="shared" si="10"/>
        <v>-212375</v>
      </c>
      <c r="BU8" s="64"/>
      <c r="BV8" s="5"/>
      <c r="BW8" s="9"/>
      <c r="BX8" s="9"/>
      <c r="BY8" s="9"/>
      <c r="BZ8" s="9"/>
      <c r="CA8" s="9"/>
    </row>
    <row r="9" spans="1:79">
      <c r="A9" s="25" t="s">
        <v>68</v>
      </c>
      <c r="B9" s="10"/>
      <c r="C9" s="10"/>
      <c r="D9" s="11"/>
      <c r="E9" s="11"/>
      <c r="F9" s="11">
        <f>'WGJ-2 Page 1'!F11</f>
        <v>-922550</v>
      </c>
      <c r="G9" s="11">
        <f>'WGJ-2 Page 1'!F22</f>
        <v>-963388</v>
      </c>
      <c r="H9" s="65">
        <f t="shared" si="0"/>
        <v>40838</v>
      </c>
      <c r="I9" s="11" t="e">
        <f>H8+H9+H10+H11+H12</f>
        <v>#REF!</v>
      </c>
      <c r="J9" s="11" t="e">
        <f>I9*0.6583</f>
        <v>#REF!</v>
      </c>
      <c r="K9" s="11"/>
      <c r="L9" s="11">
        <f>'WGJ-2 Page 1'!G11</f>
        <v>-762846</v>
      </c>
      <c r="M9" s="11">
        <f>'WGJ-2 Page 1'!G22</f>
        <v>-699857</v>
      </c>
      <c r="N9" s="11">
        <f t="shared" si="1"/>
        <v>-62989</v>
      </c>
      <c r="O9" s="11"/>
      <c r="P9" s="51"/>
      <c r="Q9" s="11">
        <f>'WGJ-2 Page 1'!H11</f>
        <v>-903805</v>
      </c>
      <c r="R9" s="11">
        <f>'WGJ-2 Page 1'!H22</f>
        <v>-845492</v>
      </c>
      <c r="S9" s="11">
        <f t="shared" si="11"/>
        <v>-58313</v>
      </c>
      <c r="T9" s="63"/>
      <c r="U9" s="63"/>
      <c r="V9" s="11">
        <f>'WGJ-2 Page 1'!I11</f>
        <v>-1010617</v>
      </c>
      <c r="W9" s="11">
        <f>'WGJ-2 Page 1'!I22</f>
        <v>-729613</v>
      </c>
      <c r="X9" s="11">
        <f t="shared" si="2"/>
        <v>-281004</v>
      </c>
      <c r="Y9" s="63"/>
      <c r="Z9" s="63"/>
      <c r="AA9" s="11">
        <f>'WGJ-2 Page 1'!J11</f>
        <v>-1256173</v>
      </c>
      <c r="AB9" s="11">
        <f>'WGJ-2 Page 1'!J22</f>
        <v>-837639</v>
      </c>
      <c r="AC9" s="11">
        <f t="shared" si="3"/>
        <v>-418534</v>
      </c>
      <c r="AD9" s="63"/>
      <c r="AE9" s="63"/>
      <c r="AF9" s="63"/>
      <c r="AG9" s="11">
        <f>'WGJ-2 Page 1'!K11</f>
        <v>-1199183</v>
      </c>
      <c r="AH9" s="11">
        <f>'WGJ-2 Page 1'!K22</f>
        <v>-1003326</v>
      </c>
      <c r="AI9" s="11">
        <f t="shared" si="4"/>
        <v>-195857</v>
      </c>
      <c r="AJ9" s="63"/>
      <c r="AK9" s="63"/>
      <c r="AL9" s="11">
        <f>'WGJ-2 Page 1'!L11</f>
        <v>-1141239</v>
      </c>
      <c r="AM9" s="11">
        <f>'WGJ-2 Page 1'!L22</f>
        <v>-1160267</v>
      </c>
      <c r="AN9" s="11">
        <f t="shared" si="5"/>
        <v>19028</v>
      </c>
      <c r="AO9" s="11"/>
      <c r="AP9" s="63"/>
      <c r="AQ9" s="12">
        <f>'WGJ-2 Page 1'!M11</f>
        <v>-977401</v>
      </c>
      <c r="AR9" s="11">
        <f>'WGJ-2 Page 1'!M22</f>
        <v>-1024607</v>
      </c>
      <c r="AS9" s="11">
        <f t="shared" si="6"/>
        <v>47206</v>
      </c>
      <c r="AT9" s="11"/>
      <c r="AV9" s="63"/>
      <c r="AW9" s="11">
        <f>'WGJ-2 Page 1'!N11</f>
        <v>-1015417</v>
      </c>
      <c r="AX9" s="11">
        <f>'WGJ-2 Page 1'!N22</f>
        <v>-947472</v>
      </c>
      <c r="AY9" s="11">
        <f t="shared" si="7"/>
        <v>-67945</v>
      </c>
      <c r="BB9" s="11">
        <f>'WGJ-2 Page 1'!O11</f>
        <v>-945968</v>
      </c>
      <c r="BC9" s="11">
        <f>'WGJ-2 Page 1'!O22</f>
        <v>-1081246</v>
      </c>
      <c r="BD9" s="11">
        <f t="shared" si="8"/>
        <v>135278</v>
      </c>
      <c r="BG9" s="63"/>
      <c r="BH9" s="11">
        <f>'WGJ-2 Page 1'!P11</f>
        <v>-1004533</v>
      </c>
      <c r="BI9" s="11">
        <f>'WGJ-2 Page 1'!P22</f>
        <v>-894834</v>
      </c>
      <c r="BJ9" s="11">
        <f t="shared" si="9"/>
        <v>-109699</v>
      </c>
      <c r="BL9" s="63"/>
      <c r="BM9" s="63"/>
      <c r="BN9" s="11">
        <f>'WGJ-2 Page 1'!Q11</f>
        <v>-943356</v>
      </c>
      <c r="BO9" s="11">
        <f>'WGJ-2 Page 1'!Q22</f>
        <v>-878220</v>
      </c>
      <c r="BP9" s="11">
        <f t="shared" si="10"/>
        <v>-65136</v>
      </c>
      <c r="BU9" s="64"/>
      <c r="BV9" s="5"/>
      <c r="BW9" s="9"/>
      <c r="BX9" s="9"/>
      <c r="BY9" s="9"/>
      <c r="BZ9" s="9"/>
      <c r="CA9" s="9"/>
    </row>
    <row r="10" spans="1:79">
      <c r="A10" s="25" t="str">
        <f>'WGJ-2 Page 1'!B27</f>
        <v>Resource Optimization - Subtotal</v>
      </c>
      <c r="B10" s="10"/>
      <c r="C10" s="10"/>
      <c r="D10" s="11"/>
      <c r="E10" s="11"/>
      <c r="F10" s="11">
        <f>'WGJ-2 Page 1'!F27</f>
        <v>-405020</v>
      </c>
      <c r="G10" s="11">
        <v>0</v>
      </c>
      <c r="H10" s="65">
        <f t="shared" si="0"/>
        <v>-405020</v>
      </c>
      <c r="I10" s="11"/>
      <c r="J10" s="11"/>
      <c r="K10" s="11"/>
      <c r="L10" s="11">
        <f>'WGJ-2 Page 1'!G27</f>
        <v>-2232888</v>
      </c>
      <c r="M10" s="11"/>
      <c r="N10" s="11">
        <f t="shared" si="1"/>
        <v>-2232888</v>
      </c>
      <c r="O10" s="11"/>
      <c r="P10" s="51"/>
      <c r="Q10" s="12">
        <f>'WGJ-2 Page 1'!H27</f>
        <v>-1335360</v>
      </c>
      <c r="R10" s="11"/>
      <c r="S10" s="11">
        <f t="shared" si="11"/>
        <v>-1335360</v>
      </c>
      <c r="T10" s="63"/>
      <c r="U10" s="63"/>
      <c r="V10" s="11">
        <f>'WGJ-2 Page 1'!I27</f>
        <v>-442568</v>
      </c>
      <c r="W10" s="11">
        <v>0</v>
      </c>
      <c r="X10" s="11">
        <f t="shared" si="2"/>
        <v>-442568</v>
      </c>
      <c r="Y10" s="63"/>
      <c r="Z10" s="63"/>
      <c r="AA10" s="11">
        <f>'WGJ-2 Page 1'!J27</f>
        <v>-414608</v>
      </c>
      <c r="AB10" s="11"/>
      <c r="AC10" s="11"/>
      <c r="AD10" s="63"/>
      <c r="AE10" s="63"/>
      <c r="AF10" s="63"/>
      <c r="AG10" s="11">
        <f>'WGJ-2 Page 1'!K27</f>
        <v>-459113</v>
      </c>
      <c r="AH10" s="11"/>
      <c r="AI10" s="11"/>
      <c r="AJ10" s="63"/>
      <c r="AK10" s="63"/>
      <c r="AL10" s="12">
        <f>'WGJ-2 Page 1'!L27</f>
        <v>1609214</v>
      </c>
      <c r="AM10" s="11"/>
      <c r="AN10" s="11">
        <f t="shared" si="5"/>
        <v>1609214</v>
      </c>
      <c r="AO10" s="11">
        <f>AN10*0.6583</f>
        <v>1059345.5762</v>
      </c>
      <c r="AP10" s="63"/>
      <c r="AQ10" s="12">
        <f>'WGJ-2 Page 1'!M27</f>
        <v>876652</v>
      </c>
      <c r="AR10" s="11"/>
      <c r="AS10" s="11">
        <f t="shared" si="6"/>
        <v>876652</v>
      </c>
      <c r="AT10" s="11"/>
      <c r="AV10" s="63"/>
      <c r="AW10" s="11">
        <f>'WGJ-2 Page 1'!N27</f>
        <v>668141</v>
      </c>
      <c r="AX10" s="11"/>
      <c r="AY10" s="11">
        <f t="shared" si="7"/>
        <v>668141</v>
      </c>
      <c r="BB10" s="11">
        <f>'WGJ-2 Page 1'!O27</f>
        <v>-223497</v>
      </c>
      <c r="BC10" s="11"/>
      <c r="BD10" s="11">
        <f t="shared" si="8"/>
        <v>-223497</v>
      </c>
      <c r="BG10" s="63"/>
      <c r="BH10" s="11">
        <f>'WGJ-2 Page 1'!P27</f>
        <v>187654</v>
      </c>
      <c r="BI10" s="11"/>
      <c r="BJ10" s="11">
        <f t="shared" si="9"/>
        <v>187654</v>
      </c>
      <c r="BL10" s="63"/>
      <c r="BM10" s="63"/>
      <c r="BN10" s="11">
        <f>'WGJ-2 Page 1'!Q27</f>
        <v>763649</v>
      </c>
      <c r="BO10" s="11"/>
      <c r="BP10" s="11">
        <f t="shared" si="10"/>
        <v>763649</v>
      </c>
      <c r="BU10" s="64"/>
      <c r="BV10" s="5"/>
      <c r="BW10" s="9"/>
      <c r="BX10" s="9"/>
      <c r="BY10" s="9"/>
      <c r="BZ10" s="9"/>
      <c r="CA10" s="9"/>
    </row>
    <row r="11" spans="1:79">
      <c r="A11" t="str">
        <f>'WGJ-2 Page 1'!B24</f>
        <v>557 Broker Fees</v>
      </c>
      <c r="B11" s="13">
        <f>F11+S11+W11+AA11+AE11+AI11+AL11+AZ11</f>
        <v>121310</v>
      </c>
      <c r="C11" s="13" t="e">
        <f>G11+T11+X11+AB11+AF11+#REF!+AM11+AR11+AW11+BB11+BH11+BL11</f>
        <v>#REF!</v>
      </c>
      <c r="D11" s="14" t="e">
        <f>B11-C11</f>
        <v>#REF!</v>
      </c>
      <c r="E11" s="14"/>
      <c r="F11" s="12">
        <f>'WGJ-2 Page 1'!F13</f>
        <v>55076</v>
      </c>
      <c r="G11" s="12">
        <f>'WGJ-2 Page 1'!F24</f>
        <v>42656</v>
      </c>
      <c r="H11" s="65">
        <f t="shared" si="0"/>
        <v>12420</v>
      </c>
      <c r="I11" s="12"/>
      <c r="J11" s="12"/>
      <c r="K11" s="12"/>
      <c r="L11" s="12">
        <f>'WGJ-2 Page 1'!G13</f>
        <v>37496</v>
      </c>
      <c r="M11" s="12">
        <f>'WGJ-2 Page 1'!G24</f>
        <v>64015</v>
      </c>
      <c r="N11" s="11">
        <f t="shared" si="1"/>
        <v>-26519</v>
      </c>
      <c r="O11" s="12"/>
      <c r="P11" s="63"/>
      <c r="Q11" s="11">
        <f>'WGJ-2 Page 1'!H13</f>
        <v>73604</v>
      </c>
      <c r="R11" s="12">
        <f>'WGJ-2 Page 1'!H24</f>
        <v>129860</v>
      </c>
      <c r="S11" s="11">
        <f t="shared" si="11"/>
        <v>-56256</v>
      </c>
      <c r="T11" s="63"/>
      <c r="U11" s="63"/>
      <c r="V11" s="12">
        <f>'WGJ-2 Page 1'!I13</f>
        <v>59102</v>
      </c>
      <c r="W11" s="12">
        <f>'WGJ-2 Page 1'!I24</f>
        <v>97390</v>
      </c>
      <c r="X11" s="11">
        <f t="shared" si="2"/>
        <v>-38288</v>
      </c>
      <c r="Y11" s="63"/>
      <c r="Z11" s="63"/>
      <c r="AA11" s="12">
        <f>'WGJ-2 Page 1'!J13</f>
        <v>33038</v>
      </c>
      <c r="AB11" s="12">
        <f>'WGJ-2 Page 1'!J24</f>
        <v>52577</v>
      </c>
      <c r="AC11" s="11">
        <f t="shared" si="3"/>
        <v>-19539</v>
      </c>
      <c r="AD11" s="63"/>
      <c r="AE11" s="63"/>
      <c r="AF11" s="63"/>
      <c r="AG11" s="12">
        <f>'WGJ-2 Page 1'!K13</f>
        <v>34795</v>
      </c>
      <c r="AH11" s="12">
        <f>'WGJ-2 Page 1'!K24</f>
        <v>70281</v>
      </c>
      <c r="AI11" s="11">
        <f t="shared" si="4"/>
        <v>-35486</v>
      </c>
      <c r="AJ11" s="63"/>
      <c r="AK11" s="63"/>
      <c r="AL11" s="12">
        <f>'WGJ-2 Page 1'!L13</f>
        <v>27548</v>
      </c>
      <c r="AM11" s="12">
        <f>'WGJ-2 Page 1'!L24</f>
        <v>65808</v>
      </c>
      <c r="AN11" s="11">
        <f t="shared" si="5"/>
        <v>-38260</v>
      </c>
      <c r="AO11" s="11"/>
      <c r="AP11" s="63"/>
      <c r="AQ11" s="12">
        <f>'WGJ-2 Page 1'!M13</f>
        <v>38001</v>
      </c>
      <c r="AR11" s="12">
        <f>'WGJ-2 Page 1'!M24</f>
        <v>76848</v>
      </c>
      <c r="AS11" s="11">
        <f>AQ10-AR11</f>
        <v>799804</v>
      </c>
      <c r="AT11" s="11"/>
      <c r="AV11" s="63"/>
      <c r="AW11" s="12">
        <f>'WGJ-2 Page 1'!N13</f>
        <v>48638</v>
      </c>
      <c r="AX11" s="12">
        <f>'WGJ-2 Page 1'!N24</f>
        <v>86944</v>
      </c>
      <c r="AY11" s="11">
        <f t="shared" si="7"/>
        <v>-38306</v>
      </c>
      <c r="BB11" s="12">
        <f>'WGJ-2 Page 1'!O13</f>
        <v>34528</v>
      </c>
      <c r="BC11" s="12">
        <f>'WGJ-2 Page 1'!O24</f>
        <v>43966</v>
      </c>
      <c r="BD11" s="11">
        <f t="shared" si="8"/>
        <v>-9438</v>
      </c>
      <c r="BG11" s="63"/>
      <c r="BH11" s="12">
        <f>'WGJ-2 Page 1'!P13</f>
        <v>30289</v>
      </c>
      <c r="BI11" s="12">
        <f>'WGJ-2 Page 1'!P24</f>
        <v>52696</v>
      </c>
      <c r="BJ11" s="11">
        <f t="shared" si="9"/>
        <v>-22407</v>
      </c>
      <c r="BL11" s="63"/>
      <c r="BM11" s="63"/>
      <c r="BN11" s="12">
        <f>'WGJ-2 Page 1'!Q13</f>
        <v>16162</v>
      </c>
      <c r="BO11" s="12">
        <f>'WGJ-2 Page 1'!Q24</f>
        <v>100670</v>
      </c>
      <c r="BP11" s="11">
        <f t="shared" si="10"/>
        <v>-84508</v>
      </c>
      <c r="BU11" s="64"/>
      <c r="BV11" s="5"/>
      <c r="BW11" s="9"/>
      <c r="BX11" s="9"/>
      <c r="BY11" s="9"/>
      <c r="BZ11" s="9"/>
      <c r="CA11" s="9"/>
    </row>
    <row r="12" spans="1:79">
      <c r="A12" t="e">
        <f>'WGJ-2 Page 1'!#REF!</f>
        <v>#REF!</v>
      </c>
      <c r="B12" s="66"/>
      <c r="C12" s="66"/>
      <c r="D12" s="12"/>
      <c r="E12" s="12"/>
      <c r="F12" s="14">
        <v>0</v>
      </c>
      <c r="G12" s="14" t="e">
        <f>'WGJ-2 Page 1'!#REF!</f>
        <v>#REF!</v>
      </c>
      <c r="H12" s="67" t="e">
        <f t="shared" si="0"/>
        <v>#REF!</v>
      </c>
      <c r="I12" s="12"/>
      <c r="J12" s="12"/>
      <c r="K12" s="12"/>
      <c r="L12" s="14">
        <v>0</v>
      </c>
      <c r="M12" s="14" t="e">
        <f>'WGJ-2 Page 1'!#REF!</f>
        <v>#REF!</v>
      </c>
      <c r="N12" s="14" t="e">
        <f t="shared" si="1"/>
        <v>#REF!</v>
      </c>
      <c r="O12" s="12"/>
      <c r="P12" s="63"/>
      <c r="Q12" s="14">
        <v>0</v>
      </c>
      <c r="R12" s="14" t="e">
        <f>'WGJ-2 Page 1'!#REF!</f>
        <v>#REF!</v>
      </c>
      <c r="S12" s="14" t="e">
        <f t="shared" si="11"/>
        <v>#REF!</v>
      </c>
      <c r="T12" s="63"/>
      <c r="U12" s="63"/>
      <c r="V12" s="14">
        <v>0</v>
      </c>
      <c r="W12" s="14" t="e">
        <f>'WGJ-2 Page 1'!#REF!</f>
        <v>#REF!</v>
      </c>
      <c r="X12" s="14" t="e">
        <f t="shared" si="2"/>
        <v>#REF!</v>
      </c>
      <c r="Y12" s="63"/>
      <c r="Z12" s="63"/>
      <c r="AA12" s="14">
        <v>0</v>
      </c>
      <c r="AB12" s="14" t="e">
        <f>'WGJ-2 Page 1'!#REF!</f>
        <v>#REF!</v>
      </c>
      <c r="AC12" s="14" t="e">
        <f t="shared" si="3"/>
        <v>#REF!</v>
      </c>
      <c r="AD12" s="63"/>
      <c r="AE12" s="63"/>
      <c r="AF12" s="63"/>
      <c r="AG12" s="14">
        <v>0</v>
      </c>
      <c r="AH12" s="14" t="e">
        <f>'WGJ-2 Page 1'!#REF!</f>
        <v>#REF!</v>
      </c>
      <c r="AI12" s="14" t="e">
        <f t="shared" si="4"/>
        <v>#REF!</v>
      </c>
      <c r="AJ12" s="63"/>
      <c r="AK12" s="63"/>
      <c r="AL12" s="14">
        <v>0</v>
      </c>
      <c r="AM12" s="14" t="e">
        <f>'WGJ-2 Page 1'!#REF!</f>
        <v>#REF!</v>
      </c>
      <c r="AN12" s="14" t="e">
        <f t="shared" si="5"/>
        <v>#REF!</v>
      </c>
      <c r="AO12" s="12"/>
      <c r="AP12" s="63"/>
      <c r="AQ12" s="14">
        <v>0</v>
      </c>
      <c r="AR12" s="14" t="e">
        <f>'WGJ-2 Page 1'!#REF!</f>
        <v>#REF!</v>
      </c>
      <c r="AS12" s="14" t="e">
        <f t="shared" si="6"/>
        <v>#REF!</v>
      </c>
      <c r="AT12" s="12"/>
      <c r="AV12" s="63"/>
      <c r="AW12" s="14">
        <v>0</v>
      </c>
      <c r="AX12" s="14" t="e">
        <f>'WGJ-2 Page 1'!#REF!</f>
        <v>#REF!</v>
      </c>
      <c r="AY12" s="14" t="e">
        <f t="shared" si="7"/>
        <v>#REF!</v>
      </c>
      <c r="BB12" s="14">
        <v>0</v>
      </c>
      <c r="BC12" s="14" t="e">
        <f>'WGJ-2 Page 1'!#REF!</f>
        <v>#REF!</v>
      </c>
      <c r="BD12" s="14" t="e">
        <f t="shared" si="8"/>
        <v>#REF!</v>
      </c>
      <c r="BG12" s="63"/>
      <c r="BH12" s="14">
        <v>0</v>
      </c>
      <c r="BI12" s="14" t="e">
        <f>'WGJ-2 Page 1'!#REF!</f>
        <v>#REF!</v>
      </c>
      <c r="BJ12" s="14" t="e">
        <f t="shared" si="9"/>
        <v>#REF!</v>
      </c>
      <c r="BL12" s="63"/>
      <c r="BM12" s="63"/>
      <c r="BN12" s="14">
        <v>0</v>
      </c>
      <c r="BO12" s="14" t="e">
        <f>'WGJ-2 Page 1'!#REF!</f>
        <v>#REF!</v>
      </c>
      <c r="BP12" s="14" t="e">
        <f t="shared" si="10"/>
        <v>#REF!</v>
      </c>
      <c r="BU12" s="64"/>
      <c r="BV12" s="5"/>
      <c r="BW12" s="9"/>
      <c r="BX12" s="9"/>
      <c r="BY12" s="9"/>
      <c r="BZ12" s="9"/>
      <c r="CA12" s="9"/>
    </row>
    <row r="13" spans="1:79">
      <c r="B13" s="66"/>
      <c r="C13" s="6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63"/>
      <c r="Q13" s="12">
        <f>SUM(Q4:Q12)</f>
        <v>13807337.465</v>
      </c>
      <c r="R13" s="12" t="e">
        <f>SUM(R4:R12)</f>
        <v>#REF!</v>
      </c>
      <c r="S13" s="12" t="e">
        <f>SUM(S4:S12)</f>
        <v>#REF!</v>
      </c>
      <c r="T13" s="63"/>
      <c r="U13" s="63"/>
      <c r="V13" s="63">
        <f>SUM(V4:V12)</f>
        <v>7336362.1349999979</v>
      </c>
      <c r="W13" s="63" t="e">
        <f>SUM(W4:W12)</f>
        <v>#REF!</v>
      </c>
      <c r="X13" s="63"/>
      <c r="Y13" s="63"/>
      <c r="Z13" s="63"/>
      <c r="AA13" s="63">
        <f>SUM(AA4:AA12)</f>
        <v>3357028</v>
      </c>
      <c r="AB13" s="63" t="e">
        <f>SUM(AB4:AB12)</f>
        <v>#REF!</v>
      </c>
      <c r="AC13" s="63"/>
      <c r="AD13" s="63"/>
      <c r="AE13" s="63"/>
      <c r="AF13" s="63"/>
      <c r="AG13" s="63">
        <f>SUM(AG4:AG12)</f>
        <v>4023385</v>
      </c>
      <c r="AH13" s="63" t="e">
        <f>SUM(AH4:AH12)</f>
        <v>#REF!</v>
      </c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V13" s="63"/>
      <c r="AW13" s="63"/>
      <c r="AX13" s="63"/>
      <c r="AY13" s="63"/>
      <c r="BB13" s="63"/>
      <c r="BC13" s="63"/>
      <c r="BD13" s="63"/>
      <c r="BG13" s="63"/>
      <c r="BH13" s="63"/>
      <c r="BI13" s="63"/>
      <c r="BJ13" s="63"/>
      <c r="BL13" s="63"/>
      <c r="BM13" s="63"/>
      <c r="BN13" s="63"/>
      <c r="BO13" s="63"/>
      <c r="BP13" s="63"/>
      <c r="BU13" s="64"/>
      <c r="BV13" s="5"/>
      <c r="BW13" s="9"/>
      <c r="BX13" s="9"/>
      <c r="BY13" s="9"/>
      <c r="BZ13" s="9"/>
      <c r="CA13" s="9"/>
    </row>
    <row r="14" spans="1:79">
      <c r="A14" t="s">
        <v>69</v>
      </c>
      <c r="B14" s="10">
        <f>F14+S14+W14+AA14+AE14+AI14+AL14</f>
        <v>0</v>
      </c>
      <c r="F14" s="12">
        <f>'WGJ-2 Page 1'!F14</f>
        <v>0</v>
      </c>
      <c r="G14" s="12">
        <v>0</v>
      </c>
      <c r="H14" s="12"/>
      <c r="I14" s="11"/>
      <c r="J14" s="11"/>
      <c r="K14" s="11"/>
      <c r="L14" s="12">
        <f>'WGJ-2 Page 1'!G14</f>
        <v>0</v>
      </c>
      <c r="M14" s="12">
        <f>'WGJ-2 Page 1'!G14</f>
        <v>0</v>
      </c>
      <c r="N14" s="12">
        <f t="shared" si="1"/>
        <v>0</v>
      </c>
      <c r="O14" s="11"/>
      <c r="P14" s="51"/>
      <c r="Q14" s="12">
        <f>'WGJ-2 Page 1'!H14</f>
        <v>0</v>
      </c>
      <c r="R14" s="12"/>
      <c r="S14" s="11">
        <f t="shared" si="11"/>
        <v>0</v>
      </c>
      <c r="T14" s="63"/>
      <c r="U14" s="63"/>
      <c r="V14" s="12">
        <f>'WGJ-2 Page 1'!I14</f>
        <v>0</v>
      </c>
      <c r="W14" s="12">
        <v>0</v>
      </c>
      <c r="X14" s="63"/>
      <c r="Y14" s="63"/>
      <c r="Z14" s="63"/>
      <c r="AA14" s="12">
        <f>'WGJ-2 Page 1'!J14</f>
        <v>0</v>
      </c>
      <c r="AB14" s="12"/>
      <c r="AC14" s="63"/>
      <c r="AD14" s="63"/>
      <c r="AE14" s="63"/>
      <c r="AF14" s="63"/>
      <c r="AG14" s="12">
        <f>'WGJ-2 Page 1'!K14</f>
        <v>0</v>
      </c>
      <c r="AH14" s="12"/>
      <c r="AI14" s="63"/>
      <c r="AJ14" s="63"/>
      <c r="AK14" s="63"/>
      <c r="AL14" s="12">
        <f>'WGJ-2 Page 1'!L14</f>
        <v>0</v>
      </c>
      <c r="AM14" s="12"/>
      <c r="AN14" s="63"/>
      <c r="AO14" s="63"/>
      <c r="AP14" s="63"/>
      <c r="AQ14" s="12">
        <f>'WGJ-2 Page 1'!M14</f>
        <v>0</v>
      </c>
      <c r="AR14" s="12">
        <f>'WGJ-2 Page 1'!AI14</f>
        <v>0</v>
      </c>
      <c r="AS14" s="63"/>
      <c r="AT14" s="63"/>
      <c r="AV14" s="63"/>
      <c r="AW14" s="12">
        <f>'WGJ-2 Page 1'!N14</f>
        <v>0</v>
      </c>
      <c r="AX14" s="12">
        <f>'WGJ-2 Page 1'!N14</f>
        <v>0</v>
      </c>
      <c r="AY14" s="63"/>
      <c r="BB14" s="12">
        <f>'WGJ-2 Page 1'!O14</f>
        <v>0</v>
      </c>
      <c r="BC14" s="12">
        <f>'WGJ-2 Page 1'!O14</f>
        <v>0</v>
      </c>
      <c r="BD14" s="63"/>
      <c r="BG14" s="63"/>
      <c r="BH14" s="12">
        <f>'WGJ-2 Page 1'!P14</f>
        <v>0</v>
      </c>
      <c r="BI14" s="12">
        <f>'WGJ-2 Page 1'!AW14</f>
        <v>0</v>
      </c>
      <c r="BJ14" s="63"/>
      <c r="BL14" s="63"/>
      <c r="BM14" s="63"/>
      <c r="BN14" s="12">
        <f>'WGJ-2 Page 1'!Q14</f>
        <v>0</v>
      </c>
      <c r="BO14" s="12"/>
      <c r="BP14" s="63"/>
      <c r="BU14" s="64"/>
      <c r="BV14" s="5"/>
      <c r="BW14" s="9"/>
      <c r="BX14" s="9"/>
      <c r="BY14" s="9"/>
      <c r="BZ14" s="9"/>
      <c r="CA14" s="9"/>
    </row>
    <row r="15" spans="1:79">
      <c r="F15" s="12"/>
      <c r="G15" s="12"/>
      <c r="H15" s="12"/>
      <c r="I15" s="11"/>
      <c r="J15" s="11"/>
      <c r="K15" s="11"/>
      <c r="L15" s="12"/>
      <c r="M15" s="12"/>
      <c r="N15" s="12"/>
      <c r="O15" s="11"/>
      <c r="P15" s="51"/>
      <c r="Q15" s="12"/>
      <c r="R15" s="12"/>
      <c r="S15" s="12"/>
      <c r="T15" s="63"/>
      <c r="U15" s="63"/>
      <c r="V15" s="12"/>
      <c r="W15" s="12"/>
      <c r="X15" s="63"/>
      <c r="Y15" s="63"/>
      <c r="Z15" s="63"/>
      <c r="AA15" s="12"/>
      <c r="AB15" s="12"/>
      <c r="AC15" s="63"/>
      <c r="AD15" s="63"/>
      <c r="AE15" s="63"/>
      <c r="AF15" s="63"/>
      <c r="AG15" s="12"/>
      <c r="AH15" s="12"/>
      <c r="AI15" s="63"/>
      <c r="AJ15" s="63"/>
      <c r="AK15" s="63"/>
      <c r="AL15" s="12"/>
      <c r="AM15" s="12"/>
      <c r="AN15" s="63"/>
      <c r="AO15" s="63"/>
      <c r="AP15" s="63"/>
      <c r="AQ15" s="12"/>
      <c r="AR15" s="12"/>
      <c r="AS15" s="63"/>
      <c r="AT15" s="63"/>
      <c r="AV15" s="63"/>
      <c r="AW15" s="12"/>
      <c r="AX15" s="12"/>
      <c r="AY15" s="63"/>
      <c r="BB15" s="12"/>
      <c r="BC15" s="12"/>
      <c r="BD15" s="63"/>
      <c r="BG15" s="63"/>
      <c r="BH15" s="12"/>
      <c r="BI15" s="12"/>
      <c r="BJ15" s="63"/>
      <c r="BL15" s="63"/>
      <c r="BM15" s="63"/>
      <c r="BN15" s="12"/>
      <c r="BO15" s="12"/>
      <c r="BP15" s="63"/>
      <c r="BU15" s="64"/>
      <c r="BV15" s="5"/>
      <c r="BW15" s="9"/>
      <c r="BX15" s="9"/>
      <c r="BY15" s="9"/>
      <c r="BZ15" s="9"/>
      <c r="CA15" s="9"/>
    </row>
    <row r="16" spans="1:79">
      <c r="A16" t="str">
        <f>'WGJ-2 Page 1'!B28</f>
        <v>Adjusted  Net Expense</v>
      </c>
      <c r="B16" s="10">
        <f>SUM(B4:B14)</f>
        <v>35433463.030000001</v>
      </c>
      <c r="C16" s="10" t="e">
        <f>SUM(C4:C11)</f>
        <v>#REF!</v>
      </c>
      <c r="D16" s="11" t="e">
        <f>B16-C16</f>
        <v>#REF!</v>
      </c>
      <c r="E16" s="11"/>
      <c r="F16" s="11">
        <f>SUM(F4:F14)</f>
        <v>19827463.564999998</v>
      </c>
      <c r="G16" s="11" t="e">
        <f>SUM(G4:G12)</f>
        <v>#REF!</v>
      </c>
      <c r="H16" s="63" t="e">
        <f>F16-G16</f>
        <v>#REF!</v>
      </c>
      <c r="I16" s="11"/>
      <c r="J16" s="11"/>
      <c r="K16" s="11"/>
      <c r="L16" s="11">
        <f>SUM(L4:L14)</f>
        <v>24715220.82</v>
      </c>
      <c r="M16" s="11" t="e">
        <f>SUM(M4:M12)</f>
        <v>#REF!</v>
      </c>
      <c r="N16" s="63" t="e">
        <f>L16-M16</f>
        <v>#REF!</v>
      </c>
      <c r="O16" s="11"/>
      <c r="P16" s="51"/>
      <c r="Q16" s="11">
        <f>SUM(Q13:Q14)</f>
        <v>13807337.465</v>
      </c>
      <c r="R16" s="11" t="e">
        <f>R13</f>
        <v>#REF!</v>
      </c>
      <c r="S16" s="63" t="e">
        <f>Q16-R16</f>
        <v>#REF!</v>
      </c>
      <c r="T16" s="63"/>
      <c r="U16" s="63"/>
      <c r="V16" s="11">
        <f>SUM(V13:V14)</f>
        <v>7336362.1349999979</v>
      </c>
      <c r="W16" s="11" t="e">
        <f>W13+W14</f>
        <v>#REF!</v>
      </c>
      <c r="X16" s="63" t="e">
        <f>V16-W16</f>
        <v>#REF!</v>
      </c>
      <c r="Y16" s="63"/>
      <c r="Z16" s="63"/>
      <c r="AA16" s="11">
        <f>SUM(AA13:AA14)</f>
        <v>3357028</v>
      </c>
      <c r="AB16" s="11" t="e">
        <f>SUM(AB4:AB12)</f>
        <v>#REF!</v>
      </c>
      <c r="AC16" s="63" t="e">
        <f>AA16-AB16</f>
        <v>#REF!</v>
      </c>
      <c r="AD16" s="63"/>
      <c r="AE16" s="63"/>
      <c r="AF16" s="63"/>
      <c r="AG16" s="11">
        <f>SUM(AG13:AG14)</f>
        <v>4023385</v>
      </c>
      <c r="AH16" s="11" t="e">
        <f>SUM(AH13:AH14)</f>
        <v>#REF!</v>
      </c>
      <c r="AI16" s="63" t="e">
        <f>AG16-AH16</f>
        <v>#REF!</v>
      </c>
      <c r="AJ16" s="63"/>
      <c r="AK16" s="63"/>
      <c r="AL16" s="11">
        <f>SUM(AL4:AL14)</f>
        <v>10268333</v>
      </c>
      <c r="AM16" s="11" t="e">
        <f>SUM(AM4:AM12)</f>
        <v>#REF!</v>
      </c>
      <c r="AN16" s="63" t="e">
        <f>AL16-AM16</f>
        <v>#REF!</v>
      </c>
      <c r="AO16" s="63"/>
      <c r="AP16" s="63"/>
      <c r="AQ16" s="11">
        <f>SUM(AQ4:AQ14)</f>
        <v>18293457</v>
      </c>
      <c r="AR16" s="11" t="e">
        <f>SUM(AR4:AR12)</f>
        <v>#REF!</v>
      </c>
      <c r="AS16" s="63" t="e">
        <f>AQ16-AR16</f>
        <v>#REF!</v>
      </c>
      <c r="AT16" s="63"/>
      <c r="AV16" s="63"/>
      <c r="AW16" s="11">
        <f>SUM(AW4:AW14)</f>
        <v>17075536</v>
      </c>
      <c r="AX16" s="11" t="e">
        <f>SUM(AX4:AX12)</f>
        <v>#REF!</v>
      </c>
      <c r="AY16" s="63" t="e">
        <f>AW16-AX16</f>
        <v>#REF!</v>
      </c>
      <c r="BB16" s="11">
        <f>SUM(BB4:BB14)</f>
        <v>14202495</v>
      </c>
      <c r="BC16" s="11" t="e">
        <f>SUM(BC4:BC12)</f>
        <v>#REF!</v>
      </c>
      <c r="BD16" s="63" t="e">
        <f>BB16-BC16</f>
        <v>#REF!</v>
      </c>
      <c r="BG16" s="63"/>
      <c r="BH16" s="11">
        <f>SUM(BH4:BH14)</f>
        <v>19097674.02</v>
      </c>
      <c r="BI16" s="11" t="e">
        <f>SUM(BI4:BI12)</f>
        <v>#REF!</v>
      </c>
      <c r="BJ16" s="63" t="e">
        <f>BH16-BI16</f>
        <v>#REF!</v>
      </c>
      <c r="BL16" s="63"/>
      <c r="BM16" s="63"/>
      <c r="BN16" s="11">
        <f>SUM(BN4:BN14)</f>
        <v>17505052.780000001</v>
      </c>
      <c r="BO16" s="11" t="e">
        <f>SUM(BO4:BO12)</f>
        <v>#REF!</v>
      </c>
      <c r="BP16" s="63" t="e">
        <f>BN16-BO16</f>
        <v>#REF!</v>
      </c>
      <c r="BU16" s="64"/>
      <c r="BV16" s="5"/>
      <c r="BW16" s="9"/>
      <c r="BX16" s="9"/>
      <c r="BY16" s="9"/>
      <c r="BZ16" s="9"/>
      <c r="CA16" s="9"/>
    </row>
    <row r="17" spans="1:79"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51"/>
      <c r="Q17" s="11"/>
      <c r="R17" s="11"/>
      <c r="S17" s="11"/>
      <c r="T17" s="63"/>
      <c r="U17" s="63"/>
      <c r="V17" s="63"/>
      <c r="W17" s="63"/>
      <c r="X17" s="11"/>
      <c r="Y17" s="63"/>
      <c r="Z17" s="63"/>
      <c r="AA17" s="63"/>
      <c r="AB17" s="63"/>
      <c r="AC17" s="11"/>
      <c r="AD17" s="63"/>
      <c r="AE17" s="63"/>
      <c r="AF17" s="63"/>
      <c r="AG17" s="63"/>
      <c r="AH17" s="63"/>
      <c r="AI17" s="11"/>
      <c r="AJ17" s="63"/>
      <c r="AK17" s="63"/>
      <c r="AL17" s="63"/>
      <c r="AM17" s="63"/>
      <c r="AN17" s="11"/>
      <c r="AO17" s="11"/>
      <c r="AP17" s="63"/>
      <c r="AQ17" s="63"/>
      <c r="AR17" s="63"/>
      <c r="AS17" s="11"/>
      <c r="AT17" s="11"/>
      <c r="AV17" s="63"/>
      <c r="AW17" s="63"/>
      <c r="AX17" s="63"/>
      <c r="AY17" s="11"/>
      <c r="BB17" s="63"/>
      <c r="BC17" s="63"/>
      <c r="BD17" s="11"/>
      <c r="BG17" s="63"/>
      <c r="BH17" s="63"/>
      <c r="BI17" s="63"/>
      <c r="BJ17" s="11"/>
      <c r="BL17" s="63"/>
      <c r="BM17" s="63"/>
      <c r="BN17" s="63"/>
      <c r="BO17" s="63"/>
      <c r="BP17" s="11"/>
      <c r="BU17" s="64"/>
      <c r="BV17" s="5"/>
      <c r="BW17" s="9"/>
      <c r="BX17" s="9"/>
      <c r="BY17" s="9"/>
      <c r="BZ17" s="9"/>
      <c r="CA17" s="9"/>
    </row>
    <row r="18" spans="1:79">
      <c r="A18" s="9" t="s">
        <v>70</v>
      </c>
      <c r="B18" s="10" t="e">
        <f>F18+S18+W18+AA18+AE18+AI18+AL18+AV18+AZ18+BG18+BK19</f>
        <v>#REF!</v>
      </c>
      <c r="C18" s="9"/>
      <c r="D18" s="11" t="e">
        <f>B18-C18</f>
        <v>#REF!</v>
      </c>
      <c r="E18" s="11"/>
      <c r="F18" s="16">
        <f>F16*0.6583</f>
        <v>13052419.264839498</v>
      </c>
      <c r="G18" s="16" t="e">
        <f>G16*0.6583</f>
        <v>#REF!</v>
      </c>
      <c r="H18" s="12" t="e">
        <f>F18-G18</f>
        <v>#REF!</v>
      </c>
      <c r="I18" s="11"/>
      <c r="J18" s="11"/>
      <c r="K18" s="11"/>
      <c r="L18" s="16">
        <f>L16*0.6583</f>
        <v>16270029.865806</v>
      </c>
      <c r="M18" s="16" t="e">
        <f>M16*0.6583</f>
        <v>#REF!</v>
      </c>
      <c r="N18" s="68" t="e">
        <f>L18-M18</f>
        <v>#REF!</v>
      </c>
      <c r="O18" s="11"/>
      <c r="P18" s="51"/>
      <c r="Q18" s="16">
        <f>Q16*0.6583</f>
        <v>9089370.2532094996</v>
      </c>
      <c r="R18" s="16" t="e">
        <f>R16*0.6583</f>
        <v>#REF!</v>
      </c>
      <c r="S18" s="69" t="e">
        <f>Q18-R18</f>
        <v>#REF!</v>
      </c>
      <c r="T18" s="70"/>
      <c r="U18" s="63"/>
      <c r="V18" s="16">
        <f>V16*0.6583</f>
        <v>4829527.1934704985</v>
      </c>
      <c r="W18" s="16" t="e">
        <f>W16*0.6583</f>
        <v>#REF!</v>
      </c>
      <c r="X18" s="69" t="e">
        <f>V18-W18</f>
        <v>#REF!</v>
      </c>
      <c r="Y18" s="63"/>
      <c r="Z18" s="63"/>
      <c r="AA18" s="16">
        <f>AA16*0.6583</f>
        <v>2209931.5323999999</v>
      </c>
      <c r="AB18" s="16" t="e">
        <f>AB16*0.6583</f>
        <v>#REF!</v>
      </c>
      <c r="AC18" s="69" t="e">
        <f>AA18-AB18</f>
        <v>#REF!</v>
      </c>
      <c r="AD18" s="63"/>
      <c r="AE18" s="70"/>
      <c r="AF18" s="70"/>
      <c r="AG18" s="16">
        <f>AG16*0.6583</f>
        <v>2648594.3454999998</v>
      </c>
      <c r="AH18" s="16" t="e">
        <f>AH16*0.6583</f>
        <v>#REF!</v>
      </c>
      <c r="AI18" s="69" t="e">
        <f>AG18-AH18</f>
        <v>#REF!</v>
      </c>
      <c r="AJ18" s="63"/>
      <c r="AK18" s="70"/>
      <c r="AL18" s="16">
        <f>AL16*0.6583</f>
        <v>6759643.6139000002</v>
      </c>
      <c r="AM18" s="16" t="e">
        <f>AM16*0.6583</f>
        <v>#REF!</v>
      </c>
      <c r="AN18" s="69" t="e">
        <f>AL18-AM18</f>
        <v>#REF!</v>
      </c>
      <c r="AO18" s="63"/>
      <c r="AP18" s="70"/>
      <c r="AQ18" s="16">
        <f>AQ16*0.6583</f>
        <v>12042582.743100001</v>
      </c>
      <c r="AR18" s="16" t="e">
        <f>AR16*0.6583</f>
        <v>#REF!</v>
      </c>
      <c r="AS18" s="69" t="e">
        <f>AQ18-AR18</f>
        <v>#REF!</v>
      </c>
      <c r="AT18" s="63"/>
      <c r="AV18" s="70"/>
      <c r="AW18" s="16">
        <f>AW16*0.6583</f>
        <v>11240825.3488</v>
      </c>
      <c r="AX18" s="16" t="e">
        <f>AX16*0.6583</f>
        <v>#REF!</v>
      </c>
      <c r="AY18" s="69" t="e">
        <f>AW18-AX18</f>
        <v>#REF!</v>
      </c>
      <c r="BB18" s="16">
        <f>BB16*0.6583</f>
        <v>9349502.4584999997</v>
      </c>
      <c r="BC18" s="16" t="e">
        <f>BC16*0.6583</f>
        <v>#REF!</v>
      </c>
      <c r="BD18" s="69" t="e">
        <f>BB18-BC18</f>
        <v>#REF!</v>
      </c>
      <c r="BG18" s="70"/>
      <c r="BH18" s="16">
        <f>BH16*0.6583</f>
        <v>12571998.807366</v>
      </c>
      <c r="BI18" s="11" t="e">
        <f>BI16*0.6583</f>
        <v>#REF!</v>
      </c>
      <c r="BJ18" s="69" t="e">
        <f>BH18-BI18</f>
        <v>#REF!</v>
      </c>
      <c r="BL18" s="63"/>
      <c r="BM18" s="63"/>
      <c r="BN18" s="16">
        <f>BN16*0.6583</f>
        <v>11523576.245074</v>
      </c>
      <c r="BO18" s="11" t="e">
        <f>BO16*0.6583</f>
        <v>#REF!</v>
      </c>
      <c r="BP18" s="69" t="e">
        <f>BN18-BO18</f>
        <v>#REF!</v>
      </c>
      <c r="BU18" s="64"/>
      <c r="BV18" s="5"/>
      <c r="BW18" s="9"/>
      <c r="BX18" s="9"/>
      <c r="BY18" s="9"/>
      <c r="BZ18" s="9"/>
      <c r="CA18" s="9"/>
    </row>
    <row r="19" spans="1:79">
      <c r="A19" t="s">
        <v>9</v>
      </c>
      <c r="B19" s="10">
        <f>F19+S19+W19+AA19+AE19+AI19+AL19+AV19+AZ19+BG19+BK20</f>
        <v>1526832.85</v>
      </c>
      <c r="D19" s="11">
        <f>B19-C19</f>
        <v>1526832.85</v>
      </c>
      <c r="E19" s="11"/>
      <c r="F19" s="11">
        <f>'WGJ-2 Page 1'!F31</f>
        <v>-830723.85</v>
      </c>
      <c r="G19" s="11"/>
      <c r="H19" s="12">
        <f>F19-G19</f>
        <v>-830723.85</v>
      </c>
      <c r="I19" s="11"/>
      <c r="J19" s="11"/>
      <c r="K19" s="11"/>
      <c r="L19" s="11">
        <f>'WGJ-2 Page 1'!G31</f>
        <v>-125417.15</v>
      </c>
      <c r="M19" s="11"/>
      <c r="N19" s="12">
        <f>L19-M19</f>
        <v>-125417.15</v>
      </c>
      <c r="O19" s="11"/>
      <c r="P19" s="51"/>
      <c r="Q19" s="11">
        <f>'WGJ-2 Page 1'!H31</f>
        <v>-417081.94999999995</v>
      </c>
      <c r="R19" s="11"/>
      <c r="S19" s="12">
        <f>Q19-R19</f>
        <v>-417081.94999999995</v>
      </c>
      <c r="T19" s="63"/>
      <c r="U19" s="63"/>
      <c r="V19" s="63">
        <v>206958</v>
      </c>
      <c r="W19" s="63"/>
      <c r="X19" s="12">
        <f>V19-W19</f>
        <v>206958</v>
      </c>
      <c r="Y19" s="63"/>
      <c r="Z19" s="63"/>
      <c r="AA19" s="63">
        <v>1303361</v>
      </c>
      <c r="AB19" s="63"/>
      <c r="AC19" s="12">
        <f>AA19-AB19</f>
        <v>1303361</v>
      </c>
      <c r="AD19" s="63"/>
      <c r="AE19" s="63"/>
      <c r="AF19" s="63"/>
      <c r="AG19" s="63">
        <f>'WGJ-2 Page 1'!K31</f>
        <v>423447.64999999997</v>
      </c>
      <c r="AH19" s="63"/>
      <c r="AI19" s="12">
        <f>AG19-AH19</f>
        <v>423447.64999999997</v>
      </c>
      <c r="AJ19" s="63"/>
      <c r="AK19" s="63"/>
      <c r="AL19" s="63">
        <v>1047830</v>
      </c>
      <c r="AM19" s="63"/>
      <c r="AN19" s="12">
        <f>AL19-AM19</f>
        <v>1047830</v>
      </c>
      <c r="AO19" s="12"/>
      <c r="AP19" s="63"/>
      <c r="AQ19" s="63">
        <f>'WGJ-2 Page 1'!M31</f>
        <v>-318928</v>
      </c>
      <c r="AR19" s="63"/>
      <c r="AS19" s="12">
        <f>AQ19-AR19</f>
        <v>-318928</v>
      </c>
      <c r="AT19" s="12"/>
      <c r="AV19" s="63"/>
      <c r="AW19" s="63">
        <f>'WGJ-2 Page 1'!N31</f>
        <v>-526166.9</v>
      </c>
      <c r="AX19" s="63"/>
      <c r="AY19" s="12">
        <f>AW19-AX19</f>
        <v>-526166.9</v>
      </c>
      <c r="BB19" s="63">
        <f>'WGJ-2 Page 1'!O31</f>
        <v>390268.85</v>
      </c>
      <c r="BC19" s="63"/>
      <c r="BD19" s="12">
        <f>BB19-BC19</f>
        <v>390268.85</v>
      </c>
      <c r="BG19" s="63"/>
      <c r="BH19" s="63">
        <f>'WGJ-2 Page 1'!P31</f>
        <v>-511570.8</v>
      </c>
      <c r="BI19" s="63"/>
      <c r="BJ19" s="12">
        <f>BH19-BI19</f>
        <v>-511570.8</v>
      </c>
      <c r="BL19" s="70"/>
      <c r="BM19" s="70"/>
      <c r="BN19" s="63">
        <f>'WGJ-2 Page 1'!Q31</f>
        <v>767870.6</v>
      </c>
      <c r="BO19" s="63"/>
      <c r="BP19" s="12">
        <f>BN19-BO19</f>
        <v>767870.6</v>
      </c>
      <c r="BU19" s="64"/>
      <c r="BV19" s="5"/>
      <c r="BW19" s="9"/>
      <c r="BX19" s="9"/>
      <c r="BY19" s="9"/>
      <c r="BZ19" s="9"/>
      <c r="CA19" s="9"/>
    </row>
    <row r="20" spans="1:79">
      <c r="A20" s="71" t="str">
        <f>'WGJ-2 Page 1'!B32</f>
        <v>Net Power Cost (+) Surcharge (-) Rebate</v>
      </c>
      <c r="B20" s="10" t="e">
        <f>F20+S20+W20+AA20+AE20+AI20+AL20+AV20+AZ20+BG20+BI21</f>
        <v>#REF!</v>
      </c>
      <c r="C20" s="17"/>
      <c r="D20" s="11" t="e">
        <f>B20-C20</f>
        <v>#REF!</v>
      </c>
      <c r="E20" s="11"/>
      <c r="F20" s="11"/>
      <c r="G20" s="11"/>
      <c r="H20" s="72" t="e">
        <f>H18+H19</f>
        <v>#REF!</v>
      </c>
      <c r="I20" s="11"/>
      <c r="J20" s="11"/>
      <c r="K20" s="11"/>
      <c r="L20" s="11"/>
      <c r="M20" s="11"/>
      <c r="N20" s="73" t="e">
        <f>N18+N19</f>
        <v>#REF!</v>
      </c>
      <c r="O20" s="11"/>
      <c r="P20" s="51"/>
      <c r="Q20" s="11"/>
      <c r="R20" s="11"/>
      <c r="S20" s="74" t="e">
        <f>S18+S19</f>
        <v>#REF!</v>
      </c>
      <c r="T20" s="63"/>
      <c r="U20" s="63"/>
      <c r="V20" s="11"/>
      <c r="W20" s="63"/>
      <c r="X20" s="74" t="e">
        <f>X18+X19</f>
        <v>#REF!</v>
      </c>
      <c r="Y20" s="63"/>
      <c r="Z20" s="63"/>
      <c r="AA20" s="11">
        <f>'WGJ-2 Page 1'!J32</f>
        <v>-2557100.5264333333</v>
      </c>
      <c r="AB20" s="63"/>
      <c r="AC20" s="74" t="e">
        <f>AC18+AC19</f>
        <v>#REF!</v>
      </c>
      <c r="AD20" s="63"/>
      <c r="AE20" s="63"/>
      <c r="AF20" s="63"/>
      <c r="AG20" s="11"/>
      <c r="AH20" s="63"/>
      <c r="AI20" s="74" t="e">
        <f>AI18+AI19</f>
        <v>#REF!</v>
      </c>
      <c r="AJ20" s="63"/>
      <c r="AK20" s="63"/>
      <c r="AL20" s="11"/>
      <c r="AM20" s="63"/>
      <c r="AN20" s="74" t="e">
        <f>AN18+AN19</f>
        <v>#REF!</v>
      </c>
      <c r="AO20" s="12"/>
      <c r="AP20" s="63"/>
      <c r="AQ20" s="11"/>
      <c r="AR20" s="63"/>
      <c r="AS20" s="74" t="e">
        <f>AS18+AS19</f>
        <v>#REF!</v>
      </c>
      <c r="AT20" s="12"/>
      <c r="AV20" s="63"/>
      <c r="AW20" s="11"/>
      <c r="AX20" s="63"/>
      <c r="AY20" s="74" t="e">
        <f>AY18+AY19</f>
        <v>#REF!</v>
      </c>
      <c r="BB20" s="11"/>
      <c r="BC20" s="63"/>
      <c r="BD20" s="12" t="e">
        <f>BD18+BD19</f>
        <v>#REF!</v>
      </c>
      <c r="BG20" s="63"/>
      <c r="BH20" s="11"/>
      <c r="BI20" s="63"/>
      <c r="BJ20" s="14" t="e">
        <f>BJ18+BJ19</f>
        <v>#REF!</v>
      </c>
      <c r="BL20" s="63"/>
      <c r="BM20" s="63"/>
      <c r="BN20" s="11"/>
      <c r="BO20" s="63"/>
      <c r="BP20" s="14" t="e">
        <f>BP18+BP19</f>
        <v>#REF!</v>
      </c>
      <c r="BU20" s="66"/>
      <c r="BV20" s="9"/>
      <c r="BW20" s="9"/>
      <c r="BX20" s="9"/>
      <c r="BY20" s="9"/>
      <c r="BZ20" s="9"/>
      <c r="CA20" s="9"/>
    </row>
    <row r="21" spans="1:79" ht="13.5" customHeight="1"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51"/>
      <c r="Q21" s="11"/>
      <c r="R21" s="63"/>
      <c r="S21" s="63"/>
      <c r="T21" s="63" t="s">
        <v>71</v>
      </c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G21" s="63"/>
      <c r="AH21" s="63"/>
      <c r="AI21" s="63"/>
      <c r="AJ21" s="63"/>
      <c r="AK21" s="63"/>
      <c r="AL21" s="63"/>
      <c r="AM21" s="63"/>
      <c r="AN21" s="63"/>
      <c r="AO21" s="63"/>
      <c r="AQ21" s="63"/>
      <c r="AR21" s="63"/>
      <c r="AS21" s="63"/>
      <c r="AT21" s="63"/>
      <c r="AU21" s="63"/>
      <c r="AV21" s="63"/>
      <c r="AW21" s="75"/>
      <c r="AX21" s="63"/>
      <c r="AY21" s="63"/>
      <c r="AZ21" s="63"/>
      <c r="BA21" s="63"/>
      <c r="BB21" s="75"/>
      <c r="BC21" s="63"/>
      <c r="BD21" s="63"/>
      <c r="BE21" s="63"/>
      <c r="BF21" s="63"/>
      <c r="BG21" s="63"/>
      <c r="BH21" s="75"/>
      <c r="BI21" s="63"/>
      <c r="BJ21" s="76" t="e">
        <f>BJ20*0.9+1</f>
        <v>#REF!</v>
      </c>
      <c r="BK21" s="63"/>
      <c r="BN21" s="75"/>
      <c r="BO21" s="63"/>
      <c r="BP21" s="76" t="e">
        <f>BP20*0.9</f>
        <v>#REF!</v>
      </c>
      <c r="BQ21" s="63"/>
      <c r="BU21" s="9"/>
      <c r="BV21" s="9"/>
      <c r="BW21" s="9"/>
      <c r="BX21" s="9"/>
      <c r="BY21" s="9"/>
    </row>
    <row r="22" spans="1:79"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51"/>
      <c r="Q22" s="11"/>
      <c r="R22" s="63"/>
      <c r="S22" s="63"/>
      <c r="T22" s="63" t="s">
        <v>72</v>
      </c>
      <c r="U22" s="63"/>
      <c r="V22" s="63"/>
      <c r="W22" s="63"/>
      <c r="X22" s="63"/>
      <c r="Y22" s="77" t="s">
        <v>72</v>
      </c>
      <c r="Z22" s="63"/>
      <c r="AA22" s="63"/>
      <c r="AB22" s="63"/>
      <c r="AC22" s="63"/>
      <c r="AD22" s="63" t="s">
        <v>72</v>
      </c>
      <c r="AE22" s="63"/>
      <c r="AG22" s="63"/>
      <c r="AH22" s="63"/>
      <c r="AI22" s="63"/>
      <c r="AJ22" s="63" t="s">
        <v>72</v>
      </c>
      <c r="AK22" s="63"/>
      <c r="AL22" s="63"/>
      <c r="AM22" s="63"/>
      <c r="AN22" s="63"/>
      <c r="AO22" s="63" t="s">
        <v>72</v>
      </c>
      <c r="AP22" s="63"/>
      <c r="AQ22" s="63"/>
      <c r="AR22" s="63"/>
      <c r="AS22" s="63"/>
      <c r="AT22" s="69" t="s">
        <v>72</v>
      </c>
      <c r="AU22" s="69"/>
      <c r="AV22" s="63"/>
      <c r="AW22" s="63"/>
      <c r="AX22" s="63"/>
      <c r="AY22" s="63"/>
      <c r="AZ22" s="69" t="s">
        <v>72</v>
      </c>
      <c r="BA22" s="69"/>
      <c r="BB22" s="63"/>
      <c r="BC22" s="63"/>
      <c r="BD22" s="63"/>
      <c r="BE22" s="69" t="s">
        <v>72</v>
      </c>
      <c r="BF22" s="69"/>
      <c r="BG22" s="63"/>
      <c r="BH22" s="63"/>
      <c r="BI22" s="63"/>
      <c r="BJ22" s="63"/>
      <c r="BK22" s="69" t="s">
        <v>72</v>
      </c>
      <c r="BL22" s="69"/>
      <c r="BM22" s="63"/>
      <c r="BN22" s="63"/>
      <c r="BO22" s="63"/>
      <c r="BP22" s="63"/>
      <c r="BQ22" s="69" t="s">
        <v>72</v>
      </c>
      <c r="BR22" s="69"/>
      <c r="BU22" s="9"/>
      <c r="BV22" s="9"/>
      <c r="BW22" s="9"/>
      <c r="BX22" s="9"/>
      <c r="BY22" s="9"/>
    </row>
    <row r="23" spans="1:79">
      <c r="A23" s="61" t="s">
        <v>15</v>
      </c>
      <c r="B23" s="25"/>
      <c r="C23" s="25"/>
      <c r="D23" s="25"/>
      <c r="E23" s="25"/>
      <c r="F23" s="11"/>
      <c r="G23" s="11"/>
      <c r="H23" s="11"/>
      <c r="I23" s="78" t="s">
        <v>66</v>
      </c>
      <c r="J23" s="78" t="s">
        <v>73</v>
      </c>
      <c r="K23" s="11"/>
      <c r="L23" s="33"/>
      <c r="M23" s="33"/>
      <c r="N23" s="33"/>
      <c r="O23" s="78" t="s">
        <v>66</v>
      </c>
      <c r="P23" s="78" t="s">
        <v>73</v>
      </c>
      <c r="Q23" s="51"/>
      <c r="R23" s="63"/>
      <c r="S23" s="63"/>
      <c r="T23" s="79" t="s">
        <v>66</v>
      </c>
      <c r="U23" s="79" t="s">
        <v>73</v>
      </c>
      <c r="V23" s="63"/>
      <c r="W23" s="63"/>
      <c r="X23" s="63"/>
      <c r="Y23" s="59" t="s">
        <v>66</v>
      </c>
      <c r="Z23" s="59" t="s">
        <v>73</v>
      </c>
      <c r="AA23" s="80"/>
      <c r="AB23" s="63"/>
      <c r="AC23" s="63"/>
      <c r="AD23" s="59" t="s">
        <v>66</v>
      </c>
      <c r="AE23" s="59" t="s">
        <v>73</v>
      </c>
      <c r="AG23" s="80"/>
      <c r="AH23" s="63"/>
      <c r="AI23" s="63"/>
      <c r="AJ23" s="59" t="s">
        <v>66</v>
      </c>
      <c r="AK23" s="59" t="s">
        <v>73</v>
      </c>
      <c r="AL23" s="80"/>
      <c r="AM23" s="63"/>
      <c r="AN23" s="63"/>
      <c r="AO23" s="59" t="s">
        <v>66</v>
      </c>
      <c r="AP23" s="59" t="s">
        <v>73</v>
      </c>
      <c r="AQ23" s="80"/>
      <c r="AR23" s="63"/>
      <c r="AS23" s="63"/>
      <c r="AT23" s="79" t="s">
        <v>66</v>
      </c>
      <c r="AU23" s="79" t="s">
        <v>73</v>
      </c>
      <c r="AV23" s="63"/>
      <c r="AW23" s="80"/>
      <c r="AX23" s="63"/>
      <c r="AY23" s="63"/>
      <c r="AZ23" s="79" t="s">
        <v>66</v>
      </c>
      <c r="BA23" s="79" t="s">
        <v>73</v>
      </c>
      <c r="BB23" s="80"/>
      <c r="BC23" s="63"/>
      <c r="BD23" s="63"/>
      <c r="BE23" s="79" t="s">
        <v>66</v>
      </c>
      <c r="BF23" s="79" t="s">
        <v>73</v>
      </c>
      <c r="BG23" s="63"/>
      <c r="BH23" s="80"/>
      <c r="BI23" s="63"/>
      <c r="BJ23" s="63"/>
      <c r="BK23" s="79" t="s">
        <v>66</v>
      </c>
      <c r="BL23" s="79" t="s">
        <v>73</v>
      </c>
      <c r="BM23" s="81"/>
      <c r="BN23" s="80"/>
      <c r="BO23" s="63"/>
      <c r="BP23" s="63"/>
      <c r="BQ23" s="79" t="s">
        <v>66</v>
      </c>
      <c r="BR23" s="79" t="s">
        <v>73</v>
      </c>
    </row>
    <row r="24" spans="1:79">
      <c r="A24" s="82" t="s">
        <v>74</v>
      </c>
      <c r="B24" s="33"/>
      <c r="C24" s="33"/>
      <c r="D24" s="83"/>
      <c r="E24" s="83"/>
      <c r="F24" s="33">
        <f>969458-39699</f>
        <v>929759</v>
      </c>
      <c r="G24" s="33">
        <v>927800</v>
      </c>
      <c r="H24" s="83">
        <f>G24-F24</f>
        <v>-1959</v>
      </c>
      <c r="I24" s="31">
        <f>H24*0.6583</f>
        <v>-1289.6097</v>
      </c>
      <c r="J24" s="11">
        <f>-I24*$F$47</f>
        <v>92748.729624</v>
      </c>
      <c r="L24" s="33">
        <f>834330-35305</f>
        <v>799025</v>
      </c>
      <c r="M24" s="33">
        <v>819900</v>
      </c>
      <c r="N24" s="83">
        <f>M24-L24</f>
        <v>20875</v>
      </c>
      <c r="O24" s="31">
        <f>N24*0.6583</f>
        <v>13742.012500000001</v>
      </c>
      <c r="P24" s="84">
        <f>-O24*$L$47</f>
        <v>-925112.28149999992</v>
      </c>
      <c r="Q24" s="85">
        <f>835957-37463</f>
        <v>798494</v>
      </c>
      <c r="R24" s="86">
        <v>835700</v>
      </c>
      <c r="S24" s="83">
        <f>R24-Q24</f>
        <v>37206</v>
      </c>
      <c r="T24" s="31">
        <f>S24*0.6583</f>
        <v>24492.709800000001</v>
      </c>
      <c r="U24" s="87">
        <f>-T24*$Q$47</f>
        <v>-1753678.02168</v>
      </c>
      <c r="V24" s="86">
        <f>762494-31672</f>
        <v>730822</v>
      </c>
      <c r="W24" s="88">
        <v>704400</v>
      </c>
      <c r="X24" s="83">
        <f>W24-V24</f>
        <v>-26422</v>
      </c>
      <c r="Y24" s="89">
        <f>-X24*0.6583</f>
        <v>17393.602599999998</v>
      </c>
      <c r="Z24" s="77">
        <f>Y24*V47</f>
        <v>1537768.4058659999</v>
      </c>
      <c r="AA24" s="88">
        <f>727927-34306</f>
        <v>693621</v>
      </c>
      <c r="AB24" s="86">
        <v>698800</v>
      </c>
      <c r="AC24" s="83">
        <f>AB24-AA24</f>
        <v>5179</v>
      </c>
      <c r="AD24" s="86">
        <f>-AC24*0.6583</f>
        <v>-3409.3357000000001</v>
      </c>
      <c r="AE24" s="88">
        <f>AD24*$AA$47</f>
        <v>-181717.59281</v>
      </c>
      <c r="AG24" s="88">
        <f>711210-33091</f>
        <v>678119</v>
      </c>
      <c r="AH24" s="86">
        <v>688800</v>
      </c>
      <c r="AI24" s="83">
        <f>AH24-AG24</f>
        <v>10681</v>
      </c>
      <c r="AJ24" s="86">
        <f>-AI24*0.6583</f>
        <v>-7031.3023000000003</v>
      </c>
      <c r="AK24" s="90">
        <f>AJ24*$AG$47</f>
        <v>-116297.740042</v>
      </c>
      <c r="AL24" s="88">
        <f>798625-34505</f>
        <v>764120</v>
      </c>
      <c r="AM24" s="86">
        <v>762800</v>
      </c>
      <c r="AN24" s="83">
        <f>AM24-AL24</f>
        <v>-1320</v>
      </c>
      <c r="AO24" s="86">
        <f>-AN24*0.6583</f>
        <v>868.95600000000002</v>
      </c>
      <c r="AP24" s="90">
        <f>AO24*AL48</f>
        <v>50234.346360000003</v>
      </c>
      <c r="AQ24" s="88">
        <f>782126-36761</f>
        <v>745365</v>
      </c>
      <c r="AR24" s="86">
        <v>791000</v>
      </c>
      <c r="AS24" s="83">
        <f>AR24-AQ24</f>
        <v>45635</v>
      </c>
      <c r="AT24" s="83">
        <f>-AS24*0.6583</f>
        <v>-30041.520499999999</v>
      </c>
      <c r="AU24" s="86">
        <f>AT24*$AQ$47</f>
        <v>-1914846.51667</v>
      </c>
      <c r="AV24" s="88"/>
      <c r="AW24" s="88">
        <f>700540-27148</f>
        <v>673392</v>
      </c>
      <c r="AX24" s="86">
        <v>695500</v>
      </c>
      <c r="AY24" s="83">
        <f>AX24-AW24</f>
        <v>22108</v>
      </c>
      <c r="AZ24" s="83">
        <f>-AY24*0.6583</f>
        <v>-14553.696400000001</v>
      </c>
      <c r="BA24" s="86">
        <f>AZ24*AW47</f>
        <v>-740928.683724</v>
      </c>
      <c r="BB24" s="88">
        <f>758273-31748</f>
        <v>726525</v>
      </c>
      <c r="BC24" s="86">
        <v>769600</v>
      </c>
      <c r="BD24" s="91">
        <f>BC24-BB24</f>
        <v>43075</v>
      </c>
      <c r="BE24" s="86">
        <f>BD24*0.6583</f>
        <v>28356.272499999999</v>
      </c>
      <c r="BF24" s="86">
        <f>-BE24*BB47</f>
        <v>-1331610.5566</v>
      </c>
      <c r="BG24" s="92"/>
      <c r="BH24" s="88">
        <f>784278-38156</f>
        <v>746122</v>
      </c>
      <c r="BI24" s="86">
        <v>760300</v>
      </c>
      <c r="BJ24" s="83">
        <f>BI24-BH24</f>
        <v>14178</v>
      </c>
      <c r="BK24" s="86">
        <f>BJ24*0.6583</f>
        <v>9333.3773999999994</v>
      </c>
      <c r="BL24" s="93">
        <f>-BK24*BH48</f>
        <v>-433068.71135999996</v>
      </c>
      <c r="BM24" s="93"/>
      <c r="BN24" s="88">
        <f>984142-38377</f>
        <v>945765</v>
      </c>
      <c r="BO24" s="86">
        <v>897100</v>
      </c>
      <c r="BP24" s="83">
        <f>BN24-BO24</f>
        <v>48665</v>
      </c>
      <c r="BQ24" s="86">
        <f>BP24*0.6583</f>
        <v>32036.1695</v>
      </c>
      <c r="BR24" s="63">
        <f>BQ24*$BN$47</f>
        <v>1928257.0422049998</v>
      </c>
    </row>
    <row r="25" spans="1:79">
      <c r="A25" s="82"/>
      <c r="B25" s="33"/>
      <c r="C25" s="33"/>
      <c r="D25" s="83"/>
      <c r="E25" s="83"/>
      <c r="F25" s="33">
        <f>F24*0.6583</f>
        <v>612060.34970000002</v>
      </c>
      <c r="G25" s="33">
        <f>G24*0.6583</f>
        <v>610770.74</v>
      </c>
      <c r="H25" s="83">
        <f>G25-F25</f>
        <v>-1289.60970000003</v>
      </c>
      <c r="I25" s="31"/>
      <c r="J25" s="11"/>
      <c r="L25" s="33">
        <f>L24*0.6583</f>
        <v>525998.15749999997</v>
      </c>
      <c r="M25" s="33">
        <f>M24*0.6583</f>
        <v>539740.17000000004</v>
      </c>
      <c r="N25" s="83">
        <f>M25-L25</f>
        <v>13742.01250000007</v>
      </c>
      <c r="Q25" s="33"/>
      <c r="R25" s="33"/>
      <c r="S25" s="83"/>
      <c r="U25" s="86"/>
      <c r="V25" s="86"/>
      <c r="W25" s="33"/>
      <c r="Y25" s="86"/>
      <c r="Z25" s="86"/>
      <c r="AA25" s="88"/>
      <c r="AB25" s="33">
        <f>AB24*0.6583</f>
        <v>460020.04</v>
      </c>
      <c r="AD25" s="86"/>
      <c r="AE25" s="88"/>
      <c r="AG25" s="88"/>
      <c r="AH25" s="33"/>
      <c r="AJ25" s="86"/>
      <c r="AK25" s="88"/>
      <c r="AL25" s="33"/>
      <c r="AM25" s="33"/>
      <c r="AN25" s="83">
        <f>AM25-AL25</f>
        <v>0</v>
      </c>
      <c r="AP25" s="86"/>
      <c r="AQ25" s="88"/>
      <c r="AR25" s="33"/>
      <c r="AS25" s="83">
        <f>AR25-AQ25</f>
        <v>0</v>
      </c>
      <c r="AT25" s="83"/>
      <c r="AU25" s="86"/>
      <c r="AV25" s="88"/>
      <c r="AW25" s="88"/>
      <c r="AX25" s="33">
        <f>AX24*0.6583</f>
        <v>457847.65</v>
      </c>
      <c r="AY25" s="91">
        <f>AX25-AW25</f>
        <v>457847.65</v>
      </c>
      <c r="AZ25" s="86"/>
      <c r="BA25" s="86"/>
      <c r="BB25" s="88"/>
      <c r="BC25" s="33"/>
      <c r="BD25" s="91"/>
      <c r="BE25" s="86"/>
      <c r="BF25" s="86"/>
      <c r="BG25" s="92"/>
      <c r="BH25" s="88"/>
      <c r="BI25" s="33"/>
      <c r="BJ25" s="83"/>
      <c r="BK25" s="86"/>
      <c r="BN25" s="88"/>
      <c r="BO25" s="33"/>
      <c r="BP25" s="83"/>
      <c r="BQ25" s="86"/>
    </row>
    <row r="26" spans="1:79">
      <c r="A26" s="82" t="s">
        <v>75</v>
      </c>
      <c r="B26" s="33"/>
      <c r="C26" s="33"/>
      <c r="D26" s="83"/>
      <c r="E26" s="83"/>
      <c r="F26" s="33">
        <v>556497</v>
      </c>
      <c r="G26" s="33">
        <v>559753</v>
      </c>
      <c r="H26" s="83">
        <f>G26-F26</f>
        <v>3256</v>
      </c>
      <c r="I26" s="31" t="s">
        <v>76</v>
      </c>
      <c r="J26" s="11"/>
      <c r="L26" s="33">
        <v>507980</v>
      </c>
      <c r="M26" s="33">
        <v>502124</v>
      </c>
      <c r="N26" s="83">
        <f>M26-L26</f>
        <v>-5856</v>
      </c>
      <c r="Q26" s="85">
        <v>476148</v>
      </c>
      <c r="R26" s="86">
        <v>514703</v>
      </c>
      <c r="S26" s="83">
        <f>R26-Q26</f>
        <v>38555</v>
      </c>
      <c r="U26" s="86"/>
      <c r="V26" s="86">
        <v>432520</v>
      </c>
      <c r="W26" s="88">
        <v>437704</v>
      </c>
      <c r="X26" s="83">
        <f>W26-V26</f>
        <v>5184</v>
      </c>
      <c r="Y26" s="86"/>
      <c r="Z26" s="86"/>
      <c r="AA26" s="88">
        <v>398505</v>
      </c>
      <c r="AB26" s="86">
        <v>429845</v>
      </c>
      <c r="AC26" s="83">
        <f>AB26-AA26</f>
        <v>31340</v>
      </c>
      <c r="AD26" s="86"/>
      <c r="AE26" s="88"/>
      <c r="AG26" s="88">
        <v>390087</v>
      </c>
      <c r="AH26" s="86">
        <v>414160</v>
      </c>
      <c r="AI26" s="83">
        <f>AH26-AG26</f>
        <v>24073</v>
      </c>
      <c r="AJ26" s="86"/>
      <c r="AK26" s="88"/>
      <c r="AL26" s="88">
        <v>434299</v>
      </c>
      <c r="AM26" s="86">
        <v>459551</v>
      </c>
      <c r="AN26" s="83">
        <f>AM26-AL26</f>
        <v>25252</v>
      </c>
      <c r="AP26" s="86"/>
      <c r="AQ26" s="88"/>
      <c r="AR26" s="86"/>
      <c r="AU26" s="86"/>
      <c r="AV26" s="88"/>
      <c r="AW26" s="88"/>
      <c r="AX26" s="86"/>
      <c r="AZ26" s="86"/>
      <c r="BA26" s="86"/>
      <c r="BB26" s="88">
        <v>434143</v>
      </c>
      <c r="BC26" s="86">
        <v>474756</v>
      </c>
      <c r="BD26" s="91">
        <f>BC26-BB26</f>
        <v>40613</v>
      </c>
      <c r="BE26" s="86"/>
      <c r="BF26" s="86"/>
      <c r="BG26" s="92"/>
      <c r="BH26" s="88"/>
      <c r="BI26" s="86"/>
      <c r="BJ26" s="83"/>
      <c r="BK26" s="86"/>
      <c r="BN26" s="88"/>
      <c r="BO26" s="86"/>
      <c r="BP26" s="83"/>
      <c r="BQ26" s="86"/>
    </row>
    <row r="27" spans="1:79">
      <c r="A27" s="82"/>
      <c r="B27" s="33"/>
      <c r="C27" s="33"/>
      <c r="D27" s="83"/>
      <c r="E27" s="83"/>
      <c r="F27" s="33"/>
      <c r="G27" s="33">
        <v>15000</v>
      </c>
      <c r="H27" s="83"/>
      <c r="I27" s="31">
        <f>-G27*H48</f>
        <v>-146100.00000000003</v>
      </c>
      <c r="J27" s="11">
        <f>I27*0.6583</f>
        <v>-96177.630000000019</v>
      </c>
      <c r="L27" s="33"/>
      <c r="M27" s="33"/>
      <c r="N27" s="83">
        <f>M27-L27</f>
        <v>0</v>
      </c>
      <c r="Q27" s="85">
        <v>323950</v>
      </c>
      <c r="R27" s="86"/>
      <c r="S27" s="83">
        <f>R27-Q27</f>
        <v>-323950</v>
      </c>
      <c r="T27" s="31">
        <f>-S27*0.6583</f>
        <v>213256.285</v>
      </c>
      <c r="U27" s="87">
        <f>T27*$Q$47</f>
        <v>15269150.005999999</v>
      </c>
      <c r="V27" s="86"/>
      <c r="W27" s="88"/>
      <c r="Y27" s="86"/>
      <c r="Z27" s="86"/>
      <c r="AA27" s="88"/>
      <c r="AB27" s="86"/>
      <c r="AC27" s="83">
        <f>AA27-AB27</f>
        <v>0</v>
      </c>
      <c r="AD27" s="86"/>
      <c r="AE27" s="88"/>
      <c r="AG27" s="88"/>
      <c r="AH27" s="86"/>
      <c r="AI27" s="83"/>
      <c r="AJ27" s="86"/>
      <c r="AK27" s="88"/>
      <c r="AL27" s="88"/>
      <c r="AM27" s="86"/>
      <c r="AN27" s="83"/>
      <c r="AO27" s="83"/>
      <c r="AP27" s="86"/>
      <c r="AQ27" s="88"/>
      <c r="AR27" s="86"/>
      <c r="AS27" s="83">
        <f>AQ27-AR27</f>
        <v>0</v>
      </c>
      <c r="AT27" s="83"/>
      <c r="AU27" s="86"/>
      <c r="AV27" s="88"/>
      <c r="AW27" s="88"/>
      <c r="AX27" s="86"/>
      <c r="AY27" s="91">
        <f>AW27-AX27</f>
        <v>0</v>
      </c>
      <c r="AZ27" s="86"/>
      <c r="BA27" s="86"/>
      <c r="BB27" s="88"/>
      <c r="BC27" s="88"/>
      <c r="BD27" s="91"/>
      <c r="BE27" s="86"/>
      <c r="BF27" s="86"/>
      <c r="BG27" s="92"/>
      <c r="BH27" s="88"/>
      <c r="BI27" s="86"/>
      <c r="BJ27" s="83"/>
      <c r="BK27" s="86"/>
      <c r="BN27" s="88"/>
      <c r="BO27" s="86"/>
      <c r="BP27" s="83"/>
      <c r="BQ27" s="86"/>
    </row>
    <row r="28" spans="1:79">
      <c r="A28" s="82"/>
      <c r="B28" s="33"/>
      <c r="C28" s="33"/>
      <c r="D28" s="83"/>
      <c r="E28" s="83"/>
      <c r="F28" s="33"/>
      <c r="G28" s="33">
        <v>147400</v>
      </c>
      <c r="H28" s="83"/>
      <c r="I28" s="31">
        <f>G28*H47</f>
        <v>1522641.9999999998</v>
      </c>
      <c r="J28" s="11">
        <f>I28*0.6583</f>
        <v>1002355.2285999998</v>
      </c>
      <c r="L28" s="33"/>
      <c r="M28" s="33"/>
      <c r="N28" s="83"/>
      <c r="Q28" s="85">
        <v>228850</v>
      </c>
      <c r="R28" s="86"/>
      <c r="S28" s="83">
        <f>Q28-R28</f>
        <v>228850</v>
      </c>
      <c r="T28" s="31">
        <f>-S28*0.6583</f>
        <v>-150651.95499999999</v>
      </c>
      <c r="U28" s="87">
        <f>T28*$Q$47</f>
        <v>-10786679.977999998</v>
      </c>
      <c r="V28" s="86"/>
      <c r="W28" s="88"/>
      <c r="Y28" s="86"/>
      <c r="Z28" s="86"/>
      <c r="AA28" s="88"/>
      <c r="AB28" s="86"/>
      <c r="AC28" s="83">
        <f>AA28-AB28</f>
        <v>0</v>
      </c>
      <c r="AD28" s="86"/>
      <c r="AE28" s="88"/>
      <c r="AG28" s="88"/>
      <c r="AH28" s="86"/>
      <c r="AI28" s="83"/>
      <c r="AJ28" s="86"/>
      <c r="AK28" s="88"/>
      <c r="AL28" s="88"/>
      <c r="AM28" s="86"/>
      <c r="AN28" s="83"/>
      <c r="AO28" s="83"/>
      <c r="AP28" s="86"/>
      <c r="AQ28" s="88"/>
      <c r="AR28" s="86"/>
      <c r="AS28" s="83">
        <f>AQ28-AR28</f>
        <v>0</v>
      </c>
      <c r="AT28" s="83"/>
      <c r="AU28" s="86"/>
      <c r="AV28" s="88"/>
      <c r="AW28" s="88"/>
      <c r="AX28" s="86"/>
      <c r="AY28" s="91">
        <f>AW28-AX28</f>
        <v>0</v>
      </c>
      <c r="AZ28" s="86"/>
      <c r="BA28" s="86"/>
      <c r="BB28" s="88"/>
      <c r="BC28" s="86"/>
      <c r="BD28" s="91"/>
      <c r="BE28" s="86"/>
      <c r="BF28" s="86"/>
      <c r="BG28" s="92"/>
      <c r="BH28" s="88"/>
      <c r="BI28" s="86"/>
      <c r="BJ28" s="91"/>
      <c r="BK28" s="86"/>
      <c r="BN28" s="88"/>
      <c r="BO28" s="86"/>
      <c r="BP28" s="83"/>
      <c r="BQ28" s="86"/>
    </row>
    <row r="29" spans="1:79">
      <c r="A29" s="62" t="s">
        <v>18</v>
      </c>
      <c r="B29" s="33" t="e">
        <f>F29+Q29+U29+Y29+AC29+AG29+#REF!+AN29+AS29+AX29+BD29+BI29</f>
        <v>#REF!</v>
      </c>
      <c r="C29" s="33">
        <f t="shared" ref="C29:C44" si="12">G29+R29+V29+Z29+AD29+AH29+AK29+AP29+AU29+AY29</f>
        <v>7080028.4348129984</v>
      </c>
      <c r="D29" s="83" t="e">
        <f>B29-C29</f>
        <v>#REF!</v>
      </c>
      <c r="E29" s="83"/>
      <c r="F29" s="33">
        <f>157490+100221+73843</f>
        <v>331554</v>
      </c>
      <c r="G29" s="33">
        <f>337500+15000</f>
        <v>352500</v>
      </c>
      <c r="H29" s="83">
        <f>F29-G29</f>
        <v>-20946</v>
      </c>
      <c r="I29" s="31">
        <f t="shared" ref="I29:I44" si="13">H29*0.6583</f>
        <v>-13788.7518</v>
      </c>
      <c r="J29" s="94">
        <f>-I29*$F$47</f>
        <v>991687.02945600008</v>
      </c>
      <c r="L29" s="33">
        <f>282837</f>
        <v>282837</v>
      </c>
      <c r="M29" s="33">
        <f>359100+11600</f>
        <v>370700</v>
      </c>
      <c r="N29" s="83">
        <f>L29-M29</f>
        <v>-87863</v>
      </c>
      <c r="O29" s="31">
        <f>-N29*0.6583</f>
        <v>57840.212899999999</v>
      </c>
      <c r="P29" s="95">
        <f>O29*$L$47</f>
        <v>3893803.1324279993</v>
      </c>
      <c r="Q29" s="85">
        <f>148074+124035+58998</f>
        <v>331107</v>
      </c>
      <c r="R29" s="86">
        <f>333300+10100</f>
        <v>343400</v>
      </c>
      <c r="S29" s="83">
        <f>Q29-R29</f>
        <v>-12293</v>
      </c>
      <c r="T29" s="31">
        <f>-S29*0.6583</f>
        <v>8092.4818999999998</v>
      </c>
      <c r="U29" s="96">
        <f>T29*$Q$47</f>
        <v>579421.70403999998</v>
      </c>
      <c r="V29" s="86">
        <v>334852</v>
      </c>
      <c r="W29" s="88">
        <f>461600+11400</f>
        <v>473000</v>
      </c>
      <c r="X29" s="83">
        <f>V29-W29</f>
        <v>-138148</v>
      </c>
      <c r="Y29" s="91">
        <f>-X29*0.6583</f>
        <v>90942.828399999999</v>
      </c>
      <c r="Z29" s="77">
        <f>Y29*$V$47</f>
        <v>8040255.4588439995</v>
      </c>
      <c r="AA29" s="88">
        <f>450132+120566+86321</f>
        <v>657019</v>
      </c>
      <c r="AB29" s="86">
        <f>687700+11500</f>
        <v>699200</v>
      </c>
      <c r="AC29" s="83">
        <f>AA29-AB29</f>
        <v>-42181</v>
      </c>
      <c r="AD29" s="91">
        <f>-AC29*0.6583</f>
        <v>27767.7523</v>
      </c>
      <c r="AE29" s="97">
        <f>AD29*$AA$47</f>
        <v>1480021.19759</v>
      </c>
      <c r="AG29" s="92">
        <f>489979+116611+92356</f>
        <v>698946</v>
      </c>
      <c r="AH29" s="86">
        <f>685000+12300</f>
        <v>697300</v>
      </c>
      <c r="AI29" s="83">
        <f>AG29-AH29</f>
        <v>1646</v>
      </c>
      <c r="AJ29" s="91">
        <f>-AI29*0.6583</f>
        <v>-1083.5617999999999</v>
      </c>
      <c r="AK29" s="19">
        <f>AJ29*$AG$47</f>
        <v>-17922.112171999997</v>
      </c>
      <c r="AL29" s="92">
        <v>561735</v>
      </c>
      <c r="AM29" s="86">
        <f>473100+11200</f>
        <v>484300</v>
      </c>
      <c r="AN29" s="83">
        <f>AL29-AM29</f>
        <v>77435</v>
      </c>
      <c r="AO29" s="91">
        <f>-AN29*0.6583</f>
        <v>-50975.460500000001</v>
      </c>
      <c r="AP29" s="69">
        <f>AO29*$AL$48</f>
        <v>-2946891.3715050002</v>
      </c>
      <c r="AQ29" s="92">
        <v>284087</v>
      </c>
      <c r="AR29" s="86">
        <f>279900+9600</f>
        <v>289500</v>
      </c>
      <c r="AS29" s="83">
        <f>AQ29-AR29</f>
        <v>-5413</v>
      </c>
      <c r="AT29" s="91">
        <f>-AS29*0.6583</f>
        <v>3563.3779</v>
      </c>
      <c r="AU29" s="86">
        <f>AT29*$AQ$47</f>
        <v>227129.70734600001</v>
      </c>
      <c r="AV29" s="92"/>
      <c r="AW29" s="92">
        <v>251337</v>
      </c>
      <c r="AX29" s="86">
        <f>222500+7200</f>
        <v>229700</v>
      </c>
      <c r="AY29" s="91">
        <f>AW29-AX29</f>
        <v>21637</v>
      </c>
      <c r="AZ29" s="91">
        <f>-AY29*0.6583</f>
        <v>-14243.6371</v>
      </c>
      <c r="BA29" s="86">
        <f>AZ29*$AW$47</f>
        <v>-725143.56476099999</v>
      </c>
      <c r="BB29" s="88">
        <f>272599</f>
        <v>272599</v>
      </c>
      <c r="BC29" s="86">
        <f>223900+8800</f>
        <v>232700</v>
      </c>
      <c r="BD29" s="91">
        <f>BB29-BC29</f>
        <v>39899</v>
      </c>
      <c r="BE29" s="86">
        <f>BD29*0.6583</f>
        <v>26265.511699999999</v>
      </c>
      <c r="BF29" s="63">
        <f>-BE29*$BB$47</f>
        <v>-1233428.429432</v>
      </c>
      <c r="BG29" s="92"/>
      <c r="BH29" s="88">
        <v>280180</v>
      </c>
      <c r="BI29" s="86">
        <f>240200+9900</f>
        <v>250100</v>
      </c>
      <c r="BJ29" s="91">
        <f>BH29-BI29</f>
        <v>30080</v>
      </c>
      <c r="BK29" s="86">
        <f>BJ29*0.6583</f>
        <v>19801.664000000001</v>
      </c>
      <c r="BL29" s="93">
        <f>-BK29*$BH$48</f>
        <v>-918797.20960000006</v>
      </c>
      <c r="BM29" s="93"/>
      <c r="BN29" s="88">
        <f>191544+97343+82259</f>
        <v>371146</v>
      </c>
      <c r="BO29" s="86">
        <f>342800+11600</f>
        <v>354400</v>
      </c>
      <c r="BP29" s="91">
        <f>BN29-BO29</f>
        <v>16746</v>
      </c>
      <c r="BQ29" s="86">
        <f>BP29*0.6583</f>
        <v>11023.891799999999</v>
      </c>
      <c r="BR29" s="63">
        <f>-BQ29*$BN$47</f>
        <v>-663528.04744199989</v>
      </c>
    </row>
    <row r="30" spans="1:79">
      <c r="A30" t="s">
        <v>20</v>
      </c>
      <c r="B30" s="33">
        <f t="shared" ref="B30:B44" si="14">F30+Q30+U30+Y30+AC30+AG30+AJ30+AN30+AS30+AX30+BD30+BI30</f>
        <v>188978.31072000001</v>
      </c>
      <c r="C30" s="33">
        <f t="shared" si="12"/>
        <v>191796.24664499998</v>
      </c>
      <c r="D30" s="33">
        <f>B30-C30</f>
        <v>-2817.9359249999688</v>
      </c>
      <c r="E30" s="33"/>
      <c r="F30" s="33">
        <v>163948</v>
      </c>
      <c r="G30" s="33">
        <v>154932</v>
      </c>
      <c r="H30" s="83">
        <f t="shared" ref="H30:H44" si="15">F30-G30</f>
        <v>9016</v>
      </c>
      <c r="I30" s="31">
        <f t="shared" si="13"/>
        <v>5935.2327999999998</v>
      </c>
      <c r="J30" s="11">
        <f t="shared" ref="J30:J44" si="16">-I30*$F$47</f>
        <v>-426861.94297600002</v>
      </c>
      <c r="K30" s="11"/>
      <c r="L30" s="33">
        <v>153371</v>
      </c>
      <c r="M30" s="33">
        <v>146356</v>
      </c>
      <c r="N30" s="83">
        <f>L30-M30</f>
        <v>7015</v>
      </c>
      <c r="O30" s="31">
        <f t="shared" ref="O30:O44" si="17">-N30*0.6583</f>
        <v>-4617.9745000000003</v>
      </c>
      <c r="P30" s="84">
        <f t="shared" ref="P30:P44" si="18">O30*$L$47</f>
        <v>-310882.04333999997</v>
      </c>
      <c r="Q30" s="85">
        <v>163178</v>
      </c>
      <c r="R30" s="86">
        <v>151397</v>
      </c>
      <c r="S30" s="83">
        <f>Q30-R30</f>
        <v>11781</v>
      </c>
      <c r="T30" s="31">
        <f>-S30*0.6583</f>
        <v>-7755.4323000000004</v>
      </c>
      <c r="U30" s="87">
        <f t="shared" ref="U30:U44" si="19">T30*$Q$47</f>
        <v>-555288.95267999999</v>
      </c>
      <c r="V30" s="86">
        <v>150929</v>
      </c>
      <c r="W30" s="88">
        <v>124649</v>
      </c>
      <c r="X30" s="83">
        <f t="shared" ref="X30:X44" si="20">V30-W30</f>
        <v>26280</v>
      </c>
      <c r="Y30" s="91">
        <f t="shared" ref="Y30:Y44" si="21">-X30*0.6583</f>
        <v>-17300.124</v>
      </c>
      <c r="Z30" s="77">
        <f t="shared" ref="Z30:Z44" si="22">Y30*$V$47</f>
        <v>-1529503.9628399999</v>
      </c>
      <c r="AA30" s="86">
        <v>137537</v>
      </c>
      <c r="AB30" s="86">
        <v>102558</v>
      </c>
      <c r="AC30" s="83">
        <f t="shared" ref="AC30:AC44" si="23">AA30-AB30</f>
        <v>34979</v>
      </c>
      <c r="AD30" s="91">
        <f t="shared" ref="AD30:AD44" si="24">-AC30*0.6583</f>
        <v>-23026.6757</v>
      </c>
      <c r="AE30" s="97">
        <f>AD30*$AA$47</f>
        <v>-1227321.8148099999</v>
      </c>
      <c r="AG30" s="86">
        <v>73250</v>
      </c>
      <c r="AH30" s="86">
        <v>122128</v>
      </c>
      <c r="AI30" s="83">
        <f t="shared" ref="AI30:AI44" si="25">AG30-AH30</f>
        <v>-48878</v>
      </c>
      <c r="AJ30" s="91">
        <f t="shared" ref="AJ30:AJ44" si="26">-AI30*0.6583</f>
        <v>32176.3874</v>
      </c>
      <c r="AK30" s="97">
        <f>AJ30*$AG$47</f>
        <v>532197.44759599993</v>
      </c>
      <c r="AL30" s="86">
        <v>140563</v>
      </c>
      <c r="AM30" s="86">
        <v>154838</v>
      </c>
      <c r="AN30" s="83">
        <f t="shared" ref="AN30:AN44" si="27">AL30-AM30</f>
        <v>-14275</v>
      </c>
      <c r="AO30" s="91">
        <f t="shared" ref="AO30:AO44" si="28">-AN30*0.6583</f>
        <v>9397.2325000000001</v>
      </c>
      <c r="AP30" s="63">
        <f>AO30*$AL$48</f>
        <v>543254.010825</v>
      </c>
      <c r="AQ30" s="86">
        <v>153906</v>
      </c>
      <c r="AR30" s="86">
        <v>156448</v>
      </c>
      <c r="AS30" s="83">
        <f t="shared" ref="AS30:AS44" si="29">AQ30-AR30</f>
        <v>-2542</v>
      </c>
      <c r="AT30" s="91">
        <f t="shared" ref="AT30:AT44" si="30">-AS30*0.6583</f>
        <v>1673.3986</v>
      </c>
      <c r="AU30" s="86">
        <f t="shared" ref="AU30:AU44" si="31">AT30*$AQ$47</f>
        <v>106662.426764</v>
      </c>
      <c r="AV30" s="86"/>
      <c r="AW30" s="86">
        <v>134230</v>
      </c>
      <c r="AX30" s="86">
        <v>151403</v>
      </c>
      <c r="AY30" s="91">
        <f t="shared" ref="AY30:AY44" si="32">AW30-AX30</f>
        <v>-17173</v>
      </c>
      <c r="AZ30" s="91">
        <f t="shared" ref="AZ30:AZ44" si="33">-AY30*0.6583</f>
        <v>11304.9859</v>
      </c>
      <c r="BA30" s="86">
        <f t="shared" ref="BA30:BA44" si="34">AZ30*$AW$47</f>
        <v>575536.83216899994</v>
      </c>
      <c r="BB30" s="86">
        <v>163230</v>
      </c>
      <c r="BC30" s="86">
        <v>155183</v>
      </c>
      <c r="BD30" s="91">
        <f t="shared" ref="BD30:BD44" si="35">BB30-BC30</f>
        <v>8047</v>
      </c>
      <c r="BE30" s="86">
        <f t="shared" ref="BE30:BE44" si="36">BD30*0.6583</f>
        <v>5297.3401000000003</v>
      </c>
      <c r="BF30" s="63">
        <f>-BE30*$BB$47</f>
        <v>-248763.09109600002</v>
      </c>
      <c r="BG30" s="92"/>
      <c r="BH30" s="86">
        <v>159637</v>
      </c>
      <c r="BI30" s="86">
        <v>151403</v>
      </c>
      <c r="BJ30" s="91">
        <f t="shared" ref="BJ30:BJ44" si="37">BH30-BI30</f>
        <v>8234</v>
      </c>
      <c r="BK30" s="86">
        <f t="shared" ref="BK30:BK44" si="38">BJ30*0.6583</f>
        <v>5420.4422000000004</v>
      </c>
      <c r="BL30" s="93">
        <f t="shared" ref="BL30:BL44" si="39">-BK30*$BH$48</f>
        <v>-251508.51808000001</v>
      </c>
      <c r="BM30" s="93"/>
      <c r="BN30" s="86">
        <v>163880</v>
      </c>
      <c r="BO30" s="86">
        <v>153931</v>
      </c>
      <c r="BP30" s="91">
        <f t="shared" ref="BP30:BP44" si="40">BN30-BO30</f>
        <v>9949</v>
      </c>
      <c r="BQ30" s="86">
        <f t="shared" ref="BQ30:BQ44" si="41">BP30*0.6583</f>
        <v>6549.4267</v>
      </c>
      <c r="BR30" s="63">
        <f>-BQ30*$BN$47</f>
        <v>-394209.99307299999</v>
      </c>
    </row>
    <row r="31" spans="1:79">
      <c r="A31" t="s">
        <v>21</v>
      </c>
      <c r="B31" s="33">
        <f t="shared" si="14"/>
        <v>282532.62430000002</v>
      </c>
      <c r="C31" s="33">
        <f t="shared" si="12"/>
        <v>3333119.6319289999</v>
      </c>
      <c r="D31" s="33">
        <f t="shared" ref="D31:D44" si="42">B31-C31</f>
        <v>-3050587.0076289997</v>
      </c>
      <c r="E31" s="33"/>
      <c r="F31" s="33">
        <v>29837</v>
      </c>
      <c r="G31" s="33">
        <v>33513</v>
      </c>
      <c r="H31" s="83">
        <f t="shared" si="15"/>
        <v>-3676</v>
      </c>
      <c r="I31" s="31">
        <f t="shared" si="13"/>
        <v>-2419.9108000000001</v>
      </c>
      <c r="J31" s="11">
        <f t="shared" si="16"/>
        <v>174039.98473600001</v>
      </c>
      <c r="K31" s="11"/>
      <c r="L31" s="33">
        <v>30893</v>
      </c>
      <c r="M31" s="33">
        <v>31625</v>
      </c>
      <c r="N31" s="83">
        <f t="shared" ref="N31:N44" si="43">L31-M31</f>
        <v>-732</v>
      </c>
      <c r="O31" s="31">
        <f t="shared" si="17"/>
        <v>481.87560000000002</v>
      </c>
      <c r="P31" s="84">
        <f t="shared" si="18"/>
        <v>32439.865392</v>
      </c>
      <c r="Q31" s="85">
        <v>29524</v>
      </c>
      <c r="R31" s="86">
        <v>33969</v>
      </c>
      <c r="S31" s="83">
        <f t="shared" ref="S31:S44" si="44">Q31-R31</f>
        <v>-4445</v>
      </c>
      <c r="T31" s="31">
        <f>-S31*0.6583</f>
        <v>2926.1435000000001</v>
      </c>
      <c r="U31" s="84">
        <f t="shared" si="19"/>
        <v>209511.87459999998</v>
      </c>
      <c r="V31" s="86">
        <v>5075</v>
      </c>
      <c r="W31" s="88">
        <v>32618</v>
      </c>
      <c r="X31" s="83">
        <f t="shared" si="20"/>
        <v>-27543</v>
      </c>
      <c r="Y31" s="91">
        <f t="shared" si="21"/>
        <v>18131.5569</v>
      </c>
      <c r="Z31" s="77">
        <f t="shared" si="22"/>
        <v>1603010.9455289999</v>
      </c>
      <c r="AA31" s="86">
        <v>469</v>
      </c>
      <c r="AB31" s="86">
        <v>2427</v>
      </c>
      <c r="AC31" s="83">
        <f t="shared" si="23"/>
        <v>-1958</v>
      </c>
      <c r="AD31" s="91">
        <f t="shared" si="24"/>
        <v>1288.9513999999999</v>
      </c>
      <c r="AE31" s="19">
        <f t="shared" ref="AE31:AE43" si="45">AD31*$AA$47</f>
        <v>68701.109619999988</v>
      </c>
      <c r="AG31" s="86">
        <v>-216</v>
      </c>
      <c r="AH31" s="86">
        <v>0</v>
      </c>
      <c r="AI31" s="83">
        <f t="shared" si="25"/>
        <v>-216</v>
      </c>
      <c r="AJ31" s="91">
        <f t="shared" si="26"/>
        <v>142.19280000000001</v>
      </c>
      <c r="AK31" s="19">
        <f>AJ31*$AG$47</f>
        <v>2351.8689119999999</v>
      </c>
      <c r="AL31" s="86">
        <v>0</v>
      </c>
      <c r="AM31" s="86">
        <v>31474</v>
      </c>
      <c r="AN31" s="83">
        <f t="shared" si="27"/>
        <v>-31474</v>
      </c>
      <c r="AO31" s="91">
        <f t="shared" si="28"/>
        <v>20719.334200000001</v>
      </c>
      <c r="AP31" s="63">
        <f t="shared" ref="AP31:AP44" si="46">AO31*$AL$48</f>
        <v>1197784.710102</v>
      </c>
      <c r="AQ31" s="86">
        <v>22350</v>
      </c>
      <c r="AR31" s="86">
        <v>33683</v>
      </c>
      <c r="AS31" s="83">
        <f t="shared" si="29"/>
        <v>-11333</v>
      </c>
      <c r="AT31" s="91">
        <f t="shared" si="30"/>
        <v>7460.5138999999999</v>
      </c>
      <c r="AU31" s="86">
        <f t="shared" si="31"/>
        <v>475533.15598600003</v>
      </c>
      <c r="AV31" s="86"/>
      <c r="AW31" s="86">
        <v>13504</v>
      </c>
      <c r="AX31" s="86">
        <v>32911</v>
      </c>
      <c r="AY31" s="91">
        <f t="shared" si="32"/>
        <v>-19407</v>
      </c>
      <c r="AZ31" s="91">
        <f t="shared" si="33"/>
        <v>12775.6281</v>
      </c>
      <c r="BA31" s="86">
        <f t="shared" si="34"/>
        <v>650407.22657099995</v>
      </c>
      <c r="BB31" s="86">
        <v>8562</v>
      </c>
      <c r="BC31" s="86">
        <v>34300</v>
      </c>
      <c r="BD31" s="91">
        <f t="shared" si="35"/>
        <v>-25738</v>
      </c>
      <c r="BE31" s="86">
        <f t="shared" si="36"/>
        <v>-16943.325400000002</v>
      </c>
      <c r="BF31" s="63">
        <f>-BE31*$BB$47</f>
        <v>795658.56078400009</v>
      </c>
      <c r="BG31" s="92"/>
      <c r="BH31" s="86">
        <v>27374</v>
      </c>
      <c r="BI31" s="86">
        <v>33194</v>
      </c>
      <c r="BJ31" s="91">
        <f t="shared" si="37"/>
        <v>-5820</v>
      </c>
      <c r="BK31" s="86">
        <f t="shared" si="38"/>
        <v>-3831.306</v>
      </c>
      <c r="BL31" s="93">
        <f t="shared" si="39"/>
        <v>177772.59839999999</v>
      </c>
      <c r="BM31" s="93"/>
      <c r="BN31" s="86">
        <v>33336</v>
      </c>
      <c r="BO31" s="86">
        <v>34300</v>
      </c>
      <c r="BP31" s="91">
        <f t="shared" si="40"/>
        <v>-964</v>
      </c>
      <c r="BQ31" s="86">
        <f t="shared" si="41"/>
        <v>-634.60119999999995</v>
      </c>
      <c r="BR31" s="63">
        <f t="shared" ref="BR31:BR44" si="47">-BQ31*$BN$47</f>
        <v>38196.646227999998</v>
      </c>
    </row>
    <row r="32" spans="1:79">
      <c r="A32" t="s">
        <v>22</v>
      </c>
      <c r="B32" s="33">
        <f t="shared" si="14"/>
        <v>-2701.3448400000007</v>
      </c>
      <c r="C32" s="33">
        <f t="shared" si="12"/>
        <v>11157.887245000002</v>
      </c>
      <c r="D32" s="33">
        <f t="shared" si="42"/>
        <v>-13859.232085000003</v>
      </c>
      <c r="E32" s="33"/>
      <c r="F32" s="33">
        <v>1083</v>
      </c>
      <c r="G32" s="33">
        <v>117</v>
      </c>
      <c r="H32" s="83">
        <f t="shared" si="15"/>
        <v>966</v>
      </c>
      <c r="I32" s="31">
        <f t="shared" si="13"/>
        <v>635.91779999999994</v>
      </c>
      <c r="J32" s="11">
        <f t="shared" si="16"/>
        <v>-45735.208176</v>
      </c>
      <c r="K32" s="11"/>
      <c r="L32" s="33">
        <v>210</v>
      </c>
      <c r="M32" s="33">
        <v>181</v>
      </c>
      <c r="N32" s="83">
        <f t="shared" si="43"/>
        <v>29</v>
      </c>
      <c r="O32" s="31">
        <f t="shared" si="17"/>
        <v>-19.090699999999998</v>
      </c>
      <c r="P32" s="84">
        <f t="shared" si="18"/>
        <v>-1285.1859239999997</v>
      </c>
      <c r="Q32" s="85">
        <v>202</v>
      </c>
      <c r="R32" s="86">
        <v>104</v>
      </c>
      <c r="S32" s="83">
        <f t="shared" si="44"/>
        <v>98</v>
      </c>
      <c r="T32" s="31">
        <f t="shared" ref="T32:T44" si="48">-S32*0.6583</f>
        <v>-64.513400000000004</v>
      </c>
      <c r="U32" s="84">
        <f t="shared" si="19"/>
        <v>-4619.1594400000004</v>
      </c>
      <c r="V32" s="86">
        <v>0</v>
      </c>
      <c r="W32" s="88">
        <v>32</v>
      </c>
      <c r="X32" s="83">
        <f t="shared" si="20"/>
        <v>-32</v>
      </c>
      <c r="Y32" s="91">
        <f t="shared" si="21"/>
        <v>21.0656</v>
      </c>
      <c r="Z32" s="63">
        <f t="shared" si="22"/>
        <v>1862.4096959999999</v>
      </c>
      <c r="AA32" s="86">
        <v>0</v>
      </c>
      <c r="AB32" s="86">
        <v>25</v>
      </c>
      <c r="AC32" s="83">
        <f t="shared" si="23"/>
        <v>-25</v>
      </c>
      <c r="AD32" s="91">
        <f t="shared" si="24"/>
        <v>16.4575</v>
      </c>
      <c r="AE32" s="19">
        <f t="shared" si="45"/>
        <v>877.18474999999989</v>
      </c>
      <c r="AG32" s="86">
        <v>0</v>
      </c>
      <c r="AH32" s="86">
        <v>30</v>
      </c>
      <c r="AI32" s="83">
        <f t="shared" si="25"/>
        <v>-30</v>
      </c>
      <c r="AJ32" s="91">
        <f t="shared" si="26"/>
        <v>19.748999999999999</v>
      </c>
      <c r="AK32" s="19">
        <f t="shared" ref="AK32:AK44" si="49">AJ32*$AG$47</f>
        <v>326.64845999999994</v>
      </c>
      <c r="AL32" s="86">
        <v>0</v>
      </c>
      <c r="AM32" s="86">
        <v>457</v>
      </c>
      <c r="AN32" s="83">
        <f t="shared" si="27"/>
        <v>-457</v>
      </c>
      <c r="AO32" s="91">
        <f t="shared" si="28"/>
        <v>300.84309999999999</v>
      </c>
      <c r="AP32" s="63">
        <f t="shared" si="46"/>
        <v>17391.739611000001</v>
      </c>
      <c r="AQ32" s="86">
        <v>959</v>
      </c>
      <c r="AR32" s="86">
        <v>768</v>
      </c>
      <c r="AS32" s="83">
        <f t="shared" si="29"/>
        <v>191</v>
      </c>
      <c r="AT32" s="91">
        <f t="shared" si="30"/>
        <v>-125.7353</v>
      </c>
      <c r="AU32" s="86">
        <f t="shared" si="31"/>
        <v>-8014.3680219999997</v>
      </c>
      <c r="AV32" s="86"/>
      <c r="AW32" s="86">
        <v>157</v>
      </c>
      <c r="AX32" s="86">
        <v>833</v>
      </c>
      <c r="AY32" s="91">
        <f t="shared" si="32"/>
        <v>-676</v>
      </c>
      <c r="AZ32" s="91">
        <f t="shared" si="33"/>
        <v>445.01080000000002</v>
      </c>
      <c r="BA32" s="86">
        <f t="shared" si="34"/>
        <v>22655.499828</v>
      </c>
      <c r="BB32" s="86">
        <v>0</v>
      </c>
      <c r="BC32" s="86">
        <v>385</v>
      </c>
      <c r="BD32" s="91">
        <f t="shared" si="35"/>
        <v>-385</v>
      </c>
      <c r="BE32" s="86">
        <f t="shared" si="36"/>
        <v>-253.44550000000001</v>
      </c>
      <c r="BF32" s="63">
        <f>-BE32*$BB$47</f>
        <v>11901.80068</v>
      </c>
      <c r="BG32" s="92"/>
      <c r="BH32" s="86">
        <v>0</v>
      </c>
      <c r="BI32" s="86">
        <v>435</v>
      </c>
      <c r="BJ32" s="91">
        <f t="shared" si="37"/>
        <v>-435</v>
      </c>
      <c r="BK32" s="86">
        <f t="shared" si="38"/>
        <v>-286.3605</v>
      </c>
      <c r="BL32" s="93">
        <f t="shared" si="39"/>
        <v>13287.127199999999</v>
      </c>
      <c r="BM32" s="93"/>
      <c r="BN32" s="86">
        <v>151</v>
      </c>
      <c r="BO32" s="86">
        <v>180</v>
      </c>
      <c r="BP32" s="91">
        <f t="shared" si="40"/>
        <v>-29</v>
      </c>
      <c r="BQ32" s="86">
        <f t="shared" si="41"/>
        <v>-19.090699999999998</v>
      </c>
      <c r="BR32" s="63">
        <f t="shared" si="47"/>
        <v>1149.0692329999999</v>
      </c>
    </row>
    <row r="33" spans="1:70">
      <c r="A33" t="s">
        <v>23</v>
      </c>
      <c r="B33" s="33">
        <f t="shared" si="14"/>
        <v>1356.2008000000001</v>
      </c>
      <c r="C33" s="33">
        <f t="shared" si="12"/>
        <v>-33321.331592999995</v>
      </c>
      <c r="D33" s="33">
        <f t="shared" si="42"/>
        <v>34677.532392999994</v>
      </c>
      <c r="E33" s="33"/>
      <c r="F33" s="33">
        <v>31</v>
      </c>
      <c r="G33" s="33">
        <v>0</v>
      </c>
      <c r="H33" s="83">
        <f t="shared" si="15"/>
        <v>31</v>
      </c>
      <c r="I33" s="31">
        <f t="shared" si="13"/>
        <v>20.407299999999999</v>
      </c>
      <c r="J33" s="11">
        <f t="shared" si="16"/>
        <v>-1467.6930159999999</v>
      </c>
      <c r="K33" s="11"/>
      <c r="L33" s="33"/>
      <c r="M33" s="33">
        <v>0</v>
      </c>
      <c r="N33" s="83">
        <f t="shared" si="43"/>
        <v>0</v>
      </c>
      <c r="O33" s="31">
        <f t="shared" si="17"/>
        <v>0</v>
      </c>
      <c r="P33" s="84">
        <f t="shared" si="18"/>
        <v>0</v>
      </c>
      <c r="Q33" s="85">
        <v>0</v>
      </c>
      <c r="R33" s="86"/>
      <c r="S33" s="83">
        <f t="shared" si="44"/>
        <v>0</v>
      </c>
      <c r="T33" s="31">
        <f t="shared" si="48"/>
        <v>0</v>
      </c>
      <c r="U33" s="84">
        <f t="shared" si="19"/>
        <v>0</v>
      </c>
      <c r="V33" s="86">
        <v>24</v>
      </c>
      <c r="W33" s="88"/>
      <c r="X33" s="83">
        <f t="shared" si="20"/>
        <v>24</v>
      </c>
      <c r="Y33" s="91">
        <f t="shared" si="21"/>
        <v>-15.799199999999999</v>
      </c>
      <c r="Z33" s="63">
        <f t="shared" si="22"/>
        <v>-1396.8072719999998</v>
      </c>
      <c r="AA33" s="86">
        <v>547</v>
      </c>
      <c r="AB33" s="86"/>
      <c r="AC33" s="83">
        <f t="shared" si="23"/>
        <v>547</v>
      </c>
      <c r="AD33" s="91">
        <f t="shared" si="24"/>
        <v>-360.09010000000001</v>
      </c>
      <c r="AE33" s="19">
        <f t="shared" si="45"/>
        <v>-19192.802329999999</v>
      </c>
      <c r="AG33" s="86">
        <v>0</v>
      </c>
      <c r="AH33" s="86"/>
      <c r="AI33" s="83">
        <f t="shared" si="25"/>
        <v>0</v>
      </c>
      <c r="AJ33" s="91">
        <f t="shared" si="26"/>
        <v>0</v>
      </c>
      <c r="AK33" s="19">
        <f t="shared" si="49"/>
        <v>0</v>
      </c>
      <c r="AL33" s="86">
        <v>0</v>
      </c>
      <c r="AM33" s="86">
        <v>103</v>
      </c>
      <c r="AN33" s="83">
        <f t="shared" si="27"/>
        <v>-103</v>
      </c>
      <c r="AO33" s="91">
        <f t="shared" si="28"/>
        <v>67.804900000000004</v>
      </c>
      <c r="AP33" s="63">
        <f t="shared" si="46"/>
        <v>3919.8012690000005</v>
      </c>
      <c r="AQ33" s="86">
        <v>985</v>
      </c>
      <c r="AR33" s="86">
        <v>140</v>
      </c>
      <c r="AS33" s="83">
        <f t="shared" si="29"/>
        <v>845</v>
      </c>
      <c r="AT33" s="91">
        <f t="shared" si="30"/>
        <v>-556.26350000000002</v>
      </c>
      <c r="AU33" s="86">
        <f t="shared" si="31"/>
        <v>-35456.235489999999</v>
      </c>
      <c r="AV33" s="86"/>
      <c r="AW33" s="86">
        <v>0</v>
      </c>
      <c r="AX33" s="86">
        <v>52</v>
      </c>
      <c r="AY33" s="91">
        <f t="shared" si="32"/>
        <v>-52</v>
      </c>
      <c r="AZ33" s="91">
        <f t="shared" si="33"/>
        <v>34.2316</v>
      </c>
      <c r="BA33" s="86">
        <f t="shared" si="34"/>
        <v>1742.7307559999999</v>
      </c>
      <c r="BB33" s="86">
        <v>0</v>
      </c>
      <c r="BC33" s="86"/>
      <c r="BD33" s="91">
        <f t="shared" si="35"/>
        <v>0</v>
      </c>
      <c r="BE33" s="86">
        <f t="shared" si="36"/>
        <v>0</v>
      </c>
      <c r="BF33" s="63">
        <f t="shared" ref="BF33:BF44" si="50">-BE33*$BB$47</f>
        <v>0</v>
      </c>
      <c r="BG33" s="92"/>
      <c r="BH33" s="86">
        <v>0</v>
      </c>
      <c r="BI33" s="86">
        <v>0</v>
      </c>
      <c r="BJ33" s="91">
        <f t="shared" si="37"/>
        <v>0</v>
      </c>
      <c r="BK33" s="86">
        <f t="shared" si="38"/>
        <v>0</v>
      </c>
      <c r="BL33" s="93">
        <f t="shared" si="39"/>
        <v>0</v>
      </c>
      <c r="BM33" s="93"/>
      <c r="BN33" s="86"/>
      <c r="BO33" s="86"/>
      <c r="BP33" s="91"/>
      <c r="BQ33" s="86"/>
      <c r="BR33" s="63"/>
    </row>
    <row r="34" spans="1:70">
      <c r="A34" t="s">
        <v>24</v>
      </c>
      <c r="B34" s="33">
        <f t="shared" si="14"/>
        <v>2888.3166399999996</v>
      </c>
      <c r="C34" s="33">
        <f t="shared" si="12"/>
        <v>23229.108949000005</v>
      </c>
      <c r="D34" s="33">
        <f t="shared" si="42"/>
        <v>-20340.792309000004</v>
      </c>
      <c r="E34" s="33"/>
      <c r="F34" s="33">
        <v>1611</v>
      </c>
      <c r="G34" s="33">
        <v>45</v>
      </c>
      <c r="H34" s="83">
        <f t="shared" si="15"/>
        <v>1566</v>
      </c>
      <c r="I34" s="31">
        <f t="shared" si="13"/>
        <v>1030.8978</v>
      </c>
      <c r="J34" s="11">
        <f t="shared" si="16"/>
        <v>-74142.169775999995</v>
      </c>
      <c r="K34" s="11"/>
      <c r="L34" s="33">
        <v>-39</v>
      </c>
      <c r="M34" s="33">
        <v>0</v>
      </c>
      <c r="N34" s="83">
        <f t="shared" si="43"/>
        <v>-39</v>
      </c>
      <c r="O34" s="31">
        <f t="shared" si="17"/>
        <v>25.6737</v>
      </c>
      <c r="P34" s="84">
        <f t="shared" si="18"/>
        <v>1728.3534839999998</v>
      </c>
      <c r="Q34" s="85">
        <v>-18</v>
      </c>
      <c r="R34" s="86"/>
      <c r="S34" s="83">
        <f t="shared" si="44"/>
        <v>-18</v>
      </c>
      <c r="T34" s="31">
        <f t="shared" si="48"/>
        <v>11.849399999999999</v>
      </c>
      <c r="U34" s="84">
        <f t="shared" si="19"/>
        <v>848.41703999999993</v>
      </c>
      <c r="V34" s="86">
        <v>-13</v>
      </c>
      <c r="W34" s="88"/>
      <c r="X34" s="83">
        <f t="shared" si="20"/>
        <v>-13</v>
      </c>
      <c r="Y34" s="91">
        <f t="shared" si="21"/>
        <v>8.5579000000000001</v>
      </c>
      <c r="Z34" s="63">
        <f t="shared" si="22"/>
        <v>756.60393899999997</v>
      </c>
      <c r="AA34" s="86">
        <v>-30</v>
      </c>
      <c r="AB34" s="86"/>
      <c r="AC34" s="83">
        <f t="shared" si="23"/>
        <v>-30</v>
      </c>
      <c r="AD34" s="91">
        <f t="shared" si="24"/>
        <v>19.748999999999999</v>
      </c>
      <c r="AE34" s="19">
        <f t="shared" si="45"/>
        <v>1052.6216999999999</v>
      </c>
      <c r="AG34" s="86">
        <v>28</v>
      </c>
      <c r="AH34" s="86">
        <v>27</v>
      </c>
      <c r="AI34" s="83">
        <f t="shared" si="25"/>
        <v>1</v>
      </c>
      <c r="AJ34" s="91">
        <f t="shared" si="26"/>
        <v>-0.6583</v>
      </c>
      <c r="AK34" s="19">
        <f t="shared" si="49"/>
        <v>-10.888282</v>
      </c>
      <c r="AL34" s="86">
        <v>1493</v>
      </c>
      <c r="AM34" s="86">
        <v>809</v>
      </c>
      <c r="AN34" s="83">
        <f t="shared" si="27"/>
        <v>684</v>
      </c>
      <c r="AO34" s="91">
        <f t="shared" si="28"/>
        <v>-450.27719999999999</v>
      </c>
      <c r="AP34" s="63">
        <f t="shared" si="46"/>
        <v>-26030.524932</v>
      </c>
      <c r="AQ34" s="86">
        <v>24</v>
      </c>
      <c r="AR34" s="86">
        <v>1196</v>
      </c>
      <c r="AS34" s="83">
        <f t="shared" si="29"/>
        <v>-1172</v>
      </c>
      <c r="AT34" s="91">
        <f t="shared" si="30"/>
        <v>771.52760000000001</v>
      </c>
      <c r="AU34" s="86">
        <f t="shared" si="31"/>
        <v>49177.169224000005</v>
      </c>
      <c r="AV34" s="86"/>
      <c r="AW34" s="86">
        <v>-45</v>
      </c>
      <c r="AX34" s="86">
        <v>697</v>
      </c>
      <c r="AY34" s="91">
        <f t="shared" si="32"/>
        <v>-742</v>
      </c>
      <c r="AZ34" s="91">
        <f t="shared" si="33"/>
        <v>488.45859999999999</v>
      </c>
      <c r="BA34" s="86">
        <f t="shared" si="34"/>
        <v>24867.427325999997</v>
      </c>
      <c r="BB34" s="86">
        <v>206</v>
      </c>
      <c r="BC34" s="86">
        <v>0</v>
      </c>
      <c r="BD34" s="91">
        <f t="shared" si="35"/>
        <v>206</v>
      </c>
      <c r="BE34" s="86">
        <f t="shared" si="36"/>
        <v>135.60980000000001</v>
      </c>
      <c r="BF34" s="63">
        <f t="shared" si="50"/>
        <v>-6368.2362080000003</v>
      </c>
      <c r="BG34" s="92"/>
      <c r="BH34" s="86">
        <v>-62</v>
      </c>
      <c r="BI34" s="86">
        <v>26</v>
      </c>
      <c r="BJ34" s="91">
        <f t="shared" si="37"/>
        <v>-88</v>
      </c>
      <c r="BK34" s="86">
        <f t="shared" si="38"/>
        <v>-57.930399999999999</v>
      </c>
      <c r="BL34" s="93">
        <f t="shared" si="39"/>
        <v>2687.9705599999998</v>
      </c>
      <c r="BM34" s="93"/>
      <c r="BN34" s="86">
        <v>9912</v>
      </c>
      <c r="BO34" s="86">
        <v>0</v>
      </c>
      <c r="BP34" s="91">
        <f t="shared" si="40"/>
        <v>9912</v>
      </c>
      <c r="BQ34" s="86">
        <f t="shared" si="41"/>
        <v>6525.0695999999998</v>
      </c>
      <c r="BR34" s="63">
        <f t="shared" si="47"/>
        <v>-392743.93922399997</v>
      </c>
    </row>
    <row r="35" spans="1:70">
      <c r="A35" t="s">
        <v>25</v>
      </c>
      <c r="B35" s="33">
        <f t="shared" si="14"/>
        <v>8879.6488799999988</v>
      </c>
      <c r="C35" s="33">
        <f t="shared" si="12"/>
        <v>-306944.25470200001</v>
      </c>
      <c r="D35" s="33">
        <f t="shared" si="42"/>
        <v>315823.903582</v>
      </c>
      <c r="E35" s="33"/>
      <c r="F35" s="33">
        <v>5403</v>
      </c>
      <c r="G35" s="33">
        <v>87</v>
      </c>
      <c r="H35" s="83">
        <f t="shared" si="15"/>
        <v>5316</v>
      </c>
      <c r="I35" s="31">
        <f t="shared" si="13"/>
        <v>3499.5228000000002</v>
      </c>
      <c r="J35" s="11">
        <f t="shared" si="16"/>
        <v>-251685.67977600003</v>
      </c>
      <c r="K35" s="11"/>
      <c r="L35" s="33">
        <v>600</v>
      </c>
      <c r="M35" s="33">
        <v>65</v>
      </c>
      <c r="N35" s="83">
        <f t="shared" si="43"/>
        <v>535</v>
      </c>
      <c r="O35" s="31">
        <f t="shared" si="17"/>
        <v>-352.19049999999999</v>
      </c>
      <c r="P35" s="84">
        <f t="shared" si="18"/>
        <v>-23709.464459999996</v>
      </c>
      <c r="Q35" s="85">
        <v>84</v>
      </c>
      <c r="R35" s="86">
        <v>125</v>
      </c>
      <c r="S35" s="83">
        <f t="shared" si="44"/>
        <v>-41</v>
      </c>
      <c r="T35" s="31">
        <f t="shared" si="48"/>
        <v>26.990300000000001</v>
      </c>
      <c r="U35" s="84">
        <f t="shared" si="19"/>
        <v>1932.50548</v>
      </c>
      <c r="V35" s="86">
        <v>3769</v>
      </c>
      <c r="W35" s="88">
        <v>24</v>
      </c>
      <c r="X35" s="83">
        <f t="shared" si="20"/>
        <v>3745</v>
      </c>
      <c r="Y35" s="91">
        <f t="shared" si="21"/>
        <v>-2465.3335000000002</v>
      </c>
      <c r="Z35" s="63">
        <f t="shared" si="22"/>
        <v>-217960.134735</v>
      </c>
      <c r="AA35" s="86">
        <v>112</v>
      </c>
      <c r="AB35" s="86">
        <v>8</v>
      </c>
      <c r="AC35" s="83">
        <f t="shared" si="23"/>
        <v>104</v>
      </c>
      <c r="AD35" s="91">
        <f t="shared" si="24"/>
        <v>-68.463200000000001</v>
      </c>
      <c r="AE35" s="19">
        <f t="shared" si="45"/>
        <v>-3649.0885599999997</v>
      </c>
      <c r="AG35" s="86">
        <v>109</v>
      </c>
      <c r="AH35" s="86">
        <v>52</v>
      </c>
      <c r="AI35" s="83">
        <f t="shared" si="25"/>
        <v>57</v>
      </c>
      <c r="AJ35" s="91">
        <f t="shared" si="26"/>
        <v>-37.523099999999999</v>
      </c>
      <c r="AK35" s="19">
        <f t="shared" si="49"/>
        <v>-620.63207399999999</v>
      </c>
      <c r="AL35" s="86">
        <v>1145</v>
      </c>
      <c r="AM35" s="86">
        <v>906</v>
      </c>
      <c r="AN35" s="83">
        <f t="shared" si="27"/>
        <v>239</v>
      </c>
      <c r="AO35" s="91">
        <f t="shared" si="28"/>
        <v>-157.33369999999999</v>
      </c>
      <c r="AP35" s="63">
        <f t="shared" si="46"/>
        <v>-9095.4611970000005</v>
      </c>
      <c r="AQ35" s="86">
        <v>3407</v>
      </c>
      <c r="AR35" s="86">
        <v>1419</v>
      </c>
      <c r="AS35" s="83">
        <f t="shared" si="29"/>
        <v>1988</v>
      </c>
      <c r="AT35" s="91">
        <f t="shared" si="30"/>
        <v>-1308.7003999999999</v>
      </c>
      <c r="AU35" s="86">
        <f t="shared" si="31"/>
        <v>-83416.563496000002</v>
      </c>
      <c r="AV35" s="86"/>
      <c r="AW35" s="86">
        <v>1577</v>
      </c>
      <c r="AX35" s="86">
        <v>1393</v>
      </c>
      <c r="AY35" s="91">
        <f t="shared" si="32"/>
        <v>184</v>
      </c>
      <c r="AZ35" s="91">
        <f t="shared" si="33"/>
        <v>-121.1272</v>
      </c>
      <c r="BA35" s="86">
        <f t="shared" si="34"/>
        <v>-6166.585752</v>
      </c>
      <c r="BB35" s="86">
        <v>233</v>
      </c>
      <c r="BC35" s="86">
        <v>349</v>
      </c>
      <c r="BD35" s="91">
        <f t="shared" si="35"/>
        <v>-116</v>
      </c>
      <c r="BE35" s="86">
        <f t="shared" si="36"/>
        <v>-76.362799999999993</v>
      </c>
      <c r="BF35" s="63">
        <f t="shared" si="50"/>
        <v>3585.9970879999996</v>
      </c>
      <c r="BG35" s="92"/>
      <c r="BH35" s="86">
        <v>63</v>
      </c>
      <c r="BI35" s="86">
        <v>246</v>
      </c>
      <c r="BJ35" s="91">
        <f t="shared" si="37"/>
        <v>-183</v>
      </c>
      <c r="BK35" s="86">
        <f t="shared" si="38"/>
        <v>-120.4689</v>
      </c>
      <c r="BL35" s="93">
        <f t="shared" si="39"/>
        <v>5589.7569599999997</v>
      </c>
      <c r="BM35" s="93"/>
      <c r="BN35" s="86">
        <v>4107</v>
      </c>
      <c r="BO35" s="86">
        <v>73</v>
      </c>
      <c r="BP35" s="91">
        <f t="shared" si="40"/>
        <v>4034</v>
      </c>
      <c r="BQ35" s="86">
        <f t="shared" si="41"/>
        <v>2655.5821999999998</v>
      </c>
      <c r="BR35" s="63">
        <f t="shared" si="47"/>
        <v>-159839.49261799999</v>
      </c>
    </row>
    <row r="36" spans="1:70">
      <c r="A36" t="s">
        <v>26</v>
      </c>
      <c r="B36" s="36">
        <f t="shared" si="14"/>
        <v>-3295253.61894</v>
      </c>
      <c r="C36" s="33">
        <f t="shared" si="12"/>
        <v>-3817266.0601950004</v>
      </c>
      <c r="D36" s="36">
        <f t="shared" si="42"/>
        <v>522012.44125500042</v>
      </c>
      <c r="E36" s="36"/>
      <c r="F36" s="37">
        <v>188733</v>
      </c>
      <c r="G36" s="37">
        <v>86897</v>
      </c>
      <c r="H36" s="83">
        <f t="shared" si="15"/>
        <v>101836</v>
      </c>
      <c r="I36" s="31">
        <f t="shared" si="13"/>
        <v>67038.638800000001</v>
      </c>
      <c r="J36" s="11">
        <f t="shared" si="16"/>
        <v>-4821418.9024959998</v>
      </c>
      <c r="K36" s="11"/>
      <c r="L36" s="33">
        <v>186014</v>
      </c>
      <c r="M36" s="33">
        <v>96660</v>
      </c>
      <c r="N36" s="83">
        <f t="shared" si="43"/>
        <v>89354</v>
      </c>
      <c r="O36" s="31">
        <f t="shared" si="17"/>
        <v>-58821.7382</v>
      </c>
      <c r="P36" s="84">
        <f t="shared" si="18"/>
        <v>-3959879.4156239997</v>
      </c>
      <c r="Q36" s="86">
        <v>178323</v>
      </c>
      <c r="R36" s="86">
        <v>92510</v>
      </c>
      <c r="S36" s="83">
        <f t="shared" si="44"/>
        <v>85813</v>
      </c>
      <c r="T36" s="31">
        <f>-S36*0.6583</f>
        <v>-56490.697899999999</v>
      </c>
      <c r="U36" s="87">
        <f t="shared" si="19"/>
        <v>-4044733.9696399998</v>
      </c>
      <c r="V36" s="86">
        <v>94865</v>
      </c>
      <c r="W36" s="88">
        <v>48387</v>
      </c>
      <c r="X36" s="83">
        <f t="shared" si="20"/>
        <v>46478</v>
      </c>
      <c r="Y36" s="91">
        <f t="shared" si="21"/>
        <v>-30596.467400000001</v>
      </c>
      <c r="Z36" s="77">
        <f t="shared" si="22"/>
        <v>-2705033.6828339999</v>
      </c>
      <c r="AA36" s="86">
        <v>45002</v>
      </c>
      <c r="AB36" s="86">
        <v>40653</v>
      </c>
      <c r="AC36" s="83">
        <f t="shared" si="23"/>
        <v>4349</v>
      </c>
      <c r="AD36" s="91">
        <f t="shared" si="24"/>
        <v>-2862.9467</v>
      </c>
      <c r="AE36" s="97">
        <f t="shared" si="45"/>
        <v>-152595.05911</v>
      </c>
      <c r="AG36" s="86">
        <v>3274</v>
      </c>
      <c r="AH36" s="86">
        <v>31981</v>
      </c>
      <c r="AI36" s="83">
        <f t="shared" si="25"/>
        <v>-28707</v>
      </c>
      <c r="AJ36" s="91">
        <f t="shared" si="26"/>
        <v>18897.8181</v>
      </c>
      <c r="AK36" s="97">
        <f t="shared" si="49"/>
        <v>312569.91137400002</v>
      </c>
      <c r="AL36" s="86">
        <v>99684</v>
      </c>
      <c r="AM36" s="86">
        <v>103983</v>
      </c>
      <c r="AN36" s="83">
        <f t="shared" si="27"/>
        <v>-4299</v>
      </c>
      <c r="AO36" s="91">
        <f t="shared" si="28"/>
        <v>2830.0317</v>
      </c>
      <c r="AP36" s="63">
        <f t="shared" si="46"/>
        <v>163604.13257700001</v>
      </c>
      <c r="AQ36" s="86">
        <v>179819</v>
      </c>
      <c r="AR36" s="86">
        <v>134233</v>
      </c>
      <c r="AS36" s="83">
        <f t="shared" si="29"/>
        <v>45586</v>
      </c>
      <c r="AT36" s="91">
        <f t="shared" si="30"/>
        <v>-30009.263800000001</v>
      </c>
      <c r="AU36" s="86">
        <f t="shared" si="31"/>
        <v>-1912790.4746120002</v>
      </c>
      <c r="AV36" s="86"/>
      <c r="AW36" s="86">
        <v>176348</v>
      </c>
      <c r="AX36" s="86">
        <v>155354</v>
      </c>
      <c r="AY36" s="91">
        <f t="shared" si="32"/>
        <v>20994</v>
      </c>
      <c r="AZ36" s="91">
        <f t="shared" si="33"/>
        <v>-13820.350200000001</v>
      </c>
      <c r="BA36" s="86">
        <f t="shared" si="34"/>
        <v>-703594.028682</v>
      </c>
      <c r="BB36" s="86">
        <v>189295</v>
      </c>
      <c r="BC36" s="86">
        <v>152825</v>
      </c>
      <c r="BD36" s="91">
        <f t="shared" si="35"/>
        <v>36470</v>
      </c>
      <c r="BE36" s="86">
        <f t="shared" si="36"/>
        <v>24008.201000000001</v>
      </c>
      <c r="BF36" s="63">
        <f t="shared" si="50"/>
        <v>-1127425.1189600001</v>
      </c>
      <c r="BG36" s="92"/>
      <c r="BH36" s="86">
        <v>166974</v>
      </c>
      <c r="BI36" s="86">
        <v>153389</v>
      </c>
      <c r="BJ36" s="91">
        <f t="shared" si="37"/>
        <v>13585</v>
      </c>
      <c r="BK36" s="86">
        <f t="shared" si="38"/>
        <v>8943.0054999999993</v>
      </c>
      <c r="BL36" s="93">
        <f t="shared" si="39"/>
        <v>-414955.45519999997</v>
      </c>
      <c r="BM36" s="93"/>
      <c r="BN36" s="86">
        <v>187988</v>
      </c>
      <c r="BO36" s="86">
        <v>134092</v>
      </c>
      <c r="BP36" s="91">
        <f t="shared" si="40"/>
        <v>53896</v>
      </c>
      <c r="BQ36" s="86">
        <f>BP36*0.6583</f>
        <v>35479.736799999999</v>
      </c>
      <c r="BR36" s="63">
        <f t="shared" si="47"/>
        <v>-2135525.3579919999</v>
      </c>
    </row>
    <row r="37" spans="1:70">
      <c r="A37" t="s">
        <v>77</v>
      </c>
      <c r="B37" s="37">
        <f t="shared" si="14"/>
        <v>-60834.505299999975</v>
      </c>
      <c r="C37" s="33">
        <f t="shared" si="12"/>
        <v>-144761.85652099998</v>
      </c>
      <c r="D37" s="37">
        <f t="shared" si="42"/>
        <v>83927.351221000004</v>
      </c>
      <c r="E37" s="37"/>
      <c r="F37" s="37">
        <v>76140</v>
      </c>
      <c r="G37" s="37">
        <v>66000</v>
      </c>
      <c r="H37" s="83">
        <f t="shared" si="15"/>
        <v>10140</v>
      </c>
      <c r="I37" s="31">
        <f t="shared" si="13"/>
        <v>6675.1620000000003</v>
      </c>
      <c r="J37" s="11">
        <f t="shared" si="16"/>
        <v>-480077.65104000003</v>
      </c>
      <c r="K37" s="11"/>
      <c r="L37" s="33">
        <v>68800</v>
      </c>
      <c r="M37" s="33">
        <v>61700</v>
      </c>
      <c r="N37" s="83">
        <f t="shared" si="43"/>
        <v>7100</v>
      </c>
      <c r="O37" s="31">
        <f t="shared" si="17"/>
        <v>-4673.93</v>
      </c>
      <c r="P37" s="84">
        <f t="shared" si="18"/>
        <v>-314648.96759999997</v>
      </c>
      <c r="Q37" s="86">
        <v>37590</v>
      </c>
      <c r="R37" s="86">
        <v>32600</v>
      </c>
      <c r="S37" s="83">
        <f t="shared" si="44"/>
        <v>4990</v>
      </c>
      <c r="T37" s="31">
        <f t="shared" si="48"/>
        <v>-3284.9169999999999</v>
      </c>
      <c r="U37" s="84">
        <f t="shared" si="19"/>
        <v>-235200.05719999998</v>
      </c>
      <c r="V37" s="86">
        <v>36407</v>
      </c>
      <c r="W37" s="88">
        <v>31600</v>
      </c>
      <c r="X37" s="83">
        <f t="shared" si="20"/>
        <v>4807</v>
      </c>
      <c r="Y37" s="91">
        <f t="shared" si="21"/>
        <v>-3164.4481000000001</v>
      </c>
      <c r="Z37" s="63">
        <f t="shared" si="22"/>
        <v>-279768.85652099998</v>
      </c>
      <c r="AA37" s="86">
        <v>0</v>
      </c>
      <c r="AB37" s="86">
        <v>0</v>
      </c>
      <c r="AC37" s="83">
        <f t="shared" si="23"/>
        <v>0</v>
      </c>
      <c r="AD37" s="91">
        <f t="shared" si="24"/>
        <v>0</v>
      </c>
      <c r="AE37" s="19">
        <f t="shared" si="45"/>
        <v>0</v>
      </c>
      <c r="AG37" s="86">
        <v>0</v>
      </c>
      <c r="AH37" s="86">
        <v>0</v>
      </c>
      <c r="AI37" s="83">
        <f t="shared" si="25"/>
        <v>0</v>
      </c>
      <c r="AJ37" s="91">
        <f t="shared" si="26"/>
        <v>0</v>
      </c>
      <c r="AK37" s="19">
        <f t="shared" si="49"/>
        <v>0</v>
      </c>
      <c r="AL37" s="86"/>
      <c r="AM37" s="86">
        <v>0</v>
      </c>
      <c r="AN37" s="83">
        <f t="shared" si="27"/>
        <v>0</v>
      </c>
      <c r="AO37" s="91">
        <f t="shared" si="28"/>
        <v>0</v>
      </c>
      <c r="AP37" s="63">
        <f t="shared" si="46"/>
        <v>0</v>
      </c>
      <c r="AQ37" s="86"/>
      <c r="AR37" s="86">
        <v>0</v>
      </c>
      <c r="AS37" s="83">
        <f t="shared" si="29"/>
        <v>0</v>
      </c>
      <c r="AT37" s="91">
        <f t="shared" si="30"/>
        <v>0</v>
      </c>
      <c r="AU37" s="86">
        <f t="shared" si="31"/>
        <v>0</v>
      </c>
      <c r="AV37" s="86"/>
      <c r="AW37" s="86"/>
      <c r="AX37" s="86">
        <v>0</v>
      </c>
      <c r="AY37" s="83">
        <f t="shared" si="32"/>
        <v>0</v>
      </c>
      <c r="AZ37" s="91">
        <f t="shared" si="33"/>
        <v>0</v>
      </c>
      <c r="BA37" s="86">
        <f t="shared" si="34"/>
        <v>0</v>
      </c>
      <c r="BB37" s="86"/>
      <c r="BC37" s="86">
        <v>0</v>
      </c>
      <c r="BD37" s="91">
        <f t="shared" si="35"/>
        <v>0</v>
      </c>
      <c r="BE37" s="86">
        <f t="shared" si="36"/>
        <v>0</v>
      </c>
      <c r="BF37" s="63">
        <f t="shared" si="50"/>
        <v>0</v>
      </c>
      <c r="BG37" s="92"/>
      <c r="BH37" s="86">
        <v>76757</v>
      </c>
      <c r="BI37" s="86">
        <v>63800</v>
      </c>
      <c r="BJ37" s="83">
        <f t="shared" si="37"/>
        <v>12957</v>
      </c>
      <c r="BK37" s="86">
        <f t="shared" si="38"/>
        <v>8529.5931</v>
      </c>
      <c r="BL37" s="93">
        <f t="shared" si="39"/>
        <v>-395773.11984</v>
      </c>
      <c r="BM37" s="93"/>
      <c r="BN37" s="86">
        <v>79305</v>
      </c>
      <c r="BO37" s="86">
        <v>66000</v>
      </c>
      <c r="BP37" s="91">
        <f t="shared" si="40"/>
        <v>13305</v>
      </c>
      <c r="BQ37" s="86">
        <f t="shared" si="41"/>
        <v>8758.6815000000006</v>
      </c>
      <c r="BR37" s="63">
        <f t="shared" si="47"/>
        <v>-527185.03948500007</v>
      </c>
    </row>
    <row r="38" spans="1:70">
      <c r="A38" t="s">
        <v>78</v>
      </c>
      <c r="B38" s="37">
        <f t="shared" si="14"/>
        <v>46084.001259999997</v>
      </c>
      <c r="C38" s="33">
        <f t="shared" si="12"/>
        <v>-12918.855740999999</v>
      </c>
      <c r="D38" s="37">
        <f t="shared" si="42"/>
        <v>59002.857000999997</v>
      </c>
      <c r="E38" s="37"/>
      <c r="F38" s="37">
        <v>1081</v>
      </c>
      <c r="G38" s="37">
        <v>1700</v>
      </c>
      <c r="H38" s="83">
        <f t="shared" si="15"/>
        <v>-619</v>
      </c>
      <c r="I38" s="31">
        <f t="shared" si="13"/>
        <v>-407.48770000000002</v>
      </c>
      <c r="J38" s="11">
        <f t="shared" si="16"/>
        <v>29306.515384000002</v>
      </c>
      <c r="K38" s="11"/>
      <c r="L38" s="33">
        <v>942</v>
      </c>
      <c r="M38" s="33">
        <f>100+700+400+600+100</f>
        <v>1900</v>
      </c>
      <c r="N38" s="83">
        <f t="shared" si="43"/>
        <v>-958</v>
      </c>
      <c r="O38" s="31">
        <f t="shared" si="17"/>
        <v>630.65139999999997</v>
      </c>
      <c r="P38" s="84">
        <f t="shared" si="18"/>
        <v>42455.452247999994</v>
      </c>
      <c r="Q38" s="86">
        <v>1433</v>
      </c>
      <c r="R38" s="86">
        <f>100+700+500+600+300</f>
        <v>2200</v>
      </c>
      <c r="S38" s="83">
        <f t="shared" si="44"/>
        <v>-767</v>
      </c>
      <c r="T38" s="31">
        <f t="shared" si="48"/>
        <v>504.91609999999997</v>
      </c>
      <c r="U38" s="84">
        <f t="shared" si="19"/>
        <v>36151.992759999994</v>
      </c>
      <c r="V38" s="86">
        <v>2335</v>
      </c>
      <c r="W38" s="88">
        <v>3300</v>
      </c>
      <c r="X38" s="83">
        <f t="shared" si="20"/>
        <v>-965</v>
      </c>
      <c r="Y38" s="91">
        <f t="shared" si="21"/>
        <v>635.2595</v>
      </c>
      <c r="Z38" s="63">
        <f t="shared" si="22"/>
        <v>56163.292394999997</v>
      </c>
      <c r="AA38" s="86">
        <v>2879</v>
      </c>
      <c r="AB38" s="86">
        <v>2900</v>
      </c>
      <c r="AC38" s="83">
        <f t="shared" si="23"/>
        <v>-21</v>
      </c>
      <c r="AD38" s="91">
        <f t="shared" si="24"/>
        <v>13.824299999999999</v>
      </c>
      <c r="AE38" s="19">
        <f t="shared" si="45"/>
        <v>736.8351899999999</v>
      </c>
      <c r="AG38" s="86">
        <v>3170</v>
      </c>
      <c r="AH38" s="86">
        <v>3200</v>
      </c>
      <c r="AI38" s="83">
        <f t="shared" si="25"/>
        <v>-30</v>
      </c>
      <c r="AJ38" s="91">
        <f t="shared" si="26"/>
        <v>19.748999999999999</v>
      </c>
      <c r="AK38" s="19">
        <f t="shared" si="49"/>
        <v>326.64845999999994</v>
      </c>
      <c r="AL38" s="86">
        <v>3174</v>
      </c>
      <c r="AM38" s="86">
        <v>2200</v>
      </c>
      <c r="AN38" s="83">
        <f t="shared" si="27"/>
        <v>974</v>
      </c>
      <c r="AO38" s="91">
        <f t="shared" si="28"/>
        <v>-641.18420000000003</v>
      </c>
      <c r="AP38" s="63">
        <f t="shared" si="46"/>
        <v>-37066.858602</v>
      </c>
      <c r="AQ38" s="86">
        <v>1907</v>
      </c>
      <c r="AR38" s="86">
        <v>900</v>
      </c>
      <c r="AS38" s="83">
        <f t="shared" si="29"/>
        <v>1007</v>
      </c>
      <c r="AT38" s="91">
        <f t="shared" si="30"/>
        <v>-662.90809999999999</v>
      </c>
      <c r="AU38" s="86">
        <f t="shared" si="31"/>
        <v>-42253.762294</v>
      </c>
      <c r="AV38" s="86"/>
      <c r="AW38" s="86">
        <v>1063</v>
      </c>
      <c r="AX38" s="86">
        <v>600</v>
      </c>
      <c r="AY38" s="83">
        <f t="shared" si="32"/>
        <v>463</v>
      </c>
      <c r="AZ38" s="91">
        <f t="shared" si="33"/>
        <v>-304.79289999999997</v>
      </c>
      <c r="BA38" s="86">
        <f t="shared" si="34"/>
        <v>-15517.006538999998</v>
      </c>
      <c r="BB38" s="86">
        <v>833</v>
      </c>
      <c r="BC38" s="86">
        <v>800</v>
      </c>
      <c r="BD38" s="83">
        <f t="shared" si="35"/>
        <v>33</v>
      </c>
      <c r="BE38" s="86">
        <f t="shared" si="36"/>
        <v>21.7239</v>
      </c>
      <c r="BF38" s="63">
        <f t="shared" si="50"/>
        <v>-1020.154344</v>
      </c>
      <c r="BG38" s="92"/>
      <c r="BH38" s="86">
        <v>871</v>
      </c>
      <c r="BI38" s="86">
        <v>1000</v>
      </c>
      <c r="BJ38" s="83">
        <f t="shared" si="37"/>
        <v>-129</v>
      </c>
      <c r="BK38" s="86">
        <f t="shared" si="38"/>
        <v>-84.920699999999997</v>
      </c>
      <c r="BL38" s="93">
        <f t="shared" si="39"/>
        <v>3940.3204799999999</v>
      </c>
      <c r="BM38" s="93"/>
      <c r="BN38" s="86">
        <v>1131</v>
      </c>
      <c r="BO38" s="86">
        <v>1300</v>
      </c>
      <c r="BP38" s="91">
        <f t="shared" si="40"/>
        <v>-169</v>
      </c>
      <c r="BQ38" s="86">
        <f t="shared" si="41"/>
        <v>-111.2527</v>
      </c>
      <c r="BR38" s="63">
        <f t="shared" si="47"/>
        <v>6696.300013</v>
      </c>
    </row>
    <row r="39" spans="1:70">
      <c r="A39" t="s">
        <v>79</v>
      </c>
      <c r="B39" s="37">
        <f t="shared" si="14"/>
        <v>116233.54886000001</v>
      </c>
      <c r="C39" s="33">
        <f t="shared" si="12"/>
        <v>-69016.092942000061</v>
      </c>
      <c r="D39" s="37">
        <f t="shared" si="42"/>
        <v>185249.64180200006</v>
      </c>
      <c r="E39" s="37"/>
      <c r="F39" s="37">
        <v>3627</v>
      </c>
      <c r="G39" s="37">
        <v>5300</v>
      </c>
      <c r="H39" s="83">
        <f t="shared" si="15"/>
        <v>-1673</v>
      </c>
      <c r="I39" s="31">
        <f t="shared" si="13"/>
        <v>-1101.3359</v>
      </c>
      <c r="J39" s="11">
        <f t="shared" si="16"/>
        <v>79208.077927999999</v>
      </c>
      <c r="K39" s="11"/>
      <c r="L39" s="33">
        <v>2814</v>
      </c>
      <c r="M39" s="33">
        <v>8200</v>
      </c>
      <c r="N39" s="83">
        <f t="shared" si="43"/>
        <v>-5386</v>
      </c>
      <c r="O39" s="31">
        <f t="shared" si="17"/>
        <v>3545.6037999999999</v>
      </c>
      <c r="P39" s="84">
        <f t="shared" si="18"/>
        <v>238690.04781599998</v>
      </c>
      <c r="Q39" s="86">
        <v>7693</v>
      </c>
      <c r="R39" s="86">
        <v>9700</v>
      </c>
      <c r="S39" s="83">
        <f t="shared" si="44"/>
        <v>-2007</v>
      </c>
      <c r="T39" s="31">
        <f t="shared" si="48"/>
        <v>1321.2081000000001</v>
      </c>
      <c r="U39" s="84">
        <f t="shared" si="19"/>
        <v>94598.499960000001</v>
      </c>
      <c r="V39" s="86">
        <v>8035</v>
      </c>
      <c r="W39" s="88">
        <v>10200</v>
      </c>
      <c r="X39" s="83">
        <f t="shared" si="20"/>
        <v>-2165</v>
      </c>
      <c r="Y39" s="91">
        <f t="shared" si="21"/>
        <v>1425.2194999999999</v>
      </c>
      <c r="Z39" s="63">
        <f t="shared" si="22"/>
        <v>126003.65599499999</v>
      </c>
      <c r="AA39" s="86">
        <v>4725</v>
      </c>
      <c r="AB39" s="86">
        <v>9200</v>
      </c>
      <c r="AC39" s="83">
        <f t="shared" si="23"/>
        <v>-4475</v>
      </c>
      <c r="AD39" s="91">
        <f t="shared" si="24"/>
        <v>2945.8924999999999</v>
      </c>
      <c r="AE39" s="19">
        <f t="shared" si="45"/>
        <v>157016.07024999999</v>
      </c>
      <c r="AG39" s="86">
        <v>4682</v>
      </c>
      <c r="AH39" s="86">
        <v>5300</v>
      </c>
      <c r="AI39" s="83">
        <f t="shared" si="25"/>
        <v>-618</v>
      </c>
      <c r="AJ39" s="91">
        <f t="shared" si="26"/>
        <v>406.82940000000002</v>
      </c>
      <c r="AK39" s="19">
        <f t="shared" si="49"/>
        <v>6728.9582760000003</v>
      </c>
      <c r="AL39" s="86">
        <v>4257</v>
      </c>
      <c r="AM39" s="86">
        <v>0</v>
      </c>
      <c r="AN39" s="83">
        <f t="shared" si="27"/>
        <v>4257</v>
      </c>
      <c r="AO39" s="91">
        <f t="shared" si="28"/>
        <v>-2802.3831</v>
      </c>
      <c r="AP39" s="63">
        <f t="shared" si="46"/>
        <v>-162005.76701100002</v>
      </c>
      <c r="AQ39" s="86">
        <v>-269</v>
      </c>
      <c r="AR39" s="86">
        <v>-2000</v>
      </c>
      <c r="AS39" s="83">
        <f t="shared" si="29"/>
        <v>1731</v>
      </c>
      <c r="AT39" s="91">
        <f t="shared" si="30"/>
        <v>-1139.5173</v>
      </c>
      <c r="AU39" s="86">
        <f t="shared" si="31"/>
        <v>-72632.832702</v>
      </c>
      <c r="AV39" s="86"/>
      <c r="AW39" s="86">
        <v>1109</v>
      </c>
      <c r="AX39" s="86">
        <v>-500</v>
      </c>
      <c r="AY39" s="83">
        <f t="shared" si="32"/>
        <v>1609</v>
      </c>
      <c r="AZ39" s="91">
        <f t="shared" si="33"/>
        <v>-1059.2047</v>
      </c>
      <c r="BA39" s="86">
        <f t="shared" si="34"/>
        <v>-53924.111276999996</v>
      </c>
      <c r="BB39" s="86">
        <v>2388</v>
      </c>
      <c r="BC39" s="86">
        <v>700</v>
      </c>
      <c r="BD39" s="83">
        <f t="shared" si="35"/>
        <v>1688</v>
      </c>
      <c r="BE39" s="86">
        <f t="shared" si="36"/>
        <v>1111.2103999999999</v>
      </c>
      <c r="BF39" s="63">
        <f t="shared" si="50"/>
        <v>-52182.440384000001</v>
      </c>
      <c r="BG39" s="92"/>
      <c r="BH39" s="86">
        <v>2518</v>
      </c>
      <c r="BI39" s="86">
        <v>1100</v>
      </c>
      <c r="BJ39" s="83">
        <f t="shared" si="37"/>
        <v>1418</v>
      </c>
      <c r="BK39" s="86">
        <f t="shared" si="38"/>
        <v>933.46939999999995</v>
      </c>
      <c r="BL39" s="93">
        <f t="shared" si="39"/>
        <v>-43312.980159999999</v>
      </c>
      <c r="BM39" s="93"/>
      <c r="BN39" s="86">
        <v>4469</v>
      </c>
      <c r="BO39" s="86">
        <v>3100</v>
      </c>
      <c r="BP39" s="91">
        <f t="shared" si="40"/>
        <v>1369</v>
      </c>
      <c r="BQ39" s="86">
        <f t="shared" si="41"/>
        <v>901.21270000000004</v>
      </c>
      <c r="BR39" s="63">
        <f t="shared" si="47"/>
        <v>-54243.992413</v>
      </c>
    </row>
    <row r="40" spans="1:70">
      <c r="A40" t="s">
        <v>54</v>
      </c>
      <c r="B40" s="37">
        <f t="shared" si="14"/>
        <v>27282.105519999994</v>
      </c>
      <c r="C40" s="33">
        <f t="shared" si="12"/>
        <v>119550.32384300002</v>
      </c>
      <c r="D40" s="37">
        <f t="shared" si="42"/>
        <v>-92268.218323000023</v>
      </c>
      <c r="E40" s="37"/>
      <c r="F40" s="37">
        <v>1128</v>
      </c>
      <c r="G40" s="37">
        <v>1800</v>
      </c>
      <c r="H40" s="83">
        <f t="shared" si="15"/>
        <v>-672</v>
      </c>
      <c r="I40" s="31">
        <f t="shared" si="13"/>
        <v>-442.37759999999997</v>
      </c>
      <c r="J40" s="11">
        <f t="shared" si="16"/>
        <v>31815.796992</v>
      </c>
      <c r="K40" s="11"/>
      <c r="L40" s="33">
        <v>1110</v>
      </c>
      <c r="M40" s="33">
        <v>1800</v>
      </c>
      <c r="N40" s="83">
        <f t="shared" si="43"/>
        <v>-690</v>
      </c>
      <c r="O40" s="31">
        <f t="shared" si="17"/>
        <v>454.22699999999998</v>
      </c>
      <c r="P40" s="84">
        <f t="shared" si="18"/>
        <v>30578.561639999996</v>
      </c>
      <c r="Q40" s="86">
        <v>1716</v>
      </c>
      <c r="R40" s="86">
        <v>2100</v>
      </c>
      <c r="S40" s="83">
        <f t="shared" si="44"/>
        <v>-384</v>
      </c>
      <c r="T40" s="31">
        <f t="shared" si="48"/>
        <v>252.78719999999998</v>
      </c>
      <c r="U40" s="84">
        <f t="shared" si="19"/>
        <v>18099.563519999996</v>
      </c>
      <c r="V40" s="86">
        <v>2078</v>
      </c>
      <c r="W40" s="88">
        <v>2100</v>
      </c>
      <c r="X40" s="83">
        <f t="shared" si="20"/>
        <v>-22</v>
      </c>
      <c r="Y40" s="91">
        <f t="shared" si="21"/>
        <v>14.4826</v>
      </c>
      <c r="Z40" s="63">
        <f t="shared" si="22"/>
        <v>1280.4066659999999</v>
      </c>
      <c r="AA40" s="86">
        <v>5219</v>
      </c>
      <c r="AB40" s="86">
        <v>3400</v>
      </c>
      <c r="AC40" s="83">
        <f t="shared" si="23"/>
        <v>1819</v>
      </c>
      <c r="AD40" s="91">
        <f t="shared" si="24"/>
        <v>-1197.4476999999999</v>
      </c>
      <c r="AE40" s="19">
        <f t="shared" si="45"/>
        <v>-63823.962409999993</v>
      </c>
      <c r="AG40" s="86">
        <v>5982</v>
      </c>
      <c r="AH40" s="86">
        <v>4700</v>
      </c>
      <c r="AI40" s="83">
        <f t="shared" si="25"/>
        <v>1282</v>
      </c>
      <c r="AJ40" s="91">
        <f t="shared" si="26"/>
        <v>-843.94060000000002</v>
      </c>
      <c r="AK40" s="19">
        <f t="shared" si="49"/>
        <v>-13958.777523999999</v>
      </c>
      <c r="AL40" s="86">
        <v>4023</v>
      </c>
      <c r="AM40" s="86">
        <v>5100</v>
      </c>
      <c r="AN40" s="83">
        <f t="shared" si="27"/>
        <v>-1077</v>
      </c>
      <c r="AO40" s="91">
        <f t="shared" si="28"/>
        <v>708.98910000000001</v>
      </c>
      <c r="AP40" s="63">
        <f t="shared" si="46"/>
        <v>40986.659871000003</v>
      </c>
      <c r="AQ40" s="86">
        <v>1935</v>
      </c>
      <c r="AR40" s="86">
        <v>3900</v>
      </c>
      <c r="AS40" s="83">
        <f t="shared" si="29"/>
        <v>-1965</v>
      </c>
      <c r="AT40" s="91">
        <f t="shared" si="30"/>
        <v>1293.5595000000001</v>
      </c>
      <c r="AU40" s="86">
        <f t="shared" si="31"/>
        <v>82451.482530000008</v>
      </c>
      <c r="AV40" s="86"/>
      <c r="AW40" s="86">
        <v>1010</v>
      </c>
      <c r="AX40" s="86">
        <v>1700</v>
      </c>
      <c r="AY40" s="83">
        <f t="shared" si="32"/>
        <v>-690</v>
      </c>
      <c r="AZ40" s="91">
        <f t="shared" si="33"/>
        <v>454.22699999999998</v>
      </c>
      <c r="BA40" s="86">
        <f t="shared" si="34"/>
        <v>23124.696569999996</v>
      </c>
      <c r="BB40" s="86">
        <v>909</v>
      </c>
      <c r="BC40" s="86">
        <v>2000</v>
      </c>
      <c r="BD40" s="83">
        <f t="shared" si="35"/>
        <v>-1091</v>
      </c>
      <c r="BE40" s="86">
        <f t="shared" si="36"/>
        <v>-718.20529999999997</v>
      </c>
      <c r="BF40" s="63">
        <f t="shared" si="50"/>
        <v>33726.920888000001</v>
      </c>
      <c r="BG40" s="92"/>
      <c r="BH40" s="86">
        <v>918</v>
      </c>
      <c r="BI40" s="86">
        <v>1800</v>
      </c>
      <c r="BJ40" s="83">
        <f t="shared" si="37"/>
        <v>-882</v>
      </c>
      <c r="BK40" s="86">
        <f t="shared" si="38"/>
        <v>-580.62059999999997</v>
      </c>
      <c r="BL40" s="93">
        <f t="shared" si="39"/>
        <v>26940.795839999999</v>
      </c>
      <c r="BM40" s="93"/>
      <c r="BN40" s="86">
        <v>541</v>
      </c>
      <c r="BO40" s="86">
        <v>1800</v>
      </c>
      <c r="BP40" s="91">
        <f t="shared" si="40"/>
        <v>-1259</v>
      </c>
      <c r="BQ40" s="86">
        <f t="shared" si="41"/>
        <v>-828.79970000000003</v>
      </c>
      <c r="BR40" s="63">
        <f t="shared" si="47"/>
        <v>49885.453943</v>
      </c>
    </row>
    <row r="41" spans="1:70">
      <c r="A41" t="s">
        <v>80</v>
      </c>
      <c r="B41" s="31">
        <f t="shared" si="14"/>
        <v>79275.1783</v>
      </c>
      <c r="C41" s="31">
        <f t="shared" si="12"/>
        <v>72618.461309000006</v>
      </c>
      <c r="D41" s="37">
        <f t="shared" si="42"/>
        <v>6656.7169909999939</v>
      </c>
      <c r="E41" s="37"/>
      <c r="F41" s="31">
        <v>12982</v>
      </c>
      <c r="G41" s="31">
        <v>12900</v>
      </c>
      <c r="H41" s="83">
        <f t="shared" si="15"/>
        <v>82</v>
      </c>
      <c r="I41" s="31">
        <f t="shared" si="13"/>
        <v>53.980600000000003</v>
      </c>
      <c r="J41" s="11">
        <f t="shared" si="16"/>
        <v>-3882.2847520000005</v>
      </c>
      <c r="K41" s="11"/>
      <c r="L41" s="33">
        <v>12227</v>
      </c>
      <c r="M41" s="33">
        <v>12200</v>
      </c>
      <c r="N41" s="83">
        <f t="shared" si="43"/>
        <v>27</v>
      </c>
      <c r="O41" s="31">
        <f t="shared" si="17"/>
        <v>-17.774100000000001</v>
      </c>
      <c r="P41" s="84">
        <f t="shared" si="18"/>
        <v>-1196.552412</v>
      </c>
      <c r="Q41" s="31">
        <v>13140</v>
      </c>
      <c r="R41" s="89">
        <v>13200</v>
      </c>
      <c r="S41" s="83">
        <f t="shared" si="44"/>
        <v>-60</v>
      </c>
      <c r="T41" s="31">
        <f t="shared" si="48"/>
        <v>39.497999999999998</v>
      </c>
      <c r="U41" s="84">
        <f t="shared" si="19"/>
        <v>2828.0567999999994</v>
      </c>
      <c r="V41" s="89">
        <v>18845</v>
      </c>
      <c r="W41" s="88">
        <v>18900</v>
      </c>
      <c r="X41" s="83">
        <f t="shared" si="20"/>
        <v>-55</v>
      </c>
      <c r="Y41" s="91">
        <f t="shared" si="21"/>
        <v>36.206499999999998</v>
      </c>
      <c r="Z41" s="63">
        <f t="shared" si="22"/>
        <v>3201.0166649999996</v>
      </c>
      <c r="AA41" s="86">
        <v>23684</v>
      </c>
      <c r="AB41" s="86">
        <v>23700</v>
      </c>
      <c r="AC41" s="83">
        <f t="shared" si="23"/>
        <v>-16</v>
      </c>
      <c r="AD41" s="91">
        <f t="shared" si="24"/>
        <v>10.5328</v>
      </c>
      <c r="AE41" s="19">
        <f t="shared" si="45"/>
        <v>561.39823999999999</v>
      </c>
      <c r="AG41" s="86">
        <v>22750</v>
      </c>
      <c r="AH41" s="86">
        <v>22800</v>
      </c>
      <c r="AI41" s="83">
        <f t="shared" si="25"/>
        <v>-50</v>
      </c>
      <c r="AJ41" s="91">
        <f t="shared" si="26"/>
        <v>32.914999999999999</v>
      </c>
      <c r="AK41" s="19">
        <f t="shared" si="49"/>
        <v>544.41409999999996</v>
      </c>
      <c r="AL41" s="86">
        <v>20526</v>
      </c>
      <c r="AM41" s="86">
        <v>20500</v>
      </c>
      <c r="AN41" s="83">
        <f t="shared" si="27"/>
        <v>26</v>
      </c>
      <c r="AO41" s="91">
        <f t="shared" si="28"/>
        <v>-17.1158</v>
      </c>
      <c r="AP41" s="63">
        <f t="shared" si="46"/>
        <v>-989.46439800000007</v>
      </c>
      <c r="AQ41" s="86">
        <v>14649</v>
      </c>
      <c r="AR41" s="86">
        <v>14700</v>
      </c>
      <c r="AS41" s="83">
        <f t="shared" si="29"/>
        <v>-51</v>
      </c>
      <c r="AT41" s="91">
        <f t="shared" si="30"/>
        <v>33.573300000000003</v>
      </c>
      <c r="AU41" s="86">
        <f t="shared" si="31"/>
        <v>2139.9621420000003</v>
      </c>
      <c r="AV41" s="86"/>
      <c r="AW41" s="86">
        <v>13667</v>
      </c>
      <c r="AX41" s="86">
        <v>13700</v>
      </c>
      <c r="AY41" s="83">
        <f t="shared" si="32"/>
        <v>-33</v>
      </c>
      <c r="AZ41" s="91">
        <f t="shared" si="33"/>
        <v>21.7239</v>
      </c>
      <c r="BA41" s="86">
        <f t="shared" si="34"/>
        <v>1105.963749</v>
      </c>
      <c r="BB41" s="86">
        <v>13947</v>
      </c>
      <c r="BC41" s="86">
        <v>13900</v>
      </c>
      <c r="BD41" s="83">
        <f t="shared" si="35"/>
        <v>47</v>
      </c>
      <c r="BE41" s="86">
        <f t="shared" si="36"/>
        <v>30.940100000000001</v>
      </c>
      <c r="BF41" s="63">
        <f t="shared" si="50"/>
        <v>-1452.9470960000001</v>
      </c>
      <c r="BG41" s="86"/>
      <c r="BH41" s="86">
        <v>13856</v>
      </c>
      <c r="BI41" s="86">
        <v>13800</v>
      </c>
      <c r="BJ41" s="83">
        <f t="shared" si="37"/>
        <v>56</v>
      </c>
      <c r="BK41" s="86">
        <f t="shared" si="38"/>
        <v>36.864800000000002</v>
      </c>
      <c r="BL41" s="93">
        <f t="shared" si="39"/>
        <v>-1710.5267200000001</v>
      </c>
      <c r="BM41" s="93"/>
      <c r="BN41" s="86">
        <v>14298</v>
      </c>
      <c r="BO41" s="86">
        <v>14300</v>
      </c>
      <c r="BP41" s="91">
        <f t="shared" si="40"/>
        <v>-2</v>
      </c>
      <c r="BQ41" s="86">
        <f t="shared" si="41"/>
        <v>-1.3166</v>
      </c>
      <c r="BR41" s="63">
        <f t="shared" si="47"/>
        <v>79.24615399999999</v>
      </c>
    </row>
    <row r="42" spans="1:70">
      <c r="A42" t="s">
        <v>81</v>
      </c>
      <c r="B42" s="31">
        <f t="shared" si="14"/>
        <v>392389.24</v>
      </c>
      <c r="C42" s="31">
        <f t="shared" si="12"/>
        <v>1243106.8291000002</v>
      </c>
      <c r="D42" s="37">
        <f t="shared" si="42"/>
        <v>-850717.58910000022</v>
      </c>
      <c r="E42" s="37"/>
      <c r="F42" s="31">
        <v>0</v>
      </c>
      <c r="G42" s="31">
        <v>8500</v>
      </c>
      <c r="H42" s="83">
        <f t="shared" si="15"/>
        <v>-8500</v>
      </c>
      <c r="I42" s="31">
        <f t="shared" si="13"/>
        <v>-5595.55</v>
      </c>
      <c r="J42" s="11">
        <f t="shared" si="16"/>
        <v>402431.95600000001</v>
      </c>
      <c r="K42" s="11"/>
      <c r="L42" s="33">
        <v>0</v>
      </c>
      <c r="M42" s="33">
        <v>7900</v>
      </c>
      <c r="N42" s="83">
        <f t="shared" si="43"/>
        <v>-7900</v>
      </c>
      <c r="O42" s="31">
        <f t="shared" si="17"/>
        <v>5200.57</v>
      </c>
      <c r="P42" s="84">
        <f t="shared" si="18"/>
        <v>350102.37239999993</v>
      </c>
      <c r="Q42" s="31">
        <v>0</v>
      </c>
      <c r="R42" s="89">
        <v>8500</v>
      </c>
      <c r="S42" s="83">
        <f t="shared" si="44"/>
        <v>-8500</v>
      </c>
      <c r="T42" s="31">
        <f t="shared" si="48"/>
        <v>5595.55</v>
      </c>
      <c r="U42" s="84">
        <f t="shared" si="19"/>
        <v>400641.38</v>
      </c>
      <c r="V42" s="89">
        <v>0</v>
      </c>
      <c r="W42" s="88">
        <v>8200</v>
      </c>
      <c r="X42" s="83">
        <f t="shared" si="20"/>
        <v>-8200</v>
      </c>
      <c r="Y42" s="91">
        <f t="shared" si="21"/>
        <v>5398.06</v>
      </c>
      <c r="Z42" s="63">
        <f t="shared" si="22"/>
        <v>477242.48460000003</v>
      </c>
      <c r="AA42" s="86">
        <v>0</v>
      </c>
      <c r="AB42" s="86">
        <v>8500</v>
      </c>
      <c r="AC42" s="83">
        <f t="shared" si="23"/>
        <v>-8500</v>
      </c>
      <c r="AD42" s="91">
        <f t="shared" si="24"/>
        <v>5595.55</v>
      </c>
      <c r="AE42" s="19">
        <f t="shared" si="45"/>
        <v>298242.815</v>
      </c>
      <c r="AG42" s="86">
        <v>0</v>
      </c>
      <c r="AH42" s="86">
        <v>6000</v>
      </c>
      <c r="AI42" s="83">
        <f t="shared" si="25"/>
        <v>-6000</v>
      </c>
      <c r="AJ42" s="91">
        <f t="shared" si="26"/>
        <v>3949.8</v>
      </c>
      <c r="AK42" s="19">
        <f t="shared" si="49"/>
        <v>65329.692000000003</v>
      </c>
      <c r="AL42" s="86">
        <v>0</v>
      </c>
      <c r="AM42" s="86">
        <v>8500</v>
      </c>
      <c r="AN42" s="83">
        <f t="shared" si="27"/>
        <v>-8500</v>
      </c>
      <c r="AO42" s="91">
        <f t="shared" si="28"/>
        <v>5595.55</v>
      </c>
      <c r="AP42" s="63">
        <f t="shared" si="46"/>
        <v>323478.74550000002</v>
      </c>
      <c r="AQ42" s="86">
        <v>0</v>
      </c>
      <c r="AR42" s="86">
        <v>8500</v>
      </c>
      <c r="AS42" s="83">
        <f t="shared" si="29"/>
        <v>-8500</v>
      </c>
      <c r="AT42" s="91">
        <f t="shared" si="30"/>
        <v>5595.55</v>
      </c>
      <c r="AU42" s="86">
        <f t="shared" si="31"/>
        <v>356660.35700000002</v>
      </c>
      <c r="AV42" s="86"/>
      <c r="AW42" s="86">
        <v>0</v>
      </c>
      <c r="AX42" s="86">
        <v>8200</v>
      </c>
      <c r="AY42" s="83">
        <f t="shared" si="32"/>
        <v>-8200</v>
      </c>
      <c r="AZ42" s="91">
        <f t="shared" si="33"/>
        <v>5398.06</v>
      </c>
      <c r="BA42" s="86">
        <f t="shared" si="34"/>
        <v>274815.23460000003</v>
      </c>
      <c r="BB42" s="86">
        <v>0</v>
      </c>
      <c r="BC42" s="86">
        <v>8500</v>
      </c>
      <c r="BD42" s="83">
        <f t="shared" si="35"/>
        <v>-8500</v>
      </c>
      <c r="BE42" s="86">
        <f t="shared" si="36"/>
        <v>-5595.55</v>
      </c>
      <c r="BF42" s="63">
        <f t="shared" si="50"/>
        <v>262767.02799999999</v>
      </c>
      <c r="BG42" s="86"/>
      <c r="BH42" s="86">
        <v>0</v>
      </c>
      <c r="BI42" s="86">
        <v>8200</v>
      </c>
      <c r="BJ42" s="83">
        <f t="shared" si="37"/>
        <v>-8200</v>
      </c>
      <c r="BK42" s="86">
        <f t="shared" si="38"/>
        <v>-5398.06</v>
      </c>
      <c r="BL42" s="93">
        <f t="shared" si="39"/>
        <v>250469.984</v>
      </c>
      <c r="BM42" s="93"/>
      <c r="BN42" s="86">
        <v>0</v>
      </c>
      <c r="BO42" s="86">
        <v>8500</v>
      </c>
      <c r="BP42" s="91">
        <f t="shared" si="40"/>
        <v>-8500</v>
      </c>
      <c r="BQ42" s="86">
        <f t="shared" si="41"/>
        <v>-5595.55</v>
      </c>
      <c r="BR42" s="63">
        <f t="shared" si="47"/>
        <v>336796.1545</v>
      </c>
    </row>
    <row r="43" spans="1:70">
      <c r="A43" t="s">
        <v>82</v>
      </c>
      <c r="B43" s="31">
        <f t="shared" si="14"/>
        <v>13747.28462</v>
      </c>
      <c r="C43" s="31">
        <f t="shared" si="12"/>
        <v>24845.234047999998</v>
      </c>
      <c r="D43" s="37">
        <f t="shared" si="42"/>
        <v>-11097.949427999998</v>
      </c>
      <c r="E43" s="37"/>
      <c r="F43" s="31">
        <v>2667</v>
      </c>
      <c r="G43" s="31">
        <v>3200</v>
      </c>
      <c r="H43" s="83">
        <f t="shared" si="15"/>
        <v>-533</v>
      </c>
      <c r="I43" s="31">
        <f t="shared" si="13"/>
        <v>-350.87389999999999</v>
      </c>
      <c r="J43" s="11">
        <f t="shared" si="16"/>
        <v>25234.850888000001</v>
      </c>
      <c r="K43" s="11"/>
      <c r="L43" s="33">
        <v>2710</v>
      </c>
      <c r="M43" s="85">
        <v>3000</v>
      </c>
      <c r="N43" s="83">
        <f t="shared" si="43"/>
        <v>-290</v>
      </c>
      <c r="O43" s="31">
        <f t="shared" si="17"/>
        <v>190.90700000000001</v>
      </c>
      <c r="P43" s="84">
        <f t="shared" si="18"/>
        <v>12851.85924</v>
      </c>
      <c r="Q43" s="31">
        <v>3246</v>
      </c>
      <c r="R43" s="89">
        <v>3200</v>
      </c>
      <c r="S43" s="83">
        <f t="shared" si="44"/>
        <v>46</v>
      </c>
      <c r="T43" s="31">
        <f t="shared" si="48"/>
        <v>-30.2818</v>
      </c>
      <c r="U43" s="84">
        <f t="shared" si="19"/>
        <v>-2168.17688</v>
      </c>
      <c r="V43" s="89">
        <v>3013</v>
      </c>
      <c r="W43" s="86">
        <v>3100</v>
      </c>
      <c r="X43" s="83">
        <f t="shared" si="20"/>
        <v>-87</v>
      </c>
      <c r="Y43" s="91">
        <f t="shared" si="21"/>
        <v>57.272100000000002</v>
      </c>
      <c r="Z43" s="63">
        <f t="shared" si="22"/>
        <v>5063.4263609999998</v>
      </c>
      <c r="AA43" s="86">
        <v>3646</v>
      </c>
      <c r="AB43" s="86">
        <v>3200</v>
      </c>
      <c r="AC43" s="83">
        <f t="shared" si="23"/>
        <v>446</v>
      </c>
      <c r="AD43" s="91">
        <f t="shared" si="24"/>
        <v>-293.60180000000003</v>
      </c>
      <c r="AE43" s="19">
        <f t="shared" si="45"/>
        <v>-15648.97594</v>
      </c>
      <c r="AG43" s="86">
        <v>3282</v>
      </c>
      <c r="AH43" s="86">
        <v>3100</v>
      </c>
      <c r="AI43" s="83">
        <f t="shared" si="25"/>
        <v>182</v>
      </c>
      <c r="AJ43" s="91">
        <f t="shared" si="26"/>
        <v>-119.81059999999999</v>
      </c>
      <c r="AK43" s="19">
        <f t="shared" si="49"/>
        <v>-1981.6673239999998</v>
      </c>
      <c r="AL43" s="86">
        <v>2685</v>
      </c>
      <c r="AM43" s="86">
        <v>3200</v>
      </c>
      <c r="AN43" s="83">
        <f t="shared" si="27"/>
        <v>-515</v>
      </c>
      <c r="AO43" s="91">
        <f t="shared" si="28"/>
        <v>339.02449999999999</v>
      </c>
      <c r="AP43" s="63">
        <f t="shared" si="46"/>
        <v>19599.006345000002</v>
      </c>
      <c r="AQ43" s="86">
        <v>3427</v>
      </c>
      <c r="AR43" s="86">
        <v>3200</v>
      </c>
      <c r="AS43" s="83">
        <f t="shared" si="29"/>
        <v>227</v>
      </c>
      <c r="AT43" s="91">
        <f t="shared" si="30"/>
        <v>-149.4341</v>
      </c>
      <c r="AU43" s="86">
        <f t="shared" si="31"/>
        <v>-9524.9295340000008</v>
      </c>
      <c r="AV43" s="86"/>
      <c r="AW43" s="86">
        <v>2570</v>
      </c>
      <c r="AX43" s="86">
        <v>3100</v>
      </c>
      <c r="AY43" s="83">
        <f t="shared" si="32"/>
        <v>-530</v>
      </c>
      <c r="AZ43" s="91">
        <f t="shared" si="33"/>
        <v>348.899</v>
      </c>
      <c r="BA43" s="86">
        <f t="shared" si="34"/>
        <v>17762.448089999998</v>
      </c>
      <c r="BB43" s="86">
        <v>3625</v>
      </c>
      <c r="BC43" s="86">
        <v>3200</v>
      </c>
      <c r="BD43" s="83">
        <f t="shared" si="35"/>
        <v>425</v>
      </c>
      <c r="BE43" s="86">
        <f t="shared" si="36"/>
        <v>279.77749999999997</v>
      </c>
      <c r="BF43" s="63">
        <f t="shared" si="50"/>
        <v>-13138.3514</v>
      </c>
      <c r="BG43" s="86"/>
      <c r="BH43" s="86">
        <v>3160</v>
      </c>
      <c r="BI43" s="86">
        <v>3100</v>
      </c>
      <c r="BJ43" s="83">
        <f t="shared" si="37"/>
        <v>60</v>
      </c>
      <c r="BK43" s="86">
        <f t="shared" si="38"/>
        <v>39.497999999999998</v>
      </c>
      <c r="BL43" s="93">
        <f t="shared" si="39"/>
        <v>-1832.7071999999998</v>
      </c>
      <c r="BM43" s="93"/>
      <c r="BN43" s="86">
        <v>3549</v>
      </c>
      <c r="BO43" s="86">
        <v>3200</v>
      </c>
      <c r="BP43" s="91">
        <f t="shared" si="40"/>
        <v>349</v>
      </c>
      <c r="BQ43" s="86">
        <f t="shared" si="41"/>
        <v>229.7467</v>
      </c>
      <c r="BR43" s="63">
        <f t="shared" si="47"/>
        <v>-13828.453873</v>
      </c>
    </row>
    <row r="44" spans="1:70">
      <c r="A44" t="s">
        <v>83</v>
      </c>
      <c r="B44" s="31">
        <f t="shared" si="14"/>
        <v>-140159.38149999999</v>
      </c>
      <c r="C44" s="31">
        <f t="shared" si="12"/>
        <v>-277710.70203400002</v>
      </c>
      <c r="D44" s="37">
        <f t="shared" si="42"/>
        <v>137551.32053400003</v>
      </c>
      <c r="E44" s="37"/>
      <c r="F44" s="31">
        <v>6943</v>
      </c>
      <c r="G44" s="31">
        <v>6200</v>
      </c>
      <c r="H44" s="83">
        <f t="shared" si="15"/>
        <v>743</v>
      </c>
      <c r="I44" s="31">
        <f t="shared" si="13"/>
        <v>489.11689999999999</v>
      </c>
      <c r="J44" s="11">
        <f t="shared" si="16"/>
        <v>-35177.287448000003</v>
      </c>
      <c r="K44" s="11"/>
      <c r="L44" s="33">
        <v>7619</v>
      </c>
      <c r="M44" s="85">
        <v>4400</v>
      </c>
      <c r="N44" s="83">
        <f t="shared" si="43"/>
        <v>3219</v>
      </c>
      <c r="O44" s="31">
        <f t="shared" si="17"/>
        <v>-2119.0677000000001</v>
      </c>
      <c r="P44" s="84">
        <f t="shared" si="18"/>
        <v>-142655.63756399998</v>
      </c>
      <c r="Q44" s="31">
        <v>10000</v>
      </c>
      <c r="R44" s="89">
        <v>6300</v>
      </c>
      <c r="S44" s="83">
        <f t="shared" si="44"/>
        <v>3700</v>
      </c>
      <c r="T44" s="31">
        <f t="shared" si="48"/>
        <v>-2435.71</v>
      </c>
      <c r="U44" s="84">
        <f t="shared" si="19"/>
        <v>-174396.83599999998</v>
      </c>
      <c r="V44" s="89">
        <v>9549</v>
      </c>
      <c r="W44" s="86">
        <v>5300</v>
      </c>
      <c r="X44" s="83">
        <f t="shared" si="20"/>
        <v>4249</v>
      </c>
      <c r="Y44" s="91">
        <f t="shared" si="21"/>
        <v>-2797.1167</v>
      </c>
      <c r="Z44" s="63">
        <f t="shared" si="22"/>
        <v>-247293.087447</v>
      </c>
      <c r="AA44" s="86">
        <v>7320</v>
      </c>
      <c r="AB44" s="86">
        <v>6400</v>
      </c>
      <c r="AC44" s="83">
        <f t="shared" si="23"/>
        <v>920</v>
      </c>
      <c r="AD44" s="91">
        <f t="shared" si="24"/>
        <v>-605.63599999999997</v>
      </c>
      <c r="AE44" s="19">
        <f>AD44*$AA$47</f>
        <v>-32280.398799999995</v>
      </c>
      <c r="AG44" s="86">
        <v>9736</v>
      </c>
      <c r="AH44" s="86">
        <v>6600</v>
      </c>
      <c r="AI44" s="83">
        <f t="shared" si="25"/>
        <v>3136</v>
      </c>
      <c r="AJ44" s="91">
        <f t="shared" si="26"/>
        <v>-2064.4288000000001</v>
      </c>
      <c r="AK44" s="19">
        <f t="shared" si="49"/>
        <v>-34145.652351999997</v>
      </c>
      <c r="AL44" s="86">
        <v>6745</v>
      </c>
      <c r="AM44" s="86">
        <v>6100</v>
      </c>
      <c r="AN44" s="83">
        <f t="shared" si="27"/>
        <v>645</v>
      </c>
      <c r="AO44" s="91">
        <f t="shared" si="28"/>
        <v>-424.6035</v>
      </c>
      <c r="AP44" s="63">
        <f t="shared" si="46"/>
        <v>-24546.328335000002</v>
      </c>
      <c r="AQ44" s="86">
        <v>6050</v>
      </c>
      <c r="AR44" s="86">
        <v>6100</v>
      </c>
      <c r="AS44" s="83">
        <f t="shared" si="29"/>
        <v>-50</v>
      </c>
      <c r="AT44" s="91">
        <f t="shared" si="30"/>
        <v>32.914999999999999</v>
      </c>
      <c r="AU44" s="86">
        <f t="shared" si="31"/>
        <v>2098.0021000000002</v>
      </c>
      <c r="AV44" s="86"/>
      <c r="AW44" s="86">
        <v>3633</v>
      </c>
      <c r="AX44" s="86">
        <v>5500</v>
      </c>
      <c r="AY44" s="83">
        <f t="shared" si="32"/>
        <v>-1867</v>
      </c>
      <c r="AZ44" s="91">
        <f t="shared" si="33"/>
        <v>1229.0461</v>
      </c>
      <c r="BA44" s="86">
        <f t="shared" si="34"/>
        <v>62570.736950999999</v>
      </c>
      <c r="BB44" s="86">
        <v>4605</v>
      </c>
      <c r="BC44" s="86">
        <v>5600</v>
      </c>
      <c r="BD44" s="83">
        <f t="shared" si="35"/>
        <v>-995</v>
      </c>
      <c r="BE44" s="86">
        <f t="shared" si="36"/>
        <v>-655.00850000000003</v>
      </c>
      <c r="BF44" s="63">
        <f t="shared" si="50"/>
        <v>30759.19916</v>
      </c>
      <c r="BG44" s="86"/>
      <c r="BH44" s="86">
        <v>4901</v>
      </c>
      <c r="BI44" s="86">
        <v>6400</v>
      </c>
      <c r="BJ44" s="83">
        <f t="shared" si="37"/>
        <v>-1499</v>
      </c>
      <c r="BK44" s="86">
        <f t="shared" si="38"/>
        <v>-986.79169999999999</v>
      </c>
      <c r="BL44" s="93">
        <f t="shared" si="39"/>
        <v>45787.134879999998</v>
      </c>
      <c r="BM44" s="93"/>
      <c r="BN44" s="86">
        <v>6276</v>
      </c>
      <c r="BO44" s="86">
        <v>2700</v>
      </c>
      <c r="BP44" s="91">
        <f t="shared" si="40"/>
        <v>3576</v>
      </c>
      <c r="BQ44" s="86">
        <f t="shared" si="41"/>
        <v>2354.0808000000002</v>
      </c>
      <c r="BR44" s="63">
        <f t="shared" si="47"/>
        <v>-141692.123352</v>
      </c>
    </row>
    <row r="45" spans="1:70">
      <c r="B45" s="31"/>
      <c r="C45" s="31"/>
      <c r="D45" s="37"/>
      <c r="E45" s="37"/>
      <c r="F45" s="31"/>
      <c r="G45" s="31"/>
      <c r="H45" s="37"/>
      <c r="I45" s="31"/>
      <c r="J45" s="11"/>
      <c r="K45" s="11"/>
      <c r="L45" s="33"/>
      <c r="M45" s="85"/>
      <c r="N45" s="85"/>
      <c r="Q45" s="31"/>
      <c r="R45" s="89"/>
      <c r="S45" s="86"/>
      <c r="U45" s="89"/>
      <c r="V45" s="89"/>
      <c r="W45" s="86"/>
      <c r="Y45" s="89"/>
      <c r="Z45" s="89"/>
      <c r="AA45" s="86"/>
      <c r="AC45" s="89"/>
      <c r="AD45" s="89"/>
      <c r="AE45" s="86"/>
      <c r="AG45" s="86"/>
      <c r="AI45" s="89"/>
      <c r="AJ45" s="89"/>
      <c r="AK45" s="86"/>
      <c r="AL45" s="86"/>
      <c r="AN45" s="89"/>
      <c r="AO45" s="89"/>
      <c r="AQ45" s="86"/>
      <c r="AS45" s="89"/>
      <c r="AT45" s="89"/>
      <c r="AU45" s="89"/>
      <c r="AV45" s="86"/>
      <c r="AW45" s="86"/>
      <c r="AY45" s="89"/>
      <c r="AZ45" s="89"/>
      <c r="BA45" s="89"/>
      <c r="BB45" s="86"/>
      <c r="BD45" s="89"/>
      <c r="BE45" s="89"/>
      <c r="BF45" s="89"/>
      <c r="BG45" s="86"/>
      <c r="BH45" s="86"/>
      <c r="BJ45" s="89"/>
      <c r="BK45" s="89"/>
      <c r="BN45" s="86"/>
      <c r="BP45" s="89"/>
      <c r="BQ45" s="89"/>
    </row>
    <row r="46" spans="1:70">
      <c r="A46" t="s">
        <v>84</v>
      </c>
      <c r="C46" s="98"/>
      <c r="F46" s="98">
        <v>7.42</v>
      </c>
      <c r="G46" s="98">
        <f>G54/601188</f>
        <v>8.0957287903284829</v>
      </c>
      <c r="H46" s="99"/>
      <c r="J46" s="10"/>
      <c r="L46" s="38"/>
      <c r="M46" s="38">
        <v>7.85</v>
      </c>
      <c r="N46" s="44">
        <f>M46-L46</f>
        <v>7.85</v>
      </c>
      <c r="Q46" s="100"/>
      <c r="R46" s="101">
        <v>7.66</v>
      </c>
      <c r="S46" s="44"/>
      <c r="U46" s="102"/>
      <c r="V46" s="101">
        <v>9.7899999999999991</v>
      </c>
      <c r="W46" s="99">
        <v>7.13</v>
      </c>
      <c r="X46" s="44">
        <f>W46-V46</f>
        <v>-2.6599999999999993</v>
      </c>
      <c r="Z46" s="101"/>
      <c r="AA46" s="103">
        <v>10.33</v>
      </c>
      <c r="AB46" s="99">
        <v>7.1</v>
      </c>
      <c r="AD46" s="101"/>
      <c r="AE46" s="104"/>
      <c r="AG46" s="103">
        <v>11.1</v>
      </c>
      <c r="AH46" s="99">
        <v>7.19</v>
      </c>
      <c r="AJ46" s="101"/>
      <c r="AK46" s="104"/>
      <c r="AL46" s="103">
        <v>9.35</v>
      </c>
      <c r="AM46" s="99">
        <v>7.27</v>
      </c>
      <c r="AN46" s="99">
        <f>AL46-AM46</f>
        <v>2.08</v>
      </c>
      <c r="AQ46" s="103">
        <v>8.3699999999999992</v>
      </c>
      <c r="AR46" s="99">
        <v>7.35</v>
      </c>
      <c r="AU46" s="101"/>
      <c r="AV46" s="104"/>
      <c r="AW46" s="103">
        <v>8.57</v>
      </c>
      <c r="AX46" s="99">
        <v>7.4</v>
      </c>
      <c r="AZ46" s="101"/>
      <c r="BA46" s="101"/>
      <c r="BB46" s="103">
        <v>7.93</v>
      </c>
      <c r="BC46" s="99">
        <v>7.53</v>
      </c>
      <c r="BE46" s="101"/>
      <c r="BF46" s="101"/>
      <c r="BH46" s="103">
        <v>7.8</v>
      </c>
      <c r="BI46" s="99">
        <v>7.95</v>
      </c>
      <c r="BK46" s="101"/>
      <c r="BN46" s="103">
        <v>7.76</v>
      </c>
      <c r="BO46" s="99">
        <v>8.4</v>
      </c>
      <c r="BQ46" s="101"/>
    </row>
    <row r="47" spans="1:70">
      <c r="A47" t="s">
        <v>85</v>
      </c>
      <c r="F47" s="105">
        <v>71.92</v>
      </c>
      <c r="G47" s="39">
        <v>61.59</v>
      </c>
      <c r="H47" s="38">
        <f>F47-G47</f>
        <v>10.329999999999998</v>
      </c>
      <c r="L47" s="38">
        <v>67.319999999999993</v>
      </c>
      <c r="M47" s="38">
        <v>60.86</v>
      </c>
      <c r="N47" s="38">
        <f>M47-L47</f>
        <v>-6.4599999999999937</v>
      </c>
      <c r="Q47" s="106">
        <v>71.599999999999994</v>
      </c>
      <c r="R47" s="99">
        <v>60.6</v>
      </c>
      <c r="S47" s="38">
        <f>Q47-R47</f>
        <v>10.999999999999993</v>
      </c>
      <c r="V47" s="99">
        <v>88.41</v>
      </c>
      <c r="W47" s="99">
        <v>58.29</v>
      </c>
      <c r="X47" s="38">
        <f>W47-V47</f>
        <v>-30.119999999999997</v>
      </c>
      <c r="Z47" s="99"/>
      <c r="AA47" s="99">
        <v>53.3</v>
      </c>
      <c r="AB47" s="99">
        <v>58.58</v>
      </c>
      <c r="AC47" s="99"/>
      <c r="AD47" s="99"/>
      <c r="AE47" s="104"/>
      <c r="AG47" s="99">
        <v>16.54</v>
      </c>
      <c r="AH47" s="99">
        <v>0</v>
      </c>
      <c r="AI47" s="99"/>
      <c r="AJ47" s="99"/>
      <c r="AK47" s="104"/>
      <c r="AL47" s="99">
        <v>64.69</v>
      </c>
      <c r="AM47" s="99">
        <v>67</v>
      </c>
      <c r="AN47" s="99">
        <f>AL47-AM47</f>
        <v>-2.3100000000000023</v>
      </c>
      <c r="AO47" s="99"/>
      <c r="AQ47" s="99">
        <v>63.74</v>
      </c>
      <c r="AR47" s="99">
        <v>62.11</v>
      </c>
      <c r="AS47" s="99"/>
      <c r="AT47" s="99"/>
      <c r="AU47" s="99"/>
      <c r="AV47" s="99"/>
      <c r="AW47" s="107">
        <v>50.91</v>
      </c>
      <c r="AX47" s="99">
        <v>66.52</v>
      </c>
      <c r="AY47" s="99"/>
      <c r="AZ47" s="99"/>
      <c r="BA47" s="99"/>
      <c r="BB47" s="107">
        <v>46.96</v>
      </c>
      <c r="BC47" s="99">
        <v>66.11</v>
      </c>
      <c r="BD47" s="99"/>
      <c r="BE47" s="99"/>
      <c r="BF47" s="99"/>
      <c r="BG47" s="99"/>
      <c r="BH47" s="107">
        <v>43.88</v>
      </c>
      <c r="BI47" s="99">
        <v>64.88</v>
      </c>
      <c r="BJ47" s="99"/>
      <c r="BK47" s="99"/>
      <c r="BN47" s="99">
        <v>60.19</v>
      </c>
      <c r="BO47" s="99">
        <v>66.84</v>
      </c>
      <c r="BP47" s="99"/>
      <c r="BQ47" s="99"/>
    </row>
    <row r="48" spans="1:70">
      <c r="A48" t="s">
        <v>86</v>
      </c>
      <c r="F48" s="39">
        <v>62.99</v>
      </c>
      <c r="G48" s="39">
        <v>53.25</v>
      </c>
      <c r="H48" s="38">
        <f>F48-G48</f>
        <v>9.740000000000002</v>
      </c>
      <c r="L48" s="38">
        <v>68.23</v>
      </c>
      <c r="M48" s="38">
        <v>59.41</v>
      </c>
      <c r="N48" s="38">
        <f>M48-L48</f>
        <v>-8.8200000000000074</v>
      </c>
      <c r="Q48" s="106">
        <v>69.92</v>
      </c>
      <c r="R48" s="99">
        <v>53.6</v>
      </c>
      <c r="S48" s="38"/>
      <c r="V48" s="99">
        <v>82.69</v>
      </c>
      <c r="W48" s="99">
        <v>47.06</v>
      </c>
      <c r="X48" s="38">
        <f>V48-W48</f>
        <v>35.629999999999995</v>
      </c>
      <c r="Z48" s="99"/>
      <c r="AA48" s="99">
        <v>55.66</v>
      </c>
      <c r="AB48" s="99">
        <v>39.869999999999997</v>
      </c>
      <c r="AC48" s="99"/>
      <c r="AD48" s="99"/>
      <c r="AE48" s="104"/>
      <c r="AG48" s="99">
        <v>31.6</v>
      </c>
      <c r="AH48" s="99">
        <v>35.409999999999997</v>
      </c>
      <c r="AI48" s="99"/>
      <c r="AJ48" s="99"/>
      <c r="AK48" s="104"/>
      <c r="AL48" s="99">
        <v>57.81</v>
      </c>
      <c r="AM48" s="99">
        <v>49.12</v>
      </c>
      <c r="AN48" s="99">
        <f>AL48-AM48</f>
        <v>8.6900000000000048</v>
      </c>
      <c r="AO48" s="99"/>
      <c r="AQ48" s="99">
        <v>66.75</v>
      </c>
      <c r="AR48" s="99">
        <v>58.13</v>
      </c>
      <c r="AS48" s="99"/>
      <c r="AT48" s="99"/>
      <c r="AU48" s="99"/>
      <c r="AV48" s="99"/>
      <c r="AW48" s="107">
        <v>55.62</v>
      </c>
      <c r="AX48" s="99">
        <v>56.27</v>
      </c>
      <c r="AY48" s="99"/>
      <c r="AZ48" s="99"/>
      <c r="BA48" s="99"/>
      <c r="BB48" s="107">
        <v>51.14</v>
      </c>
      <c r="BC48" s="99">
        <v>54.45</v>
      </c>
      <c r="BD48" s="99"/>
      <c r="BE48" s="99"/>
      <c r="BF48" s="99"/>
      <c r="BG48" s="99"/>
      <c r="BH48" s="107">
        <v>46.4</v>
      </c>
      <c r="BI48" s="99">
        <v>62.44</v>
      </c>
      <c r="BJ48" s="99"/>
      <c r="BK48" s="99"/>
      <c r="BN48" s="99">
        <v>50.2</v>
      </c>
      <c r="BO48" s="99">
        <v>66.84</v>
      </c>
      <c r="BP48" s="99"/>
      <c r="BQ48" s="99"/>
    </row>
    <row r="49" spans="1:69">
      <c r="A49" t="s">
        <v>87</v>
      </c>
      <c r="F49" s="38">
        <f>F52/F30</f>
        <v>10.332184595115525</v>
      </c>
      <c r="G49" s="38">
        <f>G52/G30</f>
        <v>8.6416879663336168</v>
      </c>
      <c r="L49" s="38">
        <f>L52/L30</f>
        <v>11.332755214479921</v>
      </c>
      <c r="M49" s="38">
        <v>8.64</v>
      </c>
      <c r="Q49" s="38">
        <f>Q52/Q30</f>
        <v>10.366979617350378</v>
      </c>
      <c r="R49" s="38">
        <v>8.64</v>
      </c>
      <c r="V49" s="99">
        <f>V52/V30</f>
        <v>9.8031723525631254</v>
      </c>
      <c r="W49" s="38">
        <v>8.64</v>
      </c>
      <c r="AA49" s="99">
        <f>AA52/AA30</f>
        <v>9.1988046852846868</v>
      </c>
      <c r="AB49" s="38">
        <v>8.64</v>
      </c>
      <c r="AG49" s="99"/>
      <c r="AH49" s="38">
        <v>8.64</v>
      </c>
      <c r="AL49" s="99">
        <f>AL52/AL30</f>
        <v>10.965417641911456</v>
      </c>
      <c r="AM49" s="38">
        <v>8.64</v>
      </c>
      <c r="AN49" s="99">
        <f>AL49-AM49</f>
        <v>2.3254176419114554</v>
      </c>
      <c r="AQ49" s="99"/>
      <c r="AR49" s="38">
        <v>8.64</v>
      </c>
      <c r="AW49" s="99">
        <f>AW52/AW30</f>
        <v>9.3942114281457201</v>
      </c>
      <c r="AX49" s="38">
        <v>8.64</v>
      </c>
      <c r="BB49" s="99">
        <f>BB52/BB30</f>
        <v>8.3247626049133121</v>
      </c>
      <c r="BC49" s="38">
        <v>8.64</v>
      </c>
      <c r="BH49" s="107">
        <f>BH52/BH30</f>
        <v>7.0965127132181136</v>
      </c>
      <c r="BI49" s="38">
        <v>8.64</v>
      </c>
      <c r="BN49" s="99"/>
      <c r="BO49" s="38">
        <v>8.64</v>
      </c>
    </row>
    <row r="50" spans="1:69">
      <c r="F50" s="108" t="s">
        <v>88</v>
      </c>
      <c r="G50" s="108" t="s">
        <v>89</v>
      </c>
      <c r="H50" s="108" t="s">
        <v>90</v>
      </c>
      <c r="I50" s="109" t="s">
        <v>66</v>
      </c>
      <c r="J50" s="108" t="s">
        <v>91</v>
      </c>
      <c r="L50" s="108" t="s">
        <v>92</v>
      </c>
      <c r="M50" s="108" t="s">
        <v>89</v>
      </c>
      <c r="N50" s="108" t="s">
        <v>4</v>
      </c>
      <c r="O50" s="108" t="s">
        <v>66</v>
      </c>
      <c r="P50" s="110"/>
      <c r="Q50" s="108" t="s">
        <v>92</v>
      </c>
      <c r="R50" s="108" t="s">
        <v>89</v>
      </c>
      <c r="S50" s="108" t="s">
        <v>4</v>
      </c>
      <c r="T50" s="108" t="s">
        <v>66</v>
      </c>
      <c r="V50" s="108" t="s">
        <v>92</v>
      </c>
      <c r="W50" s="108" t="s">
        <v>89</v>
      </c>
      <c r="X50" s="108" t="s">
        <v>93</v>
      </c>
      <c r="Y50" s="108" t="s">
        <v>66</v>
      </c>
      <c r="AA50" s="108" t="s">
        <v>92</v>
      </c>
      <c r="AB50" s="108" t="s">
        <v>89</v>
      </c>
      <c r="AC50" s="108" t="s">
        <v>93</v>
      </c>
      <c r="AD50" s="108" t="s">
        <v>66</v>
      </c>
      <c r="AG50" s="108" t="s">
        <v>92</v>
      </c>
      <c r="AH50" s="108" t="s">
        <v>89</v>
      </c>
      <c r="AI50" s="108" t="s">
        <v>93</v>
      </c>
      <c r="AJ50" s="108" t="s">
        <v>66</v>
      </c>
      <c r="AL50" s="108" t="s">
        <v>92</v>
      </c>
      <c r="AM50" s="108" t="s">
        <v>89</v>
      </c>
      <c r="AN50" s="108" t="s">
        <v>93</v>
      </c>
      <c r="AO50" s="108" t="s">
        <v>66</v>
      </c>
      <c r="AQ50" s="108" t="s">
        <v>92</v>
      </c>
      <c r="AR50" s="108" t="s">
        <v>89</v>
      </c>
      <c r="AS50" s="108" t="s">
        <v>93</v>
      </c>
      <c r="AT50" s="108" t="s">
        <v>66</v>
      </c>
      <c r="AW50" s="108" t="s">
        <v>92</v>
      </c>
      <c r="AX50" s="108" t="s">
        <v>89</v>
      </c>
      <c r="AY50" s="108" t="s">
        <v>90</v>
      </c>
      <c r="AZ50" s="108" t="s">
        <v>66</v>
      </c>
      <c r="BA50" s="110"/>
      <c r="BB50" s="108" t="s">
        <v>92</v>
      </c>
      <c r="BC50" s="108" t="s">
        <v>89</v>
      </c>
      <c r="BD50" s="108" t="s">
        <v>90</v>
      </c>
      <c r="BE50" s="108" t="s">
        <v>66</v>
      </c>
      <c r="BF50" s="110"/>
      <c r="BH50" s="108" t="s">
        <v>92</v>
      </c>
      <c r="BI50" s="108" t="s">
        <v>89</v>
      </c>
      <c r="BJ50" s="108" t="s">
        <v>90</v>
      </c>
      <c r="BK50" s="108" t="s">
        <v>66</v>
      </c>
      <c r="BN50" s="108" t="s">
        <v>92</v>
      </c>
      <c r="BO50" s="108" t="s">
        <v>89</v>
      </c>
      <c r="BP50" s="108" t="s">
        <v>90</v>
      </c>
      <c r="BQ50" s="108" t="s">
        <v>66</v>
      </c>
    </row>
    <row r="51" spans="1:69" ht="14.25" customHeight="1">
      <c r="A51" t="s">
        <v>94</v>
      </c>
      <c r="F51" s="11">
        <f>872100+2012</f>
        <v>874112</v>
      </c>
      <c r="G51" s="11">
        <v>963808</v>
      </c>
      <c r="H51" s="11">
        <f>F51-G51</f>
        <v>-89696</v>
      </c>
      <c r="I51" s="11">
        <f>H51*0.6583</f>
        <v>-59046.876799999998</v>
      </c>
      <c r="J51" s="10">
        <f>I51+J31</f>
        <v>114993.10793600001</v>
      </c>
      <c r="L51" s="11">
        <v>925212</v>
      </c>
      <c r="M51" s="11">
        <v>909218</v>
      </c>
      <c r="N51" s="11">
        <f t="shared" ref="N51:N65" si="51">L51-M51</f>
        <v>15994</v>
      </c>
      <c r="O51" s="11">
        <f>N51*0.6583</f>
        <v>10528.850200000001</v>
      </c>
      <c r="P51" s="51"/>
      <c r="Q51" s="11">
        <v>1024893</v>
      </c>
      <c r="R51" s="63">
        <v>976372</v>
      </c>
      <c r="S51" s="11">
        <f>Q51-R51</f>
        <v>48521</v>
      </c>
      <c r="T51" s="11">
        <f>S51*0.6583</f>
        <v>31941.374299999999</v>
      </c>
      <c r="V51" s="63">
        <v>186627</v>
      </c>
      <c r="W51" s="63">
        <v>937983</v>
      </c>
      <c r="X51" s="11">
        <f>V51-W51</f>
        <v>-751356</v>
      </c>
      <c r="Y51" s="11">
        <f>X51*0.6583</f>
        <v>-494617.65480000002</v>
      </c>
      <c r="AA51" s="63">
        <v>50016</v>
      </c>
      <c r="AB51" s="63">
        <v>70701</v>
      </c>
      <c r="AC51" s="11">
        <f>AA51-AB51</f>
        <v>-20685</v>
      </c>
      <c r="AD51" s="11">
        <f>AC51*0.6583</f>
        <v>-13616.9355</v>
      </c>
      <c r="AG51" s="63">
        <v>-51371</v>
      </c>
      <c r="AH51" s="63">
        <v>0</v>
      </c>
      <c r="AI51" s="11">
        <f>AG51-AH51</f>
        <v>-51371</v>
      </c>
      <c r="AJ51" s="11">
        <f>AI51*0.6583</f>
        <v>-33817.529300000002</v>
      </c>
      <c r="AL51" s="63">
        <v>-3169</v>
      </c>
      <c r="AM51" s="63">
        <v>907141</v>
      </c>
      <c r="AN51" s="11">
        <f>AL51-AM51</f>
        <v>-910310</v>
      </c>
      <c r="AO51" s="111">
        <f>AN51*0.6583</f>
        <v>-599257.07299999997</v>
      </c>
      <c r="AQ51" s="63">
        <f>'WGJ-2 Page 2,3'!L60+'WGJ-2 Page 2,3'!L61</f>
        <v>773704</v>
      </c>
      <c r="AR51" s="63">
        <v>968779</v>
      </c>
      <c r="AS51" s="11">
        <f>AQ51-AR51</f>
        <v>-195075</v>
      </c>
      <c r="AT51" s="11">
        <f t="shared" ref="AT51:AT59" si="52">AS51*0.6583</f>
        <v>-128417.8725</v>
      </c>
      <c r="AW51" s="63">
        <v>963741</v>
      </c>
      <c r="AX51" s="63">
        <v>945888</v>
      </c>
      <c r="AY51" s="11">
        <f>AW51-AX51</f>
        <v>17853</v>
      </c>
      <c r="AZ51" s="11">
        <f>AY51*0.6583</f>
        <v>11752.6299</v>
      </c>
      <c r="BA51" s="63"/>
      <c r="BB51" s="63">
        <v>310535</v>
      </c>
      <c r="BC51" s="63">
        <v>985759</v>
      </c>
      <c r="BD51" s="11">
        <f>BB51-BC51</f>
        <v>-675224</v>
      </c>
      <c r="BE51" s="11">
        <f>BD51*0.6583</f>
        <v>-444499.95919999998</v>
      </c>
      <c r="BF51" s="11"/>
      <c r="BG51" s="93"/>
      <c r="BH51" s="63">
        <v>991364</v>
      </c>
      <c r="BI51" s="63">
        <v>953961</v>
      </c>
      <c r="BJ51" s="11">
        <f>BH51-BI51</f>
        <v>37403</v>
      </c>
      <c r="BK51" s="11">
        <f>BJ51*0.6583</f>
        <v>24622.394899999999</v>
      </c>
      <c r="BN51" s="63">
        <v>1496899</v>
      </c>
      <c r="BO51" s="63">
        <v>985759</v>
      </c>
      <c r="BP51" s="11">
        <f>BN51-BO51</f>
        <v>511140</v>
      </c>
      <c r="BQ51" s="11">
        <f>BP51*0.6583</f>
        <v>336483.462</v>
      </c>
    </row>
    <row r="52" spans="1:69">
      <c r="A52" t="s">
        <v>95</v>
      </c>
      <c r="F52" s="11">
        <v>1693941</v>
      </c>
      <c r="G52" s="11">
        <v>1338874</v>
      </c>
      <c r="H52" s="11">
        <f t="shared" ref="H52:H65" si="53">F52-G52</f>
        <v>355067</v>
      </c>
      <c r="I52" s="11">
        <f t="shared" ref="I52:I75" si="54">H52*0.6583</f>
        <v>233740.6061</v>
      </c>
      <c r="J52" s="10">
        <f>I52+J30</f>
        <v>-193121.33687600002</v>
      </c>
      <c r="L52" s="11">
        <v>1738116</v>
      </c>
      <c r="M52" s="11">
        <v>1264764</v>
      </c>
      <c r="N52" s="11">
        <f t="shared" si="51"/>
        <v>473352</v>
      </c>
      <c r="O52" s="11">
        <f t="shared" ref="O52:O75" si="55">N52*0.6583</f>
        <v>311607.62160000001</v>
      </c>
      <c r="P52" s="51"/>
      <c r="Q52" s="11">
        <v>1691663</v>
      </c>
      <c r="R52" s="63">
        <v>1308319</v>
      </c>
      <c r="S52" s="11">
        <f t="shared" ref="S52:S65" si="56">Q52-R52</f>
        <v>383344</v>
      </c>
      <c r="T52" s="11">
        <f t="shared" ref="T52:T75" si="57">S52*0.6583</f>
        <v>252355.35519999999</v>
      </c>
      <c r="V52" s="63">
        <v>1479583</v>
      </c>
      <c r="W52" s="63">
        <v>1077180</v>
      </c>
      <c r="X52" s="11">
        <f t="shared" ref="X52:X65" si="58">V52-W52</f>
        <v>402403</v>
      </c>
      <c r="Y52" s="11">
        <f t="shared" ref="Y52:Y75" si="59">X52*0.6583</f>
        <v>264901.89490000001</v>
      </c>
      <c r="AA52" s="63">
        <v>1265176</v>
      </c>
      <c r="AB52" s="63">
        <v>886276</v>
      </c>
      <c r="AC52" s="11">
        <f t="shared" ref="AC52:AC72" si="60">AA52-AB52</f>
        <v>378900</v>
      </c>
      <c r="AD52" s="11">
        <f t="shared" ref="AD52:AD75" si="61">AC52*0.6583</f>
        <v>249429.87</v>
      </c>
      <c r="AG52" s="63">
        <v>784963</v>
      </c>
      <c r="AH52" s="63">
        <v>1055387</v>
      </c>
      <c r="AI52" s="11">
        <f t="shared" ref="AI52:AI66" si="62">AG52-AH52</f>
        <v>-270424</v>
      </c>
      <c r="AJ52" s="111">
        <f t="shared" ref="AJ52:AJ75" si="63">AI52*0.6583</f>
        <v>-178020.11919999999</v>
      </c>
      <c r="AL52" s="63">
        <v>1541332</v>
      </c>
      <c r="AM52" s="63">
        <v>1338060</v>
      </c>
      <c r="AN52" s="11">
        <f t="shared" ref="AN52:AN59" si="64">AL52-AM52</f>
        <v>203272</v>
      </c>
      <c r="AO52" s="111">
        <f t="shared" ref="AO52:AO59" si="65">AN52*0.6583</f>
        <v>133813.95759999999</v>
      </c>
      <c r="AQ52" s="63">
        <f>'WGJ-2 Page 2,3'!L62</f>
        <v>2259435</v>
      </c>
      <c r="AR52" s="63">
        <v>1351971</v>
      </c>
      <c r="AS52" s="11">
        <f t="shared" ref="AS52:AS61" si="66">AQ52-AR52</f>
        <v>907464</v>
      </c>
      <c r="AT52" s="11">
        <f t="shared" si="52"/>
        <v>597383.55119999999</v>
      </c>
      <c r="AW52" s="63">
        <v>1260985</v>
      </c>
      <c r="AX52" s="63">
        <v>1308376</v>
      </c>
      <c r="AY52" s="11">
        <f t="shared" ref="AY52:AY59" si="67">AW52-AX52</f>
        <v>-47391</v>
      </c>
      <c r="AZ52" s="11">
        <f t="shared" ref="AZ52:AZ75" si="68">AY52*0.6583</f>
        <v>-31197.495299999999</v>
      </c>
      <c r="BA52" s="63"/>
      <c r="BB52" s="63">
        <v>1358851</v>
      </c>
      <c r="BC52" s="63">
        <v>1341037</v>
      </c>
      <c r="BD52" s="11">
        <f>BB52-BC52</f>
        <v>17814</v>
      </c>
      <c r="BE52" s="11">
        <f t="shared" ref="BE52:BE59" si="69">BD52*0.6583</f>
        <v>11726.956200000001</v>
      </c>
      <c r="BF52" s="11"/>
      <c r="BG52" s="93"/>
      <c r="BH52" s="63">
        <v>1132866</v>
      </c>
      <c r="BI52" s="63">
        <v>1308376</v>
      </c>
      <c r="BJ52" s="11">
        <f t="shared" ref="BJ52:BJ59" si="70">BH52-BI52</f>
        <v>-175510</v>
      </c>
      <c r="BK52" s="11">
        <f t="shared" ref="BK52:BK59" si="71">BJ52*0.6583</f>
        <v>-115538.23299999999</v>
      </c>
      <c r="BN52" s="63">
        <v>3575916</v>
      </c>
      <c r="BO52" s="63">
        <v>1330222</v>
      </c>
      <c r="BP52" s="11">
        <f t="shared" ref="BP52:BP63" si="72">BN52-BO52</f>
        <v>2245694</v>
      </c>
      <c r="BQ52" s="11">
        <f t="shared" ref="BQ52:BQ59" si="73">BP52*0.6583</f>
        <v>1478340.3602</v>
      </c>
    </row>
    <row r="53" spans="1:69">
      <c r="A53" t="s">
        <v>96</v>
      </c>
      <c r="F53" s="83">
        <v>12803</v>
      </c>
      <c r="G53" s="63">
        <v>21500</v>
      </c>
      <c r="H53" s="11">
        <f t="shared" si="53"/>
        <v>-8697</v>
      </c>
      <c r="I53" s="11">
        <f t="shared" si="54"/>
        <v>-5725.2350999999999</v>
      </c>
      <c r="J53" s="10">
        <f>I53</f>
        <v>-5725.2350999999999</v>
      </c>
      <c r="L53" s="11">
        <v>0</v>
      </c>
      <c r="M53" s="63">
        <v>21500</v>
      </c>
      <c r="N53" s="11">
        <f t="shared" si="51"/>
        <v>-21500</v>
      </c>
      <c r="O53" s="11">
        <f t="shared" si="55"/>
        <v>-14153.45</v>
      </c>
      <c r="P53" s="51"/>
      <c r="Q53" s="11">
        <v>565</v>
      </c>
      <c r="R53" s="63">
        <v>21500</v>
      </c>
      <c r="S53" s="11">
        <f t="shared" si="56"/>
        <v>-20935</v>
      </c>
      <c r="T53" s="11">
        <f t="shared" si="57"/>
        <v>-13781.5105</v>
      </c>
      <c r="V53" s="63">
        <v>9391</v>
      </c>
      <c r="W53" s="63">
        <v>21500</v>
      </c>
      <c r="X53" s="11">
        <f t="shared" si="58"/>
        <v>-12109</v>
      </c>
      <c r="Y53" s="11">
        <f t="shared" si="59"/>
        <v>-7971.3546999999999</v>
      </c>
      <c r="AA53" s="83">
        <v>14693</v>
      </c>
      <c r="AB53" s="63">
        <v>21500</v>
      </c>
      <c r="AC53" s="11">
        <f t="shared" si="60"/>
        <v>-6807</v>
      </c>
      <c r="AD53" s="11">
        <f t="shared" si="61"/>
        <v>-4481.0481</v>
      </c>
      <c r="AG53" s="63">
        <v>20872</v>
      </c>
      <c r="AH53" s="63">
        <v>21500</v>
      </c>
      <c r="AI53" s="11">
        <f t="shared" si="62"/>
        <v>-628</v>
      </c>
      <c r="AJ53" s="11">
        <f t="shared" si="63"/>
        <v>-413.41239999999999</v>
      </c>
      <c r="AL53" s="63">
        <v>354</v>
      </c>
      <c r="AM53" s="63">
        <v>21500</v>
      </c>
      <c r="AN53" s="11">
        <f t="shared" si="64"/>
        <v>-21146</v>
      </c>
      <c r="AO53" s="11">
        <f t="shared" si="65"/>
        <v>-13920.4118</v>
      </c>
      <c r="AQ53" s="63">
        <f>'WGJ-2 Page 2,3'!L63</f>
        <v>69553</v>
      </c>
      <c r="AR53" s="63">
        <v>21500</v>
      </c>
      <c r="AS53" s="11">
        <f t="shared" si="66"/>
        <v>48053</v>
      </c>
      <c r="AT53" s="11">
        <f t="shared" si="52"/>
        <v>31633.2899</v>
      </c>
      <c r="AW53" s="63">
        <v>2816</v>
      </c>
      <c r="AX53" s="63">
        <v>21500</v>
      </c>
      <c r="AY53" s="11">
        <f t="shared" si="67"/>
        <v>-18684</v>
      </c>
      <c r="AZ53" s="11">
        <f t="shared" si="68"/>
        <v>-12299.6772</v>
      </c>
      <c r="BA53" s="63"/>
      <c r="BB53" s="63">
        <v>75164</v>
      </c>
      <c r="BC53" s="63">
        <v>21500</v>
      </c>
      <c r="BD53" s="11">
        <f t="shared" ref="BD53:BD59" si="74">BB53-BC53</f>
        <v>53664</v>
      </c>
      <c r="BE53" s="11">
        <f t="shared" si="69"/>
        <v>35327.011200000001</v>
      </c>
      <c r="BF53" s="11"/>
      <c r="BG53" s="93"/>
      <c r="BH53" s="63">
        <v>2533</v>
      </c>
      <c r="BI53" s="63">
        <v>21500</v>
      </c>
      <c r="BJ53" s="11">
        <f t="shared" si="70"/>
        <v>-18967</v>
      </c>
      <c r="BK53" s="11">
        <f t="shared" si="71"/>
        <v>-12485.9761</v>
      </c>
      <c r="BN53" s="63">
        <v>0</v>
      </c>
      <c r="BO53" s="63">
        <v>21500</v>
      </c>
      <c r="BP53" s="11">
        <f t="shared" si="72"/>
        <v>-21500</v>
      </c>
      <c r="BQ53" s="11">
        <f t="shared" si="73"/>
        <v>-14153.45</v>
      </c>
    </row>
    <row r="54" spans="1:69">
      <c r="A54" t="s">
        <v>97</v>
      </c>
      <c r="F54" s="11">
        <v>10182899</v>
      </c>
      <c r="G54" s="11">
        <v>4867055</v>
      </c>
      <c r="H54" s="11">
        <f t="shared" si="53"/>
        <v>5315844</v>
      </c>
      <c r="I54" s="11">
        <f t="shared" si="54"/>
        <v>3499420.1052000001</v>
      </c>
      <c r="J54" s="84">
        <f>I54+J36</f>
        <v>-1321998.7972959997</v>
      </c>
      <c r="L54" s="11">
        <v>10099474</v>
      </c>
      <c r="M54" s="11">
        <v>5347254</v>
      </c>
      <c r="N54" s="11">
        <f t="shared" si="51"/>
        <v>4752220</v>
      </c>
      <c r="O54" s="11">
        <f t="shared" si="55"/>
        <v>3128386.426</v>
      </c>
      <c r="P54" s="51"/>
      <c r="Q54" s="11">
        <v>9822823</v>
      </c>
      <c r="R54" s="63">
        <v>4986965</v>
      </c>
      <c r="S54" s="11">
        <f t="shared" si="56"/>
        <v>4835858</v>
      </c>
      <c r="T54" s="112">
        <f t="shared" si="57"/>
        <v>3183445.3213999998</v>
      </c>
      <c r="V54" s="63">
        <v>6581106</v>
      </c>
      <c r="W54" s="63">
        <v>2452270</v>
      </c>
      <c r="X54" s="11">
        <f t="shared" si="58"/>
        <v>4128836</v>
      </c>
      <c r="Y54" s="11">
        <f t="shared" si="59"/>
        <v>2718012.7387999999</v>
      </c>
      <c r="AA54" s="63">
        <v>3192828</v>
      </c>
      <c r="AB54" s="63">
        <v>2099641</v>
      </c>
      <c r="AC54" s="11">
        <f t="shared" si="60"/>
        <v>1093187</v>
      </c>
      <c r="AD54" s="11">
        <f t="shared" si="61"/>
        <v>719645.00210000004</v>
      </c>
      <c r="AG54" s="63">
        <v>329813</v>
      </c>
      <c r="AH54" s="63">
        <v>1717818</v>
      </c>
      <c r="AI54" s="11">
        <f t="shared" si="62"/>
        <v>-1388005</v>
      </c>
      <c r="AJ54" s="111">
        <f t="shared" si="63"/>
        <v>-913723.69149999996</v>
      </c>
      <c r="AL54" s="63">
        <v>6673809</v>
      </c>
      <c r="AM54" s="63">
        <v>5500834</v>
      </c>
      <c r="AN54" s="11">
        <f t="shared" si="64"/>
        <v>1172975</v>
      </c>
      <c r="AO54" s="111">
        <f t="shared" si="65"/>
        <v>772169.4425</v>
      </c>
      <c r="AQ54" s="63">
        <v>10529339</v>
      </c>
      <c r="AR54" s="63">
        <v>7042078</v>
      </c>
      <c r="AS54" s="11">
        <f t="shared" si="66"/>
        <v>3487261</v>
      </c>
      <c r="AT54" s="11">
        <f t="shared" si="52"/>
        <v>2295663.9163000002</v>
      </c>
      <c r="AW54" s="63">
        <v>10577865</v>
      </c>
      <c r="AX54" s="63">
        <v>8125040</v>
      </c>
      <c r="AY54" s="11">
        <f t="shared" si="67"/>
        <v>2452825</v>
      </c>
      <c r="AZ54" s="11">
        <f t="shared" si="68"/>
        <v>1614694.6975</v>
      </c>
      <c r="BA54" s="63"/>
      <c r="BB54" s="63">
        <v>10488426</v>
      </c>
      <c r="BC54" s="63">
        <v>8053724</v>
      </c>
      <c r="BD54" s="11">
        <f t="shared" si="74"/>
        <v>2434702</v>
      </c>
      <c r="BE54" s="11">
        <f t="shared" si="69"/>
        <v>1602764.3266</v>
      </c>
      <c r="BF54" s="11"/>
      <c r="BG54" s="93"/>
      <c r="BH54" s="63">
        <v>9110372</v>
      </c>
      <c r="BI54" s="63">
        <v>8545976</v>
      </c>
      <c r="BJ54" s="11">
        <f t="shared" si="70"/>
        <v>564396</v>
      </c>
      <c r="BK54" s="11">
        <f t="shared" si="71"/>
        <v>371541.88679999998</v>
      </c>
      <c r="BN54" s="63">
        <v>10274415</v>
      </c>
      <c r="BO54" s="63">
        <v>8037225</v>
      </c>
      <c r="BP54" s="11">
        <f t="shared" si="72"/>
        <v>2237190</v>
      </c>
      <c r="BQ54" s="11">
        <f t="shared" si="73"/>
        <v>1472742.1769999999</v>
      </c>
    </row>
    <row r="55" spans="1:69">
      <c r="A55" t="s">
        <v>98</v>
      </c>
      <c r="F55" s="11">
        <v>108578</v>
      </c>
      <c r="G55" s="11">
        <v>8912</v>
      </c>
      <c r="H55" s="11">
        <f t="shared" si="53"/>
        <v>99666</v>
      </c>
      <c r="I55" s="11">
        <f t="shared" si="54"/>
        <v>65610.127800000002</v>
      </c>
      <c r="J55" s="84">
        <f>I55+J32</f>
        <v>19874.919624000002</v>
      </c>
      <c r="L55" s="11">
        <v>19666</v>
      </c>
      <c r="M55" s="11">
        <v>13655</v>
      </c>
      <c r="N55" s="11">
        <f t="shared" si="51"/>
        <v>6011</v>
      </c>
      <c r="O55" s="11">
        <f t="shared" si="55"/>
        <v>3957.0412999999999</v>
      </c>
      <c r="P55" s="51"/>
      <c r="Q55" s="11">
        <v>19133</v>
      </c>
      <c r="R55" s="63">
        <v>7523</v>
      </c>
      <c r="S55" s="11">
        <f t="shared" si="56"/>
        <v>11610</v>
      </c>
      <c r="T55" s="11">
        <f t="shared" si="57"/>
        <v>7642.8630000000003</v>
      </c>
      <c r="V55" s="63">
        <v>1228</v>
      </c>
      <c r="W55" s="63">
        <v>2169</v>
      </c>
      <c r="X55" s="11">
        <f t="shared" si="58"/>
        <v>-941</v>
      </c>
      <c r="Y55" s="11">
        <f t="shared" si="59"/>
        <v>-619.46029999999996</v>
      </c>
      <c r="AA55" s="63">
        <v>-2347</v>
      </c>
      <c r="AB55" s="63">
        <v>1661</v>
      </c>
      <c r="AC55" s="11">
        <f t="shared" si="60"/>
        <v>-4008</v>
      </c>
      <c r="AD55" s="11">
        <f t="shared" si="61"/>
        <v>-2638.4663999999998</v>
      </c>
      <c r="AG55" s="63">
        <v>-3137</v>
      </c>
      <c r="AH55" s="63">
        <v>2097</v>
      </c>
      <c r="AI55" s="11">
        <f t="shared" si="62"/>
        <v>-5234</v>
      </c>
      <c r="AJ55" s="11">
        <f t="shared" si="63"/>
        <v>-3445.5421999999999</v>
      </c>
      <c r="AL55" s="63">
        <v>9531</v>
      </c>
      <c r="AM55" s="63">
        <v>32143</v>
      </c>
      <c r="AN55" s="11">
        <f t="shared" si="64"/>
        <v>-22612</v>
      </c>
      <c r="AO55" s="11">
        <f t="shared" si="65"/>
        <v>-14885.479600000001</v>
      </c>
      <c r="AQ55" s="63">
        <f>'WGJ-2 Page 2,3'!L77</f>
        <v>33186</v>
      </c>
      <c r="AR55" s="63">
        <v>54496</v>
      </c>
      <c r="AS55" s="11">
        <f t="shared" si="66"/>
        <v>-21310</v>
      </c>
      <c r="AT55" s="11">
        <f t="shared" si="52"/>
        <v>-14028.373</v>
      </c>
      <c r="AW55" s="63">
        <v>16920</v>
      </c>
      <c r="AX55" s="63">
        <v>58460</v>
      </c>
      <c r="AY55" s="11">
        <f t="shared" si="67"/>
        <v>-41540</v>
      </c>
      <c r="AZ55" s="11">
        <f t="shared" si="68"/>
        <v>-27345.781999999999</v>
      </c>
      <c r="BA55" s="63"/>
      <c r="BB55" s="63">
        <v>-461</v>
      </c>
      <c r="BC55" s="63">
        <v>26948</v>
      </c>
      <c r="BD55" s="11">
        <f t="shared" si="74"/>
        <v>-27409</v>
      </c>
      <c r="BE55" s="11">
        <f t="shared" si="69"/>
        <v>-18043.344700000001</v>
      </c>
      <c r="BF55" s="11"/>
      <c r="BG55" s="93"/>
      <c r="BH55" s="63">
        <v>-100</v>
      </c>
      <c r="BI55" s="63">
        <v>32847</v>
      </c>
      <c r="BJ55" s="11">
        <f t="shared" si="70"/>
        <v>-32947</v>
      </c>
      <c r="BK55" s="11">
        <f t="shared" si="71"/>
        <v>-21689.0101</v>
      </c>
      <c r="BN55" s="63">
        <v>14439</v>
      </c>
      <c r="BO55" s="63">
        <v>15066</v>
      </c>
      <c r="BP55" s="11">
        <f t="shared" si="72"/>
        <v>-627</v>
      </c>
      <c r="BQ55" s="11">
        <f t="shared" si="73"/>
        <v>-412.75409999999999</v>
      </c>
    </row>
    <row r="56" spans="1:69">
      <c r="A56" t="s">
        <v>99</v>
      </c>
      <c r="F56" s="11">
        <v>427640</v>
      </c>
      <c r="G56" s="11">
        <v>6813</v>
      </c>
      <c r="H56" s="11">
        <f t="shared" si="53"/>
        <v>420827</v>
      </c>
      <c r="I56" s="11">
        <f t="shared" si="54"/>
        <v>277030.41409999999</v>
      </c>
      <c r="J56" s="84">
        <f>I56+J35</f>
        <v>25344.734323999961</v>
      </c>
      <c r="L56" s="11">
        <v>52113</v>
      </c>
      <c r="M56" s="11">
        <v>5093</v>
      </c>
      <c r="N56" s="11">
        <f t="shared" si="51"/>
        <v>47020</v>
      </c>
      <c r="O56" s="11">
        <f t="shared" si="55"/>
        <v>30953.266</v>
      </c>
      <c r="P56" s="51"/>
      <c r="Q56" s="11">
        <v>12878</v>
      </c>
      <c r="R56" s="63">
        <v>9304</v>
      </c>
      <c r="S56" s="11">
        <f t="shared" si="56"/>
        <v>3574</v>
      </c>
      <c r="T56" s="11">
        <f t="shared" si="57"/>
        <v>2352.7642000000001</v>
      </c>
      <c r="V56" s="89">
        <v>376549</v>
      </c>
      <c r="W56" s="63">
        <v>1649</v>
      </c>
      <c r="X56" s="11">
        <f t="shared" si="58"/>
        <v>374900</v>
      </c>
      <c r="Y56" s="11">
        <f t="shared" si="59"/>
        <v>246796.67</v>
      </c>
      <c r="AA56" s="63">
        <v>20022</v>
      </c>
      <c r="AB56" s="63">
        <v>535</v>
      </c>
      <c r="AC56" s="11">
        <f t="shared" si="60"/>
        <v>19487</v>
      </c>
      <c r="AD56" s="11">
        <f t="shared" si="61"/>
        <v>12828.292100000001</v>
      </c>
      <c r="AG56" s="63">
        <v>19673</v>
      </c>
      <c r="AH56" s="63">
        <v>3735</v>
      </c>
      <c r="AI56" s="11">
        <f t="shared" si="62"/>
        <v>15938</v>
      </c>
      <c r="AJ56" s="11">
        <f t="shared" si="63"/>
        <v>10491.9854</v>
      </c>
      <c r="AL56" s="63">
        <v>114111</v>
      </c>
      <c r="AM56" s="63">
        <v>65731</v>
      </c>
      <c r="AN56" s="11">
        <f t="shared" si="64"/>
        <v>48380</v>
      </c>
      <c r="AO56" s="11">
        <f t="shared" si="65"/>
        <v>31848.554</v>
      </c>
      <c r="AQ56" s="63">
        <f>'WGJ-2 Page 2,3'!L76</f>
        <v>69751</v>
      </c>
      <c r="AR56" s="63">
        <v>104090</v>
      </c>
      <c r="AS56" s="11">
        <f t="shared" si="66"/>
        <v>-34339</v>
      </c>
      <c r="AT56" s="11">
        <f t="shared" si="52"/>
        <v>-22605.363699999998</v>
      </c>
      <c r="AW56" s="63">
        <v>138663</v>
      </c>
      <c r="AX56" s="63">
        <v>100859</v>
      </c>
      <c r="AY56" s="11">
        <f t="shared" si="67"/>
        <v>37804</v>
      </c>
      <c r="AZ56" s="11">
        <f t="shared" si="68"/>
        <v>24886.373199999998</v>
      </c>
      <c r="BA56" s="63"/>
      <c r="BB56" s="63">
        <v>28001</v>
      </c>
      <c r="BC56" s="63">
        <v>25111</v>
      </c>
      <c r="BD56" s="11">
        <f t="shared" si="74"/>
        <v>2890</v>
      </c>
      <c r="BE56" s="11">
        <f t="shared" si="69"/>
        <v>1902.4870000000001</v>
      </c>
      <c r="BF56" s="11"/>
      <c r="BG56" s="93"/>
      <c r="BH56" s="63">
        <v>11330</v>
      </c>
      <c r="BI56" s="63">
        <v>19231</v>
      </c>
      <c r="BJ56" s="11">
        <f t="shared" si="70"/>
        <v>-7901</v>
      </c>
      <c r="BK56" s="11">
        <f t="shared" si="71"/>
        <v>-5201.2282999999998</v>
      </c>
      <c r="BN56" s="63">
        <v>319156</v>
      </c>
      <c r="BO56" s="63">
        <v>6379</v>
      </c>
      <c r="BP56" s="11">
        <f t="shared" si="72"/>
        <v>312777</v>
      </c>
      <c r="BQ56" s="11">
        <f t="shared" si="73"/>
        <v>205901.09909999999</v>
      </c>
    </row>
    <row r="57" spans="1:69">
      <c r="A57" t="s">
        <v>100</v>
      </c>
      <c r="F57" s="11">
        <v>160396</v>
      </c>
      <c r="G57" s="11">
        <v>4234</v>
      </c>
      <c r="H57" s="11">
        <f t="shared" si="53"/>
        <v>156162</v>
      </c>
      <c r="I57" s="11">
        <f t="shared" si="54"/>
        <v>102801.4446</v>
      </c>
      <c r="J57" s="84">
        <f>I57+J34</f>
        <v>28659.274824000007</v>
      </c>
      <c r="L57" s="11">
        <v>-493</v>
      </c>
      <c r="M57" s="11"/>
      <c r="N57" s="11">
        <f t="shared" si="51"/>
        <v>-493</v>
      </c>
      <c r="O57" s="11">
        <f t="shared" si="55"/>
        <v>-324.5419</v>
      </c>
      <c r="P57" s="51"/>
      <c r="Q57" s="11">
        <v>-1709</v>
      </c>
      <c r="R57" s="63"/>
      <c r="S57" s="11">
        <f t="shared" si="56"/>
        <v>-1709</v>
      </c>
      <c r="T57" s="11">
        <f t="shared" si="57"/>
        <v>-1125.0346999999999</v>
      </c>
      <c r="V57" s="89">
        <v>-16690</v>
      </c>
      <c r="W57" s="63"/>
      <c r="X57" s="11">
        <f t="shared" si="58"/>
        <v>-16690</v>
      </c>
      <c r="Y57" s="11">
        <f t="shared" si="59"/>
        <v>-10987.027</v>
      </c>
      <c r="AA57" s="63">
        <v>-5531</v>
      </c>
      <c r="AB57" s="63">
        <v>0</v>
      </c>
      <c r="AC57" s="11">
        <f t="shared" si="60"/>
        <v>-5531</v>
      </c>
      <c r="AD57" s="11">
        <f t="shared" si="61"/>
        <v>-3641.0572999999999</v>
      </c>
      <c r="AG57" s="63">
        <v>2364</v>
      </c>
      <c r="AH57" s="63">
        <v>2279</v>
      </c>
      <c r="AI57" s="11">
        <f t="shared" si="62"/>
        <v>85</v>
      </c>
      <c r="AJ57" s="11">
        <f t="shared" si="63"/>
        <v>55.955500000000001</v>
      </c>
      <c r="AL57" s="63">
        <v>207422</v>
      </c>
      <c r="AM57" s="63">
        <v>70824</v>
      </c>
      <c r="AN57" s="11">
        <f t="shared" si="64"/>
        <v>136598</v>
      </c>
      <c r="AO57" s="11">
        <f t="shared" si="65"/>
        <v>89922.463399999993</v>
      </c>
      <c r="AQ57" s="63">
        <f>'WGJ-2 Page 2,3'!L80</f>
        <v>36061</v>
      </c>
      <c r="AR57" s="63">
        <v>107456</v>
      </c>
      <c r="AS57" s="11">
        <f t="shared" si="66"/>
        <v>-71395</v>
      </c>
      <c r="AT57" s="11">
        <f t="shared" si="52"/>
        <v>-46999.328500000003</v>
      </c>
      <c r="AW57" s="63">
        <v>-26</v>
      </c>
      <c r="AX57" s="63">
        <v>61156</v>
      </c>
      <c r="AY57" s="11">
        <f t="shared" si="67"/>
        <v>-61182</v>
      </c>
      <c r="AZ57" s="11">
        <f t="shared" si="68"/>
        <v>-40276.1106</v>
      </c>
      <c r="BA57" s="63"/>
      <c r="BB57" s="63">
        <v>29292</v>
      </c>
      <c r="BC57" s="63"/>
      <c r="BD57" s="11">
        <f t="shared" si="74"/>
        <v>29292</v>
      </c>
      <c r="BE57" s="11">
        <f t="shared" si="69"/>
        <v>19282.923599999998</v>
      </c>
      <c r="BF57" s="11"/>
      <c r="BG57" s="93"/>
      <c r="BH57" s="63">
        <v>804</v>
      </c>
      <c r="BI57" s="63">
        <v>2506</v>
      </c>
      <c r="BJ57" s="11">
        <f t="shared" si="70"/>
        <v>-1702</v>
      </c>
      <c r="BK57" s="11">
        <f t="shared" si="71"/>
        <v>-1120.4266</v>
      </c>
      <c r="BN57" s="63">
        <v>953206</v>
      </c>
      <c r="BO57" s="63">
        <v>0</v>
      </c>
      <c r="BP57" s="11">
        <f t="shared" si="72"/>
        <v>953206</v>
      </c>
      <c r="BQ57" s="11">
        <f t="shared" si="73"/>
        <v>627495.5098</v>
      </c>
    </row>
    <row r="58" spans="1:69">
      <c r="A58" t="s">
        <v>101</v>
      </c>
      <c r="F58" s="11">
        <v>3168</v>
      </c>
      <c r="G58" s="11">
        <v>0</v>
      </c>
      <c r="H58" s="11">
        <f t="shared" si="53"/>
        <v>3168</v>
      </c>
      <c r="I58" s="11">
        <f t="shared" si="54"/>
        <v>2085.4944</v>
      </c>
      <c r="J58" s="84">
        <f>I58+J33</f>
        <v>617.8013840000001</v>
      </c>
      <c r="L58" s="11">
        <v>60320</v>
      </c>
      <c r="M58" s="11"/>
      <c r="N58" s="11">
        <f t="shared" si="51"/>
        <v>60320</v>
      </c>
      <c r="O58" s="11">
        <f t="shared" si="55"/>
        <v>39708.656000000003</v>
      </c>
      <c r="P58" s="51"/>
      <c r="Q58" s="11">
        <v>402</v>
      </c>
      <c r="R58" s="63"/>
      <c r="S58" s="11">
        <f t="shared" si="56"/>
        <v>402</v>
      </c>
      <c r="T58" s="11">
        <f t="shared" si="57"/>
        <v>264.63659999999999</v>
      </c>
      <c r="V58" s="63">
        <v>6633</v>
      </c>
      <c r="W58" s="63"/>
      <c r="X58" s="11">
        <f t="shared" si="58"/>
        <v>6633</v>
      </c>
      <c r="Y58" s="11">
        <f t="shared" si="59"/>
        <v>4366.5038999999997</v>
      </c>
      <c r="AA58" s="63">
        <v>83109</v>
      </c>
      <c r="AB58" s="63">
        <v>0</v>
      </c>
      <c r="AC58" s="11">
        <f t="shared" si="60"/>
        <v>83109</v>
      </c>
      <c r="AD58" s="11">
        <f t="shared" si="61"/>
        <v>54710.654699999999</v>
      </c>
      <c r="AG58" s="63">
        <v>116</v>
      </c>
      <c r="AH58" s="63">
        <v>0</v>
      </c>
      <c r="AI58" s="11">
        <f t="shared" si="62"/>
        <v>116</v>
      </c>
      <c r="AJ58" s="11">
        <f t="shared" si="63"/>
        <v>76.362799999999993</v>
      </c>
      <c r="AL58" s="63">
        <v>-351</v>
      </c>
      <c r="AM58" s="63">
        <v>10548</v>
      </c>
      <c r="AN58" s="11">
        <f t="shared" si="64"/>
        <v>-10899</v>
      </c>
      <c r="AO58" s="11">
        <f t="shared" si="65"/>
        <v>-7174.8117000000002</v>
      </c>
      <c r="AQ58" s="63">
        <f>'WGJ-2 Page 2,3'!L75</f>
        <v>21446</v>
      </c>
      <c r="AR58" s="63">
        <v>14925</v>
      </c>
      <c r="AS58" s="11">
        <f t="shared" si="66"/>
        <v>6521</v>
      </c>
      <c r="AT58" s="11">
        <f t="shared" si="52"/>
        <v>4292.7743</v>
      </c>
      <c r="AW58" s="63">
        <v>153</v>
      </c>
      <c r="AX58" s="63">
        <v>5433</v>
      </c>
      <c r="AY58" s="11">
        <f t="shared" si="67"/>
        <v>-5280</v>
      </c>
      <c r="AZ58" s="11">
        <f t="shared" si="68"/>
        <v>-3475.8240000000001</v>
      </c>
      <c r="BA58" s="63"/>
      <c r="BB58" s="63">
        <v>-648</v>
      </c>
      <c r="BC58" s="63"/>
      <c r="BD58" s="11">
        <f t="shared" si="74"/>
        <v>-648</v>
      </c>
      <c r="BE58" s="11">
        <f t="shared" si="69"/>
        <v>-426.57839999999999</v>
      </c>
      <c r="BF58" s="11"/>
      <c r="BG58" s="93"/>
      <c r="BH58" s="63">
        <v>-141</v>
      </c>
      <c r="BI58" s="63"/>
      <c r="BJ58" s="11">
        <f t="shared" si="70"/>
        <v>-141</v>
      </c>
      <c r="BK58" s="11">
        <f t="shared" si="71"/>
        <v>-92.820300000000003</v>
      </c>
      <c r="BN58" s="63"/>
      <c r="BO58" s="63"/>
      <c r="BP58" s="11"/>
      <c r="BQ58" s="11"/>
    </row>
    <row r="59" spans="1:69">
      <c r="A59" t="s">
        <v>102</v>
      </c>
      <c r="F59" s="11">
        <v>674872</v>
      </c>
      <c r="G59" s="11">
        <v>613583</v>
      </c>
      <c r="H59" s="11">
        <f t="shared" si="53"/>
        <v>61289</v>
      </c>
      <c r="I59" s="11">
        <f t="shared" si="54"/>
        <v>40346.548699999999</v>
      </c>
      <c r="J59" s="84">
        <f>I59</f>
        <v>40346.548699999999</v>
      </c>
      <c r="L59" s="11">
        <v>635455</v>
      </c>
      <c r="M59" s="11">
        <v>613583</v>
      </c>
      <c r="N59" s="11">
        <f t="shared" si="51"/>
        <v>21872</v>
      </c>
      <c r="O59" s="11">
        <f t="shared" si="55"/>
        <v>14398.337600000001</v>
      </c>
      <c r="P59" s="51"/>
      <c r="Q59" s="11">
        <v>-457063</v>
      </c>
      <c r="R59" s="11">
        <v>613583</v>
      </c>
      <c r="S59" s="11">
        <f t="shared" si="56"/>
        <v>-1070646</v>
      </c>
      <c r="T59" s="112">
        <f>S59*0.6583</f>
        <v>-704806.26179999998</v>
      </c>
      <c r="V59" s="63">
        <v>549830</v>
      </c>
      <c r="W59" s="11">
        <v>613583</v>
      </c>
      <c r="X59" s="11">
        <f t="shared" si="58"/>
        <v>-63753</v>
      </c>
      <c r="Y59" s="11">
        <f t="shared" si="59"/>
        <v>-41968.599900000001</v>
      </c>
      <c r="AA59" s="63">
        <v>414552</v>
      </c>
      <c r="AB59" s="11">
        <v>613583</v>
      </c>
      <c r="AC59" s="11">
        <f t="shared" si="60"/>
        <v>-199031</v>
      </c>
      <c r="AD59" s="11">
        <f t="shared" si="61"/>
        <v>-131022.1073</v>
      </c>
      <c r="AG59" s="63">
        <v>428074</v>
      </c>
      <c r="AH59" s="11">
        <v>613583</v>
      </c>
      <c r="AI59" s="11">
        <f t="shared" si="62"/>
        <v>-185509</v>
      </c>
      <c r="AJ59" s="111">
        <f t="shared" si="63"/>
        <v>-122120.5747</v>
      </c>
      <c r="AL59" s="63">
        <v>578512</v>
      </c>
      <c r="AM59" s="11">
        <v>613583</v>
      </c>
      <c r="AN59" s="11">
        <f t="shared" si="64"/>
        <v>-35071</v>
      </c>
      <c r="AO59" s="11">
        <f t="shared" si="65"/>
        <v>-23087.239300000001</v>
      </c>
      <c r="AQ59" s="63">
        <v>581452</v>
      </c>
      <c r="AR59" s="11">
        <v>613583</v>
      </c>
      <c r="AS59" s="11">
        <f t="shared" si="66"/>
        <v>-32131</v>
      </c>
      <c r="AT59" s="11">
        <f t="shared" si="52"/>
        <v>-21151.837299999999</v>
      </c>
      <c r="AW59" s="63">
        <v>531666</v>
      </c>
      <c r="AX59" s="11">
        <v>613583</v>
      </c>
      <c r="AY59" s="11">
        <f t="shared" si="67"/>
        <v>-81917</v>
      </c>
      <c r="AZ59" s="11">
        <f t="shared" si="68"/>
        <v>-53925.9611</v>
      </c>
      <c r="BA59" s="63"/>
      <c r="BB59" s="63">
        <v>494711</v>
      </c>
      <c r="BC59" s="11">
        <v>613583</v>
      </c>
      <c r="BD59" s="11">
        <f t="shared" si="74"/>
        <v>-118872</v>
      </c>
      <c r="BE59" s="11">
        <f t="shared" si="69"/>
        <v>-78253.437600000005</v>
      </c>
      <c r="BF59" s="11"/>
      <c r="BG59" s="93"/>
      <c r="BH59" s="63">
        <v>551310</v>
      </c>
      <c r="BI59" s="11">
        <v>613583</v>
      </c>
      <c r="BJ59" s="11">
        <f t="shared" si="70"/>
        <v>-62273</v>
      </c>
      <c r="BK59" s="11">
        <f t="shared" si="71"/>
        <v>-40994.315900000001</v>
      </c>
      <c r="BN59" s="63">
        <v>597647</v>
      </c>
      <c r="BO59" s="11">
        <v>613583</v>
      </c>
      <c r="BP59" s="11">
        <f t="shared" si="72"/>
        <v>-15936</v>
      </c>
      <c r="BQ59" s="11">
        <f t="shared" si="73"/>
        <v>-10490.668799999999</v>
      </c>
    </row>
    <row r="60" spans="1:69">
      <c r="A60" s="62" t="s">
        <v>103</v>
      </c>
      <c r="F60" s="11">
        <f>428571-308207</f>
        <v>120364</v>
      </c>
      <c r="G60" s="11"/>
      <c r="H60" s="11">
        <f t="shared" si="53"/>
        <v>120364</v>
      </c>
      <c r="I60" s="11">
        <f t="shared" si="54"/>
        <v>79235.621199999994</v>
      </c>
      <c r="N60" s="10"/>
      <c r="O60" s="11"/>
      <c r="P60" s="51"/>
      <c r="Q60" s="11">
        <f>237071-227772</f>
        <v>9299</v>
      </c>
      <c r="R60" s="63"/>
      <c r="S60" s="11">
        <f t="shared" si="56"/>
        <v>9299</v>
      </c>
      <c r="T60" s="51">
        <f>S60*0.6583</f>
        <v>6121.5316999999995</v>
      </c>
      <c r="W60" s="63"/>
      <c r="X60" s="11">
        <f t="shared" si="58"/>
        <v>0</v>
      </c>
      <c r="Y60" s="11">
        <f t="shared" si="59"/>
        <v>0</v>
      </c>
      <c r="AA60" s="63"/>
      <c r="AC60" s="11">
        <f t="shared" si="60"/>
        <v>0</v>
      </c>
      <c r="AD60" s="11">
        <f t="shared" si="61"/>
        <v>0</v>
      </c>
      <c r="AG60" s="63"/>
      <c r="AI60" s="11">
        <f t="shared" si="62"/>
        <v>0</v>
      </c>
      <c r="AJ60" s="11">
        <f t="shared" si="63"/>
        <v>0</v>
      </c>
      <c r="AL60" s="63"/>
      <c r="AN60" s="10"/>
      <c r="AO60" s="10"/>
      <c r="AQ60" s="63"/>
      <c r="AS60" s="10"/>
      <c r="AT60" s="10"/>
      <c r="AU60" s="11"/>
      <c r="AW60" s="63"/>
      <c r="AY60" s="10">
        <f>-AY29*AW47</f>
        <v>-1101539.67</v>
      </c>
      <c r="AZ60" s="11">
        <f t="shared" si="68"/>
        <v>-725143.56476099999</v>
      </c>
      <c r="BA60" s="19"/>
      <c r="BB60" s="63"/>
      <c r="BD60" s="10"/>
      <c r="BE60" s="11"/>
      <c r="BF60" s="11"/>
      <c r="BG60" s="93"/>
      <c r="BH60" s="63"/>
      <c r="BJ60" s="11"/>
      <c r="BK60" s="11"/>
      <c r="BN60" s="63"/>
      <c r="BP60" s="10"/>
      <c r="BQ60" s="11"/>
    </row>
    <row r="61" spans="1:69">
      <c r="A61" s="62" t="s">
        <v>104</v>
      </c>
      <c r="F61" s="11">
        <v>79209</v>
      </c>
      <c r="G61" s="11">
        <v>121900</v>
      </c>
      <c r="H61" s="11">
        <f t="shared" si="53"/>
        <v>-42691</v>
      </c>
      <c r="I61" s="11">
        <f t="shared" si="54"/>
        <v>-28103.4853</v>
      </c>
      <c r="J61" s="10">
        <f>I61+J38</f>
        <v>1203.0300840000018</v>
      </c>
      <c r="L61" s="11">
        <v>116287</v>
      </c>
      <c r="M61" s="11">
        <v>127000</v>
      </c>
      <c r="N61" s="11">
        <f t="shared" si="51"/>
        <v>-10713</v>
      </c>
      <c r="O61" s="11">
        <f t="shared" si="55"/>
        <v>-7052.3679000000002</v>
      </c>
      <c r="P61" s="51"/>
      <c r="Q61" s="11">
        <v>142816</v>
      </c>
      <c r="R61" s="63">
        <v>125400</v>
      </c>
      <c r="S61" s="10">
        <f t="shared" si="56"/>
        <v>17416</v>
      </c>
      <c r="T61" s="11">
        <f t="shared" si="57"/>
        <v>11464.952799999999</v>
      </c>
      <c r="V61" s="57">
        <v>135435</v>
      </c>
      <c r="W61" s="63">
        <v>130000</v>
      </c>
      <c r="X61" s="11">
        <f t="shared" si="58"/>
        <v>5435</v>
      </c>
      <c r="Y61" s="11"/>
      <c r="AA61" s="63">
        <v>127086</v>
      </c>
      <c r="AB61" s="63">
        <v>114400</v>
      </c>
      <c r="AC61" s="11">
        <f t="shared" si="60"/>
        <v>12686</v>
      </c>
      <c r="AD61" s="11">
        <f t="shared" si="61"/>
        <v>8351.1937999999991</v>
      </c>
      <c r="AG61" s="63">
        <v>132277</v>
      </c>
      <c r="AH61" s="63">
        <v>117100</v>
      </c>
      <c r="AI61" s="11">
        <f t="shared" si="62"/>
        <v>15177</v>
      </c>
      <c r="AJ61" s="11">
        <f t="shared" si="63"/>
        <v>9991.0190999999995</v>
      </c>
      <c r="AL61" s="63">
        <v>103154</v>
      </c>
      <c r="AM61" s="63">
        <v>92600</v>
      </c>
      <c r="AN61" s="10">
        <f>AL61-AM61</f>
        <v>10554</v>
      </c>
      <c r="AO61" s="10">
        <f>AN61*0.6583</f>
        <v>6947.6981999999998</v>
      </c>
      <c r="AQ61" s="63">
        <f>'WGJ-2 Page 2,3'!L14</f>
        <v>90477</v>
      </c>
      <c r="AR61" s="63">
        <v>44300</v>
      </c>
      <c r="AS61" s="11">
        <f t="shared" si="66"/>
        <v>46177</v>
      </c>
      <c r="AT61" s="11"/>
      <c r="AU61" s="11"/>
      <c r="AW61" s="63"/>
      <c r="AY61" s="10"/>
      <c r="AZ61" s="11"/>
      <c r="BA61" s="19"/>
      <c r="BB61" s="63"/>
      <c r="BD61" s="10"/>
      <c r="BE61" s="11"/>
      <c r="BF61" s="11"/>
      <c r="BG61" s="93"/>
      <c r="BH61" s="63"/>
      <c r="BJ61" s="10"/>
      <c r="BK61" s="11"/>
      <c r="BN61" s="63">
        <v>61383</v>
      </c>
      <c r="BO61" s="63">
        <v>86700</v>
      </c>
      <c r="BP61" s="11">
        <f t="shared" si="72"/>
        <v>-25317</v>
      </c>
      <c r="BQ61" s="11">
        <f t="shared" ref="BQ61:BQ66" si="75">BP61*0.6583</f>
        <v>-16666.181100000002</v>
      </c>
    </row>
    <row r="62" spans="1:69" ht="12.75" customHeight="1">
      <c r="A62" t="s">
        <v>79</v>
      </c>
      <c r="F62" s="11">
        <v>159443</v>
      </c>
      <c r="G62" s="11">
        <v>212630</v>
      </c>
      <c r="H62" s="11">
        <f t="shared" si="53"/>
        <v>-53187</v>
      </c>
      <c r="I62" s="11">
        <f t="shared" si="54"/>
        <v>-35013.002099999998</v>
      </c>
      <c r="J62" s="10">
        <f>I62+J39</f>
        <v>44195.075828000001</v>
      </c>
      <c r="L62" s="11">
        <v>123703</v>
      </c>
      <c r="M62" s="11">
        <v>193300</v>
      </c>
      <c r="N62" s="11">
        <f t="shared" si="51"/>
        <v>-69597</v>
      </c>
      <c r="O62" s="11">
        <f t="shared" si="55"/>
        <v>-45815.705099999999</v>
      </c>
      <c r="P62" s="51"/>
      <c r="Q62" s="11"/>
      <c r="R62" s="63">
        <v>193300</v>
      </c>
      <c r="S62" s="10">
        <f t="shared" si="56"/>
        <v>-193300</v>
      </c>
      <c r="T62" s="11">
        <f t="shared" si="57"/>
        <v>-127249.39</v>
      </c>
      <c r="V62" s="57">
        <v>274717</v>
      </c>
      <c r="W62" s="63">
        <v>231960</v>
      </c>
      <c r="X62" s="11">
        <f t="shared" si="58"/>
        <v>42757</v>
      </c>
      <c r="Y62" s="11">
        <f t="shared" si="59"/>
        <v>28146.933099999998</v>
      </c>
      <c r="AA62" s="63">
        <v>148761</v>
      </c>
      <c r="AB62" s="63">
        <v>231960</v>
      </c>
      <c r="AC62" s="11">
        <f t="shared" si="60"/>
        <v>-83199</v>
      </c>
      <c r="AD62" s="11">
        <f t="shared" si="61"/>
        <v>-54769.901700000002</v>
      </c>
      <c r="AG62" s="63">
        <v>160078</v>
      </c>
      <c r="AH62" s="63">
        <v>231960</v>
      </c>
      <c r="AI62" s="11">
        <f t="shared" si="62"/>
        <v>-71882</v>
      </c>
      <c r="AJ62" s="11">
        <f t="shared" si="63"/>
        <v>-47319.920599999998</v>
      </c>
      <c r="AL62" s="63">
        <v>187138</v>
      </c>
      <c r="AM62" s="63">
        <v>135310</v>
      </c>
      <c r="AN62" s="10">
        <f>AL62-AM62</f>
        <v>51828</v>
      </c>
      <c r="AO62" s="10">
        <f>AN62*0.6583</f>
        <v>34118.3724</v>
      </c>
      <c r="AQ62" s="63">
        <f>'WGJ-2 Page 2,3'!L16</f>
        <v>1445</v>
      </c>
      <c r="AS62" s="10"/>
      <c r="AT62" s="10"/>
      <c r="AU62" s="11"/>
      <c r="AW62" s="63"/>
      <c r="AY62" s="10">
        <f>-AY24*AW47</f>
        <v>-1125518.28</v>
      </c>
      <c r="AZ62" s="11">
        <f t="shared" si="68"/>
        <v>-740928.683724</v>
      </c>
      <c r="BA62" s="19"/>
      <c r="BB62" s="63"/>
      <c r="BD62" s="10"/>
      <c r="BE62" s="11"/>
      <c r="BF62" s="11"/>
      <c r="BG62" s="93"/>
      <c r="BH62" s="63"/>
      <c r="BJ62" s="10"/>
      <c r="BK62" s="11"/>
      <c r="BN62" s="63">
        <v>196457</v>
      </c>
      <c r="BO62" s="63">
        <v>231960</v>
      </c>
      <c r="BP62" s="11">
        <f t="shared" si="72"/>
        <v>-35503</v>
      </c>
      <c r="BQ62" s="11">
        <f t="shared" si="75"/>
        <v>-23371.624899999999</v>
      </c>
    </row>
    <row r="63" spans="1:69">
      <c r="A63" t="s">
        <v>82</v>
      </c>
      <c r="F63" s="11">
        <v>158526</v>
      </c>
      <c r="G63" s="11">
        <v>173083</v>
      </c>
      <c r="H63" s="11">
        <f t="shared" si="53"/>
        <v>-14557</v>
      </c>
      <c r="I63" s="11">
        <f t="shared" si="54"/>
        <v>-9582.8731000000007</v>
      </c>
      <c r="J63" s="10">
        <f>I63+J43</f>
        <v>15651.977788</v>
      </c>
      <c r="L63" s="11">
        <v>160952</v>
      </c>
      <c r="M63" s="11">
        <v>173083</v>
      </c>
      <c r="N63" s="11">
        <f t="shared" si="51"/>
        <v>-12131</v>
      </c>
      <c r="O63" s="11">
        <f t="shared" si="55"/>
        <v>-7985.8373000000001</v>
      </c>
      <c r="P63" s="51"/>
      <c r="Q63" s="11"/>
      <c r="R63" s="63">
        <v>173083</v>
      </c>
      <c r="S63" s="10">
        <f t="shared" si="56"/>
        <v>-173083</v>
      </c>
      <c r="T63" s="11">
        <f t="shared" si="57"/>
        <v>-113940.5389</v>
      </c>
      <c r="V63" s="57">
        <v>139267</v>
      </c>
      <c r="W63" s="63">
        <v>173083</v>
      </c>
      <c r="X63" s="11">
        <f t="shared" si="58"/>
        <v>-33816</v>
      </c>
      <c r="Y63" s="11">
        <f t="shared" si="59"/>
        <v>-22261.072799999998</v>
      </c>
      <c r="AA63" s="63">
        <v>158548</v>
      </c>
      <c r="AB63" s="63">
        <v>173083</v>
      </c>
      <c r="AC63" s="11">
        <f t="shared" si="60"/>
        <v>-14535</v>
      </c>
      <c r="AD63" s="11">
        <f t="shared" si="61"/>
        <v>-9568.3904999999995</v>
      </c>
      <c r="AG63" s="63">
        <v>151527</v>
      </c>
      <c r="AH63" s="63">
        <v>173083</v>
      </c>
      <c r="AI63" s="11">
        <f t="shared" si="62"/>
        <v>-21556</v>
      </c>
      <c r="AJ63" s="11">
        <f t="shared" si="63"/>
        <v>-14190.3148</v>
      </c>
      <c r="AL63" s="63">
        <v>157286</v>
      </c>
      <c r="AM63" s="63">
        <v>173083</v>
      </c>
      <c r="AN63" s="10">
        <f>AL63-AM63</f>
        <v>-15797</v>
      </c>
      <c r="AO63" s="10">
        <f>AN63*0.6583</f>
        <v>-10399.1651</v>
      </c>
      <c r="AQ63" s="63">
        <f>'WGJ-2 Page 2,3'!L15</f>
        <v>180910</v>
      </c>
      <c r="AR63" s="63">
        <v>173083</v>
      </c>
      <c r="AS63" s="10"/>
      <c r="AT63" s="10"/>
      <c r="AU63" s="11"/>
      <c r="AW63" s="63"/>
      <c r="AY63" s="10">
        <f>-AY31*AW47</f>
        <v>988010.36999999988</v>
      </c>
      <c r="AZ63" s="11">
        <f t="shared" si="68"/>
        <v>650407.22657099995</v>
      </c>
      <c r="BA63" s="63"/>
      <c r="BB63" s="63"/>
      <c r="BD63" s="10"/>
      <c r="BE63" s="11"/>
      <c r="BF63" s="11"/>
      <c r="BG63" s="93"/>
      <c r="BH63" s="63"/>
      <c r="BJ63" s="10"/>
      <c r="BK63" s="11"/>
      <c r="BN63" s="63">
        <v>207071</v>
      </c>
      <c r="BO63" s="63">
        <v>173083</v>
      </c>
      <c r="BP63" s="11">
        <f t="shared" si="72"/>
        <v>33988</v>
      </c>
      <c r="BQ63" s="11">
        <f t="shared" si="75"/>
        <v>22374.3004</v>
      </c>
    </row>
    <row r="64" spans="1:69">
      <c r="A64" t="s">
        <v>105</v>
      </c>
      <c r="F64" s="11">
        <v>-615229</v>
      </c>
      <c r="G64" s="11"/>
      <c r="H64" s="11">
        <f t="shared" si="53"/>
        <v>-615229</v>
      </c>
      <c r="I64" s="11">
        <f t="shared" si="54"/>
        <v>-405005.25069999998</v>
      </c>
      <c r="L64" s="11">
        <v>158623</v>
      </c>
      <c r="M64" s="11">
        <v>0</v>
      </c>
      <c r="N64" s="11">
        <f t="shared" si="51"/>
        <v>158623</v>
      </c>
      <c r="O64" s="11">
        <f t="shared" si="55"/>
        <v>104421.5209</v>
      </c>
      <c r="P64" s="51"/>
      <c r="Q64" s="11"/>
      <c r="R64" s="63"/>
      <c r="S64" s="10">
        <f t="shared" si="56"/>
        <v>0</v>
      </c>
      <c r="T64" s="11">
        <f t="shared" si="57"/>
        <v>0</v>
      </c>
      <c r="V64" s="57">
        <v>-117691</v>
      </c>
      <c r="W64" s="63"/>
      <c r="X64" s="11">
        <f t="shared" si="58"/>
        <v>-117691</v>
      </c>
      <c r="Y64" s="11">
        <f t="shared" si="59"/>
        <v>-77475.9853</v>
      </c>
      <c r="AA64" s="63">
        <v>207930</v>
      </c>
      <c r="AC64" s="11">
        <f t="shared" si="60"/>
        <v>207930</v>
      </c>
      <c r="AD64" s="11">
        <f t="shared" si="61"/>
        <v>136880.31899999999</v>
      </c>
      <c r="AG64" s="63">
        <v>-80024</v>
      </c>
      <c r="AH64" s="63">
        <v>0</v>
      </c>
      <c r="AI64" s="11">
        <f t="shared" si="62"/>
        <v>-80024</v>
      </c>
      <c r="AJ64" s="11">
        <f t="shared" si="63"/>
        <v>-52679.799200000001</v>
      </c>
      <c r="AL64" s="63"/>
      <c r="AN64" s="10"/>
      <c r="AO64" s="10"/>
      <c r="AQ64" s="63">
        <f>'WGJ-2 Page 2,3'!L23</f>
        <v>78522</v>
      </c>
      <c r="AR64" s="57">
        <v>0</v>
      </c>
      <c r="AS64" s="10"/>
      <c r="AT64" s="10"/>
      <c r="AU64" s="11"/>
      <c r="AW64" s="63"/>
      <c r="AY64" s="10">
        <f>-AY30*AW47</f>
        <v>874277.42999999993</v>
      </c>
      <c r="AZ64" s="11">
        <f t="shared" si="68"/>
        <v>575536.83216899994</v>
      </c>
      <c r="BA64" s="63"/>
      <c r="BB64" s="63">
        <v>491463</v>
      </c>
      <c r="BC64" s="57">
        <v>0</v>
      </c>
      <c r="BD64" s="10">
        <f>BB64-BC64</f>
        <v>491463</v>
      </c>
      <c r="BE64" s="11">
        <f>BD64*0.6583</f>
        <v>323530.09289999999</v>
      </c>
      <c r="BF64" s="11"/>
      <c r="BG64" s="93"/>
      <c r="BH64" s="63">
        <v>479728</v>
      </c>
      <c r="BJ64" s="10">
        <f>BH64-BI64</f>
        <v>479728</v>
      </c>
      <c r="BK64" s="11">
        <f>BJ64*0.6583</f>
        <v>315804.9424</v>
      </c>
      <c r="BN64" s="63">
        <v>397652</v>
      </c>
      <c r="BO64" s="63">
        <v>0</v>
      </c>
      <c r="BP64" s="10">
        <f>BN64-BO64</f>
        <v>397652</v>
      </c>
      <c r="BQ64" s="11">
        <f t="shared" si="75"/>
        <v>261774.31159999999</v>
      </c>
    </row>
    <row r="65" spans="1:69">
      <c r="A65" t="s">
        <v>106</v>
      </c>
      <c r="F65" s="11">
        <f>192200+65000</f>
        <v>257200</v>
      </c>
      <c r="G65" s="11">
        <v>0</v>
      </c>
      <c r="H65" s="11">
        <f t="shared" si="53"/>
        <v>257200</v>
      </c>
      <c r="I65" s="11">
        <f t="shared" si="54"/>
        <v>169314.76</v>
      </c>
      <c r="L65" s="11">
        <f>173600+65000</f>
        <v>238600</v>
      </c>
      <c r="M65" s="11"/>
      <c r="N65" s="11">
        <f t="shared" si="51"/>
        <v>238600</v>
      </c>
      <c r="O65" s="11">
        <f t="shared" si="55"/>
        <v>157070.38</v>
      </c>
      <c r="P65" s="51"/>
      <c r="Q65" s="11">
        <f>192200+130000</f>
        <v>322200</v>
      </c>
      <c r="R65" s="63"/>
      <c r="S65" s="10">
        <f t="shared" si="56"/>
        <v>322200</v>
      </c>
      <c r="T65" s="11">
        <f t="shared" si="57"/>
        <v>212104.26</v>
      </c>
      <c r="V65" s="57">
        <v>162500</v>
      </c>
      <c r="W65" s="63"/>
      <c r="X65" s="11">
        <f t="shared" si="58"/>
        <v>162500</v>
      </c>
      <c r="Y65" s="11">
        <f t="shared" si="59"/>
        <v>106973.75</v>
      </c>
      <c r="AA65" s="63">
        <v>162500</v>
      </c>
      <c r="AB65" s="57">
        <v>0</v>
      </c>
      <c r="AC65" s="11">
        <f t="shared" si="60"/>
        <v>162500</v>
      </c>
      <c r="AD65" s="11">
        <f t="shared" si="61"/>
        <v>106973.75</v>
      </c>
      <c r="AG65" s="63">
        <v>195000</v>
      </c>
      <c r="AI65" s="11">
        <f t="shared" si="62"/>
        <v>195000</v>
      </c>
      <c r="AJ65" s="11">
        <f t="shared" si="63"/>
        <v>128368.5</v>
      </c>
      <c r="AL65" s="63">
        <f>192200+195000</f>
        <v>387200</v>
      </c>
      <c r="AN65" s="10">
        <f>AL65-AM65</f>
        <v>387200</v>
      </c>
      <c r="AO65" s="10">
        <f>AN65*0.6583</f>
        <v>254893.76</v>
      </c>
      <c r="AQ65" s="63" t="e">
        <f>'WGJ-2 Page 2,3'!#REF!+'WGJ-2 Page 2,3'!#REF!</f>
        <v>#REF!</v>
      </c>
      <c r="AR65" s="63">
        <v>0</v>
      </c>
      <c r="AS65" s="10"/>
      <c r="AT65" s="10"/>
      <c r="AU65" s="11"/>
      <c r="AW65" s="63"/>
      <c r="AY65" s="10">
        <f>-AY36*AW47</f>
        <v>-1068804.54</v>
      </c>
      <c r="AZ65" s="11">
        <f t="shared" si="68"/>
        <v>-703594.028682</v>
      </c>
      <c r="BA65" s="63"/>
      <c r="BB65" s="63"/>
      <c r="BD65" s="10"/>
      <c r="BE65" s="11"/>
      <c r="BF65" s="11"/>
      <c r="BG65" s="93"/>
      <c r="BH65" s="63"/>
      <c r="BJ65" s="10"/>
      <c r="BK65" s="11">
        <f>BJ65*0.6583</f>
        <v>0</v>
      </c>
      <c r="BN65" s="63">
        <f>192200+48750</f>
        <v>240950</v>
      </c>
      <c r="BO65" s="63">
        <v>29269</v>
      </c>
      <c r="BP65" s="10">
        <f>BN65-BO65</f>
        <v>211681</v>
      </c>
      <c r="BQ65" s="11">
        <f t="shared" si="75"/>
        <v>139349.6023</v>
      </c>
    </row>
    <row r="66" spans="1:69">
      <c r="A66" t="s">
        <v>107</v>
      </c>
      <c r="F66" s="11">
        <v>625799</v>
      </c>
      <c r="G66" s="11">
        <v>506083</v>
      </c>
      <c r="H66" s="11">
        <f>G66-F66</f>
        <v>-119716</v>
      </c>
      <c r="I66" s="11">
        <f t="shared" si="54"/>
        <v>-78809.042799999996</v>
      </c>
      <c r="J66" s="11"/>
      <c r="L66" s="11">
        <v>569909</v>
      </c>
      <c r="M66" s="11">
        <v>506083</v>
      </c>
      <c r="N66" s="11">
        <f>L66-M66</f>
        <v>63826</v>
      </c>
      <c r="O66" s="11">
        <f t="shared" si="55"/>
        <v>42016.6558</v>
      </c>
      <c r="P66" s="51"/>
      <c r="Q66" s="11">
        <v>642980</v>
      </c>
      <c r="R66" s="11">
        <v>506083</v>
      </c>
      <c r="S66" s="10">
        <f>R66-Q66</f>
        <v>-136897</v>
      </c>
      <c r="T66" s="11">
        <f t="shared" si="57"/>
        <v>-90119.295100000003</v>
      </c>
      <c r="W66" s="11">
        <v>506083</v>
      </c>
      <c r="X66" s="10"/>
      <c r="Y66" s="11">
        <f t="shared" si="59"/>
        <v>0</v>
      </c>
      <c r="AA66" s="63">
        <v>1282734</v>
      </c>
      <c r="AB66" s="11">
        <v>506083</v>
      </c>
      <c r="AC66" s="11">
        <f>AB66-AA66</f>
        <v>-776651</v>
      </c>
      <c r="AD66" s="11">
        <f t="shared" si="61"/>
        <v>-511269.35330000002</v>
      </c>
      <c r="AE66" s="57" t="s">
        <v>108</v>
      </c>
      <c r="AG66" s="63">
        <v>2640600</v>
      </c>
      <c r="AH66" s="11">
        <v>506083</v>
      </c>
      <c r="AI66" s="11">
        <f t="shared" si="62"/>
        <v>2134517</v>
      </c>
      <c r="AJ66" s="111">
        <f>-AI66*0.6583</f>
        <v>-1405152.5411</v>
      </c>
      <c r="AK66" s="57" t="s">
        <v>108</v>
      </c>
      <c r="AL66" s="63">
        <v>1100858</v>
      </c>
      <c r="AM66" s="11">
        <v>506083</v>
      </c>
      <c r="AN66" s="11">
        <f>AL66-AM66</f>
        <v>594775</v>
      </c>
      <c r="AO66" s="111">
        <f>-AN66*0.6583</f>
        <v>-391540.38250000001</v>
      </c>
      <c r="AQ66" s="63">
        <v>733395</v>
      </c>
      <c r="AR66" s="11">
        <v>506083</v>
      </c>
      <c r="AS66" s="11"/>
      <c r="AT66" s="11"/>
      <c r="AU66" s="11"/>
      <c r="AW66" s="63">
        <v>677127</v>
      </c>
      <c r="AX66" s="11">
        <v>506083</v>
      </c>
      <c r="AY66" s="10"/>
      <c r="AZ66" s="11">
        <f t="shared" si="68"/>
        <v>0</v>
      </c>
      <c r="BA66" s="63"/>
      <c r="BB66" s="63">
        <v>646824</v>
      </c>
      <c r="BC66" s="11">
        <v>506083</v>
      </c>
      <c r="BD66" s="10">
        <f>BC66-BB66</f>
        <v>-140741</v>
      </c>
      <c r="BE66" s="11">
        <f>BD66*0.6583</f>
        <v>-92649.800300000003</v>
      </c>
      <c r="BF66" s="11"/>
      <c r="BG66" s="93"/>
      <c r="BH66" s="63">
        <v>583383</v>
      </c>
      <c r="BI66" s="11">
        <v>506083</v>
      </c>
      <c r="BJ66" s="10">
        <f>BH66-BI66</f>
        <v>77300</v>
      </c>
      <c r="BK66" s="11">
        <f>BJ66*0.6583</f>
        <v>50886.59</v>
      </c>
      <c r="BN66" s="63">
        <v>475050</v>
      </c>
      <c r="BO66" s="11">
        <v>506083</v>
      </c>
      <c r="BP66" s="10">
        <f>BO66-BN66</f>
        <v>31033</v>
      </c>
      <c r="BQ66" s="11">
        <f t="shared" si="75"/>
        <v>20429.0239</v>
      </c>
    </row>
    <row r="67" spans="1:69">
      <c r="A67" t="s">
        <v>109</v>
      </c>
      <c r="F67" s="11">
        <f>279300</f>
        <v>279300</v>
      </c>
      <c r="G67" s="11"/>
      <c r="H67" s="11">
        <f>G67-F67</f>
        <v>-279300</v>
      </c>
      <c r="I67" s="11">
        <f t="shared" si="54"/>
        <v>-183863.19</v>
      </c>
      <c r="J67" s="11"/>
      <c r="L67" s="11"/>
      <c r="M67" s="11"/>
      <c r="N67" s="11"/>
      <c r="O67" s="11"/>
      <c r="P67" s="51"/>
      <c r="Q67" s="11"/>
      <c r="R67" s="11"/>
      <c r="S67" s="63"/>
      <c r="T67" s="11"/>
      <c r="W67" s="11"/>
      <c r="X67" s="10"/>
      <c r="Y67" s="11">
        <f t="shared" si="59"/>
        <v>0</v>
      </c>
      <c r="AA67" s="63">
        <v>108000</v>
      </c>
      <c r="AB67" s="11"/>
      <c r="AC67" s="11">
        <f>AB67-AA67</f>
        <v>-108000</v>
      </c>
      <c r="AD67" s="11">
        <f t="shared" si="61"/>
        <v>-71096.399999999994</v>
      </c>
      <c r="AG67" s="63"/>
      <c r="AH67" s="11"/>
      <c r="AI67" s="10"/>
      <c r="AJ67" s="11">
        <f t="shared" si="63"/>
        <v>0</v>
      </c>
      <c r="AL67" s="63"/>
      <c r="AM67" s="11"/>
      <c r="AN67" s="10"/>
      <c r="AO67" s="10"/>
      <c r="AQ67" s="63"/>
      <c r="AR67" s="11"/>
      <c r="AS67" s="10"/>
      <c r="AT67" s="10"/>
      <c r="AU67" s="11"/>
      <c r="AW67" s="63"/>
      <c r="AX67" s="11"/>
      <c r="AY67" s="10"/>
      <c r="AZ67" s="11"/>
      <c r="BA67" s="63"/>
      <c r="BB67" s="63"/>
      <c r="BC67" s="11"/>
      <c r="BD67" s="10"/>
      <c r="BE67" s="11"/>
      <c r="BF67" s="11"/>
      <c r="BG67" s="93"/>
      <c r="BH67" s="63"/>
      <c r="BI67" s="11"/>
      <c r="BJ67" s="10"/>
      <c r="BK67" s="11"/>
      <c r="BN67" s="63"/>
      <c r="BO67" s="11"/>
      <c r="BP67" s="10"/>
      <c r="BQ67" s="11"/>
    </row>
    <row r="68" spans="1:69">
      <c r="A68" t="s">
        <v>110</v>
      </c>
      <c r="F68" s="11">
        <v>274110</v>
      </c>
      <c r="G68" s="11">
        <v>261145</v>
      </c>
      <c r="H68" s="11">
        <f>F68-G68</f>
        <v>12965</v>
      </c>
      <c r="I68" s="11">
        <f t="shared" si="54"/>
        <v>8534.8595000000005</v>
      </c>
      <c r="J68" s="10">
        <f>I68+J44</f>
        <v>-26642.427948000004</v>
      </c>
      <c r="L68" s="11"/>
      <c r="M68" s="11"/>
      <c r="N68" s="11"/>
      <c r="O68" s="11"/>
      <c r="P68" s="51"/>
      <c r="Q68" s="11">
        <v>394800</v>
      </c>
      <c r="R68" s="63">
        <v>265742</v>
      </c>
      <c r="S68" s="11">
        <f t="shared" ref="S68:S73" si="76">Q68-R68</f>
        <v>129058</v>
      </c>
      <c r="T68" s="11">
        <f t="shared" si="57"/>
        <v>84958.881399999998</v>
      </c>
      <c r="V68" s="63">
        <v>376995</v>
      </c>
      <c r="W68" s="63">
        <v>224719</v>
      </c>
      <c r="X68" s="11">
        <f t="shared" ref="X68:X75" si="77">V68-W68</f>
        <v>152276</v>
      </c>
      <c r="Y68" s="11">
        <f t="shared" si="59"/>
        <v>100243.2908</v>
      </c>
      <c r="AA68" s="63">
        <v>283687</v>
      </c>
      <c r="AB68" s="63">
        <v>270062</v>
      </c>
      <c r="AC68" s="11">
        <f t="shared" si="60"/>
        <v>13625</v>
      </c>
      <c r="AD68" s="11">
        <f t="shared" si="61"/>
        <v>8969.3374999999996</v>
      </c>
      <c r="AG68" s="63"/>
      <c r="AH68" s="63"/>
      <c r="AI68" s="11"/>
      <c r="AJ68" s="11">
        <f t="shared" si="63"/>
        <v>0</v>
      </c>
      <c r="AL68" s="63">
        <v>266293</v>
      </c>
      <c r="AM68" s="63">
        <v>257434</v>
      </c>
      <c r="AN68" s="11">
        <f>AL68-AM68</f>
        <v>8859</v>
      </c>
      <c r="AO68" s="10">
        <f>AN68*0.6583</f>
        <v>5831.8797000000004</v>
      </c>
      <c r="AQ68" s="63">
        <f>'WGJ-2 Page 2,3'!L18</f>
        <v>0</v>
      </c>
      <c r="AR68" s="63">
        <v>258829</v>
      </c>
      <c r="AS68" s="11"/>
      <c r="AT68" s="11"/>
      <c r="AU68" s="11"/>
      <c r="AW68" s="63"/>
      <c r="AX68" s="63"/>
      <c r="AY68" s="11">
        <f>AW68-AX68</f>
        <v>0</v>
      </c>
      <c r="AZ68" s="11">
        <f t="shared" si="68"/>
        <v>0</v>
      </c>
      <c r="BA68" s="63"/>
      <c r="BB68" s="63">
        <v>-794732</v>
      </c>
      <c r="BC68" s="63">
        <v>0</v>
      </c>
      <c r="BD68" s="11">
        <f>BB68-BC68</f>
        <v>-794732</v>
      </c>
      <c r="BE68" s="11">
        <f>BD68*0.6583</f>
        <v>-523172.07559999998</v>
      </c>
      <c r="BF68" s="11"/>
      <c r="BG68" s="93"/>
      <c r="BH68" s="63"/>
      <c r="BI68" s="63"/>
      <c r="BJ68" s="11"/>
      <c r="BK68" s="11"/>
      <c r="BN68" s="63"/>
      <c r="BO68" s="63"/>
      <c r="BP68" s="11"/>
      <c r="BQ68" s="11"/>
    </row>
    <row r="69" spans="1:69">
      <c r="A69" t="s">
        <v>111</v>
      </c>
      <c r="F69" s="11">
        <f>320549+2591806</f>
        <v>2912355</v>
      </c>
      <c r="G69" s="11">
        <v>2510890</v>
      </c>
      <c r="H69" s="11">
        <f>F69-G69</f>
        <v>401465</v>
      </c>
      <c r="I69" s="11">
        <f t="shared" si="54"/>
        <v>264284.40950000001</v>
      </c>
      <c r="J69" s="11">
        <f>I69+J37</f>
        <v>-215793.24154000002</v>
      </c>
      <c r="L69" s="113">
        <v>2631597</v>
      </c>
      <c r="M69" s="11">
        <v>2348897</v>
      </c>
      <c r="N69" s="11">
        <f>L69-M69</f>
        <v>282700</v>
      </c>
      <c r="O69" s="11">
        <f t="shared" si="55"/>
        <v>186101.41</v>
      </c>
      <c r="P69" s="51"/>
      <c r="Q69" s="114">
        <v>1279564</v>
      </c>
      <c r="R69" s="63">
        <v>1241609</v>
      </c>
      <c r="S69" s="11">
        <f t="shared" si="76"/>
        <v>37955</v>
      </c>
      <c r="T69" s="11">
        <f t="shared" si="57"/>
        <v>24985.7765</v>
      </c>
      <c r="V69" s="63">
        <f>1239294+153273</f>
        <v>1392567</v>
      </c>
      <c r="W69" s="63">
        <v>1201557</v>
      </c>
      <c r="X69" s="11">
        <f t="shared" si="77"/>
        <v>191010</v>
      </c>
      <c r="Y69" s="11">
        <f t="shared" si="59"/>
        <v>125741.883</v>
      </c>
      <c r="AA69" s="63">
        <v>0</v>
      </c>
      <c r="AC69" s="11">
        <f t="shared" si="60"/>
        <v>0</v>
      </c>
      <c r="AD69" s="11">
        <f t="shared" si="61"/>
        <v>0</v>
      </c>
      <c r="AG69" s="63">
        <v>0</v>
      </c>
      <c r="AI69" s="10"/>
      <c r="AJ69" s="11">
        <f t="shared" si="63"/>
        <v>0</v>
      </c>
      <c r="AL69" s="63"/>
      <c r="AN69" s="10"/>
      <c r="AO69" s="10"/>
      <c r="AQ69" s="63"/>
      <c r="AS69" s="10"/>
      <c r="AT69" s="10"/>
      <c r="AU69" s="11"/>
      <c r="AW69" s="63"/>
      <c r="AY69" s="10"/>
      <c r="AZ69" s="11">
        <f t="shared" si="68"/>
        <v>0</v>
      </c>
      <c r="BB69" s="63">
        <v>933501</v>
      </c>
      <c r="BC69" s="57">
        <v>0</v>
      </c>
      <c r="BD69" s="11">
        <f t="shared" ref="BD69:BD75" si="78">BB69-BC69</f>
        <v>933501</v>
      </c>
      <c r="BE69" s="11">
        <f>BD69*0.6583</f>
        <v>614523.70829999994</v>
      </c>
      <c r="BF69" s="11"/>
      <c r="BG69" s="93"/>
      <c r="BH69" s="63">
        <v>933501</v>
      </c>
      <c r="BI69" s="63">
        <v>0</v>
      </c>
      <c r="BJ69" s="11">
        <f>BH69-BI69</f>
        <v>933501</v>
      </c>
      <c r="BK69" s="11">
        <f>BJ69*0.6583</f>
        <v>614523.70829999994</v>
      </c>
      <c r="BN69" s="63">
        <v>933501</v>
      </c>
      <c r="BO69" s="63"/>
      <c r="BP69" s="10">
        <f>BN69-BO69</f>
        <v>933501</v>
      </c>
      <c r="BQ69" s="11">
        <f t="shared" ref="BQ69:BQ76" si="79">BP69*0.6583</f>
        <v>614523.70829999994</v>
      </c>
    </row>
    <row r="70" spans="1:69">
      <c r="A70" t="s">
        <v>112</v>
      </c>
      <c r="F70" s="11">
        <v>124067</v>
      </c>
      <c r="G70" s="11">
        <v>188667</v>
      </c>
      <c r="H70" s="11">
        <f t="shared" ref="H70:H75" si="80">F70-G70</f>
        <v>-64600</v>
      </c>
      <c r="I70" s="11">
        <f t="shared" si="54"/>
        <v>-42526.18</v>
      </c>
      <c r="L70" s="11">
        <v>66882</v>
      </c>
      <c r="M70" s="11">
        <v>188667</v>
      </c>
      <c r="N70" s="11">
        <f>L70-M70</f>
        <v>-121785</v>
      </c>
      <c r="O70" s="11">
        <f t="shared" si="55"/>
        <v>-80171.065499999997</v>
      </c>
      <c r="P70" s="51"/>
      <c r="Q70" s="11">
        <v>114001</v>
      </c>
      <c r="R70" s="11">
        <v>188667</v>
      </c>
      <c r="S70" s="11">
        <f t="shared" si="76"/>
        <v>-74666</v>
      </c>
      <c r="T70" s="11">
        <f t="shared" si="57"/>
        <v>-49152.627800000002</v>
      </c>
      <c r="V70" s="57">
        <v>102873</v>
      </c>
      <c r="W70" s="11">
        <v>188667</v>
      </c>
      <c r="X70" s="11">
        <f t="shared" si="77"/>
        <v>-85794</v>
      </c>
      <c r="Y70" s="11">
        <f t="shared" si="59"/>
        <v>-56478.190199999997</v>
      </c>
      <c r="AA70" s="63">
        <v>136410</v>
      </c>
      <c r="AB70" s="11">
        <v>188667</v>
      </c>
      <c r="AC70" s="11">
        <f t="shared" si="60"/>
        <v>-52257</v>
      </c>
      <c r="AD70" s="11">
        <f t="shared" si="61"/>
        <v>-34400.783100000001</v>
      </c>
      <c r="AG70" s="63">
        <v>456189</v>
      </c>
      <c r="AH70" s="11">
        <v>188667</v>
      </c>
      <c r="AI70" s="11">
        <f t="shared" ref="AI70:AI75" si="81">AG70-AH70</f>
        <v>267522</v>
      </c>
      <c r="AJ70" s="111">
        <f t="shared" si="63"/>
        <v>176109.73259999999</v>
      </c>
      <c r="AL70" s="63">
        <v>116097</v>
      </c>
      <c r="AM70" s="11">
        <v>188667</v>
      </c>
      <c r="AN70" s="11">
        <f t="shared" ref="AN70:AN75" si="82">AL70-AM70</f>
        <v>-72570</v>
      </c>
      <c r="AO70" s="10">
        <f t="shared" ref="AO70:AO75" si="83">AN70*0.6583</f>
        <v>-47772.830999999998</v>
      </c>
      <c r="AQ70" s="63" t="e">
        <f>'WGJ-2 Page 2,3'!#REF!</f>
        <v>#REF!</v>
      </c>
      <c r="AR70" s="11">
        <v>188667</v>
      </c>
      <c r="AS70" s="11"/>
      <c r="AT70" s="11"/>
      <c r="AU70" s="11"/>
      <c r="AW70" s="63"/>
      <c r="AX70" s="11">
        <v>188667</v>
      </c>
      <c r="AY70" s="11"/>
      <c r="AZ70" s="11"/>
      <c r="BA70" s="63"/>
      <c r="BB70" s="63">
        <v>128411</v>
      </c>
      <c r="BC70" s="11">
        <v>188667</v>
      </c>
      <c r="BD70" s="11">
        <f t="shared" si="78"/>
        <v>-60256</v>
      </c>
      <c r="BE70" s="11">
        <f t="shared" ref="BE70:BE75" si="84">BD70*0.6583</f>
        <v>-39666.524799999999</v>
      </c>
      <c r="BF70" s="11"/>
      <c r="BG70" s="93"/>
      <c r="BH70" s="63">
        <v>151228</v>
      </c>
      <c r="BI70" s="11">
        <v>188667</v>
      </c>
      <c r="BJ70" s="11">
        <f>BH70-BI70</f>
        <v>-37439</v>
      </c>
      <c r="BK70" s="11">
        <f>BJ70*0.6583</f>
        <v>-24646.093700000001</v>
      </c>
      <c r="BN70" s="63">
        <v>421955</v>
      </c>
      <c r="BO70" s="11">
        <f>BI70</f>
        <v>188667</v>
      </c>
      <c r="BP70" s="10">
        <f t="shared" ref="BP70:BP76" si="85">BN70-BO70</f>
        <v>233288</v>
      </c>
      <c r="BQ70" s="11">
        <f t="shared" si="79"/>
        <v>153573.49040000001</v>
      </c>
    </row>
    <row r="71" spans="1:69">
      <c r="A71" t="s">
        <v>113</v>
      </c>
      <c r="F71" s="11">
        <v>457314</v>
      </c>
      <c r="G71" s="11">
        <v>420500</v>
      </c>
      <c r="H71" s="11">
        <f t="shared" si="80"/>
        <v>36814</v>
      </c>
      <c r="I71" s="11">
        <f t="shared" si="54"/>
        <v>24234.656200000001</v>
      </c>
      <c r="L71" s="11">
        <v>457314</v>
      </c>
      <c r="M71" s="11">
        <v>420500</v>
      </c>
      <c r="N71" s="11">
        <f>L71-M71</f>
        <v>36814</v>
      </c>
      <c r="O71" s="11">
        <f t="shared" si="55"/>
        <v>24234.656200000001</v>
      </c>
      <c r="P71" s="51"/>
      <c r="Q71" s="11">
        <v>457314</v>
      </c>
      <c r="R71" s="11">
        <v>420500</v>
      </c>
      <c r="S71" s="11">
        <f t="shared" si="76"/>
        <v>36814</v>
      </c>
      <c r="T71" s="11">
        <f t="shared" si="57"/>
        <v>24234.656200000001</v>
      </c>
      <c r="V71" s="57">
        <v>684950</v>
      </c>
      <c r="W71" s="11">
        <v>420500</v>
      </c>
      <c r="X71" s="11">
        <f t="shared" si="77"/>
        <v>264450</v>
      </c>
      <c r="Y71" s="11">
        <f t="shared" si="59"/>
        <v>174087.435</v>
      </c>
      <c r="AA71" s="63">
        <f>457314</f>
        <v>457314</v>
      </c>
      <c r="AB71" s="11">
        <v>420500</v>
      </c>
      <c r="AC71" s="11">
        <f t="shared" si="60"/>
        <v>36814</v>
      </c>
      <c r="AD71" s="11">
        <f t="shared" si="61"/>
        <v>24234.656200000001</v>
      </c>
      <c r="AG71" s="63">
        <v>457314</v>
      </c>
      <c r="AH71" s="11">
        <v>420500</v>
      </c>
      <c r="AI71" s="11">
        <f t="shared" si="81"/>
        <v>36814</v>
      </c>
      <c r="AJ71" s="11">
        <f t="shared" si="63"/>
        <v>24234.656200000001</v>
      </c>
      <c r="AL71" s="63">
        <v>457314</v>
      </c>
      <c r="AM71" s="11">
        <v>420500</v>
      </c>
      <c r="AN71" s="11">
        <f t="shared" si="82"/>
        <v>36814</v>
      </c>
      <c r="AO71" s="10">
        <f t="shared" si="83"/>
        <v>24234.656200000001</v>
      </c>
      <c r="AQ71" s="63" t="e">
        <f>'WGJ-2 Page 2,3'!#REF!</f>
        <v>#REF!</v>
      </c>
      <c r="AR71" s="11">
        <v>420500</v>
      </c>
      <c r="AS71" s="11"/>
      <c r="AT71" s="11"/>
      <c r="AU71" s="11"/>
      <c r="AW71" s="63"/>
      <c r="AX71" s="11">
        <v>420500</v>
      </c>
      <c r="AY71" s="11"/>
      <c r="AZ71" s="11"/>
      <c r="BA71" s="63"/>
      <c r="BB71" s="63">
        <v>457314</v>
      </c>
      <c r="BC71" s="11">
        <v>420500</v>
      </c>
      <c r="BD71" s="11">
        <f t="shared" si="78"/>
        <v>36814</v>
      </c>
      <c r="BE71" s="11">
        <f t="shared" si="84"/>
        <v>24234.656200000001</v>
      </c>
      <c r="BF71" s="11"/>
      <c r="BG71" s="93"/>
      <c r="BH71" s="63">
        <v>457314</v>
      </c>
      <c r="BI71" s="11">
        <v>420500</v>
      </c>
      <c r="BJ71" s="11">
        <f>BH71-BI71</f>
        <v>36814</v>
      </c>
      <c r="BK71" s="11">
        <f>BJ71*0.6583</f>
        <v>24234.656200000001</v>
      </c>
      <c r="BN71" s="63">
        <v>14032</v>
      </c>
      <c r="BO71" s="11">
        <f>BI71</f>
        <v>420500</v>
      </c>
      <c r="BP71" s="10">
        <f t="shared" si="85"/>
        <v>-406468</v>
      </c>
      <c r="BQ71" s="11">
        <f t="shared" si="79"/>
        <v>-267577.88439999998</v>
      </c>
    </row>
    <row r="72" spans="1:69">
      <c r="A72" t="s">
        <v>114</v>
      </c>
      <c r="F72" s="11">
        <v>116071</v>
      </c>
      <c r="G72" s="11">
        <v>115250</v>
      </c>
      <c r="H72" s="11">
        <f t="shared" si="80"/>
        <v>821</v>
      </c>
      <c r="I72" s="11">
        <f t="shared" si="54"/>
        <v>540.46429999999998</v>
      </c>
      <c r="L72" s="11">
        <v>116071</v>
      </c>
      <c r="M72" s="11">
        <v>115250</v>
      </c>
      <c r="N72" s="11">
        <f>L72-M72</f>
        <v>821</v>
      </c>
      <c r="O72" s="11">
        <f t="shared" si="55"/>
        <v>540.46429999999998</v>
      </c>
      <c r="Q72" s="11">
        <v>116071</v>
      </c>
      <c r="R72" s="11">
        <v>115250</v>
      </c>
      <c r="S72" s="11">
        <f t="shared" si="76"/>
        <v>821</v>
      </c>
      <c r="T72" s="11">
        <f t="shared" si="57"/>
        <v>540.46429999999998</v>
      </c>
      <c r="V72" s="57">
        <v>116071</v>
      </c>
      <c r="W72" s="11">
        <v>115250</v>
      </c>
      <c r="X72" s="11">
        <f t="shared" si="77"/>
        <v>821</v>
      </c>
      <c r="Y72" s="11">
        <f t="shared" si="59"/>
        <v>540.46429999999998</v>
      </c>
      <c r="AA72" s="63">
        <v>116071</v>
      </c>
      <c r="AB72" s="11">
        <v>115250</v>
      </c>
      <c r="AC72" s="11">
        <f t="shared" si="60"/>
        <v>821</v>
      </c>
      <c r="AD72" s="11">
        <f t="shared" si="61"/>
        <v>540.46429999999998</v>
      </c>
      <c r="AG72" s="63">
        <v>116071</v>
      </c>
      <c r="AH72" s="11">
        <v>115250</v>
      </c>
      <c r="AI72" s="11">
        <f t="shared" si="81"/>
        <v>821</v>
      </c>
      <c r="AJ72" s="11">
        <f t="shared" si="63"/>
        <v>540.46429999999998</v>
      </c>
      <c r="AL72" s="63">
        <v>116071</v>
      </c>
      <c r="AM72" s="11">
        <v>115250</v>
      </c>
      <c r="AN72" s="11">
        <f t="shared" si="82"/>
        <v>821</v>
      </c>
      <c r="AO72" s="10">
        <f t="shared" si="83"/>
        <v>540.46429999999998</v>
      </c>
      <c r="AQ72" s="115">
        <f>'WGJ-2 Page 2,3'!L10</f>
        <v>150506</v>
      </c>
      <c r="AR72" s="11">
        <v>115250</v>
      </c>
      <c r="AX72" s="11">
        <v>115250</v>
      </c>
      <c r="BB72" s="63">
        <v>124153</v>
      </c>
      <c r="BC72" s="11">
        <v>115250</v>
      </c>
      <c r="BD72" s="11">
        <f t="shared" si="78"/>
        <v>8903</v>
      </c>
      <c r="BE72" s="11">
        <f t="shared" si="84"/>
        <v>5860.8449000000001</v>
      </c>
      <c r="BH72" s="63">
        <v>124153</v>
      </c>
      <c r="BI72" s="11">
        <v>115250</v>
      </c>
      <c r="BJ72" s="11">
        <f>BH72-BI72</f>
        <v>8903</v>
      </c>
      <c r="BK72" s="11">
        <f>BJ72*0.6583</f>
        <v>5860.8449000000001</v>
      </c>
      <c r="BN72" s="63">
        <v>0</v>
      </c>
      <c r="BO72" s="11">
        <f>BI72</f>
        <v>115250</v>
      </c>
      <c r="BP72" s="10">
        <f t="shared" si="85"/>
        <v>-115250</v>
      </c>
      <c r="BQ72" s="11">
        <f t="shared" si="79"/>
        <v>-75869.074999999997</v>
      </c>
    </row>
    <row r="73" spans="1:69">
      <c r="A73" t="s">
        <v>115</v>
      </c>
      <c r="F73" s="11">
        <v>882536</v>
      </c>
      <c r="G73" s="11">
        <f>507823+403236</f>
        <v>911059</v>
      </c>
      <c r="H73" s="11">
        <f t="shared" si="80"/>
        <v>-28523</v>
      </c>
      <c r="I73" s="11">
        <f t="shared" si="54"/>
        <v>-18776.690900000001</v>
      </c>
      <c r="L73" s="11">
        <f>871017</f>
        <v>871017</v>
      </c>
      <c r="M73" s="11">
        <f>416015+393868</f>
        <v>809883</v>
      </c>
      <c r="N73" s="11">
        <f>L73-M73</f>
        <v>61134</v>
      </c>
      <c r="O73" s="11">
        <f t="shared" si="55"/>
        <v>40244.512199999997</v>
      </c>
      <c r="P73" s="51"/>
      <c r="Q73" s="11">
        <v>869662</v>
      </c>
      <c r="R73" s="11">
        <f>357560+391673</f>
        <v>749233</v>
      </c>
      <c r="S73" s="11">
        <f t="shared" si="76"/>
        <v>120429</v>
      </c>
      <c r="T73" s="11">
        <f>S73*0.6583</f>
        <v>79278.410699999993</v>
      </c>
      <c r="V73" s="63">
        <v>640550</v>
      </c>
      <c r="W73" s="11">
        <f>507228+354277</f>
        <v>861505</v>
      </c>
      <c r="X73" s="11">
        <f t="shared" si="77"/>
        <v>-220955</v>
      </c>
      <c r="Y73" s="11">
        <f t="shared" si="59"/>
        <v>-145454.6765</v>
      </c>
      <c r="AA73" s="63">
        <f>1007639</f>
        <v>1007639</v>
      </c>
      <c r="AB73" s="11">
        <f>313927+530042</f>
        <v>843969</v>
      </c>
      <c r="AC73" s="11">
        <f>AA73-AB73</f>
        <v>163670</v>
      </c>
      <c r="AD73" s="11">
        <f t="shared" si="61"/>
        <v>107743.961</v>
      </c>
      <c r="AG73" s="63">
        <v>793710</v>
      </c>
      <c r="AH73" s="63">
        <f>325702+441025</f>
        <v>766727</v>
      </c>
      <c r="AI73" s="11">
        <f t="shared" si="81"/>
        <v>26983</v>
      </c>
      <c r="AJ73" s="11">
        <f t="shared" si="63"/>
        <v>17762.908899999999</v>
      </c>
      <c r="AL73" s="63">
        <v>979166</v>
      </c>
      <c r="AM73" s="63">
        <f>364496+519360</f>
        <v>883856</v>
      </c>
      <c r="AN73" s="11">
        <f t="shared" si="82"/>
        <v>95310</v>
      </c>
      <c r="AO73" s="10">
        <f t="shared" si="83"/>
        <v>62742.572999999997</v>
      </c>
      <c r="AQ73" s="63">
        <f>'WGJ-2 Page 2,3'!L11</f>
        <v>520764</v>
      </c>
      <c r="AR73" s="63">
        <v>338463</v>
      </c>
      <c r="AS73" s="11">
        <f>AQ73-AR73</f>
        <v>182301</v>
      </c>
      <c r="AT73" s="11"/>
      <c r="AU73" s="11">
        <f>AS73*0.6583</f>
        <v>120008.74830000001</v>
      </c>
      <c r="AW73" s="63"/>
      <c r="AX73" s="63">
        <v>279248</v>
      </c>
      <c r="AY73" s="11">
        <f>AW73-AX73</f>
        <v>-279248</v>
      </c>
      <c r="AZ73" s="11">
        <f>AY73*0.6583</f>
        <v>-183828.9584</v>
      </c>
      <c r="BA73" s="63"/>
      <c r="BB73" s="63">
        <v>917753</v>
      </c>
      <c r="BC73" s="63">
        <f>327163+493315</f>
        <v>820478</v>
      </c>
      <c r="BD73" s="11">
        <f t="shared" si="78"/>
        <v>97275</v>
      </c>
      <c r="BE73" s="11">
        <f t="shared" si="84"/>
        <v>64036.1325</v>
      </c>
      <c r="BF73" s="11"/>
      <c r="BG73" s="93"/>
      <c r="BH73" s="63">
        <v>823722</v>
      </c>
      <c r="BI73" s="63">
        <f>384064+520576</f>
        <v>904640</v>
      </c>
      <c r="BJ73" s="11">
        <f>BH73-BI73</f>
        <v>-80918</v>
      </c>
      <c r="BK73" s="11">
        <f>BJ73*0.6583</f>
        <v>-53268.3194</v>
      </c>
      <c r="BN73" s="63">
        <v>972856</v>
      </c>
      <c r="BO73" s="63">
        <f>454524+554101</f>
        <v>1008625</v>
      </c>
      <c r="BP73" s="10">
        <f t="shared" si="85"/>
        <v>-35769</v>
      </c>
      <c r="BQ73" s="11">
        <f t="shared" si="79"/>
        <v>-23546.7327</v>
      </c>
    </row>
    <row r="74" spans="1:69">
      <c r="A74" t="s">
        <v>83</v>
      </c>
      <c r="F74" s="11"/>
      <c r="G74" s="11"/>
      <c r="H74" s="11">
        <f t="shared" si="80"/>
        <v>0</v>
      </c>
      <c r="I74" s="11">
        <f t="shared" si="54"/>
        <v>0</v>
      </c>
      <c r="L74" s="11"/>
      <c r="M74" s="11"/>
      <c r="N74" s="11"/>
      <c r="O74" s="11"/>
      <c r="P74" s="51"/>
      <c r="Q74" s="11"/>
      <c r="R74" s="11"/>
      <c r="S74" s="11"/>
      <c r="T74" s="11"/>
      <c r="V74" s="63"/>
      <c r="W74" s="11">
        <v>507228</v>
      </c>
      <c r="X74" s="11">
        <f t="shared" si="77"/>
        <v>-507228</v>
      </c>
      <c r="Y74" s="11">
        <f t="shared" si="59"/>
        <v>-333908.1924</v>
      </c>
      <c r="AA74" s="63"/>
      <c r="AB74" s="11">
        <v>0</v>
      </c>
      <c r="AC74" s="11">
        <f>AA74-AB74</f>
        <v>0</v>
      </c>
      <c r="AD74" s="11">
        <f t="shared" si="61"/>
        <v>0</v>
      </c>
      <c r="AG74" s="63"/>
      <c r="AH74" s="63">
        <v>0</v>
      </c>
      <c r="AI74" s="11">
        <f t="shared" si="81"/>
        <v>0</v>
      </c>
      <c r="AJ74" s="11">
        <f t="shared" si="63"/>
        <v>0</v>
      </c>
      <c r="AL74" s="63"/>
      <c r="AM74" s="63"/>
      <c r="AN74" s="11"/>
      <c r="AO74" s="10"/>
      <c r="AQ74" s="63"/>
      <c r="AR74" s="63">
        <v>444756</v>
      </c>
      <c r="AS74" s="11"/>
      <c r="AT74" s="11"/>
      <c r="AU74" s="11"/>
      <c r="AW74" s="63"/>
      <c r="AX74" s="63">
        <v>439184</v>
      </c>
      <c r="AY74" s="11"/>
      <c r="AZ74" s="11"/>
      <c r="BA74" s="63"/>
      <c r="BB74" s="63"/>
      <c r="BC74" s="63"/>
      <c r="BD74" s="11"/>
      <c r="BE74" s="11"/>
      <c r="BF74" s="11"/>
      <c r="BG74" s="93"/>
      <c r="BH74" s="63"/>
      <c r="BI74" s="63"/>
      <c r="BJ74" s="11"/>
      <c r="BK74" s="11"/>
      <c r="BN74" s="63">
        <v>247776</v>
      </c>
      <c r="BO74" s="63">
        <v>127489</v>
      </c>
      <c r="BP74" s="10">
        <f t="shared" si="85"/>
        <v>120287</v>
      </c>
      <c r="BQ74" s="11">
        <f t="shared" si="79"/>
        <v>79184.932100000005</v>
      </c>
    </row>
    <row r="75" spans="1:69">
      <c r="A75" t="s">
        <v>116</v>
      </c>
      <c r="F75" s="11">
        <v>0</v>
      </c>
      <c r="G75" s="11">
        <v>496174</v>
      </c>
      <c r="H75" s="11">
        <f t="shared" si="80"/>
        <v>-496174</v>
      </c>
      <c r="I75" s="11">
        <f t="shared" si="54"/>
        <v>-326631.34419999999</v>
      </c>
      <c r="J75" s="10">
        <f>I75+J42</f>
        <v>75800.611800000013</v>
      </c>
      <c r="L75" s="11">
        <v>0</v>
      </c>
      <c r="M75" s="11">
        <v>496174</v>
      </c>
      <c r="N75" s="11">
        <f>L75-M75</f>
        <v>-496174</v>
      </c>
      <c r="O75" s="11">
        <f t="shared" si="55"/>
        <v>-326631.34419999999</v>
      </c>
      <c r="P75" s="51"/>
      <c r="Q75" s="11">
        <v>0</v>
      </c>
      <c r="R75" s="63">
        <v>496174</v>
      </c>
      <c r="S75" s="11">
        <f>Q75-R75</f>
        <v>-496174</v>
      </c>
      <c r="T75" s="11">
        <f t="shared" si="57"/>
        <v>-326631.34419999999</v>
      </c>
      <c r="W75" s="63">
        <v>480168</v>
      </c>
      <c r="X75" s="11">
        <f t="shared" si="77"/>
        <v>-480168</v>
      </c>
      <c r="Y75" s="11">
        <f t="shared" si="59"/>
        <v>-316094.5944</v>
      </c>
      <c r="AA75" s="63"/>
      <c r="AB75" s="11">
        <v>496174</v>
      </c>
      <c r="AC75" s="11">
        <f>AA75-AB75</f>
        <v>-496174</v>
      </c>
      <c r="AD75" s="11">
        <f t="shared" si="61"/>
        <v>-326631.34419999999</v>
      </c>
      <c r="AG75" s="63"/>
      <c r="AH75" s="63">
        <v>352123</v>
      </c>
      <c r="AI75" s="11">
        <f t="shared" si="81"/>
        <v>-352123</v>
      </c>
      <c r="AJ75" s="11">
        <f t="shared" si="63"/>
        <v>-231802.57089999999</v>
      </c>
      <c r="AL75" s="63"/>
      <c r="AM75" s="63">
        <v>496174</v>
      </c>
      <c r="AN75" s="11">
        <f t="shared" si="82"/>
        <v>-496174</v>
      </c>
      <c r="AO75" s="10">
        <f t="shared" si="83"/>
        <v>-326631.34419999999</v>
      </c>
      <c r="AQ75" s="63"/>
      <c r="AR75" s="63">
        <v>496174</v>
      </c>
      <c r="AS75" s="11">
        <f>AQ75-AR75</f>
        <v>-496174</v>
      </c>
      <c r="AT75" s="11"/>
      <c r="AU75" s="11">
        <f>AS75*0.6583</f>
        <v>-326631.34419999999</v>
      </c>
      <c r="AW75" s="63"/>
      <c r="AX75" s="63">
        <v>480168</v>
      </c>
      <c r="AY75" s="11">
        <f>AW75-AX75</f>
        <v>-480168</v>
      </c>
      <c r="AZ75" s="11">
        <f t="shared" si="68"/>
        <v>-316094.5944</v>
      </c>
      <c r="BA75" s="63"/>
      <c r="BB75" s="63"/>
      <c r="BC75" s="63">
        <v>496174</v>
      </c>
      <c r="BD75" s="11">
        <f t="shared" si="78"/>
        <v>-496174</v>
      </c>
      <c r="BE75" s="11">
        <f t="shared" si="84"/>
        <v>-326631.34419999999</v>
      </c>
      <c r="BF75" s="11"/>
      <c r="BG75" s="93"/>
      <c r="BH75" s="63">
        <v>0</v>
      </c>
      <c r="BI75" s="63">
        <v>480168</v>
      </c>
      <c r="BJ75" s="11">
        <f>BH75-BI75</f>
        <v>-480168</v>
      </c>
      <c r="BK75" s="11">
        <f>BJ75*0.6583</f>
        <v>-316094.5944</v>
      </c>
      <c r="BN75" s="63">
        <v>0</v>
      </c>
      <c r="BO75" s="63">
        <v>496174</v>
      </c>
      <c r="BP75" s="10">
        <f t="shared" si="85"/>
        <v>-496174</v>
      </c>
      <c r="BQ75" s="11">
        <f t="shared" si="79"/>
        <v>-326631.34419999999</v>
      </c>
    </row>
    <row r="76" spans="1:69">
      <c r="A76" t="s">
        <v>117</v>
      </c>
      <c r="F76" s="11"/>
      <c r="G76" s="11"/>
      <c r="H76" s="11"/>
      <c r="N76" s="10"/>
      <c r="O76" s="11"/>
      <c r="P76" s="51"/>
      <c r="Q76" s="11">
        <v>-19520159</v>
      </c>
      <c r="R76" s="63"/>
      <c r="S76" s="11">
        <f>Q76-R76</f>
        <v>-19520159</v>
      </c>
      <c r="T76" s="112">
        <f>S76*0.6583</f>
        <v>-12850120.6697</v>
      </c>
      <c r="W76" s="63"/>
      <c r="X76" s="63"/>
      <c r="Y76" s="11"/>
      <c r="AA76" s="63"/>
      <c r="AC76" s="10"/>
      <c r="AG76" s="63"/>
      <c r="AI76" s="10"/>
      <c r="BG76" s="93"/>
      <c r="BN76" s="63">
        <f>'WGJ-2 Page 2,3'!P12</f>
        <v>2759815.7800000003</v>
      </c>
      <c r="BO76" s="63">
        <v>2571568</v>
      </c>
      <c r="BP76" s="10">
        <f t="shared" si="85"/>
        <v>188247.78000000026</v>
      </c>
      <c r="BQ76" s="11">
        <f t="shared" si="79"/>
        <v>123923.51357400017</v>
      </c>
    </row>
    <row r="77" spans="1:69">
      <c r="A77" s="9"/>
      <c r="B77" s="9"/>
      <c r="C77" s="9"/>
      <c r="D77" s="9"/>
      <c r="E77" s="9"/>
      <c r="F77" s="12"/>
      <c r="G77" s="12"/>
      <c r="H77" s="12"/>
      <c r="I77" s="9"/>
      <c r="J77" s="9"/>
      <c r="K77" s="9"/>
      <c r="L77" s="9"/>
      <c r="M77" s="9"/>
      <c r="N77" s="66"/>
      <c r="O77" s="12"/>
      <c r="P77" s="63"/>
      <c r="Q77" s="12">
        <v>10285559</v>
      </c>
      <c r="R77" s="63"/>
      <c r="S77" s="11">
        <f>Q77-R77</f>
        <v>10285559</v>
      </c>
      <c r="T77" s="112">
        <f>S77*0.6583</f>
        <v>6770983.4896999998</v>
      </c>
      <c r="W77" s="63"/>
      <c r="X77" s="63"/>
      <c r="Y77" s="11"/>
      <c r="AA77" s="63"/>
      <c r="AC77" s="10"/>
      <c r="AG77" s="63"/>
      <c r="AI77" s="10"/>
      <c r="BG77" s="93"/>
    </row>
    <row r="78" spans="1:69">
      <c r="E78" s="9"/>
      <c r="F78" s="12"/>
      <c r="G78" s="12"/>
      <c r="H78" s="12"/>
      <c r="I78" s="9"/>
      <c r="J78" s="9"/>
      <c r="K78" s="9"/>
      <c r="L78" s="9"/>
      <c r="M78" s="9"/>
      <c r="N78" s="9"/>
      <c r="O78" s="66"/>
      <c r="P78" s="93"/>
      <c r="Q78" s="9"/>
      <c r="T78" s="93"/>
      <c r="Y78" s="93"/>
      <c r="AC78" s="10"/>
      <c r="AI78" s="10"/>
      <c r="BG78" s="93"/>
    </row>
    <row r="79" spans="1:69">
      <c r="F79" s="11"/>
      <c r="G79" s="11"/>
      <c r="H79" s="11"/>
      <c r="S79" s="116"/>
      <c r="T79" s="117" t="s">
        <v>118</v>
      </c>
      <c r="U79" s="118">
        <f>U27+U28+T76+T77</f>
        <v>-1596667.1519999998</v>
      </c>
      <c r="BG79" s="93"/>
    </row>
    <row r="80" spans="1:69">
      <c r="F80" s="11"/>
      <c r="G80" s="11"/>
      <c r="H80" s="11"/>
      <c r="BG80" s="93"/>
    </row>
    <row r="81" spans="1:59">
      <c r="F81" s="11"/>
      <c r="G81" s="11"/>
      <c r="H81" s="119"/>
      <c r="I81" s="63"/>
      <c r="J81" s="63"/>
      <c r="K81" s="57"/>
      <c r="L81" s="57"/>
      <c r="BG81" s="93"/>
    </row>
    <row r="82" spans="1:59">
      <c r="F82" s="11"/>
      <c r="G82" s="11"/>
      <c r="H82" s="93"/>
      <c r="I82" s="57"/>
      <c r="J82" s="57"/>
      <c r="K82" s="57"/>
      <c r="L82" s="57"/>
      <c r="BG82" s="93"/>
    </row>
    <row r="83" spans="1:59">
      <c r="F83" s="11"/>
      <c r="G83" s="11"/>
      <c r="H83" s="93"/>
      <c r="I83" s="57"/>
      <c r="J83" s="57"/>
      <c r="K83" s="57"/>
      <c r="L83" s="57"/>
      <c r="BG83" s="93"/>
    </row>
    <row r="84" spans="1:59">
      <c r="F84" s="11"/>
      <c r="G84" s="11"/>
      <c r="H84" s="93"/>
      <c r="I84" s="57"/>
      <c r="J84" s="57"/>
      <c r="K84" s="57"/>
      <c r="L84" s="57"/>
      <c r="BG84" s="93"/>
    </row>
    <row r="85" spans="1:59">
      <c r="F85" s="11"/>
      <c r="G85" s="11"/>
      <c r="H85" s="93"/>
      <c r="I85" s="63"/>
      <c r="J85" s="63"/>
      <c r="K85" s="57"/>
      <c r="L85" s="57"/>
      <c r="BG85" s="93"/>
    </row>
    <row r="86" spans="1:59">
      <c r="F86" s="11"/>
      <c r="G86" s="11"/>
      <c r="H86" s="93"/>
      <c r="I86" s="57"/>
      <c r="J86" s="57"/>
      <c r="K86" s="57"/>
      <c r="L86" s="57"/>
      <c r="BG86" s="93"/>
    </row>
    <row r="87" spans="1:59">
      <c r="F87" s="11"/>
      <c r="G87" s="11"/>
      <c r="H87" s="93"/>
      <c r="I87" s="57"/>
      <c r="J87" s="57"/>
      <c r="K87" s="57"/>
      <c r="L87" s="57"/>
      <c r="BG87" s="93"/>
    </row>
    <row r="88" spans="1:59">
      <c r="F88" s="11"/>
      <c r="G88" s="11"/>
      <c r="H88" s="93"/>
      <c r="I88" s="57"/>
      <c r="J88" s="57"/>
      <c r="K88" s="57"/>
      <c r="L88" s="57"/>
      <c r="BG88" s="93"/>
    </row>
    <row r="89" spans="1:59">
      <c r="F89" s="11"/>
      <c r="G89" s="11"/>
      <c r="H89" s="93"/>
      <c r="I89" s="57"/>
      <c r="J89" s="57"/>
      <c r="K89" s="57"/>
      <c r="L89" s="57"/>
      <c r="BG89" s="93"/>
    </row>
    <row r="90" spans="1:59">
      <c r="F90" s="11"/>
      <c r="G90" s="11"/>
      <c r="H90" s="93"/>
      <c r="I90" s="57"/>
      <c r="J90" s="57"/>
      <c r="K90" s="57"/>
      <c r="L90" s="57"/>
      <c r="BG90" s="93"/>
    </row>
    <row r="91" spans="1:59">
      <c r="F91" s="11"/>
      <c r="G91" s="11"/>
      <c r="H91" s="93"/>
      <c r="I91" s="57"/>
      <c r="J91" s="57"/>
      <c r="K91" s="57"/>
      <c r="L91" s="57"/>
      <c r="BG91" s="93"/>
    </row>
    <row r="92" spans="1:59">
      <c r="F92" s="11"/>
      <c r="G92" s="11"/>
      <c r="H92" s="93"/>
      <c r="I92" s="57"/>
      <c r="J92" s="57"/>
      <c r="K92" s="57"/>
      <c r="L92" s="57"/>
      <c r="BG92" s="93"/>
    </row>
    <row r="93" spans="1:59">
      <c r="A93" s="57"/>
      <c r="B93" s="57"/>
      <c r="C93" s="57"/>
      <c r="D93" s="57"/>
      <c r="E93" s="57"/>
      <c r="F93" s="63"/>
      <c r="G93" s="63"/>
      <c r="H93" s="93"/>
      <c r="I93" s="57"/>
      <c r="J93" s="57"/>
      <c r="K93" s="57"/>
      <c r="L93" s="57"/>
      <c r="M93" s="57"/>
      <c r="N93" s="57"/>
      <c r="BG93" s="93"/>
    </row>
    <row r="94" spans="1:59">
      <c r="A94" s="120"/>
      <c r="B94" s="57"/>
      <c r="C94" s="57"/>
      <c r="D94" s="57"/>
      <c r="E94" s="57"/>
      <c r="F94" s="63"/>
      <c r="G94" s="63"/>
      <c r="H94" s="93"/>
      <c r="I94" s="57"/>
      <c r="J94" s="57"/>
      <c r="K94" s="57"/>
      <c r="L94" s="121"/>
      <c r="M94" s="57"/>
      <c r="N94" s="57"/>
    </row>
    <row r="95" spans="1:59">
      <c r="A95" s="57"/>
      <c r="B95" s="57"/>
      <c r="C95" s="57"/>
      <c r="D95" s="57"/>
      <c r="E95" s="57"/>
      <c r="F95" s="63"/>
      <c r="G95" s="63"/>
      <c r="H95" s="93"/>
      <c r="I95" s="57"/>
      <c r="J95" s="57"/>
      <c r="K95" s="57"/>
      <c r="L95" s="63"/>
      <c r="M95" s="57"/>
      <c r="N95" s="57"/>
    </row>
    <row r="96" spans="1:59">
      <c r="A96" s="57"/>
      <c r="B96" s="57"/>
      <c r="C96" s="57"/>
      <c r="D96" s="57"/>
      <c r="E96" s="57"/>
      <c r="F96" s="63"/>
      <c r="G96" s="63"/>
      <c r="H96" s="63"/>
      <c r="I96" s="57"/>
      <c r="J96" s="57"/>
      <c r="K96" s="57"/>
      <c r="L96" s="63"/>
      <c r="M96" s="57"/>
      <c r="N96" s="57"/>
    </row>
    <row r="97" spans="1:14">
      <c r="A97" s="57"/>
      <c r="B97" s="57"/>
      <c r="C97" s="57"/>
      <c r="D97" s="57"/>
      <c r="E97" s="57"/>
      <c r="F97" s="93"/>
      <c r="G97" s="57"/>
      <c r="H97" s="57"/>
      <c r="I97" s="57"/>
      <c r="J97" s="57"/>
      <c r="K97" s="57"/>
      <c r="L97" s="63"/>
      <c r="M97" s="57"/>
      <c r="N97" s="57"/>
    </row>
    <row r="98" spans="1:14">
      <c r="A98" s="57"/>
      <c r="B98" s="57"/>
      <c r="C98" s="57"/>
      <c r="D98" s="57"/>
      <c r="E98" s="57"/>
      <c r="F98" s="93"/>
      <c r="G98" s="57"/>
      <c r="H98" s="57"/>
      <c r="I98" s="57"/>
      <c r="J98" s="57"/>
      <c r="K98" s="57"/>
      <c r="L98" s="63"/>
      <c r="M98" s="57"/>
      <c r="N98" s="57"/>
    </row>
    <row r="99" spans="1:14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63"/>
      <c r="M99" s="57"/>
      <c r="N99" s="57"/>
    </row>
    <row r="100" spans="1:14">
      <c r="A100" s="57"/>
      <c r="B100" s="57"/>
      <c r="C100" s="57"/>
      <c r="D100" s="57"/>
      <c r="E100" s="57"/>
      <c r="F100" s="57"/>
      <c r="G100" s="57"/>
      <c r="H100" s="122"/>
      <c r="I100" s="57"/>
      <c r="J100" s="57"/>
      <c r="K100" s="57"/>
      <c r="L100" s="63"/>
      <c r="M100" s="57"/>
      <c r="N100" s="57"/>
    </row>
    <row r="101" spans="1:14">
      <c r="A101" s="57"/>
      <c r="B101" s="57"/>
      <c r="C101" s="57"/>
      <c r="D101" s="57"/>
      <c r="E101" s="57"/>
      <c r="F101" s="57"/>
      <c r="G101" s="57"/>
      <c r="H101" s="122"/>
      <c r="I101" s="57"/>
      <c r="J101" s="57"/>
      <c r="K101" s="57"/>
      <c r="L101" s="63"/>
      <c r="M101" s="57"/>
      <c r="N101" s="57"/>
    </row>
    <row r="102" spans="1:14">
      <c r="A102" s="57"/>
      <c r="B102" s="57"/>
      <c r="C102" s="57"/>
      <c r="D102" s="57"/>
      <c r="E102" s="57"/>
      <c r="F102" s="63"/>
      <c r="G102" s="63"/>
      <c r="H102" s="63"/>
      <c r="I102" s="57"/>
      <c r="J102" s="57"/>
      <c r="K102" s="57"/>
      <c r="L102" s="63"/>
      <c r="M102" s="57"/>
      <c r="N102" s="57"/>
    </row>
    <row r="103" spans="1:14">
      <c r="A103" s="57"/>
      <c r="B103" s="57"/>
      <c r="C103" s="57"/>
      <c r="D103" s="57"/>
      <c r="E103" s="57"/>
      <c r="F103" s="63"/>
      <c r="G103" s="63"/>
      <c r="H103" s="63"/>
      <c r="I103" s="57"/>
      <c r="J103" s="57"/>
      <c r="K103" s="57"/>
      <c r="L103" s="63"/>
      <c r="M103" s="57"/>
      <c r="N103" s="57"/>
    </row>
    <row r="104" spans="1:14">
      <c r="A104" s="57"/>
      <c r="B104" s="57"/>
      <c r="C104" s="57"/>
      <c r="D104" s="57"/>
      <c r="E104" s="57"/>
      <c r="F104" s="63"/>
      <c r="G104" s="63"/>
      <c r="H104" s="63"/>
      <c r="I104" s="57"/>
      <c r="J104" s="57"/>
      <c r="K104" s="57"/>
      <c r="L104" s="63"/>
      <c r="M104" s="57"/>
      <c r="N104" s="57"/>
    </row>
    <row r="105" spans="1:14">
      <c r="A105" s="57"/>
      <c r="B105" s="57"/>
      <c r="C105" s="57"/>
      <c r="D105" s="57"/>
      <c r="E105" s="57"/>
      <c r="F105" s="63"/>
      <c r="G105" s="63"/>
      <c r="H105" s="63"/>
      <c r="I105" s="57"/>
      <c r="J105" s="57"/>
      <c r="K105" s="57"/>
      <c r="L105" s="63"/>
      <c r="M105" s="57"/>
      <c r="N105" s="57"/>
    </row>
    <row r="106" spans="1:14">
      <c r="A106" s="57"/>
      <c r="B106" s="57"/>
      <c r="C106" s="57"/>
      <c r="D106" s="57"/>
      <c r="E106" s="57"/>
      <c r="F106" s="63"/>
      <c r="G106" s="63"/>
      <c r="H106" s="63"/>
      <c r="I106" s="57"/>
      <c r="J106" s="57"/>
      <c r="K106" s="57"/>
      <c r="L106" s="63"/>
      <c r="M106" s="57"/>
      <c r="N106" s="57"/>
    </row>
    <row r="107" spans="1:14">
      <c r="A107" s="57"/>
      <c r="B107" s="57"/>
      <c r="C107" s="57"/>
      <c r="D107" s="57"/>
      <c r="E107" s="57"/>
      <c r="F107" s="63"/>
      <c r="G107" s="63"/>
      <c r="H107" s="63"/>
      <c r="I107" s="57"/>
      <c r="J107" s="57"/>
      <c r="K107" s="57"/>
      <c r="L107" s="63"/>
      <c r="M107" s="57"/>
      <c r="N107" s="57"/>
    </row>
    <row r="108" spans="1:14">
      <c r="A108" s="57"/>
      <c r="B108" s="57"/>
      <c r="C108" s="57"/>
      <c r="D108" s="57"/>
      <c r="E108" s="57"/>
      <c r="F108" s="121"/>
      <c r="G108" s="123"/>
      <c r="H108" s="121"/>
      <c r="I108" s="124"/>
      <c r="J108" s="121"/>
      <c r="K108" s="123"/>
      <c r="L108" s="63"/>
      <c r="M108" s="57"/>
      <c r="N108" s="57"/>
    </row>
    <row r="109" spans="1:14">
      <c r="A109" s="57"/>
      <c r="B109" s="57"/>
      <c r="C109" s="57"/>
      <c r="D109" s="57"/>
      <c r="E109" s="57"/>
      <c r="F109" s="63"/>
      <c r="G109" s="63"/>
      <c r="H109" s="63"/>
      <c r="I109" s="63"/>
      <c r="J109" s="86"/>
      <c r="K109" s="86"/>
      <c r="L109" s="63"/>
      <c r="M109" s="57"/>
      <c r="N109" s="57"/>
    </row>
    <row r="110" spans="1:14">
      <c r="A110" s="57"/>
      <c r="B110" s="57"/>
      <c r="C110" s="57"/>
      <c r="D110" s="57"/>
      <c r="E110" s="57"/>
      <c r="F110" s="63"/>
      <c r="G110" s="63"/>
      <c r="H110" s="63"/>
      <c r="I110" s="63"/>
      <c r="J110" s="86"/>
      <c r="K110" s="86"/>
      <c r="L110" s="63"/>
      <c r="M110" s="57"/>
      <c r="N110" s="57"/>
    </row>
    <row r="111" spans="1:14">
      <c r="A111" s="57"/>
      <c r="B111" s="57"/>
      <c r="C111" s="57"/>
      <c r="D111" s="57"/>
      <c r="E111" s="57"/>
      <c r="F111" s="63"/>
      <c r="G111" s="63"/>
      <c r="H111" s="63"/>
      <c r="I111" s="63"/>
      <c r="J111" s="86"/>
      <c r="K111" s="86"/>
      <c r="L111" s="63"/>
      <c r="M111" s="57"/>
      <c r="N111" s="57"/>
    </row>
    <row r="112" spans="1:14">
      <c r="A112" s="57"/>
      <c r="B112" s="57"/>
      <c r="C112" s="57"/>
      <c r="D112" s="57"/>
      <c r="E112" s="57"/>
      <c r="F112" s="63"/>
      <c r="G112" s="63"/>
      <c r="H112" s="63"/>
      <c r="I112" s="63"/>
      <c r="J112" s="86"/>
      <c r="K112" s="86"/>
      <c r="L112" s="63"/>
      <c r="M112" s="57"/>
      <c r="N112" s="57"/>
    </row>
    <row r="113" spans="1:14">
      <c r="A113" s="57"/>
      <c r="B113" s="57"/>
      <c r="C113" s="57"/>
      <c r="D113" s="57"/>
      <c r="E113" s="57"/>
      <c r="F113" s="63"/>
      <c r="G113" s="63"/>
      <c r="H113" s="63"/>
      <c r="I113" s="63"/>
      <c r="J113" s="86"/>
      <c r="K113" s="86"/>
      <c r="L113" s="63"/>
      <c r="M113" s="57"/>
      <c r="N113" s="57"/>
    </row>
    <row r="114" spans="1:14">
      <c r="A114" s="57"/>
      <c r="B114" s="57"/>
      <c r="C114" s="57"/>
      <c r="D114" s="57"/>
      <c r="E114" s="57"/>
      <c r="F114" s="63"/>
      <c r="G114" s="63"/>
      <c r="H114" s="63"/>
      <c r="I114" s="63"/>
      <c r="J114" s="86"/>
      <c r="K114" s="86"/>
      <c r="L114" s="63"/>
      <c r="M114" s="57"/>
      <c r="N114" s="57"/>
    </row>
    <row r="115" spans="1:14">
      <c r="A115" s="57"/>
      <c r="B115" s="57"/>
      <c r="C115" s="57"/>
      <c r="D115" s="57"/>
      <c r="E115" s="57"/>
      <c r="F115" s="63"/>
      <c r="G115" s="63"/>
      <c r="H115" s="63"/>
      <c r="I115" s="63"/>
      <c r="J115" s="86"/>
      <c r="K115" s="86"/>
      <c r="L115" s="63"/>
      <c r="M115" s="57"/>
      <c r="N115" s="57"/>
    </row>
    <row r="116" spans="1:14">
      <c r="A116" s="57"/>
      <c r="B116" s="57"/>
      <c r="C116" s="57"/>
      <c r="D116" s="57"/>
      <c r="E116" s="57"/>
      <c r="F116" s="63"/>
      <c r="G116" s="63"/>
      <c r="H116" s="63"/>
      <c r="I116" s="63"/>
      <c r="J116" s="86"/>
      <c r="K116" s="86"/>
      <c r="L116" s="63"/>
      <c r="M116" s="57"/>
      <c r="N116" s="57"/>
    </row>
    <row r="117" spans="1:14">
      <c r="A117" s="57"/>
      <c r="B117" s="57"/>
      <c r="C117" s="57"/>
      <c r="D117" s="57"/>
      <c r="E117" s="57"/>
      <c r="F117" s="63"/>
      <c r="G117" s="63"/>
      <c r="H117" s="63"/>
      <c r="I117" s="63"/>
      <c r="J117" s="86"/>
      <c r="K117" s="86"/>
      <c r="L117" s="57"/>
      <c r="M117" s="57"/>
      <c r="N117" s="57"/>
    </row>
    <row r="118" spans="1:14">
      <c r="A118" s="57"/>
      <c r="B118" s="57"/>
      <c r="C118" s="57"/>
      <c r="D118" s="57"/>
      <c r="E118" s="57"/>
      <c r="F118" s="63"/>
      <c r="G118" s="63"/>
      <c r="H118" s="63"/>
      <c r="I118" s="63"/>
      <c r="J118" s="86"/>
      <c r="K118" s="86"/>
      <c r="L118" s="57"/>
      <c r="M118" s="57"/>
      <c r="N118" s="57"/>
    </row>
    <row r="119" spans="1:14">
      <c r="A119" s="120"/>
      <c r="B119" s="57"/>
      <c r="C119" s="57"/>
      <c r="D119" s="57"/>
      <c r="E119" s="57"/>
      <c r="F119" s="63"/>
      <c r="G119" s="63"/>
      <c r="H119" s="63"/>
      <c r="I119" s="63"/>
      <c r="J119" s="86"/>
      <c r="K119" s="86"/>
      <c r="L119" s="57"/>
      <c r="M119" s="57"/>
      <c r="N119" s="57"/>
    </row>
    <row r="120" spans="1:14">
      <c r="A120" s="57"/>
      <c r="B120" s="57"/>
      <c r="C120" s="57"/>
      <c r="D120" s="57"/>
      <c r="E120" s="57"/>
      <c r="F120" s="63"/>
      <c r="G120" s="63"/>
      <c r="H120" s="63"/>
      <c r="I120" s="63"/>
      <c r="J120" s="86"/>
      <c r="K120" s="86"/>
      <c r="L120" s="63"/>
      <c r="M120" s="57"/>
      <c r="N120" s="57"/>
    </row>
    <row r="121" spans="1:14">
      <c r="A121" s="57"/>
      <c r="B121" s="57"/>
      <c r="C121" s="57"/>
      <c r="D121" s="57"/>
      <c r="E121" s="57"/>
      <c r="F121" s="63"/>
      <c r="G121" s="63"/>
      <c r="H121" s="63"/>
      <c r="I121" s="63"/>
      <c r="J121" s="86"/>
      <c r="K121" s="86"/>
      <c r="L121" s="63"/>
      <c r="M121" s="57"/>
      <c r="N121" s="57"/>
    </row>
    <row r="122" spans="1:14">
      <c r="A122" s="57"/>
      <c r="B122" s="57"/>
      <c r="C122" s="57"/>
      <c r="D122" s="57"/>
      <c r="E122" s="57"/>
      <c r="F122" s="63"/>
      <c r="G122" s="63"/>
      <c r="H122" s="63"/>
      <c r="I122" s="63"/>
      <c r="J122" s="86"/>
      <c r="K122" s="86"/>
      <c r="L122" s="63"/>
      <c r="M122" s="57"/>
      <c r="N122" s="57"/>
    </row>
    <row r="123" spans="1:14">
      <c r="A123" s="57"/>
      <c r="B123" s="57"/>
      <c r="C123" s="57"/>
      <c r="D123" s="57"/>
      <c r="E123" s="57"/>
      <c r="F123" s="63"/>
      <c r="G123" s="63"/>
      <c r="H123" s="63"/>
      <c r="I123" s="63"/>
      <c r="J123" s="86"/>
      <c r="K123" s="86"/>
      <c r="L123" s="63"/>
      <c r="M123" s="57"/>
      <c r="N123" s="57"/>
    </row>
    <row r="124" spans="1:14">
      <c r="A124" s="57"/>
      <c r="B124" s="57"/>
      <c r="C124" s="57"/>
      <c r="D124" s="57"/>
      <c r="E124" s="57"/>
      <c r="F124" s="63"/>
      <c r="G124" s="63"/>
      <c r="H124" s="63"/>
      <c r="I124" s="63"/>
      <c r="J124" s="86"/>
      <c r="K124" s="86"/>
      <c r="L124" s="63"/>
      <c r="M124" s="57"/>
      <c r="N124" s="57"/>
    </row>
    <row r="125" spans="1:14">
      <c r="A125" s="57"/>
      <c r="B125" s="57"/>
      <c r="C125" s="57"/>
      <c r="D125" s="57"/>
      <c r="E125" s="57"/>
      <c r="F125" s="63"/>
      <c r="G125" s="63"/>
      <c r="H125" s="63"/>
      <c r="I125" s="63"/>
      <c r="J125" s="86"/>
      <c r="K125" s="86"/>
      <c r="L125" s="63"/>
      <c r="M125" s="57"/>
      <c r="N125" s="57"/>
    </row>
    <row r="126" spans="1:14">
      <c r="A126" s="57"/>
      <c r="B126" s="57"/>
      <c r="C126" s="57"/>
      <c r="D126" s="57"/>
      <c r="E126" s="57"/>
      <c r="F126" s="63"/>
      <c r="G126" s="63"/>
      <c r="H126" s="63"/>
      <c r="I126" s="63"/>
      <c r="J126" s="86"/>
      <c r="K126" s="86"/>
      <c r="L126" s="63"/>
      <c r="M126" s="57"/>
      <c r="N126" s="57"/>
    </row>
    <row r="127" spans="1:14">
      <c r="A127" s="57"/>
      <c r="B127" s="57"/>
      <c r="C127" s="57"/>
      <c r="D127" s="57"/>
      <c r="E127" s="57"/>
      <c r="F127" s="63"/>
      <c r="G127" s="63"/>
      <c r="H127" s="63"/>
      <c r="I127" s="63"/>
      <c r="J127" s="86"/>
      <c r="K127" s="86"/>
      <c r="L127" s="63"/>
      <c r="M127" s="57"/>
      <c r="N127" s="57"/>
    </row>
    <row r="128" spans="1:14">
      <c r="A128" s="57"/>
      <c r="B128" s="57"/>
      <c r="C128" s="57"/>
      <c r="D128" s="57"/>
      <c r="E128" s="57"/>
      <c r="F128" s="63"/>
      <c r="G128" s="63"/>
      <c r="H128" s="63"/>
      <c r="I128" s="63"/>
      <c r="J128" s="86"/>
      <c r="K128" s="86"/>
      <c r="L128" s="63"/>
      <c r="M128" s="57"/>
      <c r="N128" s="57"/>
    </row>
    <row r="129" spans="1:14">
      <c r="A129" s="57"/>
      <c r="B129" s="57"/>
      <c r="C129" s="57"/>
      <c r="D129" s="57"/>
      <c r="E129" s="57"/>
      <c r="F129" s="63"/>
      <c r="G129" s="63"/>
      <c r="H129" s="63"/>
      <c r="I129" s="63"/>
      <c r="J129" s="86"/>
      <c r="K129" s="86"/>
      <c r="L129" s="63"/>
      <c r="M129" s="57"/>
      <c r="N129" s="57"/>
    </row>
    <row r="130" spans="1:14">
      <c r="A130" s="57"/>
      <c r="B130" s="57"/>
      <c r="C130" s="57"/>
      <c r="D130" s="57"/>
      <c r="E130" s="57"/>
      <c r="F130" s="63"/>
      <c r="G130" s="63"/>
      <c r="H130" s="63"/>
      <c r="I130" s="63"/>
      <c r="J130" s="63"/>
      <c r="K130" s="63"/>
      <c r="L130" s="63"/>
      <c r="M130" s="57"/>
      <c r="N130" s="57"/>
    </row>
    <row r="131" spans="1:14">
      <c r="A131" s="57"/>
      <c r="B131" s="57"/>
      <c r="C131" s="57"/>
      <c r="D131" s="57"/>
      <c r="E131" s="57"/>
      <c r="F131" s="63"/>
      <c r="G131" s="63"/>
      <c r="H131" s="63"/>
      <c r="I131" s="89"/>
      <c r="J131" s="57"/>
      <c r="K131" s="57"/>
      <c r="L131" s="63"/>
      <c r="M131" s="57"/>
      <c r="N131" s="57"/>
    </row>
    <row r="132" spans="1:14">
      <c r="A132" s="57"/>
      <c r="B132" s="57"/>
      <c r="C132" s="57"/>
      <c r="D132" s="57"/>
      <c r="E132" s="57"/>
      <c r="F132" s="63"/>
      <c r="G132" s="63"/>
      <c r="H132" s="63"/>
      <c r="I132" s="89"/>
      <c r="J132" s="57"/>
      <c r="K132" s="57"/>
      <c r="L132" s="63"/>
      <c r="M132" s="57"/>
      <c r="N132" s="57"/>
    </row>
    <row r="133" spans="1:14">
      <c r="A133" s="57"/>
      <c r="B133" s="57"/>
      <c r="C133" s="57"/>
      <c r="D133" s="57"/>
      <c r="E133" s="57"/>
      <c r="F133" s="63"/>
      <c r="G133" s="63"/>
      <c r="H133" s="63"/>
      <c r="I133" s="89"/>
      <c r="J133" s="57"/>
      <c r="K133" s="57"/>
      <c r="L133" s="57"/>
      <c r="M133" s="57"/>
      <c r="N133" s="57"/>
    </row>
    <row r="134" spans="1:14">
      <c r="A134" s="57"/>
      <c r="B134" s="57"/>
      <c r="C134" s="57"/>
      <c r="D134" s="57"/>
      <c r="E134" s="57"/>
      <c r="F134" s="63"/>
      <c r="G134" s="63"/>
      <c r="H134" s="63"/>
      <c r="I134" s="89"/>
      <c r="J134" s="57"/>
      <c r="K134" s="86"/>
      <c r="L134" s="57"/>
      <c r="M134" s="57"/>
      <c r="N134" s="57"/>
    </row>
    <row r="135" spans="1:14">
      <c r="A135" s="57"/>
      <c r="B135" s="57"/>
      <c r="C135" s="57"/>
      <c r="D135" s="57"/>
      <c r="E135" s="57"/>
      <c r="F135" s="63"/>
      <c r="G135" s="63"/>
      <c r="H135" s="63"/>
      <c r="I135" s="89"/>
      <c r="J135" s="57"/>
      <c r="K135" s="86"/>
      <c r="L135" s="57"/>
      <c r="M135" s="57"/>
      <c r="N135" s="57"/>
    </row>
    <row r="136" spans="1:14">
      <c r="A136" s="57"/>
      <c r="B136" s="57"/>
      <c r="C136" s="57"/>
      <c r="D136" s="57"/>
      <c r="E136" s="57"/>
      <c r="F136" s="63"/>
      <c r="G136" s="63"/>
      <c r="H136" s="63"/>
      <c r="I136" s="89"/>
      <c r="J136" s="57"/>
      <c r="K136" s="86"/>
      <c r="L136" s="57"/>
      <c r="M136" s="57"/>
      <c r="N136" s="57"/>
    </row>
    <row r="137" spans="1:14">
      <c r="A137" s="57"/>
      <c r="B137" s="57"/>
      <c r="C137" s="57"/>
      <c r="D137" s="57"/>
      <c r="E137" s="57"/>
      <c r="F137" s="63"/>
      <c r="G137" s="63"/>
      <c r="H137" s="63"/>
      <c r="I137" s="89"/>
      <c r="J137" s="57"/>
      <c r="K137" s="86"/>
      <c r="L137" s="57"/>
      <c r="M137" s="57"/>
      <c r="N137" s="57"/>
    </row>
    <row r="138" spans="1:14">
      <c r="A138" s="57"/>
      <c r="B138" s="57"/>
      <c r="C138" s="57"/>
      <c r="D138" s="57"/>
      <c r="E138" s="57"/>
      <c r="F138" s="63"/>
      <c r="G138" s="63"/>
      <c r="H138" s="63"/>
      <c r="I138" s="89"/>
      <c r="J138" s="57"/>
      <c r="K138" s="86"/>
      <c r="L138" s="57"/>
      <c r="M138" s="57"/>
      <c r="N138" s="57"/>
    </row>
    <row r="139" spans="1:14">
      <c r="A139" s="57"/>
      <c r="B139" s="57"/>
      <c r="C139" s="57"/>
      <c r="D139" s="57"/>
      <c r="E139" s="57"/>
      <c r="F139" s="63"/>
      <c r="G139" s="63"/>
      <c r="H139" s="63"/>
      <c r="I139" s="89"/>
      <c r="J139" s="57"/>
      <c r="K139" s="86"/>
      <c r="L139" s="57"/>
      <c r="M139" s="57"/>
      <c r="N139" s="57"/>
    </row>
    <row r="140" spans="1:14">
      <c r="A140" s="57"/>
      <c r="B140" s="57"/>
      <c r="C140" s="57"/>
      <c r="D140" s="57"/>
      <c r="E140" s="57"/>
      <c r="F140" s="63"/>
      <c r="G140" s="63"/>
      <c r="H140" s="63"/>
      <c r="I140" s="89"/>
      <c r="J140" s="57"/>
      <c r="K140" s="86"/>
      <c r="L140" s="57"/>
      <c r="M140" s="57"/>
      <c r="N140" s="57"/>
    </row>
    <row r="141" spans="1:14">
      <c r="A141" s="57"/>
      <c r="B141" s="57"/>
      <c r="C141" s="57"/>
      <c r="D141" s="57"/>
      <c r="E141" s="57"/>
      <c r="F141" s="63"/>
      <c r="G141" s="63"/>
      <c r="H141" s="63"/>
      <c r="I141" s="89"/>
      <c r="J141" s="57"/>
      <c r="K141" s="86"/>
      <c r="L141" s="57"/>
      <c r="M141" s="57"/>
      <c r="N141" s="57"/>
    </row>
    <row r="142" spans="1:14">
      <c r="A142" s="57"/>
      <c r="B142" s="57"/>
      <c r="C142" s="57"/>
      <c r="D142" s="57"/>
      <c r="E142" s="57"/>
      <c r="F142" s="63"/>
      <c r="G142" s="63"/>
      <c r="H142" s="63"/>
      <c r="I142" s="89"/>
      <c r="J142" s="57"/>
      <c r="K142" s="86"/>
      <c r="L142" s="57"/>
      <c r="M142" s="57"/>
      <c r="N142" s="57"/>
    </row>
    <row r="143" spans="1:14">
      <c r="A143" s="57"/>
      <c r="B143" s="57"/>
      <c r="C143" s="57"/>
      <c r="D143" s="57"/>
      <c r="E143" s="57"/>
      <c r="F143" s="63"/>
      <c r="G143" s="63"/>
      <c r="H143" s="63"/>
      <c r="I143" s="89"/>
      <c r="J143" s="57"/>
      <c r="K143" s="86"/>
      <c r="L143" s="57"/>
      <c r="M143" s="57"/>
      <c r="N143" s="57"/>
    </row>
    <row r="144" spans="1:14">
      <c r="A144" s="57"/>
      <c r="B144" s="57"/>
      <c r="C144" s="57"/>
      <c r="D144" s="57"/>
      <c r="E144" s="57"/>
      <c r="F144" s="63"/>
      <c r="G144" s="63"/>
      <c r="H144" s="63"/>
      <c r="I144" s="89"/>
      <c r="J144" s="57"/>
      <c r="K144" s="86"/>
      <c r="L144" s="57"/>
      <c r="M144" s="57"/>
      <c r="N144" s="57"/>
    </row>
    <row r="145" spans="1:14">
      <c r="A145" s="57"/>
      <c r="B145" s="57"/>
      <c r="C145" s="57"/>
      <c r="D145" s="57"/>
      <c r="E145" s="57"/>
      <c r="F145" s="63"/>
      <c r="G145" s="63"/>
      <c r="H145" s="63"/>
      <c r="I145" s="89"/>
      <c r="J145" s="57"/>
      <c r="K145" s="57"/>
      <c r="L145" s="57"/>
      <c r="M145" s="57"/>
      <c r="N145" s="57"/>
    </row>
    <row r="146" spans="1:14">
      <c r="A146" s="57"/>
      <c r="B146" s="57"/>
      <c r="C146" s="57"/>
      <c r="D146" s="57"/>
      <c r="E146" s="57"/>
      <c r="F146" s="63"/>
      <c r="G146" s="63"/>
      <c r="H146" s="63"/>
      <c r="I146" s="89"/>
      <c r="J146" s="57"/>
      <c r="K146" s="89"/>
      <c r="L146" s="57"/>
      <c r="M146" s="57"/>
      <c r="N146" s="57"/>
    </row>
    <row r="147" spans="1:14">
      <c r="A147" s="57"/>
      <c r="B147" s="57"/>
      <c r="C147" s="57"/>
      <c r="D147" s="57"/>
      <c r="E147" s="57"/>
      <c r="F147" s="63"/>
      <c r="G147" s="63"/>
      <c r="H147" s="63"/>
      <c r="I147" s="89"/>
      <c r="J147" s="63"/>
      <c r="K147" s="63"/>
      <c r="L147" s="57"/>
      <c r="M147" s="57"/>
      <c r="N147" s="57"/>
    </row>
    <row r="148" spans="1:14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</row>
    <row r="149" spans="1:14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</row>
    <row r="150" spans="1:14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</row>
    <row r="151" spans="1:14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</row>
    <row r="152" spans="1:14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</row>
    <row r="153" spans="1:14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</row>
    <row r="154" spans="1:14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</row>
  </sheetData>
  <pageMargins left="0.75" right="0" top="0.75" bottom="0" header="0.5" footer="0.5"/>
  <pageSetup scale="73" orientation="portrait" r:id="rId1"/>
  <headerFooter alignWithMargins="0">
    <oddHeader>&amp;L&amp;F&amp;A&amp;R&amp;D&amp;T sw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7"/>
  <sheetViews>
    <sheetView topLeftCell="A10" workbookViewId="0">
      <selection activeCell="D29" sqref="D29"/>
    </sheetView>
  </sheetViews>
  <sheetFormatPr defaultRowHeight="13.2"/>
  <sheetData>
    <row r="2" spans="2:4">
      <c r="D2" t="s">
        <v>119</v>
      </c>
    </row>
    <row r="4" spans="2:4">
      <c r="B4" t="s">
        <v>120</v>
      </c>
    </row>
    <row r="5" spans="2:4">
      <c r="B5" t="s">
        <v>121</v>
      </c>
    </row>
    <row r="6" spans="2:4">
      <c r="B6">
        <v>1</v>
      </c>
      <c r="C6" s="82" t="s">
        <v>122</v>
      </c>
    </row>
    <row r="7" spans="2:4">
      <c r="C7" s="82" t="s">
        <v>123</v>
      </c>
    </row>
    <row r="8" spans="2:4">
      <c r="B8">
        <v>2</v>
      </c>
      <c r="C8" t="s">
        <v>124</v>
      </c>
    </row>
    <row r="9" spans="2:4">
      <c r="C9" t="s">
        <v>125</v>
      </c>
    </row>
    <row r="10" spans="2:4">
      <c r="C10" s="82" t="s">
        <v>126</v>
      </c>
    </row>
    <row r="11" spans="2:4">
      <c r="B11">
        <v>3</v>
      </c>
      <c r="C11" t="s">
        <v>127</v>
      </c>
    </row>
    <row r="12" spans="2:4" hidden="1">
      <c r="B12">
        <v>4</v>
      </c>
      <c r="C12" s="125" t="s">
        <v>128</v>
      </c>
    </row>
    <row r="13" spans="2:4">
      <c r="B13">
        <v>4</v>
      </c>
      <c r="C13" s="82" t="s">
        <v>129</v>
      </c>
    </row>
    <row r="15" spans="2:4">
      <c r="B15" t="s">
        <v>130</v>
      </c>
    </row>
    <row r="16" spans="2:4">
      <c r="B16" t="s">
        <v>131</v>
      </c>
    </row>
    <row r="17" spans="2:3">
      <c r="B17">
        <v>1</v>
      </c>
      <c r="C17" s="82" t="s">
        <v>132</v>
      </c>
    </row>
    <row r="18" spans="2:3">
      <c r="B18">
        <v>2</v>
      </c>
      <c r="C18" s="82" t="s">
        <v>133</v>
      </c>
    </row>
    <row r="19" spans="2:3">
      <c r="B19">
        <v>3</v>
      </c>
      <c r="C19" s="82" t="s">
        <v>134</v>
      </c>
    </row>
    <row r="21" spans="2:3">
      <c r="B21" t="s">
        <v>135</v>
      </c>
    </row>
    <row r="22" spans="2:3">
      <c r="B22" t="s">
        <v>136</v>
      </c>
    </row>
    <row r="24" spans="2:3">
      <c r="B24" s="82" t="s">
        <v>137</v>
      </c>
    </row>
    <row r="25" spans="2:3">
      <c r="B25" s="82"/>
    </row>
    <row r="26" spans="2:3">
      <c r="B26" s="82" t="s">
        <v>138</v>
      </c>
    </row>
    <row r="27" spans="2:3">
      <c r="B27">
        <v>1</v>
      </c>
      <c r="C27" s="82" t="s">
        <v>139</v>
      </c>
    </row>
    <row r="28" spans="2:3">
      <c r="B28">
        <v>2</v>
      </c>
      <c r="C28" s="125" t="s">
        <v>140</v>
      </c>
    </row>
    <row r="29" spans="2:3">
      <c r="B29">
        <v>3</v>
      </c>
      <c r="C29" s="125" t="s">
        <v>141</v>
      </c>
    </row>
    <row r="30" spans="2:3">
      <c r="B30">
        <v>4</v>
      </c>
      <c r="C30" s="82" t="s">
        <v>142</v>
      </c>
    </row>
    <row r="31" spans="2:3">
      <c r="B31">
        <v>5</v>
      </c>
      <c r="C31" s="82" t="s">
        <v>39</v>
      </c>
    </row>
    <row r="33" spans="2:3">
      <c r="B33" s="82" t="s">
        <v>143</v>
      </c>
    </row>
    <row r="34" spans="2:3">
      <c r="B34">
        <v>1</v>
      </c>
      <c r="C34" s="82" t="s">
        <v>144</v>
      </c>
    </row>
    <row r="35" spans="2:3">
      <c r="C35" s="82" t="s">
        <v>145</v>
      </c>
    </row>
    <row r="36" spans="2:3">
      <c r="B36">
        <v>2</v>
      </c>
      <c r="C36" s="82" t="s">
        <v>146</v>
      </c>
    </row>
    <row r="37" spans="2:3">
      <c r="C37" s="82" t="s">
        <v>147</v>
      </c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97"/>
  <sheetViews>
    <sheetView tabSelected="1"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activeCell="A2" sqref="A2:Q2"/>
    </sheetView>
  </sheetViews>
  <sheetFormatPr defaultColWidth="9.109375" defaultRowHeight="13.2" outlineLevelRow="1" outlineLevelCol="1"/>
  <cols>
    <col min="1" max="1" width="4.88671875" style="135" customWidth="1"/>
    <col min="2" max="2" width="10.6640625" style="20" customWidth="1"/>
    <col min="3" max="3" width="24.33203125" style="20" customWidth="1"/>
    <col min="4" max="4" width="9" style="20" customWidth="1" outlineLevel="1"/>
    <col min="5" max="5" width="5.33203125" style="20" customWidth="1" outlineLevel="1"/>
    <col min="6" max="6" width="13.6640625" style="20" customWidth="1"/>
    <col min="7" max="8" width="13.5546875" style="20" bestFit="1" customWidth="1"/>
    <col min="9" max="9" width="12.44140625" style="20" bestFit="1" customWidth="1"/>
    <col min="10" max="10" width="12.88671875" style="20" bestFit="1" customWidth="1"/>
    <col min="11" max="11" width="12.6640625" style="20" customWidth="1"/>
    <col min="12" max="12" width="12.88671875" style="20" bestFit="1" customWidth="1"/>
    <col min="13" max="15" width="12.44140625" style="20" bestFit="1" customWidth="1"/>
    <col min="16" max="17" width="13.5546875" style="20" bestFit="1" customWidth="1"/>
    <col min="18" max="18" width="13.109375" style="20" customWidth="1"/>
    <col min="19" max="19" width="13.88671875" style="20" customWidth="1"/>
    <col min="20" max="20" width="13.109375" style="62" customWidth="1"/>
    <col min="21" max="22" width="8.6640625" style="62" customWidth="1"/>
    <col min="23" max="16384" width="9.109375" style="20"/>
  </cols>
  <sheetData>
    <row r="1" spans="1:22">
      <c r="A1" s="365" t="s">
        <v>148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</row>
    <row r="2" spans="1:22" ht="15.6">
      <c r="A2" s="366" t="s">
        <v>149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</row>
    <row r="3" spans="1:22">
      <c r="A3" s="200" t="s">
        <v>150</v>
      </c>
    </row>
    <row r="4" spans="1:22">
      <c r="A4" s="135" t="s">
        <v>151</v>
      </c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</row>
    <row r="5" spans="1:22">
      <c r="B5" s="337" t="s">
        <v>152</v>
      </c>
      <c r="C5" s="195"/>
      <c r="D5" s="367" t="s">
        <v>153</v>
      </c>
      <c r="E5" s="367"/>
      <c r="F5" s="279">
        <v>41670</v>
      </c>
      <c r="G5" s="279">
        <v>41698</v>
      </c>
      <c r="H5" s="279">
        <v>41729</v>
      </c>
      <c r="I5" s="279">
        <v>41759</v>
      </c>
      <c r="J5" s="279">
        <v>41790</v>
      </c>
      <c r="K5" s="279">
        <v>41820</v>
      </c>
      <c r="L5" s="279">
        <v>41851</v>
      </c>
      <c r="M5" s="279">
        <v>41882</v>
      </c>
      <c r="N5" s="279">
        <v>41912</v>
      </c>
      <c r="O5" s="279">
        <v>41943</v>
      </c>
      <c r="P5" s="279">
        <v>41973</v>
      </c>
      <c r="Q5" s="279">
        <v>42004</v>
      </c>
    </row>
    <row r="6" spans="1:22" ht="15.9" customHeight="1">
      <c r="A6" s="135">
        <v>1</v>
      </c>
      <c r="B6" s="20" t="s">
        <v>154</v>
      </c>
      <c r="D6" s="368">
        <f>SUM(F6:Q6)</f>
        <v>198069940.78500003</v>
      </c>
      <c r="E6" s="368"/>
      <c r="F6" s="133">
        <f>'WGJ-2 Page 2,3'!E24</f>
        <v>21637001.565000001</v>
      </c>
      <c r="G6" s="133">
        <f>'WGJ-2 Page 2,3'!F24</f>
        <v>21929186.82</v>
      </c>
      <c r="H6" s="133">
        <f>'WGJ-2 Page 2,3'!G24</f>
        <v>23776856.465</v>
      </c>
      <c r="I6" s="133">
        <f>'WGJ-2 Page 2,3'!H24</f>
        <v>15594828.135</v>
      </c>
      <c r="J6" s="133">
        <f>'WGJ-2 Page 2,3'!I24</f>
        <v>11696613</v>
      </c>
      <c r="K6" s="133">
        <f>'WGJ-2 Page 2,3'!J24</f>
        <v>11288454</v>
      </c>
      <c r="L6" s="133">
        <f>'WGJ-2 Page 2,3'!K24</f>
        <v>15757204</v>
      </c>
      <c r="M6" s="133">
        <f>'WGJ-2 Page 2,3'!L24</f>
        <v>14301087</v>
      </c>
      <c r="N6" s="133">
        <f>'WGJ-2 Page 2,3'!M24</f>
        <v>13509093</v>
      </c>
      <c r="O6" s="133">
        <f>'WGJ-2 Page 2,3'!N24</f>
        <v>12571027</v>
      </c>
      <c r="P6" s="133">
        <f>'WGJ-2 Page 2,3'!O24</f>
        <v>18306165.02</v>
      </c>
      <c r="Q6" s="133">
        <f>'WGJ-2 Page 2,3'!P24</f>
        <v>17702424.780000001</v>
      </c>
    </row>
    <row r="7" spans="1:22" ht="15.9" customHeight="1">
      <c r="A7" s="135">
        <f>A6+1</f>
        <v>2</v>
      </c>
      <c r="B7" s="20" t="s">
        <v>155</v>
      </c>
      <c r="D7" s="369">
        <f t="shared" ref="D7:D15" si="0">SUM(F7:Q7)</f>
        <v>-150887385</v>
      </c>
      <c r="E7" s="369"/>
      <c r="F7" s="133">
        <f>'WGJ-2 Page 2,3'!E47</f>
        <v>-16799872</v>
      </c>
      <c r="G7" s="133">
        <f>'WGJ-2 Page 2,3'!F47</f>
        <v>-12355172</v>
      </c>
      <c r="H7" s="133">
        <f>'WGJ-2 Page 2,3'!G47</f>
        <v>-13519401</v>
      </c>
      <c r="I7" s="133">
        <f>'WGJ-2 Page 2,3'!H47</f>
        <v>-12490297</v>
      </c>
      <c r="J7" s="133">
        <f>'WGJ-2 Page 2,3'!I47</f>
        <v>-13315264</v>
      </c>
      <c r="K7" s="133">
        <f>'WGJ-2 Page 2,3'!J47</f>
        <v>-11174889</v>
      </c>
      <c r="L7" s="133">
        <f>'WGJ-2 Page 2,3'!K47</f>
        <v>-16819937</v>
      </c>
      <c r="M7" s="133">
        <f>'WGJ-2 Page 2,3'!L47</f>
        <v>-10771540</v>
      </c>
      <c r="N7" s="133">
        <f>'WGJ-2 Page 2,3'!M47</f>
        <v>-10843355</v>
      </c>
      <c r="O7" s="133">
        <f>'WGJ-2 Page 2,3'!N47</f>
        <v>-10823724</v>
      </c>
      <c r="P7" s="133">
        <f>'WGJ-2 Page 2,3'!O47</f>
        <v>-10067740</v>
      </c>
      <c r="Q7" s="133">
        <f>'WGJ-2 Page 2,3'!P47</f>
        <v>-11906194</v>
      </c>
    </row>
    <row r="8" spans="1:22" ht="15.9" customHeight="1">
      <c r="A8" s="135">
        <f>+A7+1</f>
        <v>3</v>
      </c>
      <c r="B8" s="134" t="s">
        <v>156</v>
      </c>
      <c r="D8" s="364">
        <f>SUM(F8:Q8)</f>
        <v>3518573</v>
      </c>
      <c r="E8" s="364"/>
      <c r="F8" s="294">
        <v>297264</v>
      </c>
      <c r="G8" s="294">
        <v>268606</v>
      </c>
      <c r="H8" s="294">
        <v>306942</v>
      </c>
      <c r="I8" s="294">
        <v>337238</v>
      </c>
      <c r="J8" s="294">
        <v>328649</v>
      </c>
      <c r="K8" s="294">
        <v>316893</v>
      </c>
      <c r="L8" s="294">
        <v>282911</v>
      </c>
      <c r="M8" s="294">
        <v>289200</v>
      </c>
      <c r="N8" s="294">
        <v>273184</v>
      </c>
      <c r="O8" s="294">
        <v>284648</v>
      </c>
      <c r="P8" s="294">
        <v>233019</v>
      </c>
      <c r="Q8" s="294">
        <v>300019</v>
      </c>
    </row>
    <row r="9" spans="1:22" ht="15.9" customHeight="1">
      <c r="A9" s="135">
        <f t="shared" ref="A9:A15" si="1">A8+1</f>
        <v>4</v>
      </c>
      <c r="B9" s="20" t="s">
        <v>157</v>
      </c>
      <c r="D9" s="364">
        <f t="shared" si="0"/>
        <v>27282448</v>
      </c>
      <c r="E9" s="364"/>
      <c r="F9" s="133">
        <f>'WGJ-2 Page 2,3'!E64</f>
        <v>2404223</v>
      </c>
      <c r="G9" s="133">
        <f>'WGJ-2 Page 2,3'!F64</f>
        <v>2713455</v>
      </c>
      <c r="H9" s="133">
        <f>'WGJ-2 Page 2,3'!G64</f>
        <v>1871612</v>
      </c>
      <c r="I9" s="133">
        <f>'WGJ-2 Page 2,3'!H64</f>
        <v>2179270</v>
      </c>
      <c r="J9" s="133">
        <f>'WGJ-2 Page 2,3'!I64</f>
        <v>1105711</v>
      </c>
      <c r="K9" s="133">
        <f>'WGJ-2 Page 2,3'!J64</f>
        <v>1184588</v>
      </c>
      <c r="L9" s="133">
        <f>'WGJ-2 Page 2,3'!K64</f>
        <v>2197774</v>
      </c>
      <c r="M9" s="133">
        <f>'WGJ-2 Page 2,3'!L64</f>
        <v>3102692</v>
      </c>
      <c r="N9" s="133">
        <f>'WGJ-2 Page 2,3'!M64</f>
        <v>3305897</v>
      </c>
      <c r="O9" s="133">
        <f>'WGJ-2 Page 2,3'!N64</f>
        <v>2444916</v>
      </c>
      <c r="P9" s="133">
        <f>'WGJ-2 Page 2,3'!O64</f>
        <v>2249223</v>
      </c>
      <c r="Q9" s="133">
        <f>'WGJ-2 Page 2,3'!P64</f>
        <v>2523087</v>
      </c>
    </row>
    <row r="10" spans="1:22" ht="15.9" customHeight="1">
      <c r="A10" s="135">
        <f t="shared" si="1"/>
        <v>5</v>
      </c>
      <c r="B10" s="20" t="s">
        <v>158</v>
      </c>
      <c r="D10" s="364">
        <f t="shared" si="0"/>
        <v>89150875</v>
      </c>
      <c r="E10" s="364"/>
      <c r="F10" s="133">
        <f>'WGJ-2 Page 2,3'!E81</f>
        <v>12167651</v>
      </c>
      <c r="G10" s="133">
        <f>'WGJ-2 Page 2,3'!F81</f>
        <v>13775030</v>
      </c>
      <c r="H10" s="133">
        <f>'WGJ-2 Page 2,3'!G81</f>
        <v>2035023</v>
      </c>
      <c r="I10" s="133">
        <f>'WGJ-2 Page 2,3'!H81</f>
        <v>1865777</v>
      </c>
      <c r="J10" s="133">
        <f>'WGJ-2 Page 2,3'!I81</f>
        <v>3891130</v>
      </c>
      <c r="K10" s="133">
        <f>'WGJ-2 Page 2,3'!J81</f>
        <v>2757899</v>
      </c>
      <c r="L10" s="133">
        <f>'WGJ-2 Page 2,3'!K81</f>
        <v>7030730</v>
      </c>
      <c r="M10" s="133">
        <f>'WGJ-2 Page 2,3'!L81</f>
        <v>10075246</v>
      </c>
      <c r="N10" s="133">
        <f>'WGJ-2 Page 2,3'!M81</f>
        <v>9938206</v>
      </c>
      <c r="O10" s="133">
        <f>'WGJ-2 Page 2,3'!N81</f>
        <v>9717054</v>
      </c>
      <c r="P10" s="133">
        <f>'WGJ-2 Page 2,3'!O81</f>
        <v>7979846</v>
      </c>
      <c r="Q10" s="133">
        <f>'WGJ-2 Page 2,3'!P81</f>
        <v>7917283</v>
      </c>
    </row>
    <row r="11" spans="1:22" ht="15.9" customHeight="1">
      <c r="A11" s="135">
        <f t="shared" si="1"/>
        <v>6</v>
      </c>
      <c r="B11" s="20" t="s">
        <v>68</v>
      </c>
      <c r="C11" s="55"/>
      <c r="D11" s="369">
        <f t="shared" si="0"/>
        <v>-12083088</v>
      </c>
      <c r="E11" s="369"/>
      <c r="F11" s="133">
        <f>'WGJ-2 Page 2,3'!E92</f>
        <v>-922550</v>
      </c>
      <c r="G11" s="133">
        <f>'WGJ-2 Page 2,3'!F92</f>
        <v>-762846</v>
      </c>
      <c r="H11" s="133">
        <f>'WGJ-2 Page 2,3'!G92</f>
        <v>-903805</v>
      </c>
      <c r="I11" s="133">
        <f>'WGJ-2 Page 2,3'!H92</f>
        <v>-1010617</v>
      </c>
      <c r="J11" s="133">
        <f>'WGJ-2 Page 2,3'!I92</f>
        <v>-1256173</v>
      </c>
      <c r="K11" s="133">
        <f>'WGJ-2 Page 2,3'!J92</f>
        <v>-1199183</v>
      </c>
      <c r="L11" s="133">
        <f>'WGJ-2 Page 2,3'!K92</f>
        <v>-1141239</v>
      </c>
      <c r="M11" s="133">
        <f>'WGJ-2 Page 2,3'!L92</f>
        <v>-977401</v>
      </c>
      <c r="N11" s="133">
        <f>'WGJ-2 Page 2,3'!M92</f>
        <v>-1015417</v>
      </c>
      <c r="O11" s="133">
        <f>'WGJ-2 Page 2,3'!N92</f>
        <v>-945968</v>
      </c>
      <c r="P11" s="133">
        <f>'WGJ-2 Page 2,3'!O92</f>
        <v>-1004533</v>
      </c>
      <c r="Q11" s="133">
        <f>'WGJ-2 Page 2,3'!P92</f>
        <v>-943356</v>
      </c>
      <c r="T11" s="20"/>
      <c r="U11" s="20"/>
      <c r="V11" s="20"/>
    </row>
    <row r="12" spans="1:22" ht="15.9" customHeight="1">
      <c r="A12" s="135">
        <f t="shared" si="1"/>
        <v>7</v>
      </c>
      <c r="B12" s="20" t="s">
        <v>67</v>
      </c>
      <c r="C12" s="55"/>
      <c r="D12" s="364">
        <f t="shared" si="0"/>
        <v>18896021</v>
      </c>
      <c r="E12" s="364"/>
      <c r="F12" s="133">
        <f>'WGJ-2 Page 2,3'!E98</f>
        <v>1690954</v>
      </c>
      <c r="G12" s="133">
        <f>'WGJ-2 Page 2,3'!F98</f>
        <v>1610959</v>
      </c>
      <c r="H12" s="133">
        <f>'WGJ-2 Page 2,3'!G98</f>
        <v>1808808</v>
      </c>
      <c r="I12" s="133">
        <f>'WGJ-2 Page 2,3'!H98</f>
        <v>1580867</v>
      </c>
      <c r="J12" s="133">
        <f>'WGJ-2 Page 2,3'!I98</f>
        <v>1616581</v>
      </c>
      <c r="K12" s="133">
        <f>'WGJ-2 Page 2,3'!J98</f>
        <v>1590834</v>
      </c>
      <c r="L12" s="133">
        <f>'WGJ-2 Page 2,3'!K98</f>
        <v>1607039</v>
      </c>
      <c r="M12" s="133">
        <f>'WGJ-2 Page 2,3'!L98</f>
        <v>1648720</v>
      </c>
      <c r="N12" s="133">
        <f>'WGJ-2 Page 2,3'!M98</f>
        <v>1464333</v>
      </c>
      <c r="O12" s="133">
        <f>'WGJ-2 Page 2,3'!N98</f>
        <v>1428159</v>
      </c>
      <c r="P12" s="133">
        <f>'WGJ-2 Page 2,3'!O98</f>
        <v>1416770</v>
      </c>
      <c r="Q12" s="133">
        <f>'WGJ-2 Page 2,3'!P98</f>
        <v>1431997</v>
      </c>
      <c r="T12" s="20"/>
      <c r="U12" s="20"/>
      <c r="V12" s="20"/>
    </row>
    <row r="13" spans="1:22" ht="15.9" customHeight="1">
      <c r="A13" s="135">
        <f t="shared" si="1"/>
        <v>8</v>
      </c>
      <c r="B13" s="20" t="s">
        <v>159</v>
      </c>
      <c r="C13" s="55"/>
      <c r="D13" s="364">
        <f t="shared" si="0"/>
        <v>488277</v>
      </c>
      <c r="E13" s="364"/>
      <c r="F13" s="133">
        <f>'WGJ-2 Page 2,3'!E100</f>
        <v>55076</v>
      </c>
      <c r="G13" s="133">
        <f>'WGJ-2 Page 2,3'!F100</f>
        <v>37496</v>
      </c>
      <c r="H13" s="133">
        <f>'WGJ-2 Page 2,3'!G100</f>
        <v>73604</v>
      </c>
      <c r="I13" s="133">
        <f>'WGJ-2 Page 2,3'!H100</f>
        <v>59102</v>
      </c>
      <c r="J13" s="133">
        <f>'WGJ-2 Page 2,3'!I100</f>
        <v>33038</v>
      </c>
      <c r="K13" s="133">
        <f>'WGJ-2 Page 2,3'!J100</f>
        <v>34795</v>
      </c>
      <c r="L13" s="133">
        <f>'WGJ-2 Page 2,3'!K100</f>
        <v>27548</v>
      </c>
      <c r="M13" s="133">
        <f>'WGJ-2 Page 2,3'!L100</f>
        <v>38001</v>
      </c>
      <c r="N13" s="133">
        <f>'WGJ-2 Page 2,3'!M100</f>
        <v>48638</v>
      </c>
      <c r="O13" s="133">
        <f>'WGJ-2 Page 2,3'!N100</f>
        <v>34528</v>
      </c>
      <c r="P13" s="133">
        <f>'WGJ-2 Page 2,3'!O100</f>
        <v>30289</v>
      </c>
      <c r="Q13" s="133">
        <f>'WGJ-2 Page 2,3'!P100</f>
        <v>16162</v>
      </c>
      <c r="T13" s="20"/>
      <c r="U13" s="20"/>
      <c r="V13" s="20"/>
    </row>
    <row r="14" spans="1:22" ht="15.9" customHeight="1">
      <c r="A14" s="135">
        <f t="shared" si="1"/>
        <v>9</v>
      </c>
      <c r="B14" s="21" t="s">
        <v>160</v>
      </c>
      <c r="D14" s="371">
        <f t="shared" si="0"/>
        <v>0</v>
      </c>
      <c r="E14" s="371"/>
      <c r="F14" s="133">
        <f>-'WGJ-2 Page 2,3'!E21</f>
        <v>0</v>
      </c>
      <c r="G14" s="133">
        <f>-'WGJ-2 Page 2,3'!F21</f>
        <v>0</v>
      </c>
      <c r="H14" s="133">
        <f>-'WGJ-2 Page 2,3'!G21</f>
        <v>0</v>
      </c>
      <c r="I14" s="133">
        <f>-'WGJ-2 Page 2,3'!H21</f>
        <v>0</v>
      </c>
      <c r="J14" s="133">
        <f>-'WGJ-2 Page 2,3'!I21</f>
        <v>0</v>
      </c>
      <c r="K14" s="133">
        <f>-'WGJ-2 Page 2,3'!J21</f>
        <v>0</v>
      </c>
      <c r="L14" s="133">
        <f>-'WGJ-2 Page 2,3'!K21</f>
        <v>0</v>
      </c>
      <c r="M14" s="133">
        <f>-'WGJ-2 Page 2,3'!L21</f>
        <v>0</v>
      </c>
      <c r="N14" s="133">
        <f>-'WGJ-2 Page 2,3'!M21</f>
        <v>0</v>
      </c>
      <c r="O14" s="133">
        <f>-'WGJ-2 Page 2,3'!N21</f>
        <v>0</v>
      </c>
      <c r="P14" s="133">
        <f>-'WGJ-2 Page 2,3'!O21</f>
        <v>0</v>
      </c>
      <c r="Q14" s="133">
        <f>-'WGJ-2 Page 2,3'!P21</f>
        <v>0</v>
      </c>
    </row>
    <row r="15" spans="1:22" ht="15.9" customHeight="1">
      <c r="A15" s="135">
        <f t="shared" si="1"/>
        <v>10</v>
      </c>
      <c r="B15" s="338" t="s">
        <v>161</v>
      </c>
      <c r="C15" s="338"/>
      <c r="D15" s="372">
        <f t="shared" si="0"/>
        <v>174435661.78500003</v>
      </c>
      <c r="E15" s="372"/>
      <c r="F15" s="339">
        <f t="shared" ref="F15:Q15" si="2">SUM(F6:F14)</f>
        <v>20529747.565000001</v>
      </c>
      <c r="G15" s="339">
        <f t="shared" si="2"/>
        <v>27216714.82</v>
      </c>
      <c r="H15" s="339">
        <f t="shared" si="2"/>
        <v>15449639.465</v>
      </c>
      <c r="I15" s="339">
        <f t="shared" si="2"/>
        <v>8116168.1349999998</v>
      </c>
      <c r="J15" s="339">
        <f t="shared" si="2"/>
        <v>4100285</v>
      </c>
      <c r="K15" s="339">
        <f>SUM(K6:K14)</f>
        <v>4799391</v>
      </c>
      <c r="L15" s="339">
        <f t="shared" si="2"/>
        <v>8942030</v>
      </c>
      <c r="M15" s="339">
        <f t="shared" si="2"/>
        <v>17706005</v>
      </c>
      <c r="N15" s="339">
        <f t="shared" si="2"/>
        <v>16680579</v>
      </c>
      <c r="O15" s="339">
        <f>SUM(O6:O14)</f>
        <v>14710640</v>
      </c>
      <c r="P15" s="339">
        <f>SUM(P6:P14)</f>
        <v>19143039.02</v>
      </c>
      <c r="Q15" s="339">
        <f t="shared" si="2"/>
        <v>17041422.780000001</v>
      </c>
    </row>
    <row r="16" spans="1:22" ht="37.5" customHeight="1">
      <c r="B16" s="337" t="s">
        <v>162</v>
      </c>
      <c r="C16" s="195"/>
      <c r="D16" s="373" t="s">
        <v>163</v>
      </c>
      <c r="E16" s="374"/>
      <c r="F16" s="340">
        <f>F5</f>
        <v>41670</v>
      </c>
      <c r="G16" s="340">
        <f>G5</f>
        <v>41698</v>
      </c>
      <c r="H16" s="340">
        <f t="shared" ref="H16:Q16" si="3">H5</f>
        <v>41729</v>
      </c>
      <c r="I16" s="340">
        <f t="shared" si="3"/>
        <v>41759</v>
      </c>
      <c r="J16" s="340">
        <f t="shared" si="3"/>
        <v>41790</v>
      </c>
      <c r="K16" s="340">
        <f t="shared" si="3"/>
        <v>41820</v>
      </c>
      <c r="L16" s="340">
        <f t="shared" si="3"/>
        <v>41851</v>
      </c>
      <c r="M16" s="340">
        <f t="shared" si="3"/>
        <v>41882</v>
      </c>
      <c r="N16" s="340">
        <f t="shared" si="3"/>
        <v>41912</v>
      </c>
      <c r="O16" s="340">
        <f t="shared" si="3"/>
        <v>41943</v>
      </c>
      <c r="P16" s="340">
        <f t="shared" si="3"/>
        <v>41973</v>
      </c>
      <c r="Q16" s="340">
        <f t="shared" si="3"/>
        <v>42004</v>
      </c>
    </row>
    <row r="17" spans="1:22" ht="15.9" customHeight="1">
      <c r="A17" s="135">
        <f>A15+1</f>
        <v>11</v>
      </c>
      <c r="B17" s="20" t="s">
        <v>154</v>
      </c>
      <c r="C17" s="55"/>
      <c r="D17" s="370">
        <f>SUM(F17:Q17)</f>
        <v>130329130</v>
      </c>
      <c r="E17" s="370"/>
      <c r="F17" s="326">
        <v>14997446</v>
      </c>
      <c r="G17" s="326">
        <v>13232443</v>
      </c>
      <c r="H17" s="326">
        <v>12710608</v>
      </c>
      <c r="I17" s="326">
        <v>10429524</v>
      </c>
      <c r="J17" s="326">
        <v>8530863</v>
      </c>
      <c r="K17" s="326">
        <v>8277524</v>
      </c>
      <c r="L17" s="326">
        <v>8213533</v>
      </c>
      <c r="M17" s="326">
        <v>10240223</v>
      </c>
      <c r="N17" s="326">
        <v>8039783</v>
      </c>
      <c r="O17" s="326">
        <v>9414550</v>
      </c>
      <c r="P17" s="326">
        <v>12788401</v>
      </c>
      <c r="Q17" s="326">
        <v>13454232</v>
      </c>
      <c r="R17" s="341"/>
      <c r="S17" s="88"/>
    </row>
    <row r="18" spans="1:22" ht="15.9" customHeight="1">
      <c r="A18" s="135">
        <f t="shared" ref="A18:A33" si="4">A17+1</f>
        <v>12</v>
      </c>
      <c r="B18" s="20" t="s">
        <v>155</v>
      </c>
      <c r="C18" s="55"/>
      <c r="D18" s="370">
        <f t="shared" ref="D18:D24" si="5">SUM(F18:Q18)</f>
        <v>-84980824</v>
      </c>
      <c r="E18" s="370"/>
      <c r="F18" s="294">
        <v>-6903038</v>
      </c>
      <c r="G18" s="294">
        <v>-6253766</v>
      </c>
      <c r="H18" s="294">
        <v>-6574919</v>
      </c>
      <c r="I18" s="294">
        <v>-8035136</v>
      </c>
      <c r="J18" s="294">
        <v>-7462411</v>
      </c>
      <c r="K18" s="294">
        <v>-6358811</v>
      </c>
      <c r="L18" s="294">
        <v>-7752369</v>
      </c>
      <c r="M18" s="294">
        <v>-4810418</v>
      </c>
      <c r="N18" s="294">
        <v>-6289985</v>
      </c>
      <c r="O18" s="294">
        <v>-7401091</v>
      </c>
      <c r="P18" s="294">
        <v>-8405153</v>
      </c>
      <c r="Q18" s="294">
        <v>-8733727</v>
      </c>
      <c r="R18" s="341"/>
      <c r="S18" s="88"/>
    </row>
    <row r="19" spans="1:22" ht="15.9" customHeight="1">
      <c r="A19" s="135">
        <f>+A18+1</f>
        <v>13</v>
      </c>
      <c r="B19" s="134" t="s">
        <v>156</v>
      </c>
      <c r="C19" s="55"/>
      <c r="D19" s="370">
        <f t="shared" si="5"/>
        <v>4607627</v>
      </c>
      <c r="E19" s="370"/>
      <c r="F19" s="294">
        <f>4607627/12</f>
        <v>383968.91666666669</v>
      </c>
      <c r="G19" s="294">
        <f t="shared" ref="G19:Q19" si="6">4607627/12</f>
        <v>383968.91666666669</v>
      </c>
      <c r="H19" s="294">
        <f t="shared" si="6"/>
        <v>383968.91666666669</v>
      </c>
      <c r="I19" s="294">
        <f t="shared" si="6"/>
        <v>383968.91666666669</v>
      </c>
      <c r="J19" s="294">
        <f t="shared" si="6"/>
        <v>383968.91666666669</v>
      </c>
      <c r="K19" s="294">
        <f t="shared" si="6"/>
        <v>383968.91666666669</v>
      </c>
      <c r="L19" s="294">
        <f t="shared" si="6"/>
        <v>383968.91666666669</v>
      </c>
      <c r="M19" s="294">
        <f t="shared" si="6"/>
        <v>383968.91666666669</v>
      </c>
      <c r="N19" s="294">
        <f t="shared" si="6"/>
        <v>383968.91666666669</v>
      </c>
      <c r="O19" s="294">
        <f t="shared" si="6"/>
        <v>383968.91666666669</v>
      </c>
      <c r="P19" s="294">
        <f t="shared" si="6"/>
        <v>383968.91666666669</v>
      </c>
      <c r="Q19" s="294">
        <f t="shared" si="6"/>
        <v>383968.91666666669</v>
      </c>
      <c r="R19" s="341"/>
      <c r="S19" s="88"/>
    </row>
    <row r="20" spans="1:22" ht="15.9" customHeight="1">
      <c r="A20" s="135">
        <f>+A19+1</f>
        <v>14</v>
      </c>
      <c r="B20" s="20" t="s">
        <v>157</v>
      </c>
      <c r="C20" s="55"/>
      <c r="D20" s="370">
        <f t="shared" si="5"/>
        <v>31025396</v>
      </c>
      <c r="E20" s="370"/>
      <c r="F20" s="326">
        <v>2779051</v>
      </c>
      <c r="G20" s="326">
        <v>2667744</v>
      </c>
      <c r="H20" s="326">
        <v>2775501</v>
      </c>
      <c r="I20" s="326">
        <v>2020557</v>
      </c>
      <c r="J20" s="326">
        <v>1704426</v>
      </c>
      <c r="K20" s="326">
        <v>1475295</v>
      </c>
      <c r="L20" s="326">
        <v>2739032</v>
      </c>
      <c r="M20" s="326">
        <v>2967332</v>
      </c>
      <c r="N20" s="326">
        <v>2919939</v>
      </c>
      <c r="O20" s="326">
        <v>3052588</v>
      </c>
      <c r="P20" s="326">
        <v>2913823</v>
      </c>
      <c r="Q20" s="326">
        <v>3010108</v>
      </c>
      <c r="R20" s="341"/>
      <c r="S20" s="88"/>
    </row>
    <row r="21" spans="1:22" ht="15.9" customHeight="1">
      <c r="A21" s="135">
        <f t="shared" si="4"/>
        <v>15</v>
      </c>
      <c r="B21" s="20" t="s">
        <v>158</v>
      </c>
      <c r="C21" s="55"/>
      <c r="D21" s="370">
        <f t="shared" si="5"/>
        <v>92382390</v>
      </c>
      <c r="E21" s="370"/>
      <c r="F21" s="326">
        <v>9324060</v>
      </c>
      <c r="G21" s="326">
        <v>8646899</v>
      </c>
      <c r="H21" s="326">
        <v>8377117</v>
      </c>
      <c r="I21" s="326">
        <v>4998775</v>
      </c>
      <c r="J21" s="326">
        <v>3034991</v>
      </c>
      <c r="K21" s="326">
        <v>2592359</v>
      </c>
      <c r="L21" s="326">
        <v>7522825</v>
      </c>
      <c r="M21" s="326">
        <v>8820667</v>
      </c>
      <c r="N21" s="326">
        <v>9214643</v>
      </c>
      <c r="O21" s="326">
        <v>9279297</v>
      </c>
      <c r="P21" s="326">
        <v>9863116</v>
      </c>
      <c r="Q21" s="326">
        <v>10707641</v>
      </c>
      <c r="R21" s="341"/>
    </row>
    <row r="22" spans="1:22" ht="15.9" customHeight="1">
      <c r="A22" s="135">
        <f t="shared" si="4"/>
        <v>16</v>
      </c>
      <c r="B22" s="20" t="s">
        <v>68</v>
      </c>
      <c r="C22" s="55"/>
      <c r="D22" s="370">
        <f t="shared" si="5"/>
        <v>-11065961</v>
      </c>
      <c r="E22" s="370"/>
      <c r="F22" s="294">
        <v>-963388</v>
      </c>
      <c r="G22" s="294">
        <v>-699857</v>
      </c>
      <c r="H22" s="294">
        <v>-845492</v>
      </c>
      <c r="I22" s="294">
        <v>-729613</v>
      </c>
      <c r="J22" s="294">
        <v>-837639</v>
      </c>
      <c r="K22" s="294">
        <v>-1003326</v>
      </c>
      <c r="L22" s="294">
        <v>-1160267</v>
      </c>
      <c r="M22" s="294">
        <v>-1024607</v>
      </c>
      <c r="N22" s="294">
        <v>-947472</v>
      </c>
      <c r="O22" s="294">
        <v>-1081246</v>
      </c>
      <c r="P22" s="294">
        <v>-894834</v>
      </c>
      <c r="Q22" s="294">
        <v>-878220</v>
      </c>
      <c r="R22" s="341"/>
    </row>
    <row r="23" spans="1:22" ht="15.9" customHeight="1">
      <c r="A23" s="135">
        <f t="shared" si="4"/>
        <v>17</v>
      </c>
      <c r="B23" s="20" t="s">
        <v>67</v>
      </c>
      <c r="C23" s="55"/>
      <c r="D23" s="370">
        <f t="shared" si="5"/>
        <v>18058718.850000001</v>
      </c>
      <c r="E23" s="370"/>
      <c r="F23" s="342">
        <v>1520361</v>
      </c>
      <c r="G23" s="342">
        <v>1465382.28</v>
      </c>
      <c r="H23" s="342">
        <v>1508738.57</v>
      </c>
      <c r="I23" s="342">
        <v>1443538</v>
      </c>
      <c r="J23" s="342">
        <v>1426268</v>
      </c>
      <c r="K23" s="342">
        <v>1396752</v>
      </c>
      <c r="L23" s="326">
        <v>1441175</v>
      </c>
      <c r="M23" s="326">
        <v>1489048</v>
      </c>
      <c r="N23" s="326">
        <v>1492163</v>
      </c>
      <c r="O23" s="326">
        <v>1556734</v>
      </c>
      <c r="P23" s="326">
        <v>1674187</v>
      </c>
      <c r="Q23" s="326">
        <v>1644372</v>
      </c>
      <c r="R23" s="341"/>
    </row>
    <row r="24" spans="1:22" ht="15.9" customHeight="1">
      <c r="A24" s="135">
        <f t="shared" si="4"/>
        <v>18</v>
      </c>
      <c r="B24" s="20" t="s">
        <v>159</v>
      </c>
      <c r="D24" s="377">
        <f t="shared" si="5"/>
        <v>883711</v>
      </c>
      <c r="E24" s="377"/>
      <c r="F24" s="326">
        <v>42656</v>
      </c>
      <c r="G24" s="326">
        <v>64015</v>
      </c>
      <c r="H24" s="326">
        <v>129860</v>
      </c>
      <c r="I24" s="326">
        <v>97390</v>
      </c>
      <c r="J24" s="326">
        <v>52577</v>
      </c>
      <c r="K24" s="326">
        <v>70281</v>
      </c>
      <c r="L24" s="326">
        <v>65808</v>
      </c>
      <c r="M24" s="326">
        <v>76848</v>
      </c>
      <c r="N24" s="326">
        <v>86944</v>
      </c>
      <c r="O24" s="326">
        <v>43966</v>
      </c>
      <c r="P24" s="326">
        <v>52696</v>
      </c>
      <c r="Q24" s="326">
        <v>100670</v>
      </c>
      <c r="R24" s="341"/>
    </row>
    <row r="25" spans="1:22" ht="20.25" customHeight="1">
      <c r="A25" s="135">
        <f t="shared" si="4"/>
        <v>19</v>
      </c>
      <c r="B25" s="338" t="s">
        <v>164</v>
      </c>
      <c r="C25" s="338"/>
      <c r="D25" s="378">
        <f>SUM(D17:E24)</f>
        <v>181240187.84999999</v>
      </c>
      <c r="E25" s="378"/>
      <c r="F25" s="343">
        <f t="shared" ref="F25:Q25" si="7">SUM(F17:F24)</f>
        <v>21181116.916666664</v>
      </c>
      <c r="G25" s="343">
        <f t="shared" si="7"/>
        <v>19506829.196666669</v>
      </c>
      <c r="H25" s="343">
        <f t="shared" si="7"/>
        <v>18465382.486666668</v>
      </c>
      <c r="I25" s="343">
        <f t="shared" si="7"/>
        <v>10609003.916666666</v>
      </c>
      <c r="J25" s="343">
        <f t="shared" si="7"/>
        <v>6833043.916666667</v>
      </c>
      <c r="K25" s="343">
        <f t="shared" si="7"/>
        <v>6834042.916666666</v>
      </c>
      <c r="L25" s="343">
        <f t="shared" si="7"/>
        <v>11453705.916666668</v>
      </c>
      <c r="M25" s="343">
        <f t="shared" si="7"/>
        <v>18143061.916666668</v>
      </c>
      <c r="N25" s="343">
        <f t="shared" si="7"/>
        <v>14899983.916666666</v>
      </c>
      <c r="O25" s="343">
        <f t="shared" si="7"/>
        <v>15248766.916666666</v>
      </c>
      <c r="P25" s="343">
        <f t="shared" si="7"/>
        <v>18376204.916666668</v>
      </c>
      <c r="Q25" s="343">
        <f t="shared" si="7"/>
        <v>19689044.916666668</v>
      </c>
      <c r="R25" s="341"/>
    </row>
    <row r="26" spans="1:22" ht="28.5" customHeight="1">
      <c r="A26" s="135">
        <f t="shared" si="4"/>
        <v>20</v>
      </c>
      <c r="B26" s="338" t="s">
        <v>165</v>
      </c>
      <c r="C26" s="338"/>
      <c r="D26" s="379">
        <f>SUM(F26:Q26)</f>
        <v>-6804526.0650000023</v>
      </c>
      <c r="E26" s="379" t="str">
        <f>IF(E15=0," ",E15-E25)</f>
        <v xml:space="preserve"> </v>
      </c>
      <c r="F26" s="343">
        <f>IF(F15=0," ",F15-F25)</f>
        <v>-651369.35166666284</v>
      </c>
      <c r="G26" s="343">
        <f t="shared" ref="G26:Q26" si="8">IF(G15=0," ",G15-G25)</f>
        <v>7709885.6233333312</v>
      </c>
      <c r="H26" s="343">
        <f t="shared" si="8"/>
        <v>-3015743.0216666684</v>
      </c>
      <c r="I26" s="343">
        <f t="shared" si="8"/>
        <v>-2492835.7816666663</v>
      </c>
      <c r="J26" s="343">
        <f t="shared" si="8"/>
        <v>-2732758.916666667</v>
      </c>
      <c r="K26" s="343">
        <f t="shared" si="8"/>
        <v>-2034651.916666666</v>
      </c>
      <c r="L26" s="343">
        <f>IF(L15=0," ",L15-L25)</f>
        <v>-2511675.9166666679</v>
      </c>
      <c r="M26" s="343">
        <f t="shared" si="8"/>
        <v>-437056.91666666791</v>
      </c>
      <c r="N26" s="343">
        <f t="shared" si="8"/>
        <v>1780595.083333334</v>
      </c>
      <c r="O26" s="343">
        <f t="shared" si="8"/>
        <v>-538126.91666666605</v>
      </c>
      <c r="P26" s="343">
        <f t="shared" si="8"/>
        <v>766834.10333333164</v>
      </c>
      <c r="Q26" s="343">
        <f t="shared" si="8"/>
        <v>-2647622.1366666667</v>
      </c>
    </row>
    <row r="27" spans="1:22" ht="26.25" customHeight="1">
      <c r="A27" s="135">
        <f t="shared" si="4"/>
        <v>21</v>
      </c>
      <c r="B27" s="142" t="s">
        <v>166</v>
      </c>
      <c r="C27" s="142"/>
      <c r="D27" s="380">
        <f>SUM(F27:Q27)</f>
        <v>-1407744</v>
      </c>
      <c r="E27" s="380"/>
      <c r="F27" s="143">
        <f>'WGJ-2 Page 2,3'!E126</f>
        <v>-405020</v>
      </c>
      <c r="G27" s="143">
        <f>'WGJ-2 Page 2,3'!F126</f>
        <v>-2232888</v>
      </c>
      <c r="H27" s="143">
        <f>'WGJ-2 Page 2,3'!G126</f>
        <v>-1335360</v>
      </c>
      <c r="I27" s="143">
        <f>'WGJ-2 Page 2,3'!H126</f>
        <v>-442568</v>
      </c>
      <c r="J27" s="143">
        <f>'WGJ-2 Page 2,3'!I126</f>
        <v>-414608</v>
      </c>
      <c r="K27" s="143">
        <f>'WGJ-2 Page 2,3'!J126</f>
        <v>-459113</v>
      </c>
      <c r="L27" s="143">
        <f>'WGJ-2 Page 2,3'!K126</f>
        <v>1609214</v>
      </c>
      <c r="M27" s="143">
        <f>'WGJ-2 Page 2,3'!L126</f>
        <v>876652</v>
      </c>
      <c r="N27" s="143">
        <f>'WGJ-2 Page 2,3'!M126</f>
        <v>668141</v>
      </c>
      <c r="O27" s="143">
        <f>'WGJ-2 Page 2,3'!N126</f>
        <v>-223497</v>
      </c>
      <c r="P27" s="143">
        <f>'WGJ-2 Page 2,3'!O126</f>
        <v>187654</v>
      </c>
      <c r="Q27" s="143">
        <f>'WGJ-2 Page 2,3'!P126</f>
        <v>763649</v>
      </c>
      <c r="S27" s="144"/>
      <c r="T27" s="20"/>
      <c r="U27" s="20"/>
      <c r="V27" s="20"/>
    </row>
    <row r="28" spans="1:22" ht="19.5" customHeight="1">
      <c r="A28" s="135">
        <f t="shared" si="4"/>
        <v>22</v>
      </c>
      <c r="B28" s="142" t="s">
        <v>167</v>
      </c>
      <c r="C28" s="142"/>
      <c r="D28" s="380">
        <f>SUM(F28:Q28)</f>
        <v>-8212270.0650000013</v>
      </c>
      <c r="E28" s="380"/>
      <c r="F28" s="143">
        <f>+F26+F27</f>
        <v>-1056389.3516666628</v>
      </c>
      <c r="G28" s="143">
        <f>IF(G15=0,0,+G26+G27)</f>
        <v>5476997.6233333312</v>
      </c>
      <c r="H28" s="143">
        <f t="shared" ref="H28:Q28" si="9">IF(H15=0,0,+H26+H27)</f>
        <v>-4351103.0216666684</v>
      </c>
      <c r="I28" s="143">
        <f t="shared" si="9"/>
        <v>-2935403.7816666663</v>
      </c>
      <c r="J28" s="143">
        <f t="shared" si="9"/>
        <v>-3147366.916666667</v>
      </c>
      <c r="K28" s="143">
        <f t="shared" si="9"/>
        <v>-2493764.916666666</v>
      </c>
      <c r="L28" s="143">
        <f t="shared" si="9"/>
        <v>-902461.91666666791</v>
      </c>
      <c r="M28" s="143">
        <f t="shared" si="9"/>
        <v>439595.08333333209</v>
      </c>
      <c r="N28" s="143">
        <f t="shared" si="9"/>
        <v>2448736.083333334</v>
      </c>
      <c r="O28" s="143">
        <f t="shared" si="9"/>
        <v>-761623.91666666605</v>
      </c>
      <c r="P28" s="143">
        <f t="shared" si="9"/>
        <v>954488.10333333164</v>
      </c>
      <c r="Q28" s="143">
        <f t="shared" si="9"/>
        <v>-1883973.1366666667</v>
      </c>
    </row>
    <row r="29" spans="1:22" ht="20.25" customHeight="1">
      <c r="A29" s="135">
        <f t="shared" si="4"/>
        <v>23</v>
      </c>
      <c r="B29" s="20" t="s">
        <v>168</v>
      </c>
      <c r="D29" s="154"/>
      <c r="E29" s="154"/>
      <c r="F29" s="344">
        <v>0.65239999999999998</v>
      </c>
      <c r="G29" s="344">
        <v>0.65239999999999998</v>
      </c>
      <c r="H29" s="344">
        <v>0.65239999999999998</v>
      </c>
      <c r="I29" s="344">
        <v>0.65239999999999998</v>
      </c>
      <c r="J29" s="344">
        <v>0.65239999999999998</v>
      </c>
      <c r="K29" s="344">
        <v>0.65239999999999998</v>
      </c>
      <c r="L29" s="344">
        <v>0.65239999999999998</v>
      </c>
      <c r="M29" s="344">
        <v>0.65239999999999998</v>
      </c>
      <c r="N29" s="344">
        <v>0.65239999999999998</v>
      </c>
      <c r="O29" s="344">
        <v>0.65239999999999998</v>
      </c>
      <c r="P29" s="344">
        <v>0.65239999999999998</v>
      </c>
      <c r="Q29" s="344">
        <v>0.65239999999999998</v>
      </c>
    </row>
    <row r="30" spans="1:22" ht="20.25" customHeight="1">
      <c r="A30" s="135">
        <f t="shared" si="4"/>
        <v>24</v>
      </c>
      <c r="B30" s="20" t="s">
        <v>169</v>
      </c>
      <c r="D30" s="381">
        <f>SUM(F30:Q30)</f>
        <v>-5357684.9904060001</v>
      </c>
      <c r="E30" s="381"/>
      <c r="F30" s="345">
        <f>+F28*F29</f>
        <v>-689188.41302733077</v>
      </c>
      <c r="G30" s="345">
        <f>+G28*G29</f>
        <v>3573193.2494626651</v>
      </c>
      <c r="H30" s="345">
        <f>+H28*H29</f>
        <v>-2838659.6113353344</v>
      </c>
      <c r="I30" s="345">
        <f t="shared" ref="I30:Q30" si="10">+I28*I29</f>
        <v>-1915057.4271593329</v>
      </c>
      <c r="J30" s="345">
        <f t="shared" si="10"/>
        <v>-2053342.1764333334</v>
      </c>
      <c r="K30" s="345">
        <f t="shared" si="10"/>
        <v>-1626932.2316333328</v>
      </c>
      <c r="L30" s="345">
        <f t="shared" si="10"/>
        <v>-588766.15443333413</v>
      </c>
      <c r="M30" s="345">
        <f t="shared" si="10"/>
        <v>286791.83236666583</v>
      </c>
      <c r="N30" s="345">
        <f t="shared" si="10"/>
        <v>1597555.420766667</v>
      </c>
      <c r="O30" s="345">
        <f t="shared" si="10"/>
        <v>-496883.44323333289</v>
      </c>
      <c r="P30" s="345">
        <f t="shared" si="10"/>
        <v>622708.03861466551</v>
      </c>
      <c r="Q30" s="345">
        <f t="shared" si="10"/>
        <v>-1229104.0743613334</v>
      </c>
    </row>
    <row r="31" spans="1:22" ht="29.25" customHeight="1">
      <c r="A31" s="135">
        <f t="shared" si="4"/>
        <v>25</v>
      </c>
      <c r="B31" s="382" t="s">
        <v>170</v>
      </c>
      <c r="C31" s="382"/>
      <c r="D31" s="383">
        <f>SUM(F31:Q31)</f>
        <v>-4168954.8000000003</v>
      </c>
      <c r="E31" s="383"/>
      <c r="F31" s="346">
        <f>'WGJ-2 Page 4'!B19</f>
        <v>-830723.85</v>
      </c>
      <c r="G31" s="346">
        <f>'WGJ-2 Page 4'!C19</f>
        <v>-125417.15</v>
      </c>
      <c r="H31" s="346">
        <f>'WGJ-2 Page 4'!D19</f>
        <v>-417081.94999999995</v>
      </c>
      <c r="I31" s="346">
        <f>'WGJ-2 Page 4'!E19</f>
        <v>-534397.29999999993</v>
      </c>
      <c r="J31" s="346">
        <f>'WGJ-2 Page 4'!F19</f>
        <v>-503758.35</v>
      </c>
      <c r="K31" s="346">
        <f>'WGJ-2 Page 4'!G19</f>
        <v>423447.64999999997</v>
      </c>
      <c r="L31" s="346">
        <f>'WGJ-2 Page 4'!H19</f>
        <v>-1982497.5999999999</v>
      </c>
      <c r="M31" s="346">
        <f>'WGJ-2 Page 4'!I19</f>
        <v>-318928</v>
      </c>
      <c r="N31" s="346">
        <f>'WGJ-2 Page 4'!J19</f>
        <v>-526166.9</v>
      </c>
      <c r="O31" s="346">
        <f>'WGJ-2 Page 4'!K19</f>
        <v>390268.85</v>
      </c>
      <c r="P31" s="346">
        <f>'WGJ-2 Page 4'!L19</f>
        <v>-511570.8</v>
      </c>
      <c r="Q31" s="346">
        <f>'WGJ-2 Page 4'!M19</f>
        <v>767870.6</v>
      </c>
    </row>
    <row r="32" spans="1:22" ht="27" customHeight="1">
      <c r="A32" s="135">
        <f t="shared" si="4"/>
        <v>26</v>
      </c>
      <c r="B32" s="375" t="s">
        <v>171</v>
      </c>
      <c r="C32" s="375"/>
      <c r="D32" s="376">
        <f>SUM(F32:Q32)</f>
        <v>-9526639.7904060017</v>
      </c>
      <c r="E32" s="376"/>
      <c r="F32" s="147">
        <f t="shared" ref="F32:Q32" si="11">IF(F15=0," ",F30+F31)</f>
        <v>-1519912.2630273309</v>
      </c>
      <c r="G32" s="147">
        <f t="shared" si="11"/>
        <v>3447776.0994626652</v>
      </c>
      <c r="H32" s="147">
        <f t="shared" si="11"/>
        <v>-3255741.5613353346</v>
      </c>
      <c r="I32" s="147">
        <f t="shared" si="11"/>
        <v>-2449454.7271593329</v>
      </c>
      <c r="J32" s="147">
        <f t="shared" si="11"/>
        <v>-2557100.5264333333</v>
      </c>
      <c r="K32" s="147">
        <f t="shared" si="11"/>
        <v>-1203484.5816333329</v>
      </c>
      <c r="L32" s="147">
        <f t="shared" si="11"/>
        <v>-2571263.7544333339</v>
      </c>
      <c r="M32" s="147">
        <f t="shared" si="11"/>
        <v>-32136.167633334175</v>
      </c>
      <c r="N32" s="147">
        <f t="shared" si="11"/>
        <v>1071388.5207666671</v>
      </c>
      <c r="O32" s="147">
        <f>IF(O15=0," ",O30+O31)</f>
        <v>-106614.59323333291</v>
      </c>
      <c r="P32" s="147">
        <f t="shared" si="11"/>
        <v>111137.23861466552</v>
      </c>
      <c r="Q32" s="147">
        <f t="shared" si="11"/>
        <v>-461233.47436133341</v>
      </c>
      <c r="T32" s="20"/>
      <c r="U32" s="20"/>
      <c r="V32" s="20"/>
    </row>
    <row r="33" spans="1:22" ht="21" hidden="1" customHeight="1">
      <c r="A33" s="135">
        <f t="shared" si="4"/>
        <v>27</v>
      </c>
      <c r="B33" s="384" t="s">
        <v>172</v>
      </c>
      <c r="C33" s="384"/>
      <c r="D33" s="236"/>
      <c r="E33" s="236"/>
      <c r="F33" s="147"/>
      <c r="G33" s="147"/>
      <c r="H33" s="147"/>
      <c r="I33" s="147"/>
      <c r="J33" s="147"/>
      <c r="K33" s="147"/>
      <c r="L33" s="347">
        <v>0</v>
      </c>
      <c r="M33" s="147"/>
      <c r="N33" s="147"/>
      <c r="O33" s="147"/>
      <c r="P33" s="147"/>
      <c r="Q33" s="147"/>
      <c r="T33" s="20"/>
      <c r="U33" s="20"/>
      <c r="V33" s="20"/>
    </row>
    <row r="34" spans="1:22" ht="28.5" customHeight="1">
      <c r="A34" s="135">
        <f>A32+1</f>
        <v>27</v>
      </c>
      <c r="B34" s="338" t="s">
        <v>173</v>
      </c>
      <c r="C34" s="338"/>
      <c r="D34" s="348"/>
      <c r="E34" s="348"/>
      <c r="F34" s="149">
        <f>IF(F15=0," ",F32)</f>
        <v>-1519912.2630273309</v>
      </c>
      <c r="G34" s="149">
        <f>IF(G15=0," ",+F34+G32)</f>
        <v>1927863.8364353343</v>
      </c>
      <c r="H34" s="149">
        <f t="shared" ref="H34:Q34" si="12">IF(H15=0," ",+G34+H32)</f>
        <v>-1327877.7249000003</v>
      </c>
      <c r="I34" s="149">
        <f t="shared" si="12"/>
        <v>-3777332.4520593332</v>
      </c>
      <c r="J34" s="149">
        <f t="shared" si="12"/>
        <v>-6334432.978492666</v>
      </c>
      <c r="K34" s="149">
        <f t="shared" si="12"/>
        <v>-7537917.5601259992</v>
      </c>
      <c r="L34" s="149">
        <f t="shared" si="12"/>
        <v>-10109181.314559333</v>
      </c>
      <c r="M34" s="149">
        <f t="shared" si="12"/>
        <v>-10141317.482192667</v>
      </c>
      <c r="N34" s="149">
        <f t="shared" si="12"/>
        <v>-9069928.961426001</v>
      </c>
      <c r="O34" s="149">
        <f>IF(O15=0," ",+N34+O32)</f>
        <v>-9176543.5546593331</v>
      </c>
      <c r="P34" s="149">
        <f>IF(P15=0," ",+O34+P32)</f>
        <v>-9065406.3160446677</v>
      </c>
      <c r="Q34" s="149">
        <f t="shared" si="12"/>
        <v>-9526639.7904060017</v>
      </c>
      <c r="R34" s="144"/>
    </row>
    <row r="35" spans="1:22" ht="30.75" hidden="1" customHeight="1" outlineLevel="1">
      <c r="A35" s="20" t="s">
        <v>174</v>
      </c>
      <c r="B35" s="349">
        <v>10000000</v>
      </c>
      <c r="C35" s="350" t="s">
        <v>175</v>
      </c>
      <c r="D35" s="351">
        <v>0.9</v>
      </c>
      <c r="E35" s="351">
        <v>0.9</v>
      </c>
      <c r="F35" s="154">
        <f t="shared" ref="F35:Q35" si="13">IF(F15=0," ",IF(ABS(F$34)&lt;$B35,0,(ABS(F$34)-$B35)*SIGN(F$34)))</f>
        <v>0</v>
      </c>
      <c r="G35" s="154">
        <f t="shared" si="13"/>
        <v>0</v>
      </c>
      <c r="H35" s="154">
        <f t="shared" si="13"/>
        <v>0</v>
      </c>
      <c r="I35" s="154">
        <f t="shared" si="13"/>
        <v>0</v>
      </c>
      <c r="J35" s="154">
        <f t="shared" si="13"/>
        <v>0</v>
      </c>
      <c r="K35" s="154">
        <f t="shared" si="13"/>
        <v>0</v>
      </c>
      <c r="L35" s="154">
        <f t="shared" si="13"/>
        <v>-109181.31455933303</v>
      </c>
      <c r="M35" s="154">
        <f t="shared" si="13"/>
        <v>-141317.4821926672</v>
      </c>
      <c r="N35" s="154">
        <f t="shared" si="13"/>
        <v>0</v>
      </c>
      <c r="O35" s="154">
        <f t="shared" si="13"/>
        <v>0</v>
      </c>
      <c r="P35" s="154">
        <f t="shared" si="13"/>
        <v>0</v>
      </c>
      <c r="Q35" s="154">
        <f t="shared" si="13"/>
        <v>0</v>
      </c>
      <c r="R35" s="155"/>
      <c r="S35" s="352"/>
    </row>
    <row r="36" spans="1:22" ht="19.5" hidden="1" customHeight="1" outlineLevel="1">
      <c r="A36" s="20" t="s">
        <v>174</v>
      </c>
      <c r="B36" s="349">
        <v>4000000</v>
      </c>
      <c r="C36" s="350" t="str">
        <f>"to "&amp;TEXT(B35,"$#,##0,,")&amp;"M"</f>
        <v>to $10M</v>
      </c>
      <c r="D36" s="351">
        <v>0.5</v>
      </c>
      <c r="E36" s="351">
        <v>0.75</v>
      </c>
      <c r="F36" s="154">
        <f t="shared" ref="F36:Q36" si="14">IF(F15=0," ",IF(ABS(F$34)&lt;$B36,0,MIN($B$35-$B$36,ABS(F$34)-$B36)*SIGN(F$34)))</f>
        <v>0</v>
      </c>
      <c r="G36" s="154">
        <f t="shared" si="14"/>
        <v>0</v>
      </c>
      <c r="H36" s="154">
        <f t="shared" si="14"/>
        <v>0</v>
      </c>
      <c r="I36" s="154">
        <f t="shared" si="14"/>
        <v>0</v>
      </c>
      <c r="J36" s="154">
        <f t="shared" si="14"/>
        <v>-2334432.978492666</v>
      </c>
      <c r="K36" s="154">
        <f t="shared" si="14"/>
        <v>-3537917.5601259992</v>
      </c>
      <c r="L36" s="154">
        <f t="shared" si="14"/>
        <v>-6000000</v>
      </c>
      <c r="M36" s="154">
        <f t="shared" si="14"/>
        <v>-6000000</v>
      </c>
      <c r="N36" s="154">
        <f t="shared" si="14"/>
        <v>-5069928.961426001</v>
      </c>
      <c r="O36" s="154">
        <f t="shared" si="14"/>
        <v>-5176543.5546593331</v>
      </c>
      <c r="P36" s="154">
        <f t="shared" si="14"/>
        <v>-5065406.3160446677</v>
      </c>
      <c r="Q36" s="154">
        <f t="shared" si="14"/>
        <v>-5526639.7904060017</v>
      </c>
      <c r="R36" s="155"/>
      <c r="S36" s="352"/>
    </row>
    <row r="37" spans="1:22" ht="21.75" hidden="1" customHeight="1" outlineLevel="1">
      <c r="A37" s="20" t="s">
        <v>174</v>
      </c>
      <c r="B37" s="349">
        <v>0</v>
      </c>
      <c r="C37" s="350" t="str">
        <f>"to "&amp;TEXT(B36,"$#,##0,,")&amp;"M"</f>
        <v>to $4M</v>
      </c>
      <c r="D37" s="351">
        <v>0</v>
      </c>
      <c r="E37" s="351">
        <v>0</v>
      </c>
      <c r="F37" s="154">
        <f t="shared" ref="F37:Q37" si="15">IF(F15=0," ",IF(ABS(F$34)&lt;$B37,0,MIN($B$36-$B$37,ABS(F$34)-$B37)*SIGN(F$34)))</f>
        <v>-1519912.2630273309</v>
      </c>
      <c r="G37" s="154">
        <f t="shared" si="15"/>
        <v>1927863.8364353343</v>
      </c>
      <c r="H37" s="154">
        <f t="shared" si="15"/>
        <v>-1327877.7249000003</v>
      </c>
      <c r="I37" s="154">
        <f t="shared" si="15"/>
        <v>-3777332.4520593332</v>
      </c>
      <c r="J37" s="154">
        <f t="shared" si="15"/>
        <v>-4000000</v>
      </c>
      <c r="K37" s="154">
        <f t="shared" si="15"/>
        <v>-4000000</v>
      </c>
      <c r="L37" s="154">
        <f t="shared" si="15"/>
        <v>-4000000</v>
      </c>
      <c r="M37" s="154">
        <f t="shared" si="15"/>
        <v>-4000000</v>
      </c>
      <c r="N37" s="154">
        <f t="shared" si="15"/>
        <v>-4000000</v>
      </c>
      <c r="O37" s="154">
        <f t="shared" si="15"/>
        <v>-4000000</v>
      </c>
      <c r="P37" s="154">
        <f t="shared" si="15"/>
        <v>-4000000</v>
      </c>
      <c r="Q37" s="154">
        <f t="shared" si="15"/>
        <v>-4000000</v>
      </c>
      <c r="R37" s="155"/>
    </row>
    <row r="38" spans="1:22" ht="15.9" hidden="1" customHeight="1" outlineLevel="1">
      <c r="A38" s="20"/>
      <c r="B38" s="353"/>
      <c r="C38" s="20" t="s">
        <v>176</v>
      </c>
      <c r="D38" s="354"/>
      <c r="E38" s="354"/>
      <c r="F38" s="355">
        <f t="shared" ref="F38:Q38" si="16">IF(F15=0," ",SUM(F35:F37)-F34)</f>
        <v>0</v>
      </c>
      <c r="G38" s="355">
        <f t="shared" si="16"/>
        <v>0</v>
      </c>
      <c r="H38" s="355">
        <f t="shared" si="16"/>
        <v>0</v>
      </c>
      <c r="I38" s="355">
        <f t="shared" si="16"/>
        <v>0</v>
      </c>
      <c r="J38" s="355">
        <f t="shared" si="16"/>
        <v>0</v>
      </c>
      <c r="K38" s="355">
        <f t="shared" si="16"/>
        <v>0</v>
      </c>
      <c r="L38" s="355">
        <f t="shared" si="16"/>
        <v>0</v>
      </c>
      <c r="M38" s="355">
        <f t="shared" si="16"/>
        <v>0</v>
      </c>
      <c r="N38" s="355">
        <f t="shared" si="16"/>
        <v>0</v>
      </c>
      <c r="O38" s="355">
        <f t="shared" si="16"/>
        <v>0</v>
      </c>
      <c r="P38" s="355">
        <f t="shared" si="16"/>
        <v>0</v>
      </c>
      <c r="Q38" s="355">
        <f t="shared" si="16"/>
        <v>0</v>
      </c>
      <c r="R38" s="160"/>
    </row>
    <row r="39" spans="1:22" ht="23.25" customHeight="1" collapsed="1">
      <c r="A39" s="20" t="s">
        <v>177</v>
      </c>
      <c r="D39" s="356"/>
      <c r="E39" s="356"/>
      <c r="F39" s="154">
        <f t="shared" ref="F39:Q39" si="17">IF(F15=0," ",SUMPRODUCT(IF(F34&gt;0,$D$35:$D$37,$E$35:$E$37),F35:F37))</f>
        <v>0</v>
      </c>
      <c r="G39" s="154">
        <f t="shared" si="17"/>
        <v>0</v>
      </c>
      <c r="H39" s="154">
        <f t="shared" si="17"/>
        <v>0</v>
      </c>
      <c r="I39" s="154">
        <f t="shared" si="17"/>
        <v>0</v>
      </c>
      <c r="J39" s="154">
        <f t="shared" si="17"/>
        <v>-1750824.7338694995</v>
      </c>
      <c r="K39" s="154">
        <f t="shared" si="17"/>
        <v>-2653438.1700944994</v>
      </c>
      <c r="L39" s="154">
        <f t="shared" si="17"/>
        <v>-4598263.1831033994</v>
      </c>
      <c r="M39" s="154">
        <f t="shared" si="17"/>
        <v>-4627185.7339734007</v>
      </c>
      <c r="N39" s="154">
        <f t="shared" si="17"/>
        <v>-3802446.7210695008</v>
      </c>
      <c r="O39" s="154">
        <f>IF(O15=0," ",SUMPRODUCT(IF(O34&gt;0,$D$35:$D$37,$E$35:$E$37),O35:O37))</f>
        <v>-3882407.6659944998</v>
      </c>
      <c r="P39" s="154">
        <f>IF(P15=0," ",SUMPRODUCT(IF(P34&gt;0,$D$35:$D$37,$E$35:$E$37),P35:P37))</f>
        <v>-3799054.7370335008</v>
      </c>
      <c r="Q39" s="154">
        <f t="shared" si="17"/>
        <v>-4144979.8428045013</v>
      </c>
      <c r="R39" s="155" t="s">
        <v>178</v>
      </c>
    </row>
    <row r="40" spans="1:22" ht="20.25" customHeight="1">
      <c r="A40" s="20" t="s">
        <v>179</v>
      </c>
      <c r="D40" s="357"/>
      <c r="E40" s="357"/>
      <c r="F40" s="154">
        <f>IF(F15=0," ",F39-D39)</f>
        <v>0</v>
      </c>
      <c r="G40" s="154">
        <f t="shared" ref="G40:Q40" si="18">IF(G15=0," ",G39-F39)</f>
        <v>0</v>
      </c>
      <c r="H40" s="154">
        <f t="shared" si="18"/>
        <v>0</v>
      </c>
      <c r="I40" s="154">
        <f t="shared" si="18"/>
        <v>0</v>
      </c>
      <c r="J40" s="154">
        <f t="shared" si="18"/>
        <v>-1750824.7338694995</v>
      </c>
      <c r="K40" s="154">
        <f t="shared" si="18"/>
        <v>-902613.43622499984</v>
      </c>
      <c r="L40" s="154">
        <f t="shared" si="18"/>
        <v>-1944825.0130089</v>
      </c>
      <c r="M40" s="154">
        <f t="shared" si="18"/>
        <v>-28922.550870001316</v>
      </c>
      <c r="N40" s="154">
        <f t="shared" si="18"/>
        <v>824739.01290389989</v>
      </c>
      <c r="O40" s="154">
        <f>IF(O15=0," ",O39-N39)</f>
        <v>-79960.944924999028</v>
      </c>
      <c r="P40" s="154">
        <f>IF(P15=0," ",P39-O39)</f>
        <v>83352.928960999008</v>
      </c>
      <c r="Q40" s="154">
        <f t="shared" si="18"/>
        <v>-345925.1057710005</v>
      </c>
      <c r="R40" s="160"/>
    </row>
    <row r="41" spans="1:22" ht="24.75" customHeight="1">
      <c r="A41" s="384" t="s">
        <v>180</v>
      </c>
      <c r="B41" s="384"/>
      <c r="C41" s="384"/>
      <c r="D41" s="376">
        <f>SUM(F41:Q41)</f>
        <v>4144979.8428045013</v>
      </c>
      <c r="E41" s="376"/>
      <c r="F41" s="163">
        <f>IF(F15=0," ",-F40-E40)</f>
        <v>0</v>
      </c>
      <c r="G41" s="163">
        <f>IF(G15=0," ",-G40-F40)</f>
        <v>0</v>
      </c>
      <c r="H41" s="163">
        <f>IF(H15=0," ",-H40-G40)</f>
        <v>0</v>
      </c>
      <c r="I41" s="163">
        <f t="shared" ref="I41:Q41" si="19">IF(I15=0," ",-I40)</f>
        <v>0</v>
      </c>
      <c r="J41" s="163">
        <f>IF(J15=0," ",-J40)</f>
        <v>1750824.7338694995</v>
      </c>
      <c r="K41" s="163">
        <f>IF(K15=0," ",-K40)</f>
        <v>902613.43622499984</v>
      </c>
      <c r="L41" s="163">
        <f t="shared" si="19"/>
        <v>1944825.0130089</v>
      </c>
      <c r="M41" s="163">
        <f t="shared" si="19"/>
        <v>28922.550870001316</v>
      </c>
      <c r="N41" s="163">
        <f t="shared" si="19"/>
        <v>-824739.01290389989</v>
      </c>
      <c r="O41" s="163">
        <f t="shared" si="19"/>
        <v>79960.944924999028</v>
      </c>
      <c r="P41" s="163">
        <f>IF(P15=0," ",-P40)</f>
        <v>-83352.928960999008</v>
      </c>
      <c r="Q41" s="163">
        <f t="shared" si="19"/>
        <v>345925.1057710005</v>
      </c>
      <c r="R41" s="155"/>
    </row>
    <row r="42" spans="1:22" ht="26.25" customHeight="1" thickBot="1">
      <c r="A42" s="385" t="s">
        <v>181</v>
      </c>
      <c r="B42" s="385"/>
      <c r="C42" s="385"/>
      <c r="D42" s="358"/>
      <c r="E42" s="358"/>
      <c r="F42" s="165">
        <f t="shared" ref="F42:Q42" si="20">IF(F15=0," ",F34-F39)</f>
        <v>-1519912.2630273309</v>
      </c>
      <c r="G42" s="165">
        <f t="shared" si="20"/>
        <v>1927863.8364353343</v>
      </c>
      <c r="H42" s="165">
        <f t="shared" si="20"/>
        <v>-1327877.7249000003</v>
      </c>
      <c r="I42" s="165">
        <f t="shared" si="20"/>
        <v>-3777332.4520593332</v>
      </c>
      <c r="J42" s="165">
        <f t="shared" si="20"/>
        <v>-4583608.2446231665</v>
      </c>
      <c r="K42" s="165">
        <f t="shared" si="20"/>
        <v>-4884479.3900314998</v>
      </c>
      <c r="L42" s="165">
        <f t="shared" si="20"/>
        <v>-5510918.1314559337</v>
      </c>
      <c r="M42" s="165">
        <f t="shared" si="20"/>
        <v>-5514131.7482192665</v>
      </c>
      <c r="N42" s="165">
        <f t="shared" si="20"/>
        <v>-5267482.2403565003</v>
      </c>
      <c r="O42" s="165">
        <f t="shared" si="20"/>
        <v>-5294135.8886648333</v>
      </c>
      <c r="P42" s="165">
        <f t="shared" si="20"/>
        <v>-5266351.5790111665</v>
      </c>
      <c r="Q42" s="165">
        <f t="shared" si="20"/>
        <v>-5381659.9476015009</v>
      </c>
      <c r="R42" s="20" t="s">
        <v>182</v>
      </c>
    </row>
    <row r="43" spans="1:22" ht="13.8" thickTop="1">
      <c r="A43" s="359"/>
    </row>
    <row r="44" spans="1:22">
      <c r="C44" s="360" t="s">
        <v>183</v>
      </c>
      <c r="D44" s="386">
        <f>SUM(F44:P44)</f>
        <v>3850391</v>
      </c>
      <c r="E44" s="386"/>
      <c r="F44" s="88">
        <v>0</v>
      </c>
      <c r="G44" s="88">
        <v>0</v>
      </c>
      <c r="H44" s="20">
        <v>0</v>
      </c>
      <c r="I44" s="88">
        <v>51336</v>
      </c>
      <c r="J44" s="88">
        <v>1750825</v>
      </c>
      <c r="K44" s="88">
        <v>902613</v>
      </c>
      <c r="L44" s="88">
        <v>1944825</v>
      </c>
      <c r="M44" s="88">
        <v>28992</v>
      </c>
      <c r="N44" s="88">
        <v>-824808</v>
      </c>
      <c r="O44" s="88">
        <v>79960</v>
      </c>
      <c r="P44" s="88">
        <v>-83352</v>
      </c>
      <c r="Q44" s="361"/>
    </row>
    <row r="45" spans="1:22">
      <c r="C45" s="62"/>
      <c r="Q45" s="362"/>
      <c r="R45" s="144"/>
    </row>
    <row r="46" spans="1:22">
      <c r="C46" s="360" t="s">
        <v>184</v>
      </c>
      <c r="F46" s="144">
        <f>F41-F44</f>
        <v>0</v>
      </c>
      <c r="G46" s="144">
        <f t="shared" ref="G46:P46" si="21">G41-G44</f>
        <v>0</v>
      </c>
      <c r="H46" s="144">
        <f t="shared" si="21"/>
        <v>0</v>
      </c>
      <c r="I46" s="144">
        <f t="shared" si="21"/>
        <v>-51336</v>
      </c>
      <c r="J46" s="144">
        <f t="shared" si="21"/>
        <v>-0.26613050047308207</v>
      </c>
      <c r="K46" s="144">
        <f t="shared" si="21"/>
        <v>0.43622499983757734</v>
      </c>
      <c r="L46" s="144">
        <f t="shared" si="21"/>
        <v>1.3008899986743927E-2</v>
      </c>
      <c r="M46" s="144">
        <f t="shared" si="21"/>
        <v>-69.449129998683929</v>
      </c>
      <c r="N46" s="144">
        <f t="shared" si="21"/>
        <v>68.987096100114286</v>
      </c>
      <c r="O46" s="144">
        <f t="shared" si="21"/>
        <v>0.94492499902844429</v>
      </c>
      <c r="P46" s="144">
        <f t="shared" si="21"/>
        <v>-0.92896099900826812</v>
      </c>
      <c r="Q46" s="154"/>
      <c r="R46" s="144"/>
    </row>
    <row r="47" spans="1:22">
      <c r="C47" s="62"/>
      <c r="Q47" s="154"/>
      <c r="R47" s="144"/>
    </row>
    <row r="48" spans="1:22">
      <c r="C48" s="360" t="s">
        <v>185</v>
      </c>
      <c r="I48" s="20" t="s">
        <v>186</v>
      </c>
      <c r="Q48" s="154"/>
      <c r="R48" s="144"/>
    </row>
    <row r="49" spans="9:18">
      <c r="I49" s="20" t="s">
        <v>187</v>
      </c>
      <c r="Q49" s="355"/>
      <c r="R49" s="144"/>
    </row>
    <row r="50" spans="9:18">
      <c r="Q50" s="154"/>
      <c r="R50" s="144"/>
    </row>
    <row r="51" spans="9:18">
      <c r="Q51" s="154"/>
      <c r="R51" s="144"/>
    </row>
    <row r="52" spans="9:18">
      <c r="Q52" s="363"/>
      <c r="R52" s="144"/>
    </row>
    <row r="53" spans="9:18">
      <c r="Q53" s="363"/>
      <c r="R53" s="144"/>
    </row>
    <row r="63" spans="9:18" hidden="1"/>
    <row r="64" spans="9:18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</sheetData>
  <mergeCells count="36">
    <mergeCell ref="B33:C33"/>
    <mergeCell ref="A41:C41"/>
    <mergeCell ref="D41:E41"/>
    <mergeCell ref="A42:C42"/>
    <mergeCell ref="D44:E44"/>
    <mergeCell ref="B32:C32"/>
    <mergeCell ref="D32:E32"/>
    <mergeCell ref="D21:E21"/>
    <mergeCell ref="D22:E22"/>
    <mergeCell ref="D23:E23"/>
    <mergeCell ref="D24:E24"/>
    <mergeCell ref="D25:E25"/>
    <mergeCell ref="D26:E26"/>
    <mergeCell ref="D27:E27"/>
    <mergeCell ref="D28:E28"/>
    <mergeCell ref="D30:E30"/>
    <mergeCell ref="B31:C31"/>
    <mergeCell ref="D31:E31"/>
    <mergeCell ref="D20:E20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8:E8"/>
    <mergeCell ref="A1:Q1"/>
    <mergeCell ref="A2:Q2"/>
    <mergeCell ref="D5:E5"/>
    <mergeCell ref="D6:E6"/>
    <mergeCell ref="D7:E7"/>
  </mergeCells>
  <conditionalFormatting sqref="F38:R38">
    <cfRule type="expression" dxfId="2" priority="2" stopIfTrue="1">
      <formula>ABS(F38)&gt;0.1</formula>
    </cfRule>
  </conditionalFormatting>
  <conditionalFormatting sqref="Q49">
    <cfRule type="expression" dxfId="1" priority="1" stopIfTrue="1">
      <formula>ABS(Q49)&gt;0.1</formula>
    </cfRule>
  </conditionalFormatting>
  <pageMargins left="0.17" right="0.17" top="0.5" bottom="0.5" header="0.5" footer="0.25"/>
  <pageSetup scale="65" orientation="landscape" r:id="rId1"/>
  <headerFooter>
    <oddFooter>&amp;RExhibit No. ____ (WGJ-2)
Johnson. Avista
Page &amp;P of 4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T487"/>
  <sheetViews>
    <sheetView tabSelected="1" zoomScaleNormal="100" zoomScaleSheetLayoutView="100" workbookViewId="0">
      <pane xSplit="4" ySplit="5" topLeftCell="E6" activePane="bottomRight" state="frozen"/>
      <selection activeCell="A2" sqref="A2:Q2"/>
      <selection pane="topRight" activeCell="A2" sqref="A2:Q2"/>
      <selection pane="bottomLeft" activeCell="A2" sqref="A2:Q2"/>
      <selection pane="bottomRight" activeCell="A2" sqref="A2:Q2"/>
    </sheetView>
  </sheetViews>
  <sheetFormatPr defaultColWidth="11.44140625" defaultRowHeight="13.2" outlineLevelRow="2" outlineLevelCol="1"/>
  <cols>
    <col min="1" max="1" width="5" style="286" customWidth="1"/>
    <col min="2" max="2" width="35.6640625" style="62" customWidth="1"/>
    <col min="3" max="3" width="24.109375" style="62" hidden="1" customWidth="1" outlineLevel="1"/>
    <col min="4" max="4" width="13.44140625" style="62" bestFit="1" customWidth="1" collapsed="1"/>
    <col min="5" max="5" width="12.109375" style="62" customWidth="1"/>
    <col min="6" max="6" width="12.6640625" style="62" customWidth="1"/>
    <col min="7" max="7" width="12.44140625" style="62" customWidth="1"/>
    <col min="8" max="8" width="12.5546875" style="62" customWidth="1"/>
    <col min="9" max="9" width="12.109375" style="62" customWidth="1"/>
    <col min="10" max="10" width="12.5546875" style="62" customWidth="1"/>
    <col min="11" max="16" width="12.6640625" style="62" customWidth="1"/>
    <col min="17" max="17" width="2.6640625" style="57" hidden="1" customWidth="1" outlineLevel="1"/>
    <col min="18" max="18" width="14.33203125" style="62" hidden="1" customWidth="1" outlineLevel="1"/>
    <col min="19" max="19" width="11.44140625" style="62" collapsed="1"/>
    <col min="20" max="20" width="13.33203125" style="62" bestFit="1" customWidth="1"/>
    <col min="21" max="16384" width="11.44140625" style="62"/>
  </cols>
  <sheetData>
    <row r="1" spans="1:18">
      <c r="A1" s="387" t="s">
        <v>148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</row>
    <row r="2" spans="1:18">
      <c r="A2" s="387" t="s">
        <v>188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</row>
    <row r="3" spans="1:18" ht="38.25" customHeight="1">
      <c r="A3" s="62"/>
    </row>
    <row r="4" spans="1:18">
      <c r="A4" s="275" t="s">
        <v>150</v>
      </c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</row>
    <row r="5" spans="1:18">
      <c r="A5" s="277" t="s">
        <v>151</v>
      </c>
      <c r="C5" s="62" t="s">
        <v>189</v>
      </c>
      <c r="D5" s="278" t="s">
        <v>153</v>
      </c>
      <c r="E5" s="279">
        <v>41670</v>
      </c>
      <c r="F5" s="279">
        <v>41698</v>
      </c>
      <c r="G5" s="279">
        <v>41729</v>
      </c>
      <c r="H5" s="279">
        <v>41759</v>
      </c>
      <c r="I5" s="279">
        <v>41790</v>
      </c>
      <c r="J5" s="279">
        <v>41820</v>
      </c>
      <c r="K5" s="279">
        <v>41851</v>
      </c>
      <c r="L5" s="279">
        <v>41882</v>
      </c>
      <c r="M5" s="279">
        <v>41912</v>
      </c>
      <c r="N5" s="279">
        <v>41943</v>
      </c>
      <c r="O5" s="279">
        <v>41973</v>
      </c>
      <c r="P5" s="279">
        <v>42004</v>
      </c>
      <c r="Q5" s="280"/>
      <c r="R5" s="279" t="s">
        <v>190</v>
      </c>
    </row>
    <row r="6" spans="1:18">
      <c r="A6" s="275"/>
      <c r="B6" s="179" t="s">
        <v>191</v>
      </c>
      <c r="C6" s="190"/>
    </row>
    <row r="7" spans="1:18">
      <c r="A7" s="275">
        <f>A6+1</f>
        <v>1</v>
      </c>
      <c r="B7" s="21" t="s">
        <v>192</v>
      </c>
      <c r="C7" s="169"/>
      <c r="D7" s="168">
        <f>SUM(F7:P7)</f>
        <v>92822296.390000001</v>
      </c>
      <c r="E7" s="168">
        <v>11744213</v>
      </c>
      <c r="F7" s="168">
        <v>11898194</v>
      </c>
      <c r="G7" s="168">
        <v>14107971.279999999</v>
      </c>
      <c r="H7" s="168">
        <v>6938087.4900000002</v>
      </c>
      <c r="I7" s="168">
        <v>5469423.0800000001</v>
      </c>
      <c r="J7" s="168">
        <v>5126007.22</v>
      </c>
      <c r="K7" s="168">
        <v>10215710.1</v>
      </c>
      <c r="L7" s="168">
        <v>8449088</v>
      </c>
      <c r="M7" s="168">
        <v>7185577.5800000001</v>
      </c>
      <c r="N7" s="168">
        <v>6337266.5600000005</v>
      </c>
      <c r="O7" s="168">
        <v>9004179.1699999999</v>
      </c>
      <c r="P7" s="168">
        <v>8090791.9100000001</v>
      </c>
      <c r="Q7" s="281"/>
      <c r="R7" s="282">
        <f t="shared" ref="R7:R23" si="0">SUM(E7:P7)</f>
        <v>104566509.39</v>
      </c>
    </row>
    <row r="8" spans="1:18">
      <c r="A8" s="275">
        <v>2</v>
      </c>
      <c r="B8" s="180" t="s">
        <v>193</v>
      </c>
      <c r="C8" s="283">
        <v>100078</v>
      </c>
      <c r="D8" s="168">
        <f t="shared" ref="D8:D23" si="1">SUM(F8:P8)</f>
        <v>11325955</v>
      </c>
      <c r="E8" s="284">
        <v>1026705</v>
      </c>
      <c r="F8" s="284">
        <v>1026705</v>
      </c>
      <c r="G8" s="284">
        <v>1026705</v>
      </c>
      <c r="H8" s="284">
        <v>1026705</v>
      </c>
      <c r="I8" s="284">
        <v>1026705</v>
      </c>
      <c r="J8" s="284">
        <v>1026705</v>
      </c>
      <c r="K8" s="284">
        <v>1026705</v>
      </c>
      <c r="L8" s="284">
        <v>1026705</v>
      </c>
      <c r="M8" s="284">
        <v>1026705</v>
      </c>
      <c r="N8" s="284">
        <v>1058905</v>
      </c>
      <c r="O8" s="284">
        <v>1026705</v>
      </c>
      <c r="P8" s="284">
        <v>1026705</v>
      </c>
      <c r="Q8" s="281"/>
      <c r="R8" s="282">
        <f t="shared" si="0"/>
        <v>12352660</v>
      </c>
    </row>
    <row r="9" spans="1:18">
      <c r="A9" s="275">
        <v>3</v>
      </c>
      <c r="B9" s="180" t="s">
        <v>194</v>
      </c>
      <c r="C9" s="283">
        <v>107240</v>
      </c>
      <c r="D9" s="168">
        <f t="shared" si="1"/>
        <v>1050044.3</v>
      </c>
      <c r="E9" s="284">
        <v>32036</v>
      </c>
      <c r="F9" s="284">
        <v>3150</v>
      </c>
      <c r="G9" s="284">
        <v>101639</v>
      </c>
      <c r="H9" s="284">
        <v>127766</v>
      </c>
      <c r="I9" s="284">
        <v>161523</v>
      </c>
      <c r="J9" s="284">
        <v>172784</v>
      </c>
      <c r="K9" s="284">
        <v>132694</v>
      </c>
      <c r="L9" s="284">
        <v>98733</v>
      </c>
      <c r="M9" s="284">
        <f>40668.3</f>
        <v>40668.300000000003</v>
      </c>
      <c r="N9" s="284">
        <v>87837</v>
      </c>
      <c r="O9" s="284">
        <v>49416</v>
      </c>
      <c r="P9" s="284">
        <v>73834</v>
      </c>
      <c r="Q9" s="281"/>
      <c r="R9" s="282">
        <f>SUM(E9:P9)</f>
        <v>1082080.3</v>
      </c>
    </row>
    <row r="10" spans="1:18">
      <c r="A10" s="275">
        <v>4</v>
      </c>
      <c r="B10" s="21" t="s">
        <v>195</v>
      </c>
      <c r="C10" s="169">
        <v>100131</v>
      </c>
      <c r="D10" s="168">
        <f t="shared" si="1"/>
        <v>1668950</v>
      </c>
      <c r="E10" s="284">
        <v>150506</v>
      </c>
      <c r="F10" s="285">
        <v>150506</v>
      </c>
      <c r="G10" s="285">
        <v>150506</v>
      </c>
      <c r="H10" s="285">
        <v>150506</v>
      </c>
      <c r="I10" s="285">
        <v>150506</v>
      </c>
      <c r="J10" s="285">
        <v>150506</v>
      </c>
      <c r="K10" s="285">
        <v>150506</v>
      </c>
      <c r="L10" s="285">
        <v>150506</v>
      </c>
      <c r="M10" s="284">
        <v>154406</v>
      </c>
      <c r="N10" s="284">
        <v>154406</v>
      </c>
      <c r="O10" s="285">
        <v>152744</v>
      </c>
      <c r="P10" s="285">
        <v>153852</v>
      </c>
      <c r="Q10" s="281"/>
      <c r="R10" s="282">
        <f t="shared" si="0"/>
        <v>1819456</v>
      </c>
    </row>
    <row r="11" spans="1:18" ht="13.5" customHeight="1">
      <c r="A11" s="275">
        <v>5</v>
      </c>
      <c r="B11" s="21" t="s">
        <v>196</v>
      </c>
      <c r="C11" s="169">
        <v>100085</v>
      </c>
      <c r="D11" s="168">
        <f t="shared" si="1"/>
        <v>5728404</v>
      </c>
      <c r="E11" s="285">
        <v>549554</v>
      </c>
      <c r="F11" s="285">
        <v>520764</v>
      </c>
      <c r="G11" s="285">
        <v>520764</v>
      </c>
      <c r="H11" s="285">
        <v>520764</v>
      </c>
      <c r="I11" s="285">
        <v>520764</v>
      </c>
      <c r="J11" s="285">
        <v>520764</v>
      </c>
      <c r="K11" s="285">
        <v>520764</v>
      </c>
      <c r="L11" s="285">
        <v>520764</v>
      </c>
      <c r="M11" s="284">
        <v>520764</v>
      </c>
      <c r="N11" s="284">
        <v>520764</v>
      </c>
      <c r="O11" s="285">
        <v>520764</v>
      </c>
      <c r="P11" s="285">
        <v>520764</v>
      </c>
      <c r="Q11" s="281"/>
      <c r="R11" s="282">
        <f t="shared" si="0"/>
        <v>6277958</v>
      </c>
    </row>
    <row r="12" spans="1:18" ht="15.6">
      <c r="A12" s="275">
        <f>A11+1</f>
        <v>6</v>
      </c>
      <c r="B12" s="21" t="s">
        <v>197</v>
      </c>
      <c r="C12" s="286" t="s">
        <v>198</v>
      </c>
      <c r="D12" s="168">
        <f t="shared" si="1"/>
        <v>11910100.219999999</v>
      </c>
      <c r="E12" s="168">
        <v>3454760.5650000004</v>
      </c>
      <c r="F12" s="168">
        <v>3121688.8200000003</v>
      </c>
      <c r="G12" s="168">
        <v>1705589.4650000001</v>
      </c>
      <c r="H12" s="168">
        <v>1651867.135</v>
      </c>
      <c r="I12" s="168"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2671139.02</v>
      </c>
      <c r="P12" s="168">
        <v>2759815.7800000003</v>
      </c>
      <c r="Q12" s="281"/>
      <c r="R12" s="282">
        <f t="shared" si="0"/>
        <v>15364860.785</v>
      </c>
    </row>
    <row r="13" spans="1:18">
      <c r="A13" s="275">
        <f t="shared" ref="A13:A24" si="2">A12+1</f>
        <v>7</v>
      </c>
      <c r="B13" s="62" t="s">
        <v>199</v>
      </c>
      <c r="C13" s="286">
        <v>100137</v>
      </c>
      <c r="D13" s="168">
        <f t="shared" si="1"/>
        <v>4265</v>
      </c>
      <c r="E13" s="285">
        <v>22</v>
      </c>
      <c r="F13" s="285">
        <v>18</v>
      </c>
      <c r="G13" s="285">
        <v>18</v>
      </c>
      <c r="H13" s="285">
        <v>19</v>
      </c>
      <c r="I13" s="285">
        <v>19</v>
      </c>
      <c r="J13" s="285">
        <v>19</v>
      </c>
      <c r="K13" s="285">
        <v>1532</v>
      </c>
      <c r="L13" s="285">
        <v>630</v>
      </c>
      <c r="M13" s="285">
        <v>505</v>
      </c>
      <c r="N13" s="285">
        <v>480</v>
      </c>
      <c r="O13" s="285">
        <v>452</v>
      </c>
      <c r="P13" s="285">
        <v>573</v>
      </c>
      <c r="Q13" s="281"/>
      <c r="R13" s="282">
        <f t="shared" si="0"/>
        <v>4287</v>
      </c>
    </row>
    <row r="14" spans="1:18">
      <c r="A14" s="275">
        <f t="shared" si="2"/>
        <v>8</v>
      </c>
      <c r="B14" s="62" t="s">
        <v>200</v>
      </c>
      <c r="C14" s="169" t="s">
        <v>201</v>
      </c>
      <c r="D14" s="168">
        <f t="shared" si="1"/>
        <v>1174040.74</v>
      </c>
      <c r="E14" s="285">
        <f>32282+584+31171+3685+4941+39470+9198</f>
        <v>121331</v>
      </c>
      <c r="F14" s="285">
        <f>52736+-37+35186+10893+4797+34239+6505+22930</f>
        <v>167249</v>
      </c>
      <c r="G14" s="285">
        <f>41707+14+34648.4+37390.32+7467+36352</f>
        <v>157578.72</v>
      </c>
      <c r="H14" s="285">
        <f>2562.23+42884.43+39736.12+37475.17+5711.67+18407.89</f>
        <v>146777.51</v>
      </c>
      <c r="I14" s="285">
        <f>21935.41+32261.86+4738.68+17862.05+41075.19+5632.96</f>
        <v>123506.15000000001</v>
      </c>
      <c r="J14" s="285">
        <f>460.25+48119.06+20.77+18196.08+40108.09+6431.85</f>
        <v>113336.1</v>
      </c>
      <c r="K14" s="285">
        <v>0</v>
      </c>
      <c r="L14" s="285">
        <f>22445+23717+17478+7576+9004+10257</f>
        <v>90477</v>
      </c>
      <c r="M14" s="285">
        <f>19097.14+13595.21+5145.78+22459.21+9183.25+6183.31</f>
        <v>75663.899999999994</v>
      </c>
      <c r="N14" s="285">
        <f>19148.83+11877.67+4262.3+27073.99+9631.65</f>
        <v>71994.44</v>
      </c>
      <c r="O14" s="285">
        <f>10685.96+22551.92+19626.93+3868.83+30132+9490.19</f>
        <v>96355.83</v>
      </c>
      <c r="P14" s="285">
        <f>35567.14+22519.09+22262.15+4849.36+39160.89+6743.46</f>
        <v>131102.09</v>
      </c>
      <c r="Q14" s="281"/>
      <c r="R14" s="282">
        <f t="shared" si="0"/>
        <v>1295371.7400000002</v>
      </c>
    </row>
    <row r="15" spans="1:18">
      <c r="A15" s="275">
        <f t="shared" si="2"/>
        <v>9</v>
      </c>
      <c r="B15" s="21" t="s">
        <v>202</v>
      </c>
      <c r="C15" s="169">
        <v>185895</v>
      </c>
      <c r="D15" s="168">
        <f t="shared" si="1"/>
        <v>1523772</v>
      </c>
      <c r="E15" s="285">
        <v>178286</v>
      </c>
      <c r="F15" s="285">
        <v>157311</v>
      </c>
      <c r="G15" s="285">
        <v>39458</v>
      </c>
      <c r="H15" s="285">
        <v>118246</v>
      </c>
      <c r="I15" s="285">
        <v>120073</v>
      </c>
      <c r="J15" s="285">
        <v>65607</v>
      </c>
      <c r="K15" s="285">
        <v>168582</v>
      </c>
      <c r="L15" s="285">
        <v>180910</v>
      </c>
      <c r="M15" s="285">
        <v>163193</v>
      </c>
      <c r="N15" s="285">
        <v>170740</v>
      </c>
      <c r="O15" s="285">
        <v>154754</v>
      </c>
      <c r="P15" s="285">
        <v>184898</v>
      </c>
      <c r="Q15" s="281"/>
      <c r="R15" s="282">
        <f t="shared" si="0"/>
        <v>1702058</v>
      </c>
    </row>
    <row r="16" spans="1:18" ht="12.75" customHeight="1">
      <c r="A16" s="275">
        <f t="shared" si="2"/>
        <v>10</v>
      </c>
      <c r="B16" s="62" t="s">
        <v>203</v>
      </c>
      <c r="C16" s="169">
        <v>186298</v>
      </c>
      <c r="D16" s="168">
        <f t="shared" si="1"/>
        <v>2008090.5699999998</v>
      </c>
      <c r="E16" s="285">
        <v>150261</v>
      </c>
      <c r="F16" s="285">
        <v>204574</v>
      </c>
      <c r="G16" s="285">
        <v>328422</v>
      </c>
      <c r="H16" s="285">
        <f>84938.89+204666.11</f>
        <v>289605</v>
      </c>
      <c r="I16" s="285">
        <f>80800.16+185329.61</f>
        <v>266129.77</v>
      </c>
      <c r="J16" s="285">
        <f>102481.03+233971.65</f>
        <v>336452.68</v>
      </c>
      <c r="K16" s="285">
        <f>25800.29+56325.61</f>
        <v>82125.899999999994</v>
      </c>
      <c r="L16" s="285">
        <v>1445</v>
      </c>
      <c r="M16" s="285">
        <f>5293.59+11960.63</f>
        <v>17254.22</v>
      </c>
      <c r="N16" s="285">
        <v>68531</v>
      </c>
      <c r="O16" s="285">
        <v>99592</v>
      </c>
      <c r="P16" s="285">
        <v>313959</v>
      </c>
      <c r="Q16" s="281"/>
      <c r="R16" s="282">
        <f t="shared" si="0"/>
        <v>2158351.5699999998</v>
      </c>
    </row>
    <row r="17" spans="1:20">
      <c r="A17" s="275">
        <f>A16+1</f>
        <v>11</v>
      </c>
      <c r="B17" s="21" t="s">
        <v>204</v>
      </c>
      <c r="C17" s="169">
        <v>223063</v>
      </c>
      <c r="D17" s="168">
        <f t="shared" si="1"/>
        <v>5545672</v>
      </c>
      <c r="E17" s="285">
        <v>619383</v>
      </c>
      <c r="F17" s="285">
        <v>395558</v>
      </c>
      <c r="G17" s="285">
        <v>645199</v>
      </c>
      <c r="H17" s="285">
        <v>529962</v>
      </c>
      <c r="I17" s="285">
        <v>523312</v>
      </c>
      <c r="J17" s="285">
        <v>439845</v>
      </c>
      <c r="K17" s="285">
        <v>390099</v>
      </c>
      <c r="L17" s="285">
        <v>620148</v>
      </c>
      <c r="M17" s="285">
        <v>613311</v>
      </c>
      <c r="N17" s="285">
        <v>637699</v>
      </c>
      <c r="O17" s="285">
        <v>329538</v>
      </c>
      <c r="P17" s="285">
        <v>421001</v>
      </c>
      <c r="Q17" s="281"/>
      <c r="R17" s="282">
        <f t="shared" si="0"/>
        <v>6165055</v>
      </c>
    </row>
    <row r="18" spans="1:20">
      <c r="A18" s="275">
        <f>A17+1</f>
        <v>12</v>
      </c>
      <c r="B18" s="21" t="s">
        <v>205</v>
      </c>
      <c r="C18" s="169" t="s">
        <v>206</v>
      </c>
      <c r="D18" s="168">
        <f t="shared" si="1"/>
        <v>655472</v>
      </c>
      <c r="E18" s="284">
        <v>210622</v>
      </c>
      <c r="F18" s="284">
        <v>266856</v>
      </c>
      <c r="G18" s="284">
        <v>388616</v>
      </c>
      <c r="H18" s="284">
        <v>0</v>
      </c>
      <c r="I18" s="284">
        <v>0</v>
      </c>
      <c r="J18" s="284">
        <v>0</v>
      </c>
      <c r="K18" s="284">
        <v>0</v>
      </c>
      <c r="L18" s="284">
        <v>0</v>
      </c>
      <c r="M18" s="284">
        <v>0</v>
      </c>
      <c r="N18" s="285">
        <v>0</v>
      </c>
      <c r="O18" s="284">
        <v>0</v>
      </c>
      <c r="P18" s="284">
        <v>0</v>
      </c>
      <c r="Q18" s="281"/>
      <c r="R18" s="282">
        <f t="shared" si="0"/>
        <v>866094</v>
      </c>
    </row>
    <row r="19" spans="1:20">
      <c r="A19" s="275">
        <f>A18+1</f>
        <v>13</v>
      </c>
      <c r="B19" s="21" t="s">
        <v>207</v>
      </c>
      <c r="C19" s="169" t="s">
        <v>208</v>
      </c>
      <c r="D19" s="168">
        <f t="shared" si="1"/>
        <v>22369811</v>
      </c>
      <c r="E19" s="284">
        <v>2186817</v>
      </c>
      <c r="F19" s="284">
        <v>2114774</v>
      </c>
      <c r="G19" s="284">
        <v>1884054</v>
      </c>
      <c r="H19" s="284">
        <v>1877735</v>
      </c>
      <c r="I19" s="284">
        <v>1928506</v>
      </c>
      <c r="J19" s="284">
        <v>1894139</v>
      </c>
      <c r="K19" s="284">
        <v>2043436</v>
      </c>
      <c r="L19" s="284">
        <v>2167053</v>
      </c>
      <c r="M19" s="284">
        <v>2167898</v>
      </c>
      <c r="N19" s="285">
        <v>2167053</v>
      </c>
      <c r="O19" s="284">
        <v>2043307</v>
      </c>
      <c r="P19" s="284">
        <v>2081856</v>
      </c>
      <c r="Q19" s="281"/>
      <c r="R19" s="282">
        <f t="shared" si="0"/>
        <v>24556628</v>
      </c>
    </row>
    <row r="20" spans="1:20">
      <c r="A20" s="275">
        <f>A19+1</f>
        <v>14</v>
      </c>
      <c r="B20" s="21" t="s">
        <v>209</v>
      </c>
      <c r="C20" s="169">
        <v>181462</v>
      </c>
      <c r="D20" s="168">
        <f t="shared" si="1"/>
        <v>17645863</v>
      </c>
      <c r="E20" s="284">
        <v>1140491</v>
      </c>
      <c r="F20" s="284">
        <v>1919084</v>
      </c>
      <c r="G20" s="284">
        <v>2366987</v>
      </c>
      <c r="H20" s="284">
        <v>2186010</v>
      </c>
      <c r="I20" s="284">
        <v>1412516</v>
      </c>
      <c r="J20" s="284">
        <v>1381476</v>
      </c>
      <c r="K20" s="284">
        <v>1127940</v>
      </c>
      <c r="L20" s="284">
        <v>861293</v>
      </c>
      <c r="M20" s="284">
        <v>1416550</v>
      </c>
      <c r="N20" s="285">
        <v>1289474</v>
      </c>
      <c r="O20" s="284">
        <v>1936229</v>
      </c>
      <c r="P20" s="284">
        <v>1748304</v>
      </c>
      <c r="Q20" s="281"/>
      <c r="R20" s="282">
        <f t="shared" si="0"/>
        <v>18786354</v>
      </c>
    </row>
    <row r="21" spans="1:20">
      <c r="A21" s="275">
        <f>A20+1</f>
        <v>15</v>
      </c>
      <c r="B21" s="62" t="s">
        <v>210</v>
      </c>
      <c r="C21" s="286"/>
      <c r="D21" s="168">
        <f t="shared" si="1"/>
        <v>0</v>
      </c>
      <c r="E21" s="170">
        <f t="shared" ref="E21:P21" si="3">E32</f>
        <v>0</v>
      </c>
      <c r="F21" s="170">
        <f t="shared" si="3"/>
        <v>0</v>
      </c>
      <c r="G21" s="170">
        <f t="shared" si="3"/>
        <v>0</v>
      </c>
      <c r="H21" s="170">
        <f t="shared" si="3"/>
        <v>0</v>
      </c>
      <c r="I21" s="170">
        <f t="shared" si="3"/>
        <v>0</v>
      </c>
      <c r="J21" s="170">
        <f t="shared" si="3"/>
        <v>0</v>
      </c>
      <c r="K21" s="170">
        <f t="shared" si="3"/>
        <v>0</v>
      </c>
      <c r="L21" s="170">
        <f t="shared" si="3"/>
        <v>0</v>
      </c>
      <c r="M21" s="170">
        <f t="shared" si="3"/>
        <v>0</v>
      </c>
      <c r="N21" s="170">
        <f t="shared" si="3"/>
        <v>0</v>
      </c>
      <c r="O21" s="170">
        <f t="shared" si="3"/>
        <v>0</v>
      </c>
      <c r="P21" s="170">
        <f t="shared" si="3"/>
        <v>0</v>
      </c>
      <c r="Q21" s="281"/>
      <c r="R21" s="282">
        <f t="shared" si="0"/>
        <v>0</v>
      </c>
    </row>
    <row r="22" spans="1:20">
      <c r="A22" s="275">
        <f t="shared" si="2"/>
        <v>16</v>
      </c>
      <c r="B22" s="62" t="s">
        <v>211</v>
      </c>
      <c r="C22" s="286"/>
      <c r="D22" s="168">
        <f t="shared" si="1"/>
        <v>867798</v>
      </c>
      <c r="E22" s="171">
        <f t="shared" ref="E22:P22" si="4">E35</f>
        <v>59153</v>
      </c>
      <c r="F22" s="171">
        <f>F35</f>
        <v>75216</v>
      </c>
      <c r="G22" s="171">
        <f t="shared" si="4"/>
        <v>61701</v>
      </c>
      <c r="H22" s="171">
        <f t="shared" si="4"/>
        <v>48858</v>
      </c>
      <c r="I22" s="171">
        <f t="shared" si="4"/>
        <v>46299</v>
      </c>
      <c r="J22" s="171">
        <f t="shared" si="4"/>
        <v>47258</v>
      </c>
      <c r="K22" s="171">
        <f t="shared" si="4"/>
        <v>56900</v>
      </c>
      <c r="L22" s="171">
        <f t="shared" si="4"/>
        <v>54813</v>
      </c>
      <c r="M22" s="171">
        <f>M35</f>
        <v>45503</v>
      </c>
      <c r="N22" s="171">
        <f>N35</f>
        <v>45865</v>
      </c>
      <c r="O22" s="171">
        <f t="shared" si="4"/>
        <v>222650</v>
      </c>
      <c r="P22" s="171">
        <f t="shared" si="4"/>
        <v>162735</v>
      </c>
      <c r="Q22" s="171"/>
      <c r="R22" s="282">
        <f t="shared" si="0"/>
        <v>926951</v>
      </c>
    </row>
    <row r="23" spans="1:20">
      <c r="A23" s="275">
        <f t="shared" si="2"/>
        <v>17</v>
      </c>
      <c r="B23" s="21" t="s">
        <v>212</v>
      </c>
      <c r="C23" s="169"/>
      <c r="D23" s="168">
        <f t="shared" si="1"/>
        <v>132405</v>
      </c>
      <c r="E23" s="172">
        <f t="shared" ref="E23:P23" si="5">E33</f>
        <v>12861</v>
      </c>
      <c r="F23" s="172">
        <f>F33</f>
        <v>-92461</v>
      </c>
      <c r="G23" s="172">
        <f t="shared" si="5"/>
        <v>291648</v>
      </c>
      <c r="H23" s="172">
        <f t="shared" si="5"/>
        <v>-18080</v>
      </c>
      <c r="I23" s="172">
        <f t="shared" si="5"/>
        <v>-52669</v>
      </c>
      <c r="J23" s="172">
        <f t="shared" si="5"/>
        <v>13555</v>
      </c>
      <c r="K23" s="172">
        <f t="shared" si="5"/>
        <v>-159790</v>
      </c>
      <c r="L23" s="172">
        <f t="shared" si="5"/>
        <v>78522</v>
      </c>
      <c r="M23" s="172">
        <f t="shared" si="5"/>
        <v>81094</v>
      </c>
      <c r="N23" s="172">
        <f>N33</f>
        <v>-39988</v>
      </c>
      <c r="O23" s="172">
        <f t="shared" si="5"/>
        <v>-1660</v>
      </c>
      <c r="P23" s="172">
        <f t="shared" si="5"/>
        <v>32234</v>
      </c>
      <c r="Q23" s="172"/>
      <c r="R23" s="282">
        <f t="shared" si="0"/>
        <v>145266</v>
      </c>
    </row>
    <row r="24" spans="1:20" s="184" customFormat="1" ht="21.75" customHeight="1" thickBot="1">
      <c r="A24" s="287">
        <f t="shared" si="2"/>
        <v>18</v>
      </c>
      <c r="B24" s="181" t="s">
        <v>213</v>
      </c>
      <c r="C24" s="181"/>
      <c r="D24" s="193">
        <f>SUM(E24:P24)</f>
        <v>198069940.78500003</v>
      </c>
      <c r="E24" s="288">
        <f>E37</f>
        <v>21637001.565000001</v>
      </c>
      <c r="F24" s="288">
        <f t="shared" ref="F24:P24" si="6">F37</f>
        <v>21929186.82</v>
      </c>
      <c r="G24" s="288">
        <f>G37</f>
        <v>23776856.465</v>
      </c>
      <c r="H24" s="288">
        <f t="shared" si="6"/>
        <v>15594828.135</v>
      </c>
      <c r="I24" s="288">
        <f t="shared" si="6"/>
        <v>11696613</v>
      </c>
      <c r="J24" s="288">
        <f t="shared" si="6"/>
        <v>11288454</v>
      </c>
      <c r="K24" s="288">
        <f t="shared" si="6"/>
        <v>15757204</v>
      </c>
      <c r="L24" s="288">
        <f t="shared" si="6"/>
        <v>14301087</v>
      </c>
      <c r="M24" s="288">
        <f>M37</f>
        <v>13509093</v>
      </c>
      <c r="N24" s="288">
        <f>N37</f>
        <v>12571027</v>
      </c>
      <c r="O24" s="288">
        <f t="shared" si="6"/>
        <v>18306165.02</v>
      </c>
      <c r="P24" s="288">
        <f t="shared" si="6"/>
        <v>17702424.780000001</v>
      </c>
      <c r="Q24" s="173"/>
      <c r="R24" s="289">
        <f>SUM(R7:R22)</f>
        <v>197924674.785</v>
      </c>
    </row>
    <row r="25" spans="1:20" ht="4.5" customHeight="1" thickTop="1">
      <c r="A25" s="275"/>
      <c r="E25" s="174" t="s">
        <v>214</v>
      </c>
      <c r="F25" s="290" t="s">
        <v>214</v>
      </c>
      <c r="G25" s="290"/>
      <c r="H25" s="290"/>
      <c r="I25" s="290"/>
      <c r="J25" s="290"/>
      <c r="K25" s="290"/>
      <c r="L25" s="290"/>
      <c r="M25" s="290"/>
      <c r="N25" s="290"/>
      <c r="O25" s="290"/>
      <c r="P25" s="290"/>
    </row>
    <row r="26" spans="1:20">
      <c r="A26" s="275"/>
      <c r="B26" s="21" t="s">
        <v>215</v>
      </c>
      <c r="C26" s="21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T26" s="291"/>
    </row>
    <row r="27" spans="1:20" ht="12.75" hidden="1" customHeight="1" outlineLevel="1">
      <c r="A27" s="275"/>
      <c r="B27" s="176" t="s">
        <v>191</v>
      </c>
      <c r="C27" s="176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</row>
    <row r="28" spans="1:20" ht="12.75" hidden="1" customHeight="1" outlineLevel="1">
      <c r="A28" s="275"/>
      <c r="B28" s="62">
        <v>555000</v>
      </c>
      <c r="D28" s="290">
        <f>SUM(E28:P28)</f>
        <v>182890209</v>
      </c>
      <c r="E28" s="154">
        <v>19999369</v>
      </c>
      <c r="F28" s="154">
        <v>25366043</v>
      </c>
      <c r="G28" s="154">
        <v>19424748</v>
      </c>
      <c r="H28" s="154">
        <v>14156694</v>
      </c>
      <c r="I28" s="154">
        <v>10237199</v>
      </c>
      <c r="J28" s="154">
        <v>10325733</v>
      </c>
      <c r="K28" s="154">
        <v>14273860</v>
      </c>
      <c r="L28" s="154">
        <v>13870788</v>
      </c>
      <c r="M28" s="154">
        <v>13155710</v>
      </c>
      <c r="N28" s="154">
        <v>10525052</v>
      </c>
      <c r="O28" s="154">
        <v>16802588</v>
      </c>
      <c r="P28" s="154">
        <v>14752425</v>
      </c>
      <c r="Q28" s="281"/>
      <c r="R28" s="282">
        <f t="shared" ref="R28:R36" si="7">SUM(E28:P28)</f>
        <v>182890209</v>
      </c>
    </row>
    <row r="29" spans="1:20" hidden="1" outlineLevel="1">
      <c r="A29" s="275"/>
      <c r="B29" s="62">
        <v>555100</v>
      </c>
      <c r="C29" s="62" t="s">
        <v>216</v>
      </c>
      <c r="D29" s="290">
        <f t="shared" ref="D29:D36" si="8">SUM(E29:P29)</f>
        <v>1930128</v>
      </c>
      <c r="E29" s="154">
        <v>-1127524</v>
      </c>
      <c r="F29" s="154">
        <v>-5207117</v>
      </c>
      <c r="G29" s="154">
        <v>2997140</v>
      </c>
      <c r="H29" s="154">
        <v>927342</v>
      </c>
      <c r="I29" s="154">
        <v>1070418</v>
      </c>
      <c r="J29" s="154">
        <v>477798</v>
      </c>
      <c r="K29" s="154">
        <v>268861</v>
      </c>
      <c r="L29" s="154">
        <v>-662719</v>
      </c>
      <c r="M29" s="154">
        <v>-565075</v>
      </c>
      <c r="N29" s="154">
        <v>1305328</v>
      </c>
      <c r="O29" s="154">
        <v>563375</v>
      </c>
      <c r="P29" s="154">
        <v>1882301</v>
      </c>
      <c r="Q29" s="281"/>
      <c r="R29" s="282">
        <f t="shared" si="7"/>
        <v>1930128</v>
      </c>
    </row>
    <row r="30" spans="1:20" ht="12.75" hidden="1" customHeight="1" outlineLevel="1">
      <c r="A30" s="275"/>
      <c r="B30" s="21">
        <v>555312</v>
      </c>
      <c r="C30" s="21" t="s">
        <v>217</v>
      </c>
      <c r="D30" s="290">
        <f t="shared" si="8"/>
        <v>0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281"/>
      <c r="R30" s="282">
        <f>SUM(E30:P30)</f>
        <v>0</v>
      </c>
    </row>
    <row r="31" spans="1:20" ht="12.75" hidden="1" customHeight="1" outlineLevel="1">
      <c r="A31" s="275"/>
      <c r="B31" s="62">
        <v>555313</v>
      </c>
      <c r="C31" s="62" t="s">
        <v>217</v>
      </c>
      <c r="D31" s="290">
        <f t="shared" si="8"/>
        <v>0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281"/>
      <c r="R31" s="282">
        <f>SUM(E31:P31)</f>
        <v>0</v>
      </c>
    </row>
    <row r="32" spans="1:20" ht="14.25" hidden="1" customHeight="1" outlineLevel="1">
      <c r="A32" s="275"/>
      <c r="B32" s="62">
        <v>555380</v>
      </c>
      <c r="C32" s="62" t="s">
        <v>218</v>
      </c>
      <c r="D32" s="290">
        <f t="shared" si="8"/>
        <v>0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281"/>
      <c r="R32" s="282">
        <f>SUM(E32:P32)</f>
        <v>0</v>
      </c>
    </row>
    <row r="33" spans="1:18" hidden="1" outlineLevel="1">
      <c r="A33" s="275"/>
      <c r="B33" s="62">
        <v>555550</v>
      </c>
      <c r="C33" s="62" t="s">
        <v>219</v>
      </c>
      <c r="D33" s="290">
        <f t="shared" si="8"/>
        <v>145266</v>
      </c>
      <c r="E33" s="154">
        <v>12861</v>
      </c>
      <c r="F33" s="154">
        <v>-92461</v>
      </c>
      <c r="G33" s="154">
        <v>291648</v>
      </c>
      <c r="H33" s="154">
        <v>-18080</v>
      </c>
      <c r="I33" s="154">
        <v>-52669</v>
      </c>
      <c r="J33" s="154">
        <v>13555</v>
      </c>
      <c r="K33" s="154">
        <v>-159790</v>
      </c>
      <c r="L33" s="154">
        <v>78522</v>
      </c>
      <c r="M33" s="154">
        <v>81094</v>
      </c>
      <c r="N33" s="154">
        <v>-39988</v>
      </c>
      <c r="O33" s="154">
        <v>-1660</v>
      </c>
      <c r="P33" s="154">
        <v>32234</v>
      </c>
      <c r="Q33" s="281"/>
      <c r="R33" s="282">
        <f>SUM(E33:P33)</f>
        <v>145266</v>
      </c>
    </row>
    <row r="34" spans="1:18" hidden="1" outlineLevel="1">
      <c r="A34" s="275"/>
      <c r="B34" s="62">
        <v>555700</v>
      </c>
      <c r="C34" s="62" t="s">
        <v>220</v>
      </c>
      <c r="D34" s="290">
        <f t="shared" si="8"/>
        <v>11798615</v>
      </c>
      <c r="E34" s="154">
        <v>2570616</v>
      </c>
      <c r="F34" s="154">
        <v>1676792</v>
      </c>
      <c r="G34" s="154">
        <v>941129</v>
      </c>
      <c r="H34" s="154">
        <v>421429</v>
      </c>
      <c r="I34" s="154">
        <v>395366</v>
      </c>
      <c r="J34" s="154">
        <v>424110</v>
      </c>
      <c r="K34" s="154">
        <v>1317373</v>
      </c>
      <c r="L34" s="154">
        <v>959683</v>
      </c>
      <c r="M34" s="154">
        <v>791861</v>
      </c>
      <c r="N34" s="154">
        <v>734770</v>
      </c>
      <c r="O34" s="154">
        <v>706200</v>
      </c>
      <c r="P34" s="154">
        <v>859286</v>
      </c>
      <c r="Q34" s="281"/>
      <c r="R34" s="282">
        <f t="shared" si="7"/>
        <v>11798615</v>
      </c>
    </row>
    <row r="35" spans="1:18" hidden="1" outlineLevel="1">
      <c r="A35" s="275"/>
      <c r="B35" s="62">
        <v>555710</v>
      </c>
      <c r="C35" s="62" t="s">
        <v>221</v>
      </c>
      <c r="D35" s="290">
        <f t="shared" si="8"/>
        <v>926951</v>
      </c>
      <c r="E35" s="154">
        <v>59153</v>
      </c>
      <c r="F35" s="154">
        <v>75216</v>
      </c>
      <c r="G35" s="154">
        <v>61701</v>
      </c>
      <c r="H35" s="154">
        <v>48858</v>
      </c>
      <c r="I35" s="154">
        <v>46299</v>
      </c>
      <c r="J35" s="154">
        <v>47258</v>
      </c>
      <c r="K35" s="154">
        <v>56900</v>
      </c>
      <c r="L35" s="154">
        <v>54813</v>
      </c>
      <c r="M35" s="154">
        <v>45503</v>
      </c>
      <c r="N35" s="154">
        <v>45865</v>
      </c>
      <c r="O35" s="154">
        <v>222650</v>
      </c>
      <c r="P35" s="154">
        <v>162735</v>
      </c>
      <c r="Q35" s="281"/>
      <c r="R35" s="282">
        <f t="shared" si="7"/>
        <v>926951</v>
      </c>
    </row>
    <row r="36" spans="1:18" hidden="1" outlineLevel="1">
      <c r="A36" s="275"/>
      <c r="B36" s="177" t="s">
        <v>222</v>
      </c>
      <c r="C36" s="169" t="s">
        <v>223</v>
      </c>
      <c r="D36" s="292">
        <f t="shared" si="8"/>
        <v>378771.78500000067</v>
      </c>
      <c r="E36" s="293">
        <f>81413*(42.435-40.93)</f>
        <v>122526.56500000021</v>
      </c>
      <c r="F36" s="293">
        <f>73564*(42.435-40.93)</f>
        <v>110713.82000000018</v>
      </c>
      <c r="G36" s="293">
        <f>40193*(42.435-40.93)</f>
        <v>60490.465000000106</v>
      </c>
      <c r="H36" s="293">
        <f>38927*(42.435-40.93)</f>
        <v>58585.135000000097</v>
      </c>
      <c r="I36" s="197">
        <v>0</v>
      </c>
      <c r="J36" s="197">
        <v>0</v>
      </c>
      <c r="K36" s="197">
        <v>0</v>
      </c>
      <c r="L36" s="197">
        <v>0</v>
      </c>
      <c r="M36" s="197">
        <v>0</v>
      </c>
      <c r="N36" s="197">
        <v>0</v>
      </c>
      <c r="O36" s="293">
        <f>61962*(43.11-42.9)</f>
        <v>13012.020000000053</v>
      </c>
      <c r="P36" s="293">
        <f>64018*(43.11-42.9)</f>
        <v>13443.780000000055</v>
      </c>
      <c r="Q36" s="294"/>
      <c r="R36" s="282">
        <f t="shared" si="7"/>
        <v>378771.78500000067</v>
      </c>
    </row>
    <row r="37" spans="1:18" s="184" customFormat="1" hidden="1" outlineLevel="1">
      <c r="A37" s="295"/>
      <c r="B37" s="178"/>
      <c r="C37" s="178"/>
      <c r="D37" s="296">
        <f>SUM(E37:P37)</f>
        <v>198069940.78500003</v>
      </c>
      <c r="E37" s="296">
        <f>SUM(E28:E36)</f>
        <v>21637001.565000001</v>
      </c>
      <c r="F37" s="296">
        <f t="shared" ref="F37:P37" si="9">SUM(F28:F36)</f>
        <v>21929186.82</v>
      </c>
      <c r="G37" s="296">
        <f>SUM(G28:G36)</f>
        <v>23776856.465</v>
      </c>
      <c r="H37" s="296">
        <f t="shared" si="9"/>
        <v>15594828.135</v>
      </c>
      <c r="I37" s="296">
        <f t="shared" si="9"/>
        <v>11696613</v>
      </c>
      <c r="J37" s="296">
        <f t="shared" si="9"/>
        <v>11288454</v>
      </c>
      <c r="K37" s="296">
        <f t="shared" si="9"/>
        <v>15757204</v>
      </c>
      <c r="L37" s="296">
        <f t="shared" si="9"/>
        <v>14301087</v>
      </c>
      <c r="M37" s="296">
        <f>SUM(M28:M36)</f>
        <v>13509093</v>
      </c>
      <c r="N37" s="296">
        <f>SUM(N28:N36)</f>
        <v>12571027</v>
      </c>
      <c r="O37" s="296">
        <f t="shared" si="9"/>
        <v>18306165.02</v>
      </c>
      <c r="P37" s="296">
        <f t="shared" si="9"/>
        <v>17702424.780000001</v>
      </c>
      <c r="Q37" s="297"/>
      <c r="R37" s="296">
        <f>SUM(R28:R36)</f>
        <v>198069940.785</v>
      </c>
    </row>
    <row r="38" spans="1:18" collapsed="1">
      <c r="A38" s="275"/>
      <c r="B38" s="178"/>
      <c r="C38" s="178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</row>
    <row r="39" spans="1:18" ht="19.5" customHeight="1">
      <c r="A39" s="275"/>
      <c r="B39" s="179" t="s">
        <v>224</v>
      </c>
      <c r="C39" s="179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</row>
    <row r="40" spans="1:18" ht="12.9" customHeight="1">
      <c r="A40" s="275">
        <f>A24+1</f>
        <v>19</v>
      </c>
      <c r="B40" s="62" t="s">
        <v>225</v>
      </c>
      <c r="C40" s="286"/>
      <c r="D40" s="290">
        <f>SUM(E40:P40)</f>
        <v>-105474418.219</v>
      </c>
      <c r="E40" s="172">
        <f>E47-SUM(E41:E46)</f>
        <v>-12424978</v>
      </c>
      <c r="F40" s="172">
        <f t="shared" ref="F40:P40" si="10">F47-SUM(F41:F46)</f>
        <v>-7244895</v>
      </c>
      <c r="G40" s="172">
        <f t="shared" si="10"/>
        <v>-9875011.6999999993</v>
      </c>
      <c r="H40" s="172">
        <f t="shared" si="10"/>
        <v>-8489016.3000000007</v>
      </c>
      <c r="I40" s="172">
        <f t="shared" si="10"/>
        <v>-9615776.8000000007</v>
      </c>
      <c r="J40" s="172">
        <f t="shared" si="10"/>
        <v>-7795254.7000000002</v>
      </c>
      <c r="K40" s="172">
        <f t="shared" si="10"/>
        <v>-12649633.800000001</v>
      </c>
      <c r="L40" s="172">
        <f t="shared" si="10"/>
        <v>-6841904</v>
      </c>
      <c r="M40" s="172">
        <f t="shared" si="10"/>
        <v>-7279979.2999999998</v>
      </c>
      <c r="N40" s="172">
        <f t="shared" si="10"/>
        <v>-7737744.3300000001</v>
      </c>
      <c r="O40" s="172">
        <f t="shared" si="10"/>
        <v>-6783905.9289999995</v>
      </c>
      <c r="P40" s="172">
        <f t="shared" si="10"/>
        <v>-8736318.3599999994</v>
      </c>
      <c r="Q40" s="298"/>
      <c r="R40" s="290">
        <f t="shared" ref="R40:R46" si="11">SUM(E40:P40)</f>
        <v>-105474418.219</v>
      </c>
    </row>
    <row r="41" spans="1:18">
      <c r="A41" s="275">
        <f t="shared" ref="A41:A47" si="12">A40+1</f>
        <v>20</v>
      </c>
      <c r="B41" s="180" t="s">
        <v>226</v>
      </c>
      <c r="C41" s="283">
        <v>100062</v>
      </c>
      <c r="D41" s="290">
        <f t="shared" ref="D41:D46" si="13">SUM(E41:P41)</f>
        <v>-1748825</v>
      </c>
      <c r="E41" s="285">
        <v>-146020</v>
      </c>
      <c r="F41" s="285">
        <v>-146345</v>
      </c>
      <c r="G41" s="285">
        <v>-144955</v>
      </c>
      <c r="H41" s="285">
        <v>-146085</v>
      </c>
      <c r="I41" s="285">
        <v>-146020</v>
      </c>
      <c r="J41" s="285">
        <v>-145215</v>
      </c>
      <c r="K41" s="285">
        <v>-146020</v>
      </c>
      <c r="L41" s="285">
        <v>-146020</v>
      </c>
      <c r="M41" s="285">
        <v>-145085</v>
      </c>
      <c r="N41" s="285">
        <v>-146020</v>
      </c>
      <c r="O41" s="285">
        <v>-146085</v>
      </c>
      <c r="P41" s="285">
        <v>-144955</v>
      </c>
      <c r="Q41" s="298"/>
      <c r="R41" s="290">
        <f t="shared" si="11"/>
        <v>-1748825</v>
      </c>
    </row>
    <row r="42" spans="1:18">
      <c r="A42" s="275">
        <f t="shared" si="12"/>
        <v>21</v>
      </c>
      <c r="B42" s="62" t="s">
        <v>227</v>
      </c>
      <c r="C42" s="286" t="s">
        <v>228</v>
      </c>
      <c r="D42" s="290">
        <f t="shared" si="13"/>
        <v>-1640681</v>
      </c>
      <c r="E42" s="285">
        <v>-148801</v>
      </c>
      <c r="F42" s="285">
        <v>-234831</v>
      </c>
      <c r="G42" s="285">
        <v>-93285</v>
      </c>
      <c r="H42" s="285">
        <v>-87351</v>
      </c>
      <c r="I42" s="285">
        <v>-96325</v>
      </c>
      <c r="J42" s="285">
        <v>-85420</v>
      </c>
      <c r="K42" s="285">
        <v>-153324</v>
      </c>
      <c r="L42" s="285">
        <v>-179710</v>
      </c>
      <c r="M42" s="285">
        <v>-170457</v>
      </c>
      <c r="N42" s="285">
        <v>-147387</v>
      </c>
      <c r="O42" s="285">
        <v>-143768</v>
      </c>
      <c r="P42" s="285">
        <v>-100022</v>
      </c>
      <c r="Q42" s="298"/>
      <c r="R42" s="290">
        <f>SUM(E42:P42)</f>
        <v>-1640681</v>
      </c>
    </row>
    <row r="43" spans="1:18">
      <c r="A43" s="275">
        <f t="shared" si="12"/>
        <v>22</v>
      </c>
      <c r="B43" s="62" t="s">
        <v>229</v>
      </c>
      <c r="C43" s="169" t="s">
        <v>230</v>
      </c>
      <c r="D43" s="290">
        <f t="shared" si="13"/>
        <v>-95281.24</v>
      </c>
      <c r="E43" s="285">
        <v>-6912</v>
      </c>
      <c r="F43" s="285">
        <v>-6230</v>
      </c>
      <c r="G43" s="285">
        <v>-6650</v>
      </c>
      <c r="H43" s="285">
        <v>-6491</v>
      </c>
      <c r="I43" s="285">
        <v>-6554</v>
      </c>
      <c r="J43" s="285">
        <v>-6476</v>
      </c>
      <c r="K43" s="285">
        <v>-6450</v>
      </c>
      <c r="L43" s="285">
        <v>-6574</v>
      </c>
      <c r="M43" s="285">
        <v>-6391</v>
      </c>
      <c r="N43" s="285">
        <f>-6807.75-3063.49-3063.49</f>
        <v>-12934.73</v>
      </c>
      <c r="O43" s="285">
        <f>-5587.75-3037.73-3037.73</f>
        <v>-11663.21</v>
      </c>
      <c r="P43" s="285">
        <f>-5766-3094.65-3094.65</f>
        <v>-11955.3</v>
      </c>
      <c r="Q43" s="298"/>
      <c r="R43" s="290">
        <f>SUM(E43:P43)</f>
        <v>-95281.24</v>
      </c>
    </row>
    <row r="44" spans="1:18">
      <c r="A44" s="275">
        <f t="shared" si="12"/>
        <v>23</v>
      </c>
      <c r="B44" s="62" t="s">
        <v>231</v>
      </c>
      <c r="C44" s="299" t="s">
        <v>232</v>
      </c>
      <c r="D44" s="290">
        <f t="shared" si="13"/>
        <v>-450957.54099999997</v>
      </c>
      <c r="E44" s="285">
        <v>-39819</v>
      </c>
      <c r="F44" s="285">
        <v>-36966</v>
      </c>
      <c r="G44" s="285">
        <f>(26637.8+8490.75+8490.75)*-1</f>
        <v>-43619.3</v>
      </c>
      <c r="H44" s="285">
        <f>-20683.32-8271.19-8271.19</f>
        <v>-37225.700000000004</v>
      </c>
      <c r="I44" s="285">
        <f>-20543.32-4500.94-4500.94</f>
        <v>-29545.199999999997</v>
      </c>
      <c r="J44" s="285">
        <f>-18740.68-3421.31-3421.31</f>
        <v>-25583.300000000003</v>
      </c>
      <c r="K44" s="285">
        <f>-19578.44-7615.88-7615.88</f>
        <v>-34810.199999999997</v>
      </c>
      <c r="L44" s="285">
        <v>-30930</v>
      </c>
      <c r="M44" s="285">
        <f>-18896.08-5516.81-5516.81</f>
        <v>-29929.700000000004</v>
      </c>
      <c r="N44" s="285">
        <f>-5496.98-5496.98-20243.16-8133.41-8133.41</f>
        <v>-47503.94</v>
      </c>
      <c r="O44" s="285">
        <f>-4129.2-4129.2-19094.04-7671.711-7671.71</f>
        <v>-42695.861000000004</v>
      </c>
      <c r="P44" s="285">
        <f>-5171.06-5171.06-23280.04-9353.59-9353.59</f>
        <v>-52329.34</v>
      </c>
      <c r="Q44" s="298"/>
      <c r="R44" s="290">
        <f>SUM(E44:P44)</f>
        <v>-450957.54099999997</v>
      </c>
    </row>
    <row r="45" spans="1:18">
      <c r="A45" s="275">
        <f t="shared" si="12"/>
        <v>24</v>
      </c>
      <c r="B45" s="62" t="s">
        <v>233</v>
      </c>
      <c r="C45" s="286" t="s">
        <v>234</v>
      </c>
      <c r="D45" s="290">
        <f t="shared" si="13"/>
        <v>-20024352</v>
      </c>
      <c r="E45" s="285">
        <v>-1845354</v>
      </c>
      <c r="F45" s="285">
        <v>-2577410</v>
      </c>
      <c r="G45" s="285">
        <v>-1401992</v>
      </c>
      <c r="H45" s="285">
        <v>-1459802</v>
      </c>
      <c r="I45" s="285">
        <v>-1388168</v>
      </c>
      <c r="J45" s="285">
        <v>-1456313</v>
      </c>
      <c r="K45" s="285">
        <v>-1714819</v>
      </c>
      <c r="L45" s="285">
        <v>-1791952</v>
      </c>
      <c r="M45" s="285">
        <v>-1720772</v>
      </c>
      <c r="N45" s="285">
        <v>-1584190</v>
      </c>
      <c r="O45" s="285">
        <v>-1623390</v>
      </c>
      <c r="P45" s="285">
        <v>-1460190</v>
      </c>
      <c r="Q45" s="298"/>
      <c r="R45" s="290">
        <f t="shared" si="11"/>
        <v>-20024352</v>
      </c>
    </row>
    <row r="46" spans="1:18">
      <c r="A46" s="275">
        <f t="shared" si="12"/>
        <v>25</v>
      </c>
      <c r="B46" s="62" t="s">
        <v>235</v>
      </c>
      <c r="C46" s="286"/>
      <c r="D46" s="290">
        <f t="shared" si="13"/>
        <v>-21452870</v>
      </c>
      <c r="E46" s="170">
        <f>E56</f>
        <v>-2187988</v>
      </c>
      <c r="F46" s="170">
        <f>F56</f>
        <v>-2108495</v>
      </c>
      <c r="G46" s="170">
        <f t="shared" ref="G46:P47" si="14">G56</f>
        <v>-1953888</v>
      </c>
      <c r="H46" s="170">
        <f t="shared" si="14"/>
        <v>-2264326</v>
      </c>
      <c r="I46" s="170">
        <f t="shared" si="14"/>
        <v>-2032875</v>
      </c>
      <c r="J46" s="170">
        <f>J56</f>
        <v>-1660627</v>
      </c>
      <c r="K46" s="170">
        <f>K56</f>
        <v>-2114880</v>
      </c>
      <c r="L46" s="170">
        <f t="shared" si="14"/>
        <v>-1774450</v>
      </c>
      <c r="M46" s="170">
        <f t="shared" si="14"/>
        <v>-1490741</v>
      </c>
      <c r="N46" s="170">
        <f t="shared" si="14"/>
        <v>-1147944</v>
      </c>
      <c r="O46" s="170">
        <f t="shared" si="14"/>
        <v>-1316232</v>
      </c>
      <c r="P46" s="170">
        <f t="shared" si="14"/>
        <v>-1400424</v>
      </c>
      <c r="Q46" s="298"/>
      <c r="R46" s="290">
        <f t="shared" si="11"/>
        <v>-21452870</v>
      </c>
    </row>
    <row r="47" spans="1:18" s="184" customFormat="1" ht="24.75" customHeight="1" thickBot="1">
      <c r="A47" s="287">
        <f t="shared" si="12"/>
        <v>26</v>
      </c>
      <c r="B47" s="181" t="s">
        <v>236</v>
      </c>
      <c r="C47" s="181"/>
      <c r="D47" s="193">
        <f>SUM(E47:P47)</f>
        <v>-150887385</v>
      </c>
      <c r="E47" s="288">
        <f>E57</f>
        <v>-16799872</v>
      </c>
      <c r="F47" s="288">
        <f>F57</f>
        <v>-12355172</v>
      </c>
      <c r="G47" s="288">
        <f t="shared" si="14"/>
        <v>-13519401</v>
      </c>
      <c r="H47" s="288">
        <f>H57</f>
        <v>-12490297</v>
      </c>
      <c r="I47" s="288">
        <f>I57</f>
        <v>-13315264</v>
      </c>
      <c r="J47" s="288">
        <f t="shared" si="14"/>
        <v>-11174889</v>
      </c>
      <c r="K47" s="288">
        <f t="shared" si="14"/>
        <v>-16819937</v>
      </c>
      <c r="L47" s="288">
        <f t="shared" si="14"/>
        <v>-10771540</v>
      </c>
      <c r="M47" s="288">
        <f>M57</f>
        <v>-10843355</v>
      </c>
      <c r="N47" s="288">
        <f t="shared" si="14"/>
        <v>-10823724</v>
      </c>
      <c r="O47" s="288">
        <f t="shared" si="14"/>
        <v>-10067740</v>
      </c>
      <c r="P47" s="288">
        <f t="shared" si="14"/>
        <v>-11906194</v>
      </c>
      <c r="Q47" s="300"/>
      <c r="R47" s="289">
        <f>SUM(R40:R46)</f>
        <v>-150887385</v>
      </c>
    </row>
    <row r="48" spans="1:18" ht="13.8" thickTop="1">
      <c r="A48" s="275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301"/>
    </row>
    <row r="49" spans="1:18" hidden="1" outlineLevel="2">
      <c r="A49" s="275"/>
      <c r="E49" s="290"/>
      <c r="F49" s="290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301"/>
    </row>
    <row r="50" spans="1:18" hidden="1" outlineLevel="2">
      <c r="A50" s="275"/>
      <c r="B50" s="182" t="s">
        <v>224</v>
      </c>
      <c r="C50" s="182"/>
      <c r="E50" s="290"/>
      <c r="F50" s="290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301"/>
    </row>
    <row r="51" spans="1:18" hidden="1" outlineLevel="2">
      <c r="A51" s="275"/>
      <c r="B51" s="62">
        <v>447000</v>
      </c>
      <c r="D51" s="290">
        <f t="shared" ref="D51:D57" si="15">SUM(E51:P51)</f>
        <v>-112738560</v>
      </c>
      <c r="E51" s="154">
        <v>-12984331</v>
      </c>
      <c r="F51" s="154">
        <v>-17804382</v>
      </c>
      <c r="G51" s="154">
        <v>-7404247</v>
      </c>
      <c r="H51" s="154">
        <v>-8394484</v>
      </c>
      <c r="I51" s="154">
        <v>-8658620</v>
      </c>
      <c r="J51" s="154">
        <v>-7988672</v>
      </c>
      <c r="K51" s="154">
        <v>-12782909</v>
      </c>
      <c r="L51" s="154">
        <v>-8261440</v>
      </c>
      <c r="M51" s="154">
        <v>-8599370</v>
      </c>
      <c r="N51" s="154">
        <v>-7158889</v>
      </c>
      <c r="O51" s="154">
        <v>-6340540</v>
      </c>
      <c r="P51" s="154">
        <v>-6360676</v>
      </c>
      <c r="Q51" s="302"/>
      <c r="R51" s="282">
        <f t="shared" ref="R51:R56" si="16">SUM(E51:P51)</f>
        <v>-112738560</v>
      </c>
    </row>
    <row r="52" spans="1:18" hidden="1" outlineLevel="2">
      <c r="A52" s="275"/>
      <c r="B52" s="62">
        <v>447100</v>
      </c>
      <c r="D52" s="290">
        <f t="shared" si="15"/>
        <v>-2796532</v>
      </c>
      <c r="E52" s="154">
        <v>1252431</v>
      </c>
      <c r="F52" s="154">
        <v>10121538</v>
      </c>
      <c r="G52" s="154">
        <v>-3194362</v>
      </c>
      <c r="H52" s="154">
        <v>-1381594</v>
      </c>
      <c r="I52" s="154">
        <v>-2109314</v>
      </c>
      <c r="J52" s="154">
        <v>-1042530</v>
      </c>
      <c r="K52" s="154">
        <v>-659424</v>
      </c>
      <c r="L52" s="154">
        <v>301103</v>
      </c>
      <c r="M52" s="154">
        <v>118351</v>
      </c>
      <c r="N52" s="154">
        <v>-1713356</v>
      </c>
      <c r="O52" s="154">
        <v>-1443110</v>
      </c>
      <c r="P52" s="154">
        <v>-3046265</v>
      </c>
      <c r="Q52" s="302"/>
      <c r="R52" s="282">
        <f t="shared" si="16"/>
        <v>-2796532</v>
      </c>
    </row>
    <row r="53" spans="1:18" hidden="1" outlineLevel="2">
      <c r="A53" s="275"/>
      <c r="B53" s="62">
        <v>447313</v>
      </c>
      <c r="D53" s="290">
        <f t="shared" si="15"/>
        <v>0</v>
      </c>
      <c r="E53" s="154">
        <v>0</v>
      </c>
      <c r="F53" s="154">
        <v>0</v>
      </c>
      <c r="G53" s="154">
        <v>0</v>
      </c>
      <c r="H53" s="154">
        <v>0</v>
      </c>
      <c r="I53" s="154">
        <v>0</v>
      </c>
      <c r="J53" s="154">
        <v>0</v>
      </c>
      <c r="K53" s="154">
        <v>0</v>
      </c>
      <c r="L53" s="154">
        <v>0</v>
      </c>
      <c r="M53" s="154">
        <v>0</v>
      </c>
      <c r="N53" s="154">
        <v>0</v>
      </c>
      <c r="O53" s="154">
        <v>0</v>
      </c>
      <c r="P53" s="154">
        <v>0</v>
      </c>
      <c r="Q53" s="302"/>
      <c r="R53" s="282">
        <f t="shared" si="16"/>
        <v>0</v>
      </c>
    </row>
    <row r="54" spans="1:18" hidden="1" outlineLevel="2">
      <c r="A54" s="275"/>
      <c r="B54" s="62">
        <v>447700</v>
      </c>
      <c r="D54" s="290">
        <f t="shared" si="15"/>
        <v>-12972472</v>
      </c>
      <c r="E54" s="154">
        <v>-2820831</v>
      </c>
      <c r="F54" s="154">
        <v>-2488617</v>
      </c>
      <c r="G54" s="154">
        <v>-905203</v>
      </c>
      <c r="H54" s="154">
        <v>-401035</v>
      </c>
      <c r="I54" s="154">
        <v>-468156</v>
      </c>
      <c r="J54" s="154">
        <v>-435802</v>
      </c>
      <c r="K54" s="154">
        <v>-1205824</v>
      </c>
      <c r="L54" s="154">
        <v>-981940</v>
      </c>
      <c r="M54" s="154">
        <v>-826092</v>
      </c>
      <c r="N54" s="154">
        <v>-757670</v>
      </c>
      <c r="O54" s="154">
        <v>-745208</v>
      </c>
      <c r="P54" s="154">
        <v>-936094</v>
      </c>
      <c r="Q54" s="302"/>
      <c r="R54" s="282">
        <f t="shared" si="16"/>
        <v>-12972472</v>
      </c>
    </row>
    <row r="55" spans="1:18" hidden="1" outlineLevel="2">
      <c r="A55" s="275"/>
      <c r="B55" s="62">
        <v>447710</v>
      </c>
      <c r="D55" s="290">
        <f t="shared" si="15"/>
        <v>-926951</v>
      </c>
      <c r="E55" s="154">
        <v>-59153</v>
      </c>
      <c r="F55" s="154">
        <v>-75216</v>
      </c>
      <c r="G55" s="154">
        <v>-61701</v>
      </c>
      <c r="H55" s="154">
        <v>-48858</v>
      </c>
      <c r="I55" s="154">
        <v>-46299</v>
      </c>
      <c r="J55" s="154">
        <v>-47258</v>
      </c>
      <c r="K55" s="154">
        <v>-56900</v>
      </c>
      <c r="L55" s="154">
        <v>-54813</v>
      </c>
      <c r="M55" s="154">
        <v>-45503</v>
      </c>
      <c r="N55" s="154">
        <v>-45865</v>
      </c>
      <c r="O55" s="154">
        <v>-222650</v>
      </c>
      <c r="P55" s="154">
        <v>-162735</v>
      </c>
      <c r="Q55" s="302"/>
      <c r="R55" s="282">
        <f t="shared" si="16"/>
        <v>-926951</v>
      </c>
    </row>
    <row r="56" spans="1:18" hidden="1" outlineLevel="2">
      <c r="A56" s="275"/>
      <c r="B56" s="62">
        <v>447720</v>
      </c>
      <c r="D56" s="292">
        <f t="shared" si="15"/>
        <v>-21452870</v>
      </c>
      <c r="E56" s="183">
        <v>-2187988</v>
      </c>
      <c r="F56" s="183">
        <v>-2108495</v>
      </c>
      <c r="G56" s="183">
        <v>-1953888</v>
      </c>
      <c r="H56" s="183">
        <v>-2264326</v>
      </c>
      <c r="I56" s="183">
        <v>-2032875</v>
      </c>
      <c r="J56" s="183">
        <v>-1660627</v>
      </c>
      <c r="K56" s="183">
        <v>-2114880</v>
      </c>
      <c r="L56" s="183">
        <v>-1774450</v>
      </c>
      <c r="M56" s="183">
        <v>-1490741</v>
      </c>
      <c r="N56" s="183">
        <v>-1147944</v>
      </c>
      <c r="O56" s="183">
        <v>-1316232</v>
      </c>
      <c r="P56" s="183">
        <v>-1400424</v>
      </c>
      <c r="Q56" s="302"/>
      <c r="R56" s="303">
        <f t="shared" si="16"/>
        <v>-21452870</v>
      </c>
    </row>
    <row r="57" spans="1:18" s="184" customFormat="1" hidden="1" outlineLevel="2">
      <c r="A57" s="295"/>
      <c r="D57" s="296">
        <f t="shared" si="15"/>
        <v>-150887385</v>
      </c>
      <c r="E57" s="185">
        <f t="shared" ref="E57:P57" si="17">SUM(E51:E56)</f>
        <v>-16799872</v>
      </c>
      <c r="F57" s="185">
        <f t="shared" si="17"/>
        <v>-12355172</v>
      </c>
      <c r="G57" s="185">
        <f t="shared" si="17"/>
        <v>-13519401</v>
      </c>
      <c r="H57" s="185">
        <f t="shared" si="17"/>
        <v>-12490297</v>
      </c>
      <c r="I57" s="185">
        <f t="shared" si="17"/>
        <v>-13315264</v>
      </c>
      <c r="J57" s="185">
        <f t="shared" si="17"/>
        <v>-11174889</v>
      </c>
      <c r="K57" s="185">
        <f t="shared" si="17"/>
        <v>-16819937</v>
      </c>
      <c r="L57" s="185">
        <f t="shared" si="17"/>
        <v>-10771540</v>
      </c>
      <c r="M57" s="185">
        <f>SUM(M51:M56)</f>
        <v>-10843355</v>
      </c>
      <c r="N57" s="185">
        <f t="shared" si="17"/>
        <v>-10823724</v>
      </c>
      <c r="O57" s="185">
        <f t="shared" si="17"/>
        <v>-10067740</v>
      </c>
      <c r="P57" s="185">
        <f t="shared" si="17"/>
        <v>-11906194</v>
      </c>
      <c r="Q57" s="304"/>
      <c r="R57" s="296">
        <f>SUM(R51:R56)</f>
        <v>-150887385</v>
      </c>
    </row>
    <row r="58" spans="1:18" hidden="1" outlineLevel="2">
      <c r="A58" s="275"/>
      <c r="E58" s="290"/>
      <c r="F58" s="290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302"/>
      <c r="R58" s="290"/>
    </row>
    <row r="59" spans="1:18" collapsed="1">
      <c r="A59" s="275"/>
      <c r="B59" s="179" t="s">
        <v>237</v>
      </c>
      <c r="C59" s="179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302"/>
      <c r="R59" s="290"/>
    </row>
    <row r="60" spans="1:18">
      <c r="A60" s="275">
        <f>A47+1</f>
        <v>27</v>
      </c>
      <c r="B60" s="21" t="s">
        <v>238</v>
      </c>
      <c r="C60" s="21"/>
      <c r="D60" s="290">
        <f>SUM(E60:P60)</f>
        <v>6035441</v>
      </c>
      <c r="E60" s="154">
        <v>704547</v>
      </c>
      <c r="F60" s="154">
        <v>623814</v>
      </c>
      <c r="G60" s="154">
        <v>-173999</v>
      </c>
      <c r="H60" s="154">
        <v>518089</v>
      </c>
      <c r="I60" s="154">
        <v>422078</v>
      </c>
      <c r="J60" s="154">
        <v>213315</v>
      </c>
      <c r="K60" s="154">
        <v>535881</v>
      </c>
      <c r="L60" s="154">
        <v>773930</v>
      </c>
      <c r="M60" s="154">
        <v>693646</v>
      </c>
      <c r="N60" s="154">
        <v>709625</v>
      </c>
      <c r="O60" s="154">
        <v>260200</v>
      </c>
      <c r="P60" s="154">
        <v>754315</v>
      </c>
      <c r="Q60" s="305"/>
      <c r="R60" s="306">
        <f>SUM(E60:P60)</f>
        <v>6035441</v>
      </c>
    </row>
    <row r="61" spans="1:18">
      <c r="A61" s="275">
        <f>+A60+1</f>
        <v>28</v>
      </c>
      <c r="B61" s="21" t="s">
        <v>239</v>
      </c>
      <c r="C61" s="21"/>
      <c r="D61" s="290">
        <f>SUM(E61:P61)</f>
        <v>17321</v>
      </c>
      <c r="E61" s="154">
        <v>743</v>
      </c>
      <c r="F61" s="154">
        <v>-2472</v>
      </c>
      <c r="G61" s="154">
        <v>9950</v>
      </c>
      <c r="H61" s="154">
        <v>-1274</v>
      </c>
      <c r="I61" s="154">
        <v>506</v>
      </c>
      <c r="J61" s="154">
        <v>1668</v>
      </c>
      <c r="K61" s="154">
        <v>4413</v>
      </c>
      <c r="L61" s="154">
        <v>-226</v>
      </c>
      <c r="M61" s="154">
        <v>3674</v>
      </c>
      <c r="N61" s="154">
        <v>116</v>
      </c>
      <c r="O61" s="154">
        <v>270</v>
      </c>
      <c r="P61" s="154">
        <v>-47</v>
      </c>
      <c r="Q61" s="305"/>
      <c r="R61" s="306">
        <f>SUM(E61:P61)</f>
        <v>17321</v>
      </c>
    </row>
    <row r="62" spans="1:18">
      <c r="A62" s="275">
        <f>+A61+1</f>
        <v>29</v>
      </c>
      <c r="B62" s="57" t="s">
        <v>240</v>
      </c>
      <c r="C62" s="57"/>
      <c r="D62" s="290">
        <f>SUM(E62:P62)</f>
        <v>20896450</v>
      </c>
      <c r="E62" s="154">
        <v>1697324</v>
      </c>
      <c r="F62" s="154">
        <v>2044734</v>
      </c>
      <c r="G62" s="154">
        <v>2020464</v>
      </c>
      <c r="H62" s="154">
        <v>1637377</v>
      </c>
      <c r="I62" s="154">
        <v>622207</v>
      </c>
      <c r="J62" s="154">
        <v>943848</v>
      </c>
      <c r="K62" s="154">
        <v>1656643</v>
      </c>
      <c r="L62" s="154">
        <v>2259435</v>
      </c>
      <c r="M62" s="154">
        <v>2576439</v>
      </c>
      <c r="N62" s="154">
        <v>1717435</v>
      </c>
      <c r="O62" s="154">
        <v>1961562</v>
      </c>
      <c r="P62" s="154">
        <v>1758982</v>
      </c>
      <c r="Q62" s="305"/>
      <c r="R62" s="307">
        <f>SUM(E62:P62)</f>
        <v>20896450</v>
      </c>
    </row>
    <row r="63" spans="1:18">
      <c r="A63" s="275">
        <f>+A62+1</f>
        <v>30</v>
      </c>
      <c r="B63" s="57" t="s">
        <v>241</v>
      </c>
      <c r="C63" s="57"/>
      <c r="D63" s="290">
        <f>SUM(E63:P63)</f>
        <v>333236</v>
      </c>
      <c r="E63" s="154">
        <v>1609</v>
      </c>
      <c r="F63" s="154">
        <v>47379</v>
      </c>
      <c r="G63" s="154">
        <v>15197</v>
      </c>
      <c r="H63" s="154">
        <v>25078</v>
      </c>
      <c r="I63" s="154">
        <v>60920</v>
      </c>
      <c r="J63" s="154">
        <v>25757</v>
      </c>
      <c r="K63" s="154">
        <v>837</v>
      </c>
      <c r="L63" s="154">
        <v>69553</v>
      </c>
      <c r="M63" s="154">
        <v>32138</v>
      </c>
      <c r="N63" s="154">
        <v>17740</v>
      </c>
      <c r="O63" s="154">
        <v>27191</v>
      </c>
      <c r="P63" s="154">
        <v>9837</v>
      </c>
      <c r="Q63" s="305"/>
      <c r="R63" s="307">
        <f>SUM(E63:P63)</f>
        <v>333236</v>
      </c>
    </row>
    <row r="64" spans="1:18" s="184" customFormat="1" ht="27.75" customHeight="1" thickBot="1">
      <c r="A64" s="287">
        <f>+A63+1</f>
        <v>31</v>
      </c>
      <c r="B64" s="181" t="s">
        <v>242</v>
      </c>
      <c r="C64" s="181"/>
      <c r="D64" s="193">
        <f>SUM(E64:P64)</f>
        <v>27282448</v>
      </c>
      <c r="E64" s="163">
        <f>SUM(E60:E63)</f>
        <v>2404223</v>
      </c>
      <c r="F64" s="163">
        <f t="shared" ref="F64:P64" si="18">SUM(F60:F63)</f>
        <v>2713455</v>
      </c>
      <c r="G64" s="163">
        <f t="shared" si="18"/>
        <v>1871612</v>
      </c>
      <c r="H64" s="163">
        <f t="shared" si="18"/>
        <v>2179270</v>
      </c>
      <c r="I64" s="163">
        <f t="shared" si="18"/>
        <v>1105711</v>
      </c>
      <c r="J64" s="163">
        <f t="shared" si="18"/>
        <v>1184588</v>
      </c>
      <c r="K64" s="163">
        <f t="shared" si="18"/>
        <v>2197774</v>
      </c>
      <c r="L64" s="163">
        <f t="shared" si="18"/>
        <v>3102692</v>
      </c>
      <c r="M64" s="163">
        <f t="shared" si="18"/>
        <v>3305897</v>
      </c>
      <c r="N64" s="163">
        <f t="shared" si="18"/>
        <v>2444916</v>
      </c>
      <c r="O64" s="163">
        <f t="shared" si="18"/>
        <v>2249223</v>
      </c>
      <c r="P64" s="163">
        <f t="shared" si="18"/>
        <v>2523087</v>
      </c>
      <c r="Q64" s="308"/>
      <c r="R64" s="289">
        <f>SUM(E64:P64)</f>
        <v>27282448</v>
      </c>
    </row>
    <row r="65" spans="1:18" ht="8.25" customHeight="1" thickTop="1">
      <c r="A65" s="275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301"/>
    </row>
    <row r="66" spans="1:18" ht="18.75" customHeight="1">
      <c r="A66" s="275"/>
      <c r="B66" s="179" t="s">
        <v>243</v>
      </c>
      <c r="C66" s="179"/>
      <c r="E66" s="171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301"/>
    </row>
    <row r="67" spans="1:18">
      <c r="A67" s="275">
        <f>A64+1</f>
        <v>32</v>
      </c>
      <c r="B67" s="62" t="s">
        <v>244</v>
      </c>
      <c r="C67" s="21" t="s">
        <v>245</v>
      </c>
      <c r="D67" s="309">
        <f>SUM(E67:P67)</f>
        <v>472538</v>
      </c>
      <c r="E67" s="310">
        <v>54406</v>
      </c>
      <c r="F67" s="310">
        <v>46664</v>
      </c>
      <c r="G67" s="310">
        <v>21970</v>
      </c>
      <c r="H67" s="310">
        <v>37478</v>
      </c>
      <c r="I67" s="310">
        <v>30441</v>
      </c>
      <c r="J67" s="310">
        <v>15237</v>
      </c>
      <c r="K67" s="310">
        <v>38442</v>
      </c>
      <c r="L67" s="310">
        <v>54228</v>
      </c>
      <c r="M67" s="310">
        <v>48005</v>
      </c>
      <c r="N67" s="310">
        <v>49557</v>
      </c>
      <c r="O67" s="310">
        <v>18577</v>
      </c>
      <c r="P67" s="310">
        <v>57533</v>
      </c>
      <c r="Q67" s="301"/>
      <c r="R67" s="85">
        <f>SUM(E67:P67)</f>
        <v>472538</v>
      </c>
    </row>
    <row r="68" spans="1:18">
      <c r="A68" s="275">
        <f>A67+1</f>
        <v>33</v>
      </c>
      <c r="B68" s="62" t="s">
        <v>20</v>
      </c>
      <c r="C68" s="21" t="s">
        <v>246</v>
      </c>
      <c r="D68" s="309">
        <f>SUM(E68:P68)</f>
        <v>920392</v>
      </c>
      <c r="E68" s="310">
        <v>65707</v>
      </c>
      <c r="F68" s="310">
        <v>86804</v>
      </c>
      <c r="G68" s="310">
        <v>76279</v>
      </c>
      <c r="H68" s="310">
        <v>63926</v>
      </c>
      <c r="I68" s="310">
        <v>39893</v>
      </c>
      <c r="J68" s="310">
        <v>38755</v>
      </c>
      <c r="K68" s="310">
        <v>83825</v>
      </c>
      <c r="L68" s="310">
        <v>95663</v>
      </c>
      <c r="M68" s="310">
        <v>94979</v>
      </c>
      <c r="N68" s="310">
        <v>98294</v>
      </c>
      <c r="O68" s="310">
        <v>93034</v>
      </c>
      <c r="P68" s="310">
        <v>83233</v>
      </c>
      <c r="Q68" s="301"/>
      <c r="R68" s="85">
        <f>SUM(E68:P68)</f>
        <v>920392</v>
      </c>
    </row>
    <row r="69" spans="1:18" ht="9" customHeight="1">
      <c r="A69" s="275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301"/>
    </row>
    <row r="70" spans="1:18" ht="21" customHeight="1">
      <c r="A70" s="275"/>
      <c r="B70" s="179" t="s">
        <v>247</v>
      </c>
      <c r="C70" s="179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301"/>
    </row>
    <row r="71" spans="1:18">
      <c r="A71" s="275">
        <f>A68+1</f>
        <v>34</v>
      </c>
      <c r="B71" s="62" t="s">
        <v>244</v>
      </c>
      <c r="D71" s="311" t="s">
        <v>248</v>
      </c>
      <c r="E71" s="312">
        <f>IF(E67=0," ",E60/E67)</f>
        <v>12.949803330515017</v>
      </c>
      <c r="F71" s="312">
        <f>IF(F67=0," ",F60/F67)</f>
        <v>13.368206754671695</v>
      </c>
      <c r="G71" s="312">
        <f>IF(G67=0," ",G60/G67)</f>
        <v>-7.9198452435138824</v>
      </c>
      <c r="H71" s="312">
        <f t="shared" ref="H71:P71" si="19">IF(H67=0," ",H60/H67)</f>
        <v>13.823816639094936</v>
      </c>
      <c r="I71" s="312">
        <f>IF(I67=0," ",I60/I67)</f>
        <v>13.865444630596892</v>
      </c>
      <c r="J71" s="312">
        <f t="shared" si="19"/>
        <v>13.999803110848593</v>
      </c>
      <c r="K71" s="312">
        <f>IF(K67=0," ",K60/K67)</f>
        <v>13.939987513656938</v>
      </c>
      <c r="L71" s="312">
        <f t="shared" si="19"/>
        <v>14.27177841705392</v>
      </c>
      <c r="M71" s="312">
        <f t="shared" si="19"/>
        <v>14.449453181960212</v>
      </c>
      <c r="N71" s="312">
        <f t="shared" si="19"/>
        <v>14.319369614787012</v>
      </c>
      <c r="O71" s="312">
        <f t="shared" si="19"/>
        <v>14.006567260591053</v>
      </c>
      <c r="P71" s="312">
        <f t="shared" si="19"/>
        <v>13.110997166843378</v>
      </c>
      <c r="Q71" s="313"/>
      <c r="R71" s="314">
        <f>R60/R67</f>
        <v>12.772392908083583</v>
      </c>
    </row>
    <row r="72" spans="1:18">
      <c r="A72" s="275">
        <f>A71+1</f>
        <v>35</v>
      </c>
      <c r="B72" s="62" t="s">
        <v>249</v>
      </c>
      <c r="D72" s="275" t="s">
        <v>250</v>
      </c>
      <c r="E72" s="312">
        <f>IF(E68=0," ",E62/E68)</f>
        <v>25.831707428432281</v>
      </c>
      <c r="F72" s="312">
        <f>IF(F68=0," ",F62/F68)</f>
        <v>23.555757799179762</v>
      </c>
      <c r="G72" s="312">
        <f t="shared" ref="G72:P72" si="20">IF(G68=0," ",G62/G68)</f>
        <v>26.487814470562014</v>
      </c>
      <c r="H72" s="312">
        <f t="shared" si="20"/>
        <v>25.613631386290397</v>
      </c>
      <c r="I72" s="312">
        <f>IF(I68=0," ",I62/I68)</f>
        <v>15.596896698668939</v>
      </c>
      <c r="J72" s="312">
        <f t="shared" si="20"/>
        <v>24.354225261256612</v>
      </c>
      <c r="K72" s="312">
        <f t="shared" si="20"/>
        <v>19.763113629585447</v>
      </c>
      <c r="L72" s="312">
        <f t="shared" si="20"/>
        <v>23.618692702507762</v>
      </c>
      <c r="M72" s="312">
        <f t="shared" si="20"/>
        <v>27.126406889944093</v>
      </c>
      <c r="N72" s="312">
        <f t="shared" si="20"/>
        <v>17.472429649826033</v>
      </c>
      <c r="O72" s="312">
        <f t="shared" si="20"/>
        <v>21.084356256852335</v>
      </c>
      <c r="P72" s="312">
        <f t="shared" si="20"/>
        <v>21.133228407002029</v>
      </c>
      <c r="Q72" s="313"/>
      <c r="R72" s="314">
        <f>R62/R68</f>
        <v>22.703858790602265</v>
      </c>
    </row>
    <row r="73" spans="1:18">
      <c r="A73" s="275"/>
      <c r="E73" s="171"/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301"/>
    </row>
    <row r="74" spans="1:18">
      <c r="A74" s="275"/>
      <c r="B74" s="179" t="s">
        <v>251</v>
      </c>
      <c r="C74" s="179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301"/>
    </row>
    <row r="75" spans="1:18">
      <c r="A75" s="275">
        <f>A72+1</f>
        <v>36</v>
      </c>
      <c r="B75" s="62" t="s">
        <v>252</v>
      </c>
      <c r="D75" s="290">
        <f t="shared" ref="D75:D81" si="21">SUM(E75:P75)</f>
        <v>102160</v>
      </c>
      <c r="E75" s="154">
        <v>979</v>
      </c>
      <c r="F75" s="154">
        <v>17378</v>
      </c>
      <c r="G75" s="154">
        <v>37568</v>
      </c>
      <c r="H75" s="154">
        <v>-2315</v>
      </c>
      <c r="I75" s="154">
        <v>-1121</v>
      </c>
      <c r="J75" s="154">
        <v>331</v>
      </c>
      <c r="K75" s="154">
        <v>3019</v>
      </c>
      <c r="L75" s="154">
        <v>21446</v>
      </c>
      <c r="M75" s="154">
        <v>20788</v>
      </c>
      <c r="N75" s="154">
        <v>1188</v>
      </c>
      <c r="O75" s="154">
        <v>669</v>
      </c>
      <c r="P75" s="154">
        <v>2230</v>
      </c>
      <c r="Q75" s="315"/>
      <c r="R75" s="316">
        <f t="shared" ref="R75:R80" si="22">SUM(E75:P75)</f>
        <v>102160</v>
      </c>
    </row>
    <row r="76" spans="1:18">
      <c r="A76" s="275">
        <f t="shared" ref="A76:A81" si="23">A75+1</f>
        <v>37</v>
      </c>
      <c r="B76" s="62" t="s">
        <v>253</v>
      </c>
      <c r="D76" s="290">
        <f t="shared" si="21"/>
        <v>606241</v>
      </c>
      <c r="E76" s="154">
        <v>88747</v>
      </c>
      <c r="F76" s="154">
        <v>72900</v>
      </c>
      <c r="G76" s="154">
        <v>44316</v>
      </c>
      <c r="H76" s="154">
        <v>8204</v>
      </c>
      <c r="I76" s="154">
        <v>65674</v>
      </c>
      <c r="J76" s="154">
        <v>30556</v>
      </c>
      <c r="K76" s="154">
        <v>96458</v>
      </c>
      <c r="L76" s="154">
        <v>69751</v>
      </c>
      <c r="M76" s="154">
        <v>59389</v>
      </c>
      <c r="N76" s="154">
        <v>9250</v>
      </c>
      <c r="O76" s="154">
        <v>45786</v>
      </c>
      <c r="P76" s="154">
        <v>15210</v>
      </c>
      <c r="Q76" s="315"/>
      <c r="R76" s="316">
        <f t="shared" si="22"/>
        <v>606241</v>
      </c>
    </row>
    <row r="77" spans="1:18">
      <c r="A77" s="275">
        <f t="shared" si="23"/>
        <v>38</v>
      </c>
      <c r="B77" s="62" t="s">
        <v>254</v>
      </c>
      <c r="D77" s="290">
        <f t="shared" si="21"/>
        <v>216723</v>
      </c>
      <c r="E77" s="154">
        <v>29791</v>
      </c>
      <c r="F77" s="154">
        <v>58419</v>
      </c>
      <c r="G77" s="154">
        <v>11302</v>
      </c>
      <c r="H77" s="154">
        <v>2874</v>
      </c>
      <c r="I77" s="154">
        <v>25607</v>
      </c>
      <c r="J77" s="154">
        <v>-7041</v>
      </c>
      <c r="K77" s="154">
        <v>27632</v>
      </c>
      <c r="L77" s="154">
        <v>33186</v>
      </c>
      <c r="M77" s="154">
        <v>22012</v>
      </c>
      <c r="N77" s="154">
        <v>2553</v>
      </c>
      <c r="O77" s="154">
        <v>6007</v>
      </c>
      <c r="P77" s="154">
        <v>4381</v>
      </c>
      <c r="Q77" s="315"/>
      <c r="R77" s="316">
        <f t="shared" si="22"/>
        <v>216723</v>
      </c>
    </row>
    <row r="78" spans="1:18">
      <c r="A78" s="275">
        <f t="shared" si="23"/>
        <v>39</v>
      </c>
      <c r="B78" s="62" t="s">
        <v>255</v>
      </c>
      <c r="D78" s="290">
        <f t="shared" si="21"/>
        <v>47845301</v>
      </c>
      <c r="E78" s="154">
        <v>6611274</v>
      </c>
      <c r="F78" s="154">
        <v>7376158</v>
      </c>
      <c r="G78" s="154">
        <v>994304</v>
      </c>
      <c r="H78" s="154">
        <v>748560</v>
      </c>
      <c r="I78" s="154">
        <v>1778957</v>
      </c>
      <c r="J78" s="154">
        <v>1768976</v>
      </c>
      <c r="K78" s="154">
        <v>3720571</v>
      </c>
      <c r="L78" s="154">
        <v>5370846</v>
      </c>
      <c r="M78" s="154">
        <v>5349397</v>
      </c>
      <c r="N78" s="154">
        <v>4964607</v>
      </c>
      <c r="O78" s="154">
        <v>4804054</v>
      </c>
      <c r="P78" s="154">
        <v>4357597</v>
      </c>
      <c r="Q78" s="315"/>
      <c r="R78" s="316">
        <f t="shared" si="22"/>
        <v>47845301</v>
      </c>
    </row>
    <row r="79" spans="1:18">
      <c r="A79" s="275">
        <f>A78+1</f>
        <v>40</v>
      </c>
      <c r="B79" s="21" t="s">
        <v>256</v>
      </c>
      <c r="C79" s="21"/>
      <c r="D79" s="290">
        <f t="shared" si="21"/>
        <v>39797295</v>
      </c>
      <c r="E79" s="154">
        <v>5442430</v>
      </c>
      <c r="F79" s="154">
        <v>6130985</v>
      </c>
      <c r="G79" s="154">
        <v>883482</v>
      </c>
      <c r="H79" s="154">
        <v>1100609</v>
      </c>
      <c r="I79" s="154">
        <v>1940383</v>
      </c>
      <c r="J79" s="154">
        <v>963511</v>
      </c>
      <c r="K79" s="154">
        <v>3056909</v>
      </c>
      <c r="L79" s="154">
        <v>4543956</v>
      </c>
      <c r="M79" s="154">
        <v>4486490</v>
      </c>
      <c r="N79" s="154">
        <v>4739663</v>
      </c>
      <c r="O79" s="154">
        <v>3030477</v>
      </c>
      <c r="P79" s="154">
        <v>3478400</v>
      </c>
      <c r="Q79" s="315"/>
      <c r="R79" s="316">
        <f>SUM(E79:P79)</f>
        <v>39797295</v>
      </c>
    </row>
    <row r="80" spans="1:18">
      <c r="A80" s="275">
        <f>A79+1</f>
        <v>41</v>
      </c>
      <c r="B80" s="187" t="s">
        <v>257</v>
      </c>
      <c r="C80" s="187"/>
      <c r="D80" s="290">
        <f t="shared" si="21"/>
        <v>583155</v>
      </c>
      <c r="E80" s="183">
        <v>-5570</v>
      </c>
      <c r="F80" s="183">
        <v>119190</v>
      </c>
      <c r="G80" s="183">
        <v>64051</v>
      </c>
      <c r="H80" s="183">
        <v>7845</v>
      </c>
      <c r="I80" s="183">
        <v>81630</v>
      </c>
      <c r="J80" s="183">
        <v>1566</v>
      </c>
      <c r="K80" s="183">
        <v>126141</v>
      </c>
      <c r="L80" s="183">
        <v>36061</v>
      </c>
      <c r="M80" s="183">
        <v>130</v>
      </c>
      <c r="N80" s="183">
        <v>-207</v>
      </c>
      <c r="O80" s="183">
        <v>92853</v>
      </c>
      <c r="P80" s="183">
        <v>59465</v>
      </c>
      <c r="Q80" s="315"/>
      <c r="R80" s="317">
        <f t="shared" si="22"/>
        <v>583155</v>
      </c>
    </row>
    <row r="81" spans="1:18" s="184" customFormat="1" ht="21.75" customHeight="1">
      <c r="A81" s="287">
        <f t="shared" si="23"/>
        <v>42</v>
      </c>
      <c r="B81" s="181" t="s">
        <v>258</v>
      </c>
      <c r="C81" s="181"/>
      <c r="D81" s="193">
        <f t="shared" si="21"/>
        <v>89150875</v>
      </c>
      <c r="E81" s="163">
        <f t="shared" ref="E81:P81" si="24">SUM(E75:E80)</f>
        <v>12167651</v>
      </c>
      <c r="F81" s="163">
        <f t="shared" si="24"/>
        <v>13775030</v>
      </c>
      <c r="G81" s="163">
        <f t="shared" si="24"/>
        <v>2035023</v>
      </c>
      <c r="H81" s="163">
        <f t="shared" si="24"/>
        <v>1865777</v>
      </c>
      <c r="I81" s="163">
        <f t="shared" si="24"/>
        <v>3891130</v>
      </c>
      <c r="J81" s="163">
        <f t="shared" si="24"/>
        <v>2757899</v>
      </c>
      <c r="K81" s="163">
        <f t="shared" si="24"/>
        <v>7030730</v>
      </c>
      <c r="L81" s="163">
        <f t="shared" si="24"/>
        <v>10075246</v>
      </c>
      <c r="M81" s="163">
        <f t="shared" si="24"/>
        <v>9938206</v>
      </c>
      <c r="N81" s="163">
        <f t="shared" si="24"/>
        <v>9717054</v>
      </c>
      <c r="O81" s="163">
        <f t="shared" si="24"/>
        <v>7979846</v>
      </c>
      <c r="P81" s="163">
        <f t="shared" si="24"/>
        <v>7917283</v>
      </c>
      <c r="Q81" s="318"/>
      <c r="R81" s="319">
        <f>SUM(R75:R80)</f>
        <v>89150875</v>
      </c>
    </row>
    <row r="82" spans="1:18" ht="15.75" customHeight="1">
      <c r="A82" s="275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315"/>
      <c r="R82" s="320"/>
    </row>
    <row r="83" spans="1:18" ht="21" customHeight="1">
      <c r="A83" s="287">
        <f>A81+1</f>
        <v>43</v>
      </c>
      <c r="B83" s="188" t="s">
        <v>259</v>
      </c>
      <c r="C83" s="188"/>
      <c r="D83" s="188"/>
      <c r="E83" s="163">
        <f t="shared" ref="E83:P83" si="25">E24+E47+E64+E81</f>
        <v>19409003.565000001</v>
      </c>
      <c r="F83" s="163">
        <f t="shared" si="25"/>
        <v>26062499.82</v>
      </c>
      <c r="G83" s="163">
        <f t="shared" si="25"/>
        <v>14164090.465</v>
      </c>
      <c r="H83" s="163">
        <f t="shared" si="25"/>
        <v>7149578.1349999998</v>
      </c>
      <c r="I83" s="163">
        <f t="shared" si="25"/>
        <v>3378190</v>
      </c>
      <c r="J83" s="163">
        <f t="shared" si="25"/>
        <v>4056052</v>
      </c>
      <c r="K83" s="163">
        <f t="shared" si="25"/>
        <v>8165771</v>
      </c>
      <c r="L83" s="163">
        <f t="shared" si="25"/>
        <v>16707485</v>
      </c>
      <c r="M83" s="163">
        <f t="shared" si="25"/>
        <v>15909841</v>
      </c>
      <c r="N83" s="163">
        <f t="shared" si="25"/>
        <v>13909273</v>
      </c>
      <c r="O83" s="163">
        <f t="shared" si="25"/>
        <v>18467494.02</v>
      </c>
      <c r="P83" s="163">
        <f t="shared" si="25"/>
        <v>16236600.780000001</v>
      </c>
      <c r="Q83" s="321"/>
      <c r="R83" s="322">
        <f>R24-R47+R64+R81</f>
        <v>465245382.78499997</v>
      </c>
    </row>
    <row r="84" spans="1:18" ht="12" customHeight="1">
      <c r="E84" s="171"/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301"/>
    </row>
    <row r="85" spans="1:18" hidden="1" outlineLevel="1">
      <c r="B85" s="189" t="s">
        <v>214</v>
      </c>
      <c r="C85" s="189"/>
      <c r="E85" s="323">
        <v>201401</v>
      </c>
      <c r="F85" s="323">
        <v>201402</v>
      </c>
      <c r="G85" s="323">
        <v>201403</v>
      </c>
      <c r="H85" s="323">
        <v>201404</v>
      </c>
      <c r="I85" s="323">
        <v>201405</v>
      </c>
      <c r="J85" s="323">
        <v>201406</v>
      </c>
      <c r="K85" s="323">
        <v>201407</v>
      </c>
      <c r="L85" s="323">
        <v>201408</v>
      </c>
      <c r="M85" s="323">
        <v>201409</v>
      </c>
      <c r="N85" s="323">
        <v>201410</v>
      </c>
      <c r="O85" s="323">
        <v>201411</v>
      </c>
      <c r="P85" s="323">
        <v>201412</v>
      </c>
      <c r="Q85" s="301"/>
    </row>
    <row r="86" spans="1:18" collapsed="1">
      <c r="B86" s="190" t="s">
        <v>260</v>
      </c>
      <c r="C86" s="190"/>
      <c r="D86" s="324"/>
      <c r="E86" s="298"/>
      <c r="F86" s="171"/>
      <c r="G86" s="325"/>
      <c r="H86" s="325"/>
      <c r="I86" s="325"/>
      <c r="J86" s="325"/>
      <c r="K86" s="325"/>
      <c r="L86" s="325"/>
      <c r="M86" s="325"/>
      <c r="N86" s="325"/>
      <c r="O86" s="325"/>
      <c r="P86" s="325"/>
      <c r="Q86" s="301"/>
    </row>
    <row r="87" spans="1:18">
      <c r="A87" s="275">
        <f>A83+1</f>
        <v>44</v>
      </c>
      <c r="B87" s="189" t="s">
        <v>261</v>
      </c>
      <c r="C87" s="189"/>
      <c r="D87" s="281">
        <f t="shared" ref="D87:D92" si="26">SUM(E87:P87)</f>
        <v>-11553983</v>
      </c>
      <c r="E87" s="154">
        <v>-916902</v>
      </c>
      <c r="F87" s="154">
        <v>-759858</v>
      </c>
      <c r="G87" s="154">
        <v>-766656</v>
      </c>
      <c r="H87" s="154">
        <v>-875192</v>
      </c>
      <c r="I87" s="154">
        <v>-1147715</v>
      </c>
      <c r="J87" s="154">
        <v>-1063457</v>
      </c>
      <c r="K87" s="154">
        <v>-1139141</v>
      </c>
      <c r="L87" s="154">
        <v>-975788</v>
      </c>
      <c r="M87" s="154">
        <v>-1015417</v>
      </c>
      <c r="N87" s="154">
        <v>-945968</v>
      </c>
      <c r="O87" s="154">
        <v>-1004533</v>
      </c>
      <c r="P87" s="154">
        <v>-943356</v>
      </c>
      <c r="Q87" s="315"/>
      <c r="R87" s="316">
        <f>SUM(E87:P87)</f>
        <v>-11553983</v>
      </c>
    </row>
    <row r="88" spans="1:18">
      <c r="A88" s="275">
        <v>45</v>
      </c>
      <c r="B88" s="189" t="s">
        <v>262</v>
      </c>
      <c r="C88" s="189"/>
      <c r="D88" s="281">
        <f t="shared" si="26"/>
        <v>0</v>
      </c>
      <c r="E88" s="326">
        <v>0</v>
      </c>
      <c r="F88" s="326">
        <v>0</v>
      </c>
      <c r="G88" s="326">
        <v>0</v>
      </c>
      <c r="H88" s="326">
        <v>0</v>
      </c>
      <c r="I88" s="326">
        <v>0</v>
      </c>
      <c r="J88" s="326">
        <v>0</v>
      </c>
      <c r="K88" s="326">
        <v>0</v>
      </c>
      <c r="L88" s="326">
        <v>0</v>
      </c>
      <c r="M88" s="326">
        <v>0</v>
      </c>
      <c r="N88" s="326">
        <v>0</v>
      </c>
      <c r="O88" s="326">
        <v>0</v>
      </c>
      <c r="P88" s="326">
        <v>0</v>
      </c>
      <c r="Q88" s="315"/>
      <c r="R88" s="316">
        <f>SUM(E88:P88)</f>
        <v>0</v>
      </c>
    </row>
    <row r="89" spans="1:18">
      <c r="A89" s="275">
        <f>A88+1</f>
        <v>46</v>
      </c>
      <c r="B89" s="21" t="s">
        <v>263</v>
      </c>
      <c r="C89" s="189"/>
      <c r="D89" s="281">
        <f t="shared" si="26"/>
        <v>-529105</v>
      </c>
      <c r="E89" s="154">
        <v>-5648</v>
      </c>
      <c r="F89" s="154">
        <v>-2988</v>
      </c>
      <c r="G89" s="154">
        <v>-137149</v>
      </c>
      <c r="H89" s="154">
        <v>-135425</v>
      </c>
      <c r="I89" s="154">
        <v>-108458</v>
      </c>
      <c r="J89" s="154">
        <v>-135726</v>
      </c>
      <c r="K89" s="154">
        <v>-2098</v>
      </c>
      <c r="L89" s="154">
        <v>-1613</v>
      </c>
      <c r="M89" s="154">
        <v>0</v>
      </c>
      <c r="N89" s="154">
        <v>0</v>
      </c>
      <c r="O89" s="154">
        <v>0</v>
      </c>
      <c r="P89" s="154">
        <v>0</v>
      </c>
      <c r="Q89" s="154" t="s">
        <v>361</v>
      </c>
      <c r="R89" s="154" t="s">
        <v>361</v>
      </c>
    </row>
    <row r="90" spans="1:18">
      <c r="A90" s="275">
        <f>+A89+1</f>
        <v>47</v>
      </c>
      <c r="B90" s="189" t="s">
        <v>264</v>
      </c>
      <c r="C90" s="189"/>
      <c r="D90" s="281">
        <f t="shared" si="26"/>
        <v>0</v>
      </c>
      <c r="E90" s="154">
        <v>0</v>
      </c>
      <c r="F90" s="326">
        <v>0</v>
      </c>
      <c r="G90" s="326">
        <v>0</v>
      </c>
      <c r="H90" s="326">
        <v>0</v>
      </c>
      <c r="I90" s="326">
        <v>0</v>
      </c>
      <c r="J90" s="326">
        <v>0</v>
      </c>
      <c r="K90" s="326">
        <v>0</v>
      </c>
      <c r="L90" s="326">
        <v>0</v>
      </c>
      <c r="M90" s="326">
        <v>0</v>
      </c>
      <c r="N90" s="326">
        <v>0</v>
      </c>
      <c r="O90" s="326">
        <v>0</v>
      </c>
      <c r="P90" s="326">
        <v>0</v>
      </c>
      <c r="Q90" s="315"/>
      <c r="R90" s="316">
        <f>SUM(E90:P90)</f>
        <v>0</v>
      </c>
    </row>
    <row r="91" spans="1:18">
      <c r="A91" s="327">
        <f>+A90+1</f>
        <v>48</v>
      </c>
      <c r="B91" s="191" t="s">
        <v>265</v>
      </c>
      <c r="C91" s="191" t="s">
        <v>266</v>
      </c>
      <c r="D91" s="281">
        <f t="shared" si="26"/>
        <v>0</v>
      </c>
      <c r="E91" s="183">
        <v>0</v>
      </c>
      <c r="F91" s="183">
        <v>0</v>
      </c>
      <c r="G91" s="183">
        <v>0</v>
      </c>
      <c r="H91" s="183">
        <v>0</v>
      </c>
      <c r="I91" s="183">
        <v>0</v>
      </c>
      <c r="J91" s="183">
        <v>0</v>
      </c>
      <c r="K91" s="183">
        <v>0</v>
      </c>
      <c r="L91" s="183">
        <v>0</v>
      </c>
      <c r="M91" s="183">
        <v>0</v>
      </c>
      <c r="N91" s="183">
        <v>0</v>
      </c>
      <c r="O91" s="183">
        <v>0</v>
      </c>
      <c r="P91" s="183">
        <v>0</v>
      </c>
      <c r="Q91" s="315"/>
      <c r="R91" s="317">
        <f>SUM(E91:P91)</f>
        <v>0</v>
      </c>
    </row>
    <row r="92" spans="1:18" s="184" customFormat="1" ht="20.25" customHeight="1">
      <c r="A92" s="287">
        <f>A91+1</f>
        <v>49</v>
      </c>
      <c r="B92" s="192" t="s">
        <v>267</v>
      </c>
      <c r="C92" s="192"/>
      <c r="D92" s="193">
        <f t="shared" si="26"/>
        <v>-12083088</v>
      </c>
      <c r="E92" s="193">
        <f>SUM(E87:E91)</f>
        <v>-922550</v>
      </c>
      <c r="F92" s="193">
        <f t="shared" ref="F92:P92" si="27">SUM(F87:F91)</f>
        <v>-762846</v>
      </c>
      <c r="G92" s="193">
        <f t="shared" si="27"/>
        <v>-903805</v>
      </c>
      <c r="H92" s="193">
        <f t="shared" si="27"/>
        <v>-1010617</v>
      </c>
      <c r="I92" s="193">
        <f t="shared" si="27"/>
        <v>-1256173</v>
      </c>
      <c r="J92" s="193">
        <f t="shared" si="27"/>
        <v>-1199183</v>
      </c>
      <c r="K92" s="193">
        <f t="shared" si="27"/>
        <v>-1141239</v>
      </c>
      <c r="L92" s="193">
        <f t="shared" si="27"/>
        <v>-977401</v>
      </c>
      <c r="M92" s="193">
        <f t="shared" si="27"/>
        <v>-1015417</v>
      </c>
      <c r="N92" s="193">
        <f t="shared" si="27"/>
        <v>-945968</v>
      </c>
      <c r="O92" s="193">
        <f t="shared" si="27"/>
        <v>-1004533</v>
      </c>
      <c r="P92" s="193">
        <f t="shared" si="27"/>
        <v>-943356</v>
      </c>
      <c r="Q92" s="318"/>
      <c r="R92" s="319">
        <f>SUM(E92:P92)</f>
        <v>-12083088</v>
      </c>
    </row>
    <row r="93" spans="1:18">
      <c r="A93" s="275"/>
      <c r="D93" s="57"/>
      <c r="E93" s="281"/>
      <c r="F93" s="290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315"/>
      <c r="R93" s="316"/>
    </row>
    <row r="94" spans="1:18">
      <c r="A94" s="275"/>
      <c r="B94" s="179" t="s">
        <v>268</v>
      </c>
      <c r="C94" s="179"/>
      <c r="D94" s="57"/>
      <c r="E94" s="281"/>
      <c r="F94" s="290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315"/>
      <c r="R94" s="316"/>
    </row>
    <row r="95" spans="1:18">
      <c r="A95" s="275">
        <f>A92+1</f>
        <v>50</v>
      </c>
      <c r="B95" s="21" t="s">
        <v>269</v>
      </c>
      <c r="C95" s="21"/>
      <c r="D95" s="281">
        <f>SUM(E95:P95)</f>
        <v>18871661</v>
      </c>
      <c r="E95" s="154">
        <v>1688924</v>
      </c>
      <c r="F95" s="194">
        <v>1608929</v>
      </c>
      <c r="G95" s="194">
        <v>1806778</v>
      </c>
      <c r="H95" s="194">
        <v>1578837</v>
      </c>
      <c r="I95" s="194">
        <v>1614551</v>
      </c>
      <c r="J95" s="194">
        <v>1588804</v>
      </c>
      <c r="K95" s="194">
        <v>1605009</v>
      </c>
      <c r="L95" s="194">
        <v>1646690</v>
      </c>
      <c r="M95" s="194">
        <v>1462303</v>
      </c>
      <c r="N95" s="194">
        <v>1426129</v>
      </c>
      <c r="O95" s="194">
        <v>1414740</v>
      </c>
      <c r="P95" s="194">
        <v>1429967</v>
      </c>
      <c r="Q95" s="315"/>
      <c r="R95" s="316">
        <f>SUM(E95:P95)</f>
        <v>18871661</v>
      </c>
    </row>
    <row r="96" spans="1:18">
      <c r="A96" s="275">
        <f>A95+1</f>
        <v>51</v>
      </c>
      <c r="B96" s="21" t="s">
        <v>270</v>
      </c>
      <c r="C96" s="21" t="s">
        <v>217</v>
      </c>
      <c r="D96" s="281">
        <f>SUM(E96:P96)</f>
        <v>0</v>
      </c>
      <c r="E96" s="194">
        <v>0</v>
      </c>
      <c r="F96" s="194">
        <v>0</v>
      </c>
      <c r="G96" s="194">
        <v>0</v>
      </c>
      <c r="H96" s="194">
        <v>0</v>
      </c>
      <c r="I96" s="194">
        <v>0</v>
      </c>
      <c r="J96" s="194">
        <v>0</v>
      </c>
      <c r="K96" s="194">
        <v>0</v>
      </c>
      <c r="L96" s="194">
        <v>0</v>
      </c>
      <c r="M96" s="194">
        <v>0</v>
      </c>
      <c r="N96" s="194">
        <v>0</v>
      </c>
      <c r="O96" s="194">
        <v>0</v>
      </c>
      <c r="P96" s="194">
        <v>0</v>
      </c>
      <c r="Q96" s="315"/>
      <c r="R96" s="316">
        <f>SUM(E96:P96)</f>
        <v>0</v>
      </c>
    </row>
    <row r="97" spans="1:18">
      <c r="A97" s="327">
        <f>A96+1</f>
        <v>52</v>
      </c>
      <c r="B97" s="195" t="s">
        <v>271</v>
      </c>
      <c r="C97" s="195"/>
      <c r="D97" s="281">
        <f>SUM(E97:P97)</f>
        <v>24360</v>
      </c>
      <c r="E97" s="183">
        <v>2030</v>
      </c>
      <c r="F97" s="183">
        <v>2030</v>
      </c>
      <c r="G97" s="183">
        <v>2030</v>
      </c>
      <c r="H97" s="183">
        <v>2030</v>
      </c>
      <c r="I97" s="183">
        <v>2030</v>
      </c>
      <c r="J97" s="183">
        <v>2030</v>
      </c>
      <c r="K97" s="183">
        <v>2030</v>
      </c>
      <c r="L97" s="183">
        <v>2030</v>
      </c>
      <c r="M97" s="183">
        <v>2030</v>
      </c>
      <c r="N97" s="183">
        <v>2030</v>
      </c>
      <c r="O97" s="183">
        <v>2030</v>
      </c>
      <c r="P97" s="183">
        <v>2030</v>
      </c>
      <c r="Q97" s="315"/>
      <c r="R97" s="317">
        <f>SUM(E97:P97)</f>
        <v>24360</v>
      </c>
    </row>
    <row r="98" spans="1:18" s="184" customFormat="1" ht="20.25" customHeight="1">
      <c r="A98" s="287">
        <f>A97+1</f>
        <v>53</v>
      </c>
      <c r="B98" s="192" t="s">
        <v>272</v>
      </c>
      <c r="C98" s="192"/>
      <c r="D98" s="193">
        <f>SUM(E98:P98)</f>
        <v>18896021</v>
      </c>
      <c r="E98" s="163">
        <f t="shared" ref="E98:P98" si="28">SUM(E95:E97)</f>
        <v>1690954</v>
      </c>
      <c r="F98" s="163">
        <f t="shared" si="28"/>
        <v>1610959</v>
      </c>
      <c r="G98" s="163">
        <f t="shared" si="28"/>
        <v>1808808</v>
      </c>
      <c r="H98" s="163">
        <f t="shared" si="28"/>
        <v>1580867</v>
      </c>
      <c r="I98" s="163">
        <f t="shared" si="28"/>
        <v>1616581</v>
      </c>
      <c r="J98" s="163">
        <f t="shared" si="28"/>
        <v>1590834</v>
      </c>
      <c r="K98" s="163">
        <f t="shared" si="28"/>
        <v>1607039</v>
      </c>
      <c r="L98" s="163">
        <f t="shared" si="28"/>
        <v>1648720</v>
      </c>
      <c r="M98" s="163">
        <f t="shared" si="28"/>
        <v>1464333</v>
      </c>
      <c r="N98" s="163">
        <f t="shared" si="28"/>
        <v>1428159</v>
      </c>
      <c r="O98" s="163">
        <f t="shared" si="28"/>
        <v>1416770</v>
      </c>
      <c r="P98" s="163">
        <f t="shared" si="28"/>
        <v>1431997</v>
      </c>
      <c r="Q98" s="318"/>
      <c r="R98" s="319">
        <f>SUM(E98:P98)</f>
        <v>18896021</v>
      </c>
    </row>
    <row r="99" spans="1:18">
      <c r="A99" s="275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315"/>
      <c r="R99" s="316"/>
    </row>
    <row r="100" spans="1:18" s="184" customFormat="1" ht="20.25" customHeight="1">
      <c r="A100" s="287">
        <f>A98+1</f>
        <v>54</v>
      </c>
      <c r="B100" s="192" t="s">
        <v>273</v>
      </c>
      <c r="C100" s="192"/>
      <c r="D100" s="193">
        <f>SUM(E100:P100)</f>
        <v>488277</v>
      </c>
      <c r="E100" s="163">
        <v>55076</v>
      </c>
      <c r="F100" s="163">
        <v>37496</v>
      </c>
      <c r="G100" s="163">
        <v>73604</v>
      </c>
      <c r="H100" s="163">
        <v>59102</v>
      </c>
      <c r="I100" s="163">
        <v>33038</v>
      </c>
      <c r="J100" s="163">
        <v>34795</v>
      </c>
      <c r="K100" s="163">
        <v>27548</v>
      </c>
      <c r="L100" s="163">
        <v>38001</v>
      </c>
      <c r="M100" s="163">
        <v>48638</v>
      </c>
      <c r="N100" s="163">
        <v>34528</v>
      </c>
      <c r="O100" s="163">
        <v>30289</v>
      </c>
      <c r="P100" s="163">
        <v>16162</v>
      </c>
      <c r="Q100" s="318"/>
      <c r="R100" s="319"/>
    </row>
    <row r="101" spans="1:18" ht="9" customHeight="1">
      <c r="A101" s="275"/>
      <c r="E101" s="168"/>
      <c r="F101" s="168"/>
      <c r="G101" s="168"/>
      <c r="H101" s="168"/>
      <c r="I101" s="168"/>
      <c r="J101" s="168"/>
      <c r="K101" s="168"/>
      <c r="L101" s="168"/>
      <c r="M101" s="168"/>
      <c r="N101" s="168"/>
      <c r="O101" s="168"/>
      <c r="P101" s="168"/>
      <c r="Q101" s="315"/>
      <c r="R101" s="316"/>
    </row>
    <row r="102" spans="1:18">
      <c r="A102" s="275"/>
      <c r="B102" s="196" t="s">
        <v>274</v>
      </c>
      <c r="C102" s="196"/>
      <c r="E102" s="168"/>
      <c r="F102" s="168"/>
      <c r="G102" s="168"/>
      <c r="H102" s="168"/>
      <c r="I102" s="168"/>
      <c r="J102" s="168"/>
      <c r="K102" s="168"/>
      <c r="L102" s="168"/>
      <c r="M102" s="168"/>
      <c r="N102" s="168"/>
      <c r="O102" s="168"/>
      <c r="P102" s="168"/>
      <c r="Q102" s="315"/>
      <c r="R102" s="316"/>
    </row>
    <row r="103" spans="1:18">
      <c r="A103" s="275">
        <f>A100+1</f>
        <v>55</v>
      </c>
      <c r="B103" s="62" t="s">
        <v>275</v>
      </c>
      <c r="D103" s="290">
        <f>SUM(E103:P103)</f>
        <v>-12098626</v>
      </c>
      <c r="E103" s="168">
        <v>308095</v>
      </c>
      <c r="F103" s="168">
        <v>1187582</v>
      </c>
      <c r="G103" s="168">
        <v>-8690279</v>
      </c>
      <c r="H103" s="168">
        <v>-1629569</v>
      </c>
      <c r="I103" s="168">
        <v>-882721</v>
      </c>
      <c r="J103" s="168">
        <v>-872300</v>
      </c>
      <c r="K103" s="168">
        <v>-3403248</v>
      </c>
      <c r="L103" s="168">
        <v>-707227</v>
      </c>
      <c r="M103" s="168">
        <v>-599024</v>
      </c>
      <c r="N103" s="168">
        <v>727137</v>
      </c>
      <c r="O103" s="168">
        <v>1900166</v>
      </c>
      <c r="P103" s="168">
        <v>562762</v>
      </c>
      <c r="Q103" s="315"/>
      <c r="R103" s="316">
        <f t="shared" ref="R103:R112" si="29">SUM(E103:P103)</f>
        <v>-12098626</v>
      </c>
    </row>
    <row r="104" spans="1:18">
      <c r="A104" s="275">
        <f>A103+1</f>
        <v>56</v>
      </c>
      <c r="B104" s="62" t="s">
        <v>276</v>
      </c>
      <c r="D104" s="290">
        <f t="shared" ref="D104:D112" si="30">SUM(E104:P104)</f>
        <v>23368782</v>
      </c>
      <c r="E104" s="168">
        <v>928477</v>
      </c>
      <c r="F104" s="168">
        <v>-2123679</v>
      </c>
      <c r="G104" s="168">
        <v>11640860</v>
      </c>
      <c r="H104" s="168">
        <v>3548645</v>
      </c>
      <c r="I104" s="168">
        <v>1963092</v>
      </c>
      <c r="J104" s="168">
        <v>4550624</v>
      </c>
      <c r="K104" s="168">
        <v>184052</v>
      </c>
      <c r="L104" s="168">
        <v>-2912960</v>
      </c>
      <c r="M104" s="168">
        <v>-3783001</v>
      </c>
      <c r="N104" s="168">
        <v>-2115160</v>
      </c>
      <c r="O104" s="168">
        <v>5442877</v>
      </c>
      <c r="P104" s="168">
        <v>6044955</v>
      </c>
      <c r="Q104" s="315"/>
      <c r="R104" s="316">
        <f t="shared" si="29"/>
        <v>23368782</v>
      </c>
    </row>
    <row r="105" spans="1:18">
      <c r="A105" s="275">
        <f t="shared" ref="A105:A112" si="31">A104+1</f>
        <v>57</v>
      </c>
      <c r="B105" s="62" t="s">
        <v>277</v>
      </c>
      <c r="D105" s="290">
        <f t="shared" si="30"/>
        <v>3390041</v>
      </c>
      <c r="E105" s="168">
        <v>663498</v>
      </c>
      <c r="F105" s="168">
        <v>0</v>
      </c>
      <c r="G105" s="168">
        <v>185723</v>
      </c>
      <c r="H105" s="168">
        <v>0</v>
      </c>
      <c r="I105" s="168">
        <v>0</v>
      </c>
      <c r="J105" s="168">
        <v>299710</v>
      </c>
      <c r="K105" s="168">
        <v>0</v>
      </c>
      <c r="L105" s="168">
        <v>252278</v>
      </c>
      <c r="M105" s="168">
        <v>559845</v>
      </c>
      <c r="N105" s="168">
        <v>464957</v>
      </c>
      <c r="O105" s="168">
        <v>633370</v>
      </c>
      <c r="P105" s="168">
        <v>330660</v>
      </c>
      <c r="Q105" s="315"/>
      <c r="R105" s="316">
        <f t="shared" si="29"/>
        <v>3390041</v>
      </c>
    </row>
    <row r="106" spans="1:18">
      <c r="A106" s="275">
        <f t="shared" si="31"/>
        <v>58</v>
      </c>
      <c r="B106" s="21" t="s">
        <v>278</v>
      </c>
      <c r="C106" s="21"/>
      <c r="D106" s="290">
        <f t="shared" si="30"/>
        <v>-3390041</v>
      </c>
      <c r="E106" s="168">
        <v>-663498</v>
      </c>
      <c r="F106" s="168">
        <v>0</v>
      </c>
      <c r="G106" s="168">
        <v>-185723</v>
      </c>
      <c r="H106" s="168">
        <v>0</v>
      </c>
      <c r="I106" s="168">
        <v>0</v>
      </c>
      <c r="J106" s="168">
        <v>-299710</v>
      </c>
      <c r="K106" s="168">
        <v>0</v>
      </c>
      <c r="L106" s="168">
        <v>-252278</v>
      </c>
      <c r="M106" s="168">
        <v>-559845</v>
      </c>
      <c r="N106" s="168">
        <v>-464957</v>
      </c>
      <c r="O106" s="168">
        <v>-633370</v>
      </c>
      <c r="P106" s="168">
        <v>-330660</v>
      </c>
      <c r="Q106" s="315"/>
      <c r="R106" s="316">
        <f>SUM(E106:P106)</f>
        <v>-3390041</v>
      </c>
    </row>
    <row r="107" spans="1:18">
      <c r="A107" s="275">
        <f t="shared" si="31"/>
        <v>59</v>
      </c>
      <c r="B107" s="62" t="s">
        <v>279</v>
      </c>
      <c r="D107" s="290">
        <f t="shared" si="30"/>
        <v>74477252</v>
      </c>
      <c r="E107" s="168">
        <v>6796131</v>
      </c>
      <c r="F107" s="168">
        <v>5069685</v>
      </c>
      <c r="G107" s="168">
        <v>5942634</v>
      </c>
      <c r="H107" s="168">
        <v>4906450</v>
      </c>
      <c r="I107" s="168">
        <v>7110457</v>
      </c>
      <c r="J107" s="168">
        <v>2317938</v>
      </c>
      <c r="K107" s="168">
        <v>6785648</v>
      </c>
      <c r="L107" s="168">
        <v>10373757</v>
      </c>
      <c r="M107" s="168">
        <v>8674118</v>
      </c>
      <c r="N107" s="168">
        <v>7672586</v>
      </c>
      <c r="O107" s="168">
        <v>3459121</v>
      </c>
      <c r="P107" s="168">
        <v>5368727</v>
      </c>
      <c r="Q107" s="315"/>
      <c r="R107" s="316">
        <f t="shared" si="29"/>
        <v>74477252</v>
      </c>
    </row>
    <row r="108" spans="1:18">
      <c r="A108" s="275">
        <f t="shared" si="31"/>
        <v>60</v>
      </c>
      <c r="B108" s="21" t="s">
        <v>280</v>
      </c>
      <c r="C108" s="21"/>
      <c r="D108" s="290">
        <f t="shared" si="30"/>
        <v>10442238</v>
      </c>
      <c r="E108" s="168">
        <v>-47723</v>
      </c>
      <c r="F108" s="168">
        <v>-1218356</v>
      </c>
      <c r="G108" s="168">
        <v>5698019</v>
      </c>
      <c r="H108" s="168">
        <v>1136631</v>
      </c>
      <c r="I108" s="168">
        <v>476629</v>
      </c>
      <c r="J108" s="168">
        <v>492027</v>
      </c>
      <c r="K108" s="168">
        <v>2894714</v>
      </c>
      <c r="L108" s="168">
        <v>1461645</v>
      </c>
      <c r="M108" s="168">
        <v>1019768</v>
      </c>
      <c r="N108" s="168">
        <v>-460833</v>
      </c>
      <c r="O108" s="168">
        <v>-738684</v>
      </c>
      <c r="P108" s="168">
        <v>-271599</v>
      </c>
      <c r="Q108" s="315"/>
      <c r="R108" s="316">
        <f t="shared" si="29"/>
        <v>10442238</v>
      </c>
    </row>
    <row r="109" spans="1:18">
      <c r="A109" s="275">
        <f t="shared" si="31"/>
        <v>61</v>
      </c>
      <c r="B109" s="62" t="s">
        <v>281</v>
      </c>
      <c r="D109" s="290">
        <f t="shared" si="30"/>
        <v>-30143764</v>
      </c>
      <c r="E109" s="168">
        <v>-321991</v>
      </c>
      <c r="F109" s="168">
        <v>-125662</v>
      </c>
      <c r="G109" s="168">
        <v>-11909132</v>
      </c>
      <c r="H109" s="168">
        <v>-4133659</v>
      </c>
      <c r="I109" s="168">
        <v>-3334602</v>
      </c>
      <c r="J109" s="168">
        <v>-3143990</v>
      </c>
      <c r="K109" s="168">
        <v>-770461</v>
      </c>
      <c r="L109" s="168">
        <v>-528985</v>
      </c>
      <c r="M109" s="168">
        <v>-500249</v>
      </c>
      <c r="N109" s="168">
        <v>-1406796</v>
      </c>
      <c r="O109" s="168">
        <v>-712546</v>
      </c>
      <c r="P109" s="168">
        <v>-3255691</v>
      </c>
      <c r="Q109" s="315"/>
      <c r="R109" s="316">
        <f t="shared" si="29"/>
        <v>-30143764</v>
      </c>
    </row>
    <row r="110" spans="1:18">
      <c r="A110" s="275">
        <f t="shared" si="31"/>
        <v>62</v>
      </c>
      <c r="B110" s="62" t="s">
        <v>282</v>
      </c>
      <c r="D110" s="290">
        <f t="shared" si="30"/>
        <v>-67420725</v>
      </c>
      <c r="E110" s="168">
        <v>-8059830</v>
      </c>
      <c r="F110" s="168">
        <v>-5012112</v>
      </c>
      <c r="G110" s="168">
        <v>-4002364</v>
      </c>
      <c r="H110" s="168">
        <v>-4271142</v>
      </c>
      <c r="I110" s="168">
        <v>-5747562</v>
      </c>
      <c r="J110" s="168">
        <v>-3803501</v>
      </c>
      <c r="K110" s="168">
        <v>-4081612</v>
      </c>
      <c r="L110" s="168">
        <v>-6809697</v>
      </c>
      <c r="M110" s="168">
        <v>-4143576</v>
      </c>
      <c r="N110" s="168">
        <v>-4640485</v>
      </c>
      <c r="O110" s="168">
        <v>-9163319</v>
      </c>
      <c r="P110" s="168">
        <v>-7685525</v>
      </c>
      <c r="Q110" s="315"/>
      <c r="R110" s="316">
        <f t="shared" si="29"/>
        <v>-67420725</v>
      </c>
    </row>
    <row r="111" spans="1:18">
      <c r="A111" s="275">
        <f t="shared" si="31"/>
        <v>63</v>
      </c>
      <c r="B111" s="21" t="s">
        <v>283</v>
      </c>
      <c r="C111" s="21"/>
      <c r="D111" s="290">
        <f t="shared" si="30"/>
        <v>44500</v>
      </c>
      <c r="E111" s="133">
        <v>0</v>
      </c>
      <c r="F111" s="133">
        <v>0</v>
      </c>
      <c r="G111" s="133">
        <v>0</v>
      </c>
      <c r="H111" s="133">
        <v>0</v>
      </c>
      <c r="I111" s="133">
        <v>0</v>
      </c>
      <c r="J111" s="133">
        <v>0</v>
      </c>
      <c r="K111" s="133">
        <v>0</v>
      </c>
      <c r="L111" s="133">
        <v>0</v>
      </c>
      <c r="M111" s="133">
        <v>0</v>
      </c>
      <c r="N111" s="133">
        <v>0</v>
      </c>
      <c r="O111" s="133">
        <v>0</v>
      </c>
      <c r="P111" s="133">
        <v>44500</v>
      </c>
      <c r="Q111" s="315"/>
      <c r="R111" s="320">
        <f>SUM(E111:P111)</f>
        <v>44500</v>
      </c>
    </row>
    <row r="112" spans="1:18">
      <c r="A112" s="275">
        <f t="shared" si="31"/>
        <v>64</v>
      </c>
      <c r="B112" s="187" t="s">
        <v>284</v>
      </c>
      <c r="C112" s="187"/>
      <c r="D112" s="290">
        <f t="shared" si="30"/>
        <v>-44500</v>
      </c>
      <c r="E112" s="197">
        <v>0</v>
      </c>
      <c r="F112" s="197">
        <v>0</v>
      </c>
      <c r="G112" s="197">
        <v>0</v>
      </c>
      <c r="H112" s="197">
        <v>0</v>
      </c>
      <c r="I112" s="197">
        <v>0</v>
      </c>
      <c r="J112" s="197">
        <v>0</v>
      </c>
      <c r="K112" s="197">
        <v>0</v>
      </c>
      <c r="L112" s="197">
        <v>0</v>
      </c>
      <c r="M112" s="197">
        <v>0</v>
      </c>
      <c r="N112" s="197">
        <v>0</v>
      </c>
      <c r="O112" s="197">
        <v>0</v>
      </c>
      <c r="P112" s="197">
        <v>-44500</v>
      </c>
      <c r="Q112" s="315"/>
      <c r="R112" s="317">
        <f t="shared" si="29"/>
        <v>-44500</v>
      </c>
    </row>
    <row r="113" spans="1:19" ht="22.5" customHeight="1">
      <c r="A113" s="328">
        <f>+A112+1</f>
        <v>65</v>
      </c>
      <c r="B113" s="192" t="s">
        <v>285</v>
      </c>
      <c r="C113" s="192"/>
      <c r="D113" s="193">
        <f>SUM(E113:P113)</f>
        <v>-1374843</v>
      </c>
      <c r="E113" s="198">
        <f>SUM(E103:E112)</f>
        <v>-396841</v>
      </c>
      <c r="F113" s="198">
        <f t="shared" ref="F113:P113" si="32">SUM(F103:F112)</f>
        <v>-2222542</v>
      </c>
      <c r="G113" s="198">
        <f t="shared" si="32"/>
        <v>-1320262</v>
      </c>
      <c r="H113" s="198">
        <f t="shared" si="32"/>
        <v>-442644</v>
      </c>
      <c r="I113" s="198">
        <f t="shared" si="32"/>
        <v>-414707</v>
      </c>
      <c r="J113" s="198">
        <f t="shared" si="32"/>
        <v>-459202</v>
      </c>
      <c r="K113" s="198">
        <f t="shared" si="32"/>
        <v>1609093</v>
      </c>
      <c r="L113" s="198">
        <f t="shared" si="32"/>
        <v>876533</v>
      </c>
      <c r="M113" s="198">
        <f t="shared" si="32"/>
        <v>668036</v>
      </c>
      <c r="N113" s="198">
        <f t="shared" si="32"/>
        <v>-223551</v>
      </c>
      <c r="O113" s="198">
        <f t="shared" si="32"/>
        <v>187615</v>
      </c>
      <c r="P113" s="198">
        <f t="shared" si="32"/>
        <v>763629</v>
      </c>
      <c r="Q113" s="315"/>
      <c r="R113" s="329">
        <f>SUM(R103:R112)</f>
        <v>-1374843</v>
      </c>
    </row>
    <row r="114" spans="1:19" ht="9" customHeight="1">
      <c r="A114" s="275"/>
      <c r="E114" s="171"/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315"/>
      <c r="R114" s="316"/>
    </row>
    <row r="115" spans="1:19" ht="9" customHeight="1">
      <c r="A115" s="275"/>
      <c r="E115" s="171"/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315"/>
      <c r="R115" s="316"/>
    </row>
    <row r="116" spans="1:19">
      <c r="A116" s="275">
        <f>A113+1</f>
        <v>66</v>
      </c>
      <c r="B116" s="21" t="s">
        <v>286</v>
      </c>
      <c r="C116" s="21"/>
      <c r="D116" s="199">
        <f>SUM(E116:P116)</f>
        <v>0</v>
      </c>
      <c r="E116" s="330">
        <v>0</v>
      </c>
      <c r="F116" s="330">
        <v>0</v>
      </c>
      <c r="G116" s="330">
        <v>0</v>
      </c>
      <c r="H116" s="330">
        <v>0</v>
      </c>
      <c r="I116" s="330">
        <v>0</v>
      </c>
      <c r="J116" s="330">
        <v>0</v>
      </c>
      <c r="K116" s="330">
        <v>0</v>
      </c>
      <c r="L116" s="330">
        <v>0</v>
      </c>
      <c r="M116" s="330">
        <v>0</v>
      </c>
      <c r="N116" s="330">
        <v>0</v>
      </c>
      <c r="O116" s="330">
        <v>0</v>
      </c>
      <c r="P116" s="330">
        <v>0</v>
      </c>
      <c r="Q116" s="315"/>
      <c r="R116" s="316">
        <f>SUM(E116:P116)</f>
        <v>0</v>
      </c>
    </row>
    <row r="117" spans="1:19">
      <c r="A117" s="275">
        <f>A116+1</f>
        <v>67</v>
      </c>
      <c r="B117" s="200" t="s">
        <v>287</v>
      </c>
      <c r="C117" s="200"/>
      <c r="D117" s="199">
        <f>SUM(E117:P117)</f>
        <v>0</v>
      </c>
      <c r="E117" s="199">
        <v>0</v>
      </c>
      <c r="F117" s="199">
        <v>0</v>
      </c>
      <c r="G117" s="199">
        <v>0</v>
      </c>
      <c r="H117" s="199">
        <v>0</v>
      </c>
      <c r="I117" s="199">
        <v>0</v>
      </c>
      <c r="J117" s="199">
        <v>0</v>
      </c>
      <c r="K117" s="199">
        <v>0</v>
      </c>
      <c r="L117" s="199">
        <v>0</v>
      </c>
      <c r="M117" s="199">
        <v>0</v>
      </c>
      <c r="N117" s="199">
        <v>0</v>
      </c>
      <c r="O117" s="199">
        <v>0</v>
      </c>
      <c r="P117" s="199">
        <v>0</v>
      </c>
      <c r="Q117" s="315"/>
      <c r="R117" s="320">
        <f>SUM(E117:P117)</f>
        <v>0</v>
      </c>
    </row>
    <row r="118" spans="1:19" s="57" customFormat="1">
      <c r="A118" s="275">
        <f>A117+1</f>
        <v>68</v>
      </c>
      <c r="B118" s="201" t="s">
        <v>288</v>
      </c>
      <c r="C118" s="201"/>
      <c r="D118" s="202">
        <f>SUM(E118:P118)</f>
        <v>0</v>
      </c>
      <c r="E118" s="331">
        <v>0</v>
      </c>
      <c r="F118" s="331">
        <v>0</v>
      </c>
      <c r="G118" s="331">
        <v>0</v>
      </c>
      <c r="H118" s="331">
        <v>0</v>
      </c>
      <c r="I118" s="331">
        <v>0</v>
      </c>
      <c r="J118" s="331">
        <v>0</v>
      </c>
      <c r="K118" s="331">
        <v>0</v>
      </c>
      <c r="L118" s="331">
        <v>0</v>
      </c>
      <c r="M118" s="331">
        <v>0</v>
      </c>
      <c r="N118" s="331">
        <v>0</v>
      </c>
      <c r="O118" s="331">
        <v>0</v>
      </c>
      <c r="P118" s="331">
        <v>0</v>
      </c>
      <c r="Q118" s="315"/>
      <c r="R118" s="320"/>
    </row>
    <row r="119" spans="1:19" ht="18.75" customHeight="1">
      <c r="A119" s="328">
        <f>A118+1</f>
        <v>69</v>
      </c>
      <c r="B119" s="192" t="s">
        <v>289</v>
      </c>
      <c r="C119" s="192"/>
      <c r="D119" s="202">
        <f>SUM(E119:P119)</f>
        <v>0</v>
      </c>
      <c r="E119" s="163">
        <f>IF(E24=0," ",E117-E116+E118)</f>
        <v>0</v>
      </c>
      <c r="F119" s="163">
        <f>IF(F24=0," ",F117-F116+F118)</f>
        <v>0</v>
      </c>
      <c r="G119" s="163">
        <f t="shared" ref="G119:O119" si="33">IF(G24=0," ",G117-G116)</f>
        <v>0</v>
      </c>
      <c r="H119" s="163">
        <f t="shared" si="33"/>
        <v>0</v>
      </c>
      <c r="I119" s="163">
        <f t="shared" si="33"/>
        <v>0</v>
      </c>
      <c r="J119" s="163">
        <f t="shared" si="33"/>
        <v>0</v>
      </c>
      <c r="K119" s="163">
        <f t="shared" si="33"/>
        <v>0</v>
      </c>
      <c r="L119" s="163">
        <f t="shared" si="33"/>
        <v>0</v>
      </c>
      <c r="M119" s="163">
        <f t="shared" si="33"/>
        <v>0</v>
      </c>
      <c r="N119" s="163">
        <f t="shared" si="33"/>
        <v>0</v>
      </c>
      <c r="O119" s="163">
        <f t="shared" si="33"/>
        <v>0</v>
      </c>
      <c r="P119" s="163">
        <f>+P117-P116</f>
        <v>0</v>
      </c>
      <c r="Q119" s="315"/>
      <c r="R119" s="316">
        <f>SUM(E119:P119)</f>
        <v>0</v>
      </c>
    </row>
    <row r="120" spans="1:19" ht="9" customHeight="1">
      <c r="A120" s="275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315"/>
      <c r="R120" s="316"/>
    </row>
    <row r="121" spans="1:19" ht="9" customHeight="1">
      <c r="A121" s="275"/>
      <c r="E121" s="171"/>
      <c r="F121" s="171"/>
      <c r="G121" s="171"/>
      <c r="H121" s="171"/>
      <c r="I121" s="171"/>
      <c r="J121" s="171"/>
      <c r="K121" s="171"/>
      <c r="L121" s="171"/>
      <c r="M121" s="171"/>
      <c r="N121" s="171"/>
      <c r="O121" s="171"/>
      <c r="P121" s="171"/>
      <c r="Q121" s="315"/>
      <c r="R121" s="316"/>
    </row>
    <row r="122" spans="1:19">
      <c r="A122" s="275">
        <f>A119+1</f>
        <v>70</v>
      </c>
      <c r="B122" s="189" t="s">
        <v>290</v>
      </c>
      <c r="C122" s="189"/>
      <c r="D122" s="199">
        <f>SUM(E122:P122)</f>
        <v>0</v>
      </c>
      <c r="E122" s="330">
        <v>0</v>
      </c>
      <c r="F122" s="330">
        <v>0</v>
      </c>
      <c r="G122" s="330">
        <v>0</v>
      </c>
      <c r="H122" s="330">
        <v>0</v>
      </c>
      <c r="I122" s="330">
        <v>0</v>
      </c>
      <c r="J122" s="330">
        <v>0</v>
      </c>
      <c r="K122" s="330">
        <v>0</v>
      </c>
      <c r="L122" s="330">
        <v>0</v>
      </c>
      <c r="M122" s="330">
        <v>0</v>
      </c>
      <c r="N122" s="330">
        <v>0</v>
      </c>
      <c r="O122" s="330">
        <v>0</v>
      </c>
      <c r="P122" s="330">
        <v>0</v>
      </c>
      <c r="Q122" s="315"/>
      <c r="R122" s="316">
        <f>SUM(E122:P122)</f>
        <v>0</v>
      </c>
      <c r="S122" s="203" t="s">
        <v>214</v>
      </c>
    </row>
    <row r="123" spans="1:19">
      <c r="A123" s="327">
        <f>A122+1</f>
        <v>71</v>
      </c>
      <c r="B123" s="201" t="s">
        <v>291</v>
      </c>
      <c r="C123" s="201"/>
      <c r="D123" s="202">
        <f>SUM(E123:P123)</f>
        <v>-32901</v>
      </c>
      <c r="E123" s="183">
        <v>-8179</v>
      </c>
      <c r="F123" s="183">
        <v>-10346</v>
      </c>
      <c r="G123" s="183">
        <v>-15098</v>
      </c>
      <c r="H123" s="183">
        <v>76</v>
      </c>
      <c r="I123" s="183">
        <v>99</v>
      </c>
      <c r="J123" s="183">
        <v>89</v>
      </c>
      <c r="K123" s="183">
        <v>121</v>
      </c>
      <c r="L123" s="183">
        <v>119</v>
      </c>
      <c r="M123" s="183">
        <v>105</v>
      </c>
      <c r="N123" s="183">
        <v>54</v>
      </c>
      <c r="O123" s="183">
        <v>39</v>
      </c>
      <c r="P123" s="183">
        <v>20</v>
      </c>
      <c r="Q123" s="315"/>
      <c r="R123" s="317">
        <f>SUM(E123:P123)</f>
        <v>-32901</v>
      </c>
    </row>
    <row r="124" spans="1:19" ht="17.25" customHeight="1">
      <c r="A124" s="275">
        <f>A123+1</f>
        <v>72</v>
      </c>
      <c r="B124" s="204" t="s">
        <v>292</v>
      </c>
      <c r="C124" s="204"/>
      <c r="D124" s="185">
        <f>SUM(E124:P124)</f>
        <v>-32901</v>
      </c>
      <c r="E124" s="185">
        <f>E123-E122</f>
        <v>-8179</v>
      </c>
      <c r="F124" s="185">
        <f t="shared" ref="F124:P124" si="34">F123-F122</f>
        <v>-10346</v>
      </c>
      <c r="G124" s="185">
        <f t="shared" si="34"/>
        <v>-15098</v>
      </c>
      <c r="H124" s="185">
        <f t="shared" si="34"/>
        <v>76</v>
      </c>
      <c r="I124" s="185">
        <f t="shared" si="34"/>
        <v>99</v>
      </c>
      <c r="J124" s="185">
        <f t="shared" si="34"/>
        <v>89</v>
      </c>
      <c r="K124" s="185">
        <f t="shared" si="34"/>
        <v>121</v>
      </c>
      <c r="L124" s="185">
        <f t="shared" si="34"/>
        <v>119</v>
      </c>
      <c r="M124" s="185">
        <f t="shared" si="34"/>
        <v>105</v>
      </c>
      <c r="N124" s="185">
        <f t="shared" si="34"/>
        <v>54</v>
      </c>
      <c r="O124" s="185">
        <f t="shared" si="34"/>
        <v>39</v>
      </c>
      <c r="P124" s="185">
        <f t="shared" si="34"/>
        <v>20</v>
      </c>
      <c r="Q124" s="315"/>
      <c r="R124" s="316">
        <f>SUM(E124:P124)</f>
        <v>-32901</v>
      </c>
    </row>
    <row r="125" spans="1:19" ht="7.5" customHeight="1">
      <c r="A125" s="275"/>
      <c r="B125" s="205"/>
      <c r="C125" s="205"/>
      <c r="D125" s="332"/>
      <c r="E125" s="199"/>
      <c r="F125" s="194"/>
      <c r="G125" s="194"/>
      <c r="H125" s="194"/>
      <c r="I125" s="194"/>
      <c r="J125" s="194"/>
      <c r="K125" s="194"/>
      <c r="L125" s="194"/>
      <c r="M125" s="194"/>
      <c r="N125" s="194"/>
      <c r="O125" s="194"/>
      <c r="P125" s="194"/>
      <c r="Q125" s="315"/>
      <c r="R125" s="316"/>
    </row>
    <row r="126" spans="1:19" ht="23.25" customHeight="1">
      <c r="A126" s="287">
        <f>A124+1</f>
        <v>73</v>
      </c>
      <c r="B126" s="181" t="s">
        <v>293</v>
      </c>
      <c r="C126" s="181"/>
      <c r="D126" s="193">
        <f>SUM(E126:P126)</f>
        <v>-1407744</v>
      </c>
      <c r="E126" s="163">
        <f t="shared" ref="E126:N126" si="35">IF(E24=0," ",E113+E119+E124)</f>
        <v>-405020</v>
      </c>
      <c r="F126" s="163">
        <f t="shared" si="35"/>
        <v>-2232888</v>
      </c>
      <c r="G126" s="163">
        <f t="shared" si="35"/>
        <v>-1335360</v>
      </c>
      <c r="H126" s="163">
        <f t="shared" si="35"/>
        <v>-442568</v>
      </c>
      <c r="I126" s="163">
        <f t="shared" si="35"/>
        <v>-414608</v>
      </c>
      <c r="J126" s="163">
        <f t="shared" si="35"/>
        <v>-459113</v>
      </c>
      <c r="K126" s="163">
        <f t="shared" si="35"/>
        <v>1609214</v>
      </c>
      <c r="L126" s="163">
        <f t="shared" si="35"/>
        <v>876652</v>
      </c>
      <c r="M126" s="163">
        <f t="shared" si="35"/>
        <v>668141</v>
      </c>
      <c r="N126" s="163">
        <f t="shared" si="35"/>
        <v>-223497</v>
      </c>
      <c r="O126" s="163">
        <f>IF(O24=0," ",O113+O119+O124)</f>
        <v>187654</v>
      </c>
      <c r="P126" s="163">
        <f>P113+P119+P124</f>
        <v>763649</v>
      </c>
      <c r="Q126" s="315"/>
      <c r="R126" s="316">
        <f>SUM(F126:Q126)</f>
        <v>-1002724</v>
      </c>
    </row>
    <row r="127" spans="1:19" ht="9.75" customHeight="1">
      <c r="B127" s="21"/>
      <c r="C127" s="2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315"/>
      <c r="R127" s="316"/>
    </row>
    <row r="128" spans="1:19" s="184" customFormat="1" ht="25.5" customHeight="1" thickBot="1">
      <c r="A128" s="333">
        <f>A126+1</f>
        <v>74</v>
      </c>
      <c r="B128" s="206" t="s">
        <v>161</v>
      </c>
      <c r="C128" s="206"/>
      <c r="D128" s="334">
        <f>SUM(E128:P128)</f>
        <v>169509344.78500003</v>
      </c>
      <c r="E128" s="207">
        <f t="shared" ref="E128:P128" si="36">IF(E24=0," ",E83+E92+E98+E100+E126)</f>
        <v>19827463.565000001</v>
      </c>
      <c r="F128" s="207">
        <f t="shared" si="36"/>
        <v>24715220.82</v>
      </c>
      <c r="G128" s="207">
        <f t="shared" si="36"/>
        <v>13807337.465</v>
      </c>
      <c r="H128" s="207">
        <f t="shared" si="36"/>
        <v>7336362.1349999998</v>
      </c>
      <c r="I128" s="207">
        <f t="shared" si="36"/>
        <v>3357028</v>
      </c>
      <c r="J128" s="207">
        <f t="shared" si="36"/>
        <v>4023385</v>
      </c>
      <c r="K128" s="207">
        <f t="shared" si="36"/>
        <v>10268333</v>
      </c>
      <c r="L128" s="207">
        <f t="shared" si="36"/>
        <v>18293457</v>
      </c>
      <c r="M128" s="207">
        <f t="shared" si="36"/>
        <v>17075536</v>
      </c>
      <c r="N128" s="207">
        <f t="shared" si="36"/>
        <v>14202495</v>
      </c>
      <c r="O128" s="207">
        <f t="shared" si="36"/>
        <v>19097674.02</v>
      </c>
      <c r="P128" s="207">
        <f t="shared" si="36"/>
        <v>17505052.780000001</v>
      </c>
      <c r="Q128" s="318"/>
      <c r="R128" s="335"/>
    </row>
    <row r="129" spans="5:17" ht="13.8" thickTop="1">
      <c r="E129" s="291"/>
      <c r="F129" s="291"/>
      <c r="G129" s="291"/>
      <c r="H129" s="291"/>
      <c r="I129" s="291"/>
      <c r="J129" s="291"/>
      <c r="K129" s="291"/>
      <c r="L129" s="291"/>
      <c r="M129" s="291"/>
      <c r="N129" s="291"/>
      <c r="O129" s="291"/>
      <c r="P129" s="291"/>
      <c r="Q129" s="301"/>
    </row>
    <row r="130" spans="5:17">
      <c r="Q130" s="301"/>
    </row>
    <row r="131" spans="5:17">
      <c r="E131" s="291"/>
      <c r="F131" s="291"/>
      <c r="G131" s="291"/>
      <c r="H131" s="291"/>
      <c r="I131" s="291"/>
      <c r="J131" s="91"/>
      <c r="K131" s="291"/>
      <c r="L131" s="291"/>
      <c r="M131" s="291"/>
      <c r="N131" s="291"/>
      <c r="O131" s="291"/>
      <c r="P131" s="291"/>
      <c r="Q131" s="301"/>
    </row>
    <row r="132" spans="5:17">
      <c r="E132" s="291"/>
      <c r="F132" s="291"/>
      <c r="G132" s="291"/>
      <c r="H132" s="291"/>
      <c r="I132" s="291"/>
      <c r="J132" s="91"/>
      <c r="K132" s="291"/>
      <c r="L132" s="291"/>
      <c r="M132" s="291"/>
      <c r="N132" s="291"/>
      <c r="O132" s="291"/>
      <c r="P132" s="291"/>
      <c r="Q132" s="301"/>
    </row>
    <row r="133" spans="5:17">
      <c r="E133" s="291"/>
      <c r="F133" s="291"/>
      <c r="G133" s="291"/>
      <c r="H133" s="291"/>
      <c r="I133" s="291"/>
      <c r="J133" s="91"/>
      <c r="K133" s="291"/>
      <c r="L133" s="291"/>
      <c r="M133" s="291"/>
      <c r="N133" s="291"/>
      <c r="O133" s="291"/>
      <c r="P133" s="291"/>
      <c r="Q133" s="301"/>
    </row>
    <row r="134" spans="5:17">
      <c r="E134" s="291"/>
      <c r="F134" s="291"/>
      <c r="G134" s="291"/>
      <c r="H134" s="291"/>
      <c r="I134" s="291"/>
      <c r="J134" s="91"/>
      <c r="K134" s="291"/>
      <c r="L134" s="291"/>
      <c r="M134" s="291"/>
      <c r="N134" s="291"/>
      <c r="O134" s="291"/>
      <c r="P134" s="291"/>
      <c r="Q134" s="301"/>
    </row>
    <row r="135" spans="5:17">
      <c r="E135" s="291"/>
      <c r="F135" s="291"/>
      <c r="G135" s="291"/>
      <c r="H135" s="291"/>
      <c r="I135" s="291"/>
      <c r="J135" s="91"/>
      <c r="K135" s="291"/>
      <c r="L135" s="291"/>
      <c r="M135" s="291"/>
      <c r="N135" s="291"/>
      <c r="O135" s="291"/>
      <c r="P135" s="291"/>
      <c r="Q135" s="301"/>
    </row>
    <row r="136" spans="5:17">
      <c r="E136" s="291"/>
      <c r="F136" s="291"/>
      <c r="G136" s="291"/>
      <c r="H136" s="291"/>
      <c r="I136" s="291"/>
      <c r="J136" s="91"/>
      <c r="K136" s="291"/>
      <c r="L136" s="291"/>
      <c r="M136" s="291"/>
      <c r="N136" s="291"/>
      <c r="O136" s="291"/>
      <c r="P136" s="291"/>
      <c r="Q136" s="301"/>
    </row>
    <row r="137" spans="5:17">
      <c r="E137" s="291"/>
      <c r="F137" s="291"/>
      <c r="G137" s="291"/>
      <c r="H137" s="291"/>
      <c r="I137" s="291"/>
      <c r="J137" s="91"/>
      <c r="K137" s="291"/>
      <c r="L137" s="291"/>
      <c r="M137" s="291"/>
      <c r="N137" s="291"/>
      <c r="O137" s="291"/>
      <c r="P137" s="291"/>
      <c r="Q137" s="301"/>
    </row>
    <row r="138" spans="5:17">
      <c r="E138" s="291"/>
      <c r="F138" s="291"/>
      <c r="G138" s="291"/>
      <c r="H138" s="291"/>
      <c r="I138" s="291"/>
      <c r="J138" s="91"/>
      <c r="K138" s="291"/>
      <c r="L138" s="291"/>
      <c r="M138" s="291"/>
      <c r="N138" s="291"/>
      <c r="O138" s="291"/>
      <c r="P138" s="291"/>
      <c r="Q138" s="301"/>
    </row>
    <row r="139" spans="5:17">
      <c r="E139" s="291"/>
      <c r="F139" s="291"/>
      <c r="G139" s="291"/>
      <c r="H139" s="291"/>
      <c r="I139" s="291"/>
      <c r="J139" s="91"/>
      <c r="K139" s="291"/>
      <c r="L139" s="291"/>
      <c r="M139" s="291"/>
      <c r="N139" s="291"/>
      <c r="O139" s="291"/>
      <c r="P139" s="291"/>
      <c r="Q139" s="301"/>
    </row>
    <row r="140" spans="5:17">
      <c r="E140" s="291"/>
      <c r="F140" s="291"/>
      <c r="G140" s="291"/>
      <c r="H140" s="291"/>
      <c r="I140" s="291"/>
      <c r="J140" s="91"/>
      <c r="K140" s="291"/>
      <c r="L140" s="291"/>
      <c r="M140" s="291"/>
      <c r="N140" s="291"/>
      <c r="O140" s="291"/>
      <c r="P140" s="291"/>
      <c r="Q140" s="301"/>
    </row>
    <row r="141" spans="5:17">
      <c r="E141" s="291"/>
      <c r="F141" s="291"/>
      <c r="G141" s="291"/>
      <c r="H141" s="291"/>
      <c r="I141" s="291"/>
      <c r="J141" s="291"/>
      <c r="K141" s="291"/>
      <c r="L141" s="291"/>
      <c r="M141" s="291"/>
      <c r="N141" s="291"/>
      <c r="O141" s="291"/>
      <c r="P141" s="291"/>
      <c r="Q141" s="301"/>
    </row>
    <row r="142" spans="5:17">
      <c r="E142" s="291"/>
      <c r="F142" s="291"/>
      <c r="G142" s="291"/>
      <c r="H142" s="291"/>
      <c r="I142" s="291"/>
      <c r="J142" s="291"/>
      <c r="K142" s="291"/>
      <c r="L142" s="291"/>
      <c r="M142" s="291"/>
      <c r="N142" s="291"/>
      <c r="O142" s="291"/>
      <c r="P142" s="291"/>
      <c r="Q142" s="301"/>
    </row>
    <row r="143" spans="5:17">
      <c r="E143" s="291"/>
      <c r="F143" s="291"/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Q143" s="301"/>
    </row>
    <row r="144" spans="5:17">
      <c r="E144" s="291"/>
      <c r="F144" s="291"/>
      <c r="G144" s="291"/>
      <c r="H144" s="291"/>
      <c r="I144" s="291"/>
      <c r="J144" s="291"/>
      <c r="K144" s="291"/>
      <c r="L144" s="291"/>
      <c r="M144" s="291"/>
      <c r="N144" s="291"/>
      <c r="O144" s="291"/>
      <c r="P144" s="291"/>
      <c r="Q144" s="301"/>
    </row>
    <row r="145" spans="5:17">
      <c r="E145" s="291"/>
      <c r="F145" s="291"/>
      <c r="G145" s="291"/>
      <c r="H145" s="291"/>
      <c r="I145" s="291"/>
      <c r="J145" s="291"/>
      <c r="K145" s="291"/>
      <c r="L145" s="291"/>
      <c r="M145" s="291"/>
      <c r="N145" s="291"/>
      <c r="O145" s="291"/>
      <c r="P145" s="291"/>
      <c r="Q145" s="301"/>
    </row>
    <row r="146" spans="5:17">
      <c r="E146" s="291"/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301"/>
    </row>
    <row r="147" spans="5:17">
      <c r="E147" s="291"/>
      <c r="F147" s="291"/>
      <c r="G147" s="291"/>
      <c r="H147" s="291"/>
      <c r="I147" s="291"/>
      <c r="J147" s="291"/>
      <c r="K147" s="291"/>
      <c r="L147" s="291"/>
      <c r="M147" s="291"/>
      <c r="N147" s="291"/>
      <c r="O147" s="291"/>
      <c r="P147" s="291"/>
      <c r="Q147" s="301"/>
    </row>
    <row r="148" spans="5:17">
      <c r="E148" s="291"/>
      <c r="F148" s="291"/>
      <c r="G148" s="291"/>
      <c r="H148" s="291"/>
      <c r="I148" s="291"/>
      <c r="J148" s="291"/>
      <c r="K148" s="291"/>
      <c r="L148" s="291"/>
      <c r="M148" s="291"/>
      <c r="N148" s="291"/>
      <c r="O148" s="291"/>
      <c r="P148" s="291"/>
      <c r="Q148" s="301"/>
    </row>
    <row r="149" spans="5:17">
      <c r="E149" s="291"/>
      <c r="F149" s="291"/>
      <c r="G149" s="291"/>
      <c r="H149" s="291"/>
      <c r="I149" s="291"/>
      <c r="J149" s="291"/>
      <c r="K149" s="291"/>
      <c r="L149" s="291"/>
      <c r="M149" s="291"/>
      <c r="N149" s="291"/>
      <c r="O149" s="291"/>
      <c r="P149" s="291"/>
      <c r="Q149" s="301"/>
    </row>
    <row r="150" spans="5:17">
      <c r="E150" s="291"/>
      <c r="F150" s="291"/>
      <c r="G150" s="291"/>
      <c r="H150" s="291"/>
      <c r="I150" s="291"/>
      <c r="J150" s="291"/>
      <c r="K150" s="291"/>
      <c r="L150" s="291"/>
      <c r="M150" s="291"/>
      <c r="N150" s="291"/>
      <c r="O150" s="291"/>
      <c r="P150" s="291"/>
      <c r="Q150" s="301"/>
    </row>
    <row r="151" spans="5:17">
      <c r="E151" s="291"/>
      <c r="F151" s="291"/>
      <c r="G151" s="291"/>
      <c r="H151" s="291"/>
      <c r="I151" s="291"/>
      <c r="J151" s="291"/>
      <c r="K151" s="291"/>
      <c r="L151" s="291"/>
      <c r="M151" s="291"/>
      <c r="N151" s="291"/>
      <c r="O151" s="291"/>
      <c r="P151" s="291"/>
      <c r="Q151" s="301"/>
    </row>
    <row r="152" spans="5:17">
      <c r="E152" s="291"/>
      <c r="F152" s="291"/>
      <c r="G152" s="291"/>
      <c r="H152" s="291"/>
      <c r="I152" s="291"/>
      <c r="J152" s="291"/>
      <c r="K152" s="291"/>
      <c r="L152" s="291"/>
      <c r="M152" s="291"/>
      <c r="N152" s="291"/>
      <c r="O152" s="291"/>
      <c r="P152" s="291"/>
      <c r="Q152" s="301"/>
    </row>
    <row r="153" spans="5:17">
      <c r="E153" s="291"/>
      <c r="F153" s="291"/>
      <c r="G153" s="291"/>
      <c r="H153" s="291"/>
      <c r="I153" s="291"/>
      <c r="J153" s="291"/>
      <c r="K153" s="291"/>
      <c r="L153" s="291"/>
      <c r="M153" s="291"/>
      <c r="N153" s="291"/>
      <c r="O153" s="291"/>
      <c r="P153" s="291"/>
      <c r="Q153" s="301"/>
    </row>
    <row r="154" spans="5:17">
      <c r="E154" s="291"/>
      <c r="F154" s="291"/>
      <c r="G154" s="291"/>
      <c r="H154" s="291"/>
      <c r="I154" s="291"/>
      <c r="J154" s="291"/>
      <c r="K154" s="291"/>
      <c r="L154" s="291"/>
      <c r="M154" s="291"/>
      <c r="N154" s="291"/>
      <c r="O154" s="291"/>
      <c r="P154" s="291"/>
      <c r="Q154" s="301"/>
    </row>
    <row r="155" spans="5:17">
      <c r="E155" s="291"/>
      <c r="F155" s="291"/>
      <c r="G155" s="291"/>
      <c r="H155" s="291"/>
      <c r="I155" s="291"/>
      <c r="J155" s="291"/>
      <c r="K155" s="291"/>
      <c r="L155" s="291"/>
      <c r="M155" s="291"/>
      <c r="N155" s="291"/>
      <c r="O155" s="291"/>
      <c r="P155" s="291"/>
      <c r="Q155" s="301"/>
    </row>
    <row r="156" spans="5:17">
      <c r="E156" s="291"/>
      <c r="F156" s="291"/>
      <c r="G156" s="291"/>
      <c r="H156" s="291"/>
      <c r="I156" s="291"/>
      <c r="J156" s="291"/>
      <c r="K156" s="291"/>
      <c r="L156" s="291"/>
      <c r="M156" s="291"/>
      <c r="N156" s="291"/>
      <c r="O156" s="291"/>
      <c r="P156" s="291"/>
      <c r="Q156" s="301"/>
    </row>
    <row r="157" spans="5:17">
      <c r="E157" s="291"/>
      <c r="F157" s="291"/>
      <c r="G157" s="291"/>
      <c r="H157" s="291"/>
      <c r="I157" s="291"/>
      <c r="J157" s="291"/>
      <c r="K157" s="291"/>
      <c r="L157" s="291"/>
      <c r="M157" s="291"/>
      <c r="N157" s="291"/>
      <c r="O157" s="291"/>
      <c r="P157" s="291"/>
      <c r="Q157" s="301"/>
    </row>
    <row r="158" spans="5:17">
      <c r="E158" s="291"/>
      <c r="F158" s="291"/>
      <c r="G158" s="291"/>
      <c r="H158" s="291"/>
      <c r="I158" s="291"/>
      <c r="J158" s="291"/>
      <c r="K158" s="291"/>
      <c r="L158" s="291"/>
      <c r="M158" s="291"/>
      <c r="N158" s="291"/>
      <c r="O158" s="291"/>
      <c r="P158" s="291"/>
      <c r="Q158" s="301"/>
    </row>
    <row r="159" spans="5:17">
      <c r="E159" s="291"/>
      <c r="F159" s="291"/>
      <c r="G159" s="291"/>
      <c r="H159" s="291"/>
      <c r="I159" s="291"/>
      <c r="J159" s="291"/>
      <c r="K159" s="291"/>
      <c r="L159" s="291"/>
      <c r="M159" s="291"/>
      <c r="N159" s="291"/>
      <c r="O159" s="291"/>
      <c r="P159" s="291"/>
      <c r="Q159" s="301"/>
    </row>
    <row r="160" spans="5:17">
      <c r="E160" s="291"/>
      <c r="F160" s="291"/>
      <c r="G160" s="291"/>
      <c r="H160" s="291"/>
      <c r="I160" s="291"/>
      <c r="J160" s="291"/>
      <c r="K160" s="291"/>
      <c r="L160" s="291"/>
      <c r="M160" s="291"/>
      <c r="N160" s="291"/>
      <c r="O160" s="291"/>
      <c r="P160" s="291"/>
      <c r="Q160" s="301"/>
    </row>
    <row r="161" spans="5:17">
      <c r="E161" s="291"/>
      <c r="F161" s="291"/>
      <c r="G161" s="291"/>
      <c r="H161" s="291"/>
      <c r="I161" s="291"/>
      <c r="J161" s="291"/>
      <c r="K161" s="291"/>
      <c r="L161" s="291"/>
      <c r="M161" s="291"/>
      <c r="N161" s="291"/>
      <c r="O161" s="291"/>
      <c r="P161" s="291"/>
      <c r="Q161" s="301"/>
    </row>
    <row r="162" spans="5:17">
      <c r="E162" s="291"/>
      <c r="F162" s="291"/>
      <c r="G162" s="291"/>
      <c r="H162" s="291"/>
      <c r="I162" s="291"/>
      <c r="J162" s="291"/>
      <c r="K162" s="291"/>
      <c r="L162" s="291"/>
      <c r="M162" s="291"/>
      <c r="N162" s="291"/>
      <c r="O162" s="291"/>
      <c r="P162" s="291"/>
      <c r="Q162" s="301"/>
    </row>
    <row r="163" spans="5:17">
      <c r="E163" s="291"/>
      <c r="F163" s="291"/>
      <c r="G163" s="291"/>
      <c r="H163" s="291"/>
      <c r="I163" s="291"/>
      <c r="J163" s="291"/>
      <c r="K163" s="291"/>
      <c r="L163" s="291"/>
      <c r="M163" s="291"/>
      <c r="N163" s="291"/>
      <c r="O163" s="291"/>
      <c r="P163" s="291"/>
      <c r="Q163" s="301"/>
    </row>
    <row r="164" spans="5:17">
      <c r="E164" s="291"/>
      <c r="F164" s="291"/>
      <c r="G164" s="291"/>
      <c r="H164" s="291"/>
      <c r="I164" s="291"/>
      <c r="J164" s="291"/>
      <c r="K164" s="291"/>
      <c r="L164" s="291"/>
      <c r="M164" s="291"/>
      <c r="N164" s="291"/>
      <c r="O164" s="291"/>
      <c r="P164" s="291"/>
      <c r="Q164" s="301"/>
    </row>
    <row r="165" spans="5:17">
      <c r="E165" s="291"/>
      <c r="F165" s="291"/>
      <c r="G165" s="291"/>
      <c r="H165" s="291"/>
      <c r="I165" s="291"/>
      <c r="J165" s="291"/>
      <c r="K165" s="291"/>
      <c r="L165" s="291"/>
      <c r="M165" s="291"/>
      <c r="N165" s="291"/>
      <c r="O165" s="291"/>
      <c r="P165" s="291"/>
      <c r="Q165" s="301"/>
    </row>
    <row r="166" spans="5:17">
      <c r="E166" s="291"/>
      <c r="F166" s="291"/>
      <c r="G166" s="291"/>
      <c r="H166" s="291"/>
      <c r="I166" s="291"/>
      <c r="J166" s="291"/>
      <c r="K166" s="291"/>
      <c r="L166" s="291"/>
      <c r="M166" s="291"/>
      <c r="N166" s="291"/>
      <c r="O166" s="291"/>
      <c r="P166" s="291"/>
      <c r="Q166" s="301"/>
    </row>
    <row r="167" spans="5:17">
      <c r="E167" s="291"/>
      <c r="F167" s="291"/>
      <c r="G167" s="291"/>
      <c r="H167" s="291"/>
      <c r="I167" s="291"/>
      <c r="J167" s="291"/>
      <c r="K167" s="291"/>
      <c r="L167" s="291"/>
      <c r="M167" s="291"/>
      <c r="N167" s="291"/>
      <c r="O167" s="291"/>
      <c r="P167" s="291"/>
      <c r="Q167" s="301"/>
    </row>
    <row r="168" spans="5:17">
      <c r="E168" s="291"/>
      <c r="F168" s="291"/>
      <c r="G168" s="291"/>
      <c r="H168" s="291"/>
      <c r="I168" s="291"/>
      <c r="J168" s="291"/>
      <c r="K168" s="291"/>
      <c r="L168" s="291"/>
      <c r="M168" s="291"/>
      <c r="N168" s="291"/>
      <c r="O168" s="291"/>
      <c r="P168" s="291"/>
      <c r="Q168" s="301"/>
    </row>
    <row r="169" spans="5:17">
      <c r="E169" s="291"/>
      <c r="F169" s="291"/>
      <c r="G169" s="291"/>
      <c r="H169" s="291"/>
      <c r="I169" s="291"/>
      <c r="J169" s="291"/>
      <c r="K169" s="291"/>
      <c r="L169" s="291"/>
      <c r="M169" s="291"/>
      <c r="N169" s="291"/>
      <c r="O169" s="291"/>
      <c r="P169" s="291"/>
      <c r="Q169" s="301"/>
    </row>
    <row r="170" spans="5:17">
      <c r="E170" s="291"/>
      <c r="F170" s="291"/>
      <c r="G170" s="291"/>
      <c r="H170" s="291"/>
      <c r="I170" s="291"/>
      <c r="J170" s="291"/>
      <c r="K170" s="291"/>
      <c r="L170" s="291"/>
      <c r="M170" s="291"/>
      <c r="N170" s="291"/>
      <c r="O170" s="291"/>
      <c r="P170" s="291"/>
      <c r="Q170" s="301"/>
    </row>
    <row r="171" spans="5:17">
      <c r="E171" s="291"/>
      <c r="F171" s="291"/>
      <c r="G171" s="291"/>
      <c r="H171" s="291"/>
      <c r="I171" s="291"/>
      <c r="J171" s="291"/>
      <c r="K171" s="291"/>
      <c r="L171" s="291"/>
      <c r="M171" s="291"/>
      <c r="N171" s="291"/>
      <c r="O171" s="291"/>
      <c r="P171" s="291"/>
      <c r="Q171" s="301"/>
    </row>
    <row r="172" spans="5:17">
      <c r="E172" s="291"/>
      <c r="F172" s="291"/>
      <c r="G172" s="291"/>
      <c r="H172" s="291"/>
      <c r="I172" s="291"/>
      <c r="J172" s="291"/>
      <c r="K172" s="291"/>
      <c r="L172" s="291"/>
      <c r="M172" s="291"/>
      <c r="N172" s="291"/>
      <c r="O172" s="291"/>
      <c r="P172" s="291"/>
      <c r="Q172" s="301"/>
    </row>
    <row r="173" spans="5:17">
      <c r="E173" s="291"/>
      <c r="F173" s="291"/>
      <c r="G173" s="291"/>
      <c r="H173" s="291"/>
      <c r="I173" s="291"/>
      <c r="J173" s="291"/>
      <c r="K173" s="291"/>
      <c r="L173" s="291"/>
      <c r="M173" s="291"/>
      <c r="N173" s="291"/>
      <c r="O173" s="291"/>
      <c r="P173" s="291"/>
      <c r="Q173" s="301"/>
    </row>
    <row r="174" spans="5:17">
      <c r="E174" s="291"/>
      <c r="F174" s="291"/>
      <c r="G174" s="291"/>
      <c r="H174" s="291"/>
      <c r="I174" s="291"/>
      <c r="J174" s="291"/>
      <c r="K174" s="291"/>
      <c r="L174" s="291"/>
      <c r="M174" s="291"/>
      <c r="N174" s="291"/>
      <c r="O174" s="291"/>
      <c r="P174" s="291"/>
      <c r="Q174" s="301"/>
    </row>
    <row r="175" spans="5:17"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301"/>
    </row>
    <row r="176" spans="5:17">
      <c r="E176" s="291"/>
      <c r="F176" s="291"/>
      <c r="G176" s="291"/>
      <c r="H176" s="291"/>
      <c r="I176" s="291"/>
      <c r="J176" s="291"/>
      <c r="K176" s="291"/>
      <c r="L176" s="291"/>
      <c r="M176" s="291"/>
      <c r="N176" s="291"/>
      <c r="O176" s="291"/>
      <c r="P176" s="291"/>
      <c r="Q176" s="301"/>
    </row>
    <row r="177" spans="5:17">
      <c r="E177" s="291"/>
      <c r="F177" s="291"/>
      <c r="G177" s="291"/>
      <c r="H177" s="291"/>
      <c r="I177" s="291"/>
      <c r="J177" s="291"/>
      <c r="K177" s="291"/>
      <c r="L177" s="291"/>
      <c r="M177" s="291"/>
      <c r="N177" s="291"/>
      <c r="O177" s="291"/>
      <c r="P177" s="291"/>
      <c r="Q177" s="301"/>
    </row>
    <row r="178" spans="5:17">
      <c r="E178" s="291"/>
      <c r="F178" s="291"/>
      <c r="G178" s="291"/>
      <c r="H178" s="291"/>
      <c r="I178" s="291"/>
      <c r="J178" s="291"/>
      <c r="K178" s="291"/>
      <c r="L178" s="291"/>
      <c r="M178" s="291"/>
      <c r="N178" s="291"/>
      <c r="O178" s="291"/>
      <c r="P178" s="291"/>
      <c r="Q178" s="301"/>
    </row>
    <row r="179" spans="5:17">
      <c r="E179" s="291"/>
      <c r="F179" s="291"/>
      <c r="G179" s="291"/>
      <c r="H179" s="291"/>
      <c r="I179" s="291"/>
      <c r="J179" s="291"/>
      <c r="K179" s="291"/>
      <c r="L179" s="291"/>
      <c r="M179" s="291"/>
      <c r="N179" s="291"/>
      <c r="O179" s="291"/>
      <c r="P179" s="291"/>
      <c r="Q179" s="301"/>
    </row>
    <row r="180" spans="5:17">
      <c r="E180" s="291"/>
      <c r="F180" s="291"/>
      <c r="G180" s="291"/>
      <c r="H180" s="291"/>
      <c r="I180" s="291"/>
      <c r="J180" s="291"/>
      <c r="K180" s="291"/>
      <c r="L180" s="291"/>
      <c r="M180" s="291"/>
      <c r="N180" s="291"/>
      <c r="O180" s="291"/>
      <c r="P180" s="291"/>
      <c r="Q180" s="301"/>
    </row>
    <row r="181" spans="5:17">
      <c r="E181" s="291"/>
      <c r="F181" s="291"/>
      <c r="G181" s="291"/>
      <c r="H181" s="291"/>
      <c r="I181" s="291"/>
      <c r="J181" s="291"/>
      <c r="K181" s="291"/>
      <c r="L181" s="291"/>
      <c r="M181" s="291"/>
      <c r="N181" s="291"/>
      <c r="O181" s="291"/>
      <c r="P181" s="291"/>
      <c r="Q181" s="301"/>
    </row>
    <row r="182" spans="5:17">
      <c r="E182" s="291"/>
      <c r="F182" s="291"/>
      <c r="G182" s="291"/>
      <c r="H182" s="291"/>
      <c r="I182" s="291"/>
      <c r="J182" s="291"/>
      <c r="K182" s="291"/>
      <c r="L182" s="291"/>
      <c r="M182" s="291"/>
      <c r="N182" s="291"/>
      <c r="O182" s="291"/>
      <c r="P182" s="291"/>
      <c r="Q182" s="301"/>
    </row>
    <row r="183" spans="5:17">
      <c r="E183" s="291"/>
      <c r="F183" s="291"/>
      <c r="G183" s="291"/>
      <c r="H183" s="291"/>
      <c r="I183" s="291"/>
      <c r="J183" s="291"/>
      <c r="K183" s="291"/>
      <c r="L183" s="291"/>
      <c r="M183" s="291"/>
      <c r="N183" s="291"/>
      <c r="O183" s="291"/>
      <c r="P183" s="291"/>
      <c r="Q183" s="301"/>
    </row>
    <row r="184" spans="5:17">
      <c r="E184" s="291"/>
      <c r="F184" s="291"/>
      <c r="G184" s="291"/>
      <c r="H184" s="291"/>
      <c r="I184" s="291"/>
      <c r="J184" s="291"/>
      <c r="K184" s="291"/>
      <c r="L184" s="291"/>
      <c r="M184" s="291"/>
      <c r="N184" s="291"/>
      <c r="O184" s="291"/>
      <c r="P184" s="291"/>
      <c r="Q184" s="301"/>
    </row>
    <row r="185" spans="5:17">
      <c r="E185" s="291"/>
      <c r="F185" s="291"/>
      <c r="G185" s="291"/>
      <c r="H185" s="291"/>
      <c r="I185" s="291"/>
      <c r="J185" s="291"/>
      <c r="K185" s="291"/>
      <c r="L185" s="291"/>
      <c r="M185" s="291"/>
      <c r="N185" s="291"/>
      <c r="O185" s="291"/>
      <c r="P185" s="291"/>
      <c r="Q185" s="301"/>
    </row>
    <row r="186" spans="5:17">
      <c r="E186" s="291"/>
      <c r="F186" s="291"/>
      <c r="G186" s="291"/>
      <c r="H186" s="291"/>
      <c r="I186" s="291"/>
      <c r="J186" s="291"/>
      <c r="K186" s="291"/>
      <c r="L186" s="291"/>
      <c r="M186" s="291"/>
      <c r="N186" s="291"/>
      <c r="O186" s="291"/>
      <c r="P186" s="291"/>
      <c r="Q186" s="301"/>
    </row>
    <row r="187" spans="5:17">
      <c r="E187" s="291"/>
      <c r="F187" s="291"/>
      <c r="G187" s="291"/>
      <c r="H187" s="291"/>
      <c r="I187" s="291"/>
      <c r="J187" s="291"/>
      <c r="K187" s="291"/>
      <c r="L187" s="291"/>
      <c r="M187" s="291"/>
      <c r="N187" s="291"/>
      <c r="O187" s="291"/>
      <c r="P187" s="291"/>
      <c r="Q187" s="301"/>
    </row>
    <row r="188" spans="5:17">
      <c r="E188" s="291"/>
      <c r="F188" s="291"/>
      <c r="G188" s="291"/>
      <c r="H188" s="291"/>
      <c r="I188" s="291"/>
      <c r="J188" s="291"/>
      <c r="K188" s="291"/>
      <c r="L188" s="291"/>
      <c r="M188" s="291"/>
      <c r="N188" s="291"/>
      <c r="O188" s="291"/>
      <c r="P188" s="291"/>
      <c r="Q188" s="301"/>
    </row>
    <row r="189" spans="5:17">
      <c r="E189" s="291"/>
      <c r="F189" s="291"/>
      <c r="G189" s="291"/>
      <c r="H189" s="291"/>
      <c r="I189" s="291"/>
      <c r="J189" s="291"/>
      <c r="K189" s="291"/>
      <c r="L189" s="291"/>
      <c r="M189" s="291"/>
      <c r="N189" s="291"/>
      <c r="O189" s="291"/>
      <c r="P189" s="291"/>
      <c r="Q189" s="301"/>
    </row>
    <row r="190" spans="5:17">
      <c r="E190" s="291"/>
      <c r="F190" s="291"/>
      <c r="G190" s="291"/>
      <c r="H190" s="291"/>
      <c r="I190" s="291"/>
      <c r="J190" s="291"/>
      <c r="K190" s="291"/>
      <c r="L190" s="291"/>
      <c r="M190" s="291"/>
      <c r="N190" s="291"/>
      <c r="O190" s="291"/>
      <c r="P190" s="291"/>
      <c r="Q190" s="301"/>
    </row>
    <row r="191" spans="5:17">
      <c r="E191" s="291"/>
      <c r="F191" s="291"/>
      <c r="G191" s="291"/>
      <c r="H191" s="291"/>
      <c r="I191" s="291"/>
      <c r="J191" s="291"/>
      <c r="K191" s="291"/>
      <c r="L191" s="291"/>
      <c r="M191" s="291"/>
      <c r="N191" s="291"/>
      <c r="O191" s="291"/>
      <c r="P191" s="291"/>
      <c r="Q191" s="301"/>
    </row>
    <row r="192" spans="5:17">
      <c r="E192" s="291"/>
      <c r="F192" s="291"/>
      <c r="G192" s="291"/>
      <c r="H192" s="291"/>
      <c r="I192" s="291"/>
      <c r="J192" s="291"/>
      <c r="K192" s="291"/>
      <c r="L192" s="291"/>
      <c r="M192" s="291"/>
      <c r="N192" s="291"/>
      <c r="O192" s="291"/>
      <c r="P192" s="291"/>
      <c r="Q192" s="301"/>
    </row>
    <row r="193" spans="5:17">
      <c r="E193" s="291"/>
      <c r="F193" s="291"/>
      <c r="G193" s="291"/>
      <c r="H193" s="291"/>
      <c r="I193" s="291"/>
      <c r="J193" s="291"/>
      <c r="K193" s="291"/>
      <c r="L193" s="291"/>
      <c r="M193" s="291"/>
      <c r="N193" s="291"/>
      <c r="O193" s="291"/>
      <c r="P193" s="291"/>
      <c r="Q193" s="301"/>
    </row>
    <row r="194" spans="5:17">
      <c r="E194" s="291"/>
      <c r="F194" s="291"/>
      <c r="G194" s="291"/>
      <c r="H194" s="291"/>
      <c r="I194" s="291"/>
      <c r="J194" s="291"/>
      <c r="K194" s="291"/>
      <c r="L194" s="291"/>
      <c r="M194" s="291"/>
      <c r="N194" s="291"/>
      <c r="O194" s="291"/>
      <c r="P194" s="291"/>
      <c r="Q194" s="301"/>
    </row>
    <row r="195" spans="5:17">
      <c r="E195" s="291"/>
      <c r="F195" s="291"/>
      <c r="G195" s="291"/>
      <c r="H195" s="291"/>
      <c r="I195" s="291"/>
      <c r="J195" s="291"/>
      <c r="K195" s="291"/>
      <c r="L195" s="291"/>
      <c r="M195" s="291"/>
      <c r="N195" s="291"/>
      <c r="O195" s="291"/>
      <c r="P195" s="291"/>
      <c r="Q195" s="301"/>
    </row>
    <row r="196" spans="5:17">
      <c r="E196" s="291"/>
      <c r="F196" s="291"/>
      <c r="G196" s="291"/>
      <c r="H196" s="291"/>
      <c r="I196" s="291"/>
      <c r="J196" s="291"/>
      <c r="K196" s="291"/>
      <c r="L196" s="291"/>
      <c r="M196" s="291"/>
      <c r="N196" s="291"/>
      <c r="O196" s="291"/>
      <c r="P196" s="291"/>
      <c r="Q196" s="301"/>
    </row>
    <row r="197" spans="5:17">
      <c r="E197" s="291"/>
      <c r="F197" s="291"/>
      <c r="G197" s="291"/>
      <c r="H197" s="291"/>
      <c r="I197" s="291"/>
      <c r="J197" s="291"/>
      <c r="K197" s="291"/>
      <c r="L197" s="291"/>
      <c r="M197" s="291"/>
      <c r="N197" s="291"/>
      <c r="O197" s="291"/>
      <c r="P197" s="291"/>
      <c r="Q197" s="301"/>
    </row>
    <row r="198" spans="5:17">
      <c r="E198" s="291"/>
      <c r="F198" s="291"/>
      <c r="G198" s="291"/>
      <c r="H198" s="291"/>
      <c r="I198" s="291"/>
      <c r="J198" s="291"/>
      <c r="K198" s="291"/>
      <c r="L198" s="291"/>
      <c r="M198" s="291"/>
      <c r="N198" s="291"/>
      <c r="O198" s="291"/>
      <c r="P198" s="291"/>
      <c r="Q198" s="301"/>
    </row>
    <row r="199" spans="5:17">
      <c r="E199" s="291"/>
      <c r="F199" s="291"/>
      <c r="G199" s="291"/>
      <c r="H199" s="291"/>
      <c r="I199" s="291"/>
      <c r="J199" s="291"/>
      <c r="K199" s="291"/>
      <c r="L199" s="291"/>
      <c r="M199" s="291"/>
      <c r="N199" s="291"/>
      <c r="O199" s="291"/>
      <c r="P199" s="291"/>
      <c r="Q199" s="301"/>
    </row>
    <row r="200" spans="5:17">
      <c r="E200" s="291"/>
      <c r="F200" s="291"/>
      <c r="G200" s="291"/>
      <c r="H200" s="291"/>
      <c r="I200" s="291"/>
      <c r="J200" s="291"/>
      <c r="K200" s="291"/>
      <c r="L200" s="291"/>
      <c r="M200" s="291"/>
      <c r="N200" s="291"/>
      <c r="O200" s="291"/>
      <c r="P200" s="291"/>
      <c r="Q200" s="301"/>
    </row>
    <row r="201" spans="5:17">
      <c r="E201" s="291"/>
      <c r="F201" s="291"/>
      <c r="G201" s="291"/>
      <c r="H201" s="291"/>
      <c r="I201" s="291"/>
      <c r="J201" s="291"/>
      <c r="K201" s="291"/>
      <c r="L201" s="291"/>
      <c r="M201" s="291"/>
      <c r="N201" s="291"/>
      <c r="O201" s="291"/>
      <c r="P201" s="291"/>
      <c r="Q201" s="301"/>
    </row>
    <row r="202" spans="5:17">
      <c r="E202" s="291"/>
      <c r="F202" s="291"/>
      <c r="G202" s="291"/>
      <c r="H202" s="291"/>
      <c r="I202" s="291"/>
      <c r="J202" s="291"/>
      <c r="K202" s="291"/>
      <c r="L202" s="291"/>
      <c r="M202" s="291"/>
      <c r="N202" s="291"/>
      <c r="O202" s="291"/>
      <c r="P202" s="291"/>
      <c r="Q202" s="301"/>
    </row>
    <row r="203" spans="5:17">
      <c r="E203" s="291"/>
      <c r="F203" s="291"/>
      <c r="G203" s="291"/>
      <c r="H203" s="291"/>
      <c r="I203" s="291"/>
      <c r="J203" s="291"/>
      <c r="K203" s="291"/>
      <c r="L203" s="291"/>
      <c r="M203" s="291"/>
      <c r="N203" s="291"/>
      <c r="O203" s="291"/>
      <c r="P203" s="291"/>
      <c r="Q203" s="301"/>
    </row>
    <row r="204" spans="5:17">
      <c r="E204" s="291"/>
      <c r="F204" s="291"/>
      <c r="G204" s="291"/>
      <c r="H204" s="291"/>
      <c r="I204" s="291"/>
      <c r="J204" s="291"/>
      <c r="K204" s="291"/>
      <c r="L204" s="291"/>
      <c r="M204" s="291"/>
      <c r="N204" s="291"/>
      <c r="O204" s="291"/>
      <c r="P204" s="291"/>
      <c r="Q204" s="301"/>
    </row>
    <row r="205" spans="5:17">
      <c r="E205" s="291"/>
      <c r="F205" s="291"/>
      <c r="G205" s="291"/>
      <c r="H205" s="291"/>
      <c r="I205" s="291"/>
      <c r="J205" s="291"/>
      <c r="K205" s="291"/>
      <c r="L205" s="291"/>
      <c r="M205" s="291"/>
      <c r="N205" s="291"/>
      <c r="O205" s="291"/>
      <c r="P205" s="291"/>
      <c r="Q205" s="301"/>
    </row>
    <row r="206" spans="5:17">
      <c r="E206" s="291"/>
      <c r="F206" s="291"/>
      <c r="G206" s="291"/>
      <c r="H206" s="291"/>
      <c r="I206" s="291"/>
      <c r="J206" s="291"/>
      <c r="K206" s="291"/>
      <c r="L206" s="291"/>
      <c r="M206" s="291"/>
      <c r="N206" s="291"/>
      <c r="O206" s="291"/>
      <c r="P206" s="291"/>
      <c r="Q206" s="301"/>
    </row>
    <row r="207" spans="5:17">
      <c r="E207" s="291"/>
      <c r="F207" s="291"/>
      <c r="G207" s="291"/>
      <c r="H207" s="291"/>
      <c r="I207" s="291"/>
      <c r="J207" s="291"/>
      <c r="K207" s="291"/>
      <c r="L207" s="291"/>
      <c r="M207" s="291"/>
      <c r="N207" s="291"/>
      <c r="O207" s="291"/>
      <c r="P207" s="291"/>
      <c r="Q207" s="301"/>
    </row>
    <row r="208" spans="5:17">
      <c r="E208" s="291"/>
      <c r="F208" s="291"/>
      <c r="G208" s="291"/>
      <c r="H208" s="291"/>
      <c r="I208" s="291"/>
      <c r="J208" s="291"/>
      <c r="K208" s="291"/>
      <c r="L208" s="291"/>
      <c r="M208" s="291"/>
      <c r="N208" s="291"/>
      <c r="O208" s="291"/>
      <c r="P208" s="291"/>
      <c r="Q208" s="301"/>
    </row>
    <row r="209" spans="5:17">
      <c r="E209" s="291"/>
      <c r="F209" s="291"/>
      <c r="G209" s="291"/>
      <c r="H209" s="291"/>
      <c r="I209" s="291"/>
      <c r="J209" s="291"/>
      <c r="K209" s="291"/>
      <c r="L209" s="291"/>
      <c r="M209" s="291"/>
      <c r="N209" s="291"/>
      <c r="O209" s="291"/>
      <c r="P209" s="291"/>
      <c r="Q209" s="301"/>
    </row>
    <row r="210" spans="5:17">
      <c r="E210" s="291"/>
      <c r="F210" s="291"/>
      <c r="G210" s="291"/>
      <c r="H210" s="291"/>
      <c r="I210" s="291"/>
      <c r="J210" s="291"/>
      <c r="K210" s="291"/>
      <c r="L210" s="291"/>
      <c r="M210" s="291"/>
      <c r="N210" s="291"/>
      <c r="O210" s="291"/>
      <c r="P210" s="291"/>
      <c r="Q210" s="301"/>
    </row>
    <row r="211" spans="5:17">
      <c r="E211" s="291"/>
      <c r="F211" s="291"/>
      <c r="G211" s="291"/>
      <c r="H211" s="291"/>
      <c r="I211" s="291"/>
      <c r="J211" s="291"/>
      <c r="K211" s="291"/>
      <c r="L211" s="291"/>
      <c r="M211" s="291"/>
      <c r="N211" s="291"/>
      <c r="O211" s="291"/>
      <c r="P211" s="291"/>
      <c r="Q211" s="301"/>
    </row>
    <row r="212" spans="5:17">
      <c r="E212" s="291"/>
      <c r="F212" s="291"/>
      <c r="G212" s="291"/>
      <c r="H212" s="291"/>
      <c r="I212" s="291"/>
      <c r="J212" s="291"/>
      <c r="K212" s="291"/>
      <c r="L212" s="291"/>
      <c r="M212" s="291"/>
      <c r="N212" s="291"/>
      <c r="O212" s="291"/>
      <c r="P212" s="291"/>
      <c r="Q212" s="301"/>
    </row>
    <row r="213" spans="5:17">
      <c r="E213" s="291"/>
      <c r="F213" s="291"/>
      <c r="G213" s="291"/>
      <c r="H213" s="291"/>
      <c r="I213" s="291"/>
      <c r="J213" s="291"/>
      <c r="K213" s="291"/>
      <c r="L213" s="291"/>
      <c r="M213" s="291"/>
      <c r="N213" s="291"/>
      <c r="O213" s="291"/>
      <c r="P213" s="291"/>
      <c r="Q213" s="301"/>
    </row>
    <row r="214" spans="5:17">
      <c r="E214" s="291"/>
      <c r="F214" s="291"/>
      <c r="G214" s="291"/>
      <c r="H214" s="291"/>
      <c r="I214" s="291"/>
      <c r="J214" s="291"/>
      <c r="K214" s="291"/>
      <c r="L214" s="291"/>
      <c r="M214" s="291"/>
      <c r="N214" s="291"/>
      <c r="O214" s="291"/>
      <c r="P214" s="291"/>
      <c r="Q214" s="301"/>
    </row>
    <row r="215" spans="5:17">
      <c r="E215" s="291"/>
      <c r="F215" s="291"/>
      <c r="G215" s="291"/>
      <c r="H215" s="291"/>
      <c r="I215" s="291"/>
      <c r="J215" s="291"/>
      <c r="K215" s="291"/>
      <c r="L215" s="291"/>
      <c r="M215" s="291"/>
      <c r="N215" s="291"/>
      <c r="O215" s="291"/>
      <c r="P215" s="291"/>
      <c r="Q215" s="301"/>
    </row>
    <row r="216" spans="5:17">
      <c r="E216" s="291"/>
      <c r="F216" s="291"/>
      <c r="G216" s="291"/>
      <c r="H216" s="291"/>
      <c r="I216" s="291"/>
      <c r="J216" s="291"/>
      <c r="K216" s="291"/>
      <c r="L216" s="291"/>
      <c r="M216" s="291"/>
      <c r="N216" s="291"/>
      <c r="O216" s="291"/>
      <c r="P216" s="291"/>
      <c r="Q216" s="301"/>
    </row>
    <row r="217" spans="5:17">
      <c r="E217" s="291"/>
      <c r="F217" s="291"/>
      <c r="G217" s="291"/>
      <c r="H217" s="291"/>
      <c r="I217" s="291"/>
      <c r="J217" s="291"/>
      <c r="K217" s="291"/>
      <c r="L217" s="291"/>
      <c r="M217" s="291"/>
      <c r="N217" s="291"/>
      <c r="O217" s="291"/>
      <c r="P217" s="291"/>
      <c r="Q217" s="301"/>
    </row>
    <row r="218" spans="5:17">
      <c r="E218" s="291"/>
      <c r="F218" s="291"/>
      <c r="G218" s="291"/>
      <c r="H218" s="291"/>
      <c r="I218" s="291"/>
      <c r="J218" s="291"/>
      <c r="K218" s="291"/>
      <c r="L218" s="291"/>
      <c r="M218" s="291"/>
      <c r="N218" s="291"/>
      <c r="O218" s="291"/>
      <c r="P218" s="291"/>
      <c r="Q218" s="301"/>
    </row>
    <row r="219" spans="5:17">
      <c r="E219" s="291"/>
      <c r="F219" s="291"/>
      <c r="G219" s="291"/>
      <c r="H219" s="291"/>
      <c r="I219" s="291"/>
      <c r="J219" s="291"/>
      <c r="K219" s="291"/>
      <c r="L219" s="291"/>
      <c r="M219" s="291"/>
      <c r="N219" s="291"/>
      <c r="O219" s="291"/>
      <c r="P219" s="291"/>
      <c r="Q219" s="301"/>
    </row>
    <row r="220" spans="5:17">
      <c r="E220" s="291"/>
      <c r="F220" s="291"/>
      <c r="G220" s="291"/>
      <c r="H220" s="291"/>
      <c r="I220" s="291"/>
      <c r="J220" s="291"/>
      <c r="K220" s="291"/>
      <c r="L220" s="291"/>
      <c r="M220" s="291"/>
      <c r="N220" s="291"/>
      <c r="O220" s="291"/>
      <c r="P220" s="291"/>
      <c r="Q220" s="301"/>
    </row>
    <row r="221" spans="5:17">
      <c r="E221" s="291"/>
      <c r="F221" s="291"/>
      <c r="G221" s="291"/>
      <c r="H221" s="291"/>
      <c r="I221" s="291"/>
      <c r="J221" s="291"/>
      <c r="K221" s="291"/>
      <c r="L221" s="291"/>
      <c r="M221" s="291"/>
      <c r="N221" s="291"/>
      <c r="O221" s="291"/>
      <c r="P221" s="291"/>
      <c r="Q221" s="301"/>
    </row>
    <row r="222" spans="5:17">
      <c r="E222" s="291"/>
      <c r="F222" s="291"/>
      <c r="G222" s="291"/>
      <c r="H222" s="291"/>
      <c r="I222" s="291"/>
      <c r="J222" s="291"/>
      <c r="K222" s="291"/>
      <c r="L222" s="291"/>
      <c r="M222" s="291"/>
      <c r="N222" s="291"/>
      <c r="O222" s="291"/>
      <c r="P222" s="291"/>
      <c r="Q222" s="301"/>
    </row>
    <row r="223" spans="5:17">
      <c r="E223" s="291"/>
      <c r="F223" s="291"/>
      <c r="G223" s="291"/>
      <c r="H223" s="291"/>
      <c r="I223" s="291"/>
      <c r="J223" s="291"/>
      <c r="K223" s="291"/>
      <c r="L223" s="291"/>
      <c r="M223" s="291"/>
      <c r="N223" s="291"/>
      <c r="O223" s="291"/>
      <c r="P223" s="291"/>
      <c r="Q223" s="301"/>
    </row>
    <row r="224" spans="5:17">
      <c r="E224" s="291"/>
      <c r="F224" s="291"/>
      <c r="G224" s="291"/>
      <c r="H224" s="291"/>
      <c r="I224" s="291"/>
      <c r="J224" s="291"/>
      <c r="K224" s="291"/>
      <c r="L224" s="291"/>
      <c r="M224" s="291"/>
      <c r="N224" s="291"/>
      <c r="O224" s="291"/>
      <c r="P224" s="291"/>
      <c r="Q224" s="301"/>
    </row>
    <row r="225" spans="5:17">
      <c r="E225" s="291"/>
      <c r="F225" s="291"/>
      <c r="G225" s="291"/>
      <c r="H225" s="291"/>
      <c r="I225" s="291"/>
      <c r="J225" s="291"/>
      <c r="K225" s="291"/>
      <c r="L225" s="291"/>
      <c r="M225" s="291"/>
      <c r="N225" s="291"/>
      <c r="O225" s="291"/>
      <c r="P225" s="291"/>
      <c r="Q225" s="301"/>
    </row>
    <row r="226" spans="5:17">
      <c r="E226" s="291"/>
      <c r="F226" s="291"/>
      <c r="G226" s="291"/>
      <c r="H226" s="291"/>
      <c r="I226" s="291"/>
      <c r="J226" s="291"/>
      <c r="K226" s="291"/>
      <c r="L226" s="291"/>
      <c r="M226" s="291"/>
      <c r="N226" s="291"/>
      <c r="O226" s="291"/>
      <c r="P226" s="291"/>
      <c r="Q226" s="301"/>
    </row>
    <row r="227" spans="5:17">
      <c r="E227" s="291"/>
      <c r="F227" s="291"/>
      <c r="G227" s="291"/>
      <c r="H227" s="291"/>
      <c r="I227" s="291"/>
      <c r="J227" s="291"/>
      <c r="K227" s="291"/>
      <c r="L227" s="291"/>
      <c r="M227" s="291"/>
      <c r="N227" s="291"/>
      <c r="O227" s="291"/>
      <c r="P227" s="291"/>
      <c r="Q227" s="301"/>
    </row>
    <row r="228" spans="5:17">
      <c r="F228" s="291"/>
      <c r="G228" s="291"/>
      <c r="H228" s="291"/>
      <c r="I228" s="291"/>
      <c r="J228" s="291"/>
      <c r="K228" s="291"/>
      <c r="L228" s="291"/>
      <c r="M228" s="291"/>
      <c r="N228" s="291"/>
      <c r="O228" s="291"/>
      <c r="P228" s="291"/>
      <c r="Q228" s="301"/>
    </row>
    <row r="229" spans="5:17">
      <c r="F229" s="291"/>
      <c r="G229" s="291"/>
      <c r="H229" s="291"/>
      <c r="I229" s="291"/>
      <c r="J229" s="291"/>
      <c r="K229" s="291"/>
      <c r="L229" s="291"/>
      <c r="M229" s="291"/>
      <c r="N229" s="291"/>
      <c r="O229" s="291"/>
      <c r="P229" s="291"/>
      <c r="Q229" s="301"/>
    </row>
    <row r="230" spans="5:17">
      <c r="F230" s="291"/>
      <c r="G230" s="291"/>
      <c r="H230" s="291"/>
      <c r="I230" s="291"/>
      <c r="J230" s="291"/>
      <c r="K230" s="291"/>
      <c r="L230" s="291"/>
      <c r="M230" s="291"/>
      <c r="N230" s="291"/>
      <c r="O230" s="291"/>
      <c r="P230" s="291"/>
      <c r="Q230" s="301"/>
    </row>
    <row r="231" spans="5:17">
      <c r="F231" s="291"/>
      <c r="G231" s="291"/>
      <c r="H231" s="291"/>
      <c r="I231" s="291"/>
      <c r="J231" s="291"/>
      <c r="K231" s="291"/>
      <c r="L231" s="291"/>
      <c r="M231" s="291"/>
      <c r="N231" s="291"/>
      <c r="O231" s="291"/>
      <c r="P231" s="291"/>
      <c r="Q231" s="301"/>
    </row>
    <row r="232" spans="5:17">
      <c r="F232" s="291"/>
      <c r="G232" s="291"/>
      <c r="H232" s="291"/>
      <c r="I232" s="291"/>
      <c r="J232" s="291"/>
      <c r="K232" s="291"/>
      <c r="L232" s="291"/>
      <c r="M232" s="291"/>
      <c r="N232" s="291"/>
      <c r="O232" s="291"/>
      <c r="P232" s="291"/>
      <c r="Q232" s="301"/>
    </row>
    <row r="233" spans="5:17">
      <c r="F233" s="291"/>
      <c r="G233" s="291"/>
      <c r="H233" s="291"/>
      <c r="I233" s="291"/>
      <c r="J233" s="291"/>
      <c r="K233" s="291"/>
      <c r="L233" s="291"/>
      <c r="M233" s="291"/>
      <c r="N233" s="291"/>
      <c r="O233" s="291"/>
      <c r="P233" s="291"/>
      <c r="Q233" s="301"/>
    </row>
    <row r="234" spans="5:17">
      <c r="F234" s="291"/>
      <c r="G234" s="291"/>
      <c r="H234" s="291"/>
      <c r="I234" s="291"/>
      <c r="J234" s="291"/>
      <c r="K234" s="291"/>
      <c r="L234" s="291"/>
      <c r="M234" s="291"/>
      <c r="N234" s="291"/>
      <c r="O234" s="291"/>
      <c r="P234" s="291"/>
      <c r="Q234" s="301"/>
    </row>
    <row r="235" spans="5:17">
      <c r="F235" s="291"/>
      <c r="G235" s="291"/>
      <c r="H235" s="291"/>
      <c r="I235" s="291"/>
      <c r="J235" s="291"/>
      <c r="K235" s="291"/>
      <c r="L235" s="291"/>
      <c r="M235" s="291"/>
      <c r="N235" s="291"/>
      <c r="O235" s="291"/>
      <c r="P235" s="291"/>
      <c r="Q235" s="301"/>
    </row>
    <row r="236" spans="5:17">
      <c r="F236" s="291"/>
      <c r="G236" s="291"/>
      <c r="H236" s="291"/>
      <c r="I236" s="291"/>
      <c r="J236" s="291"/>
      <c r="K236" s="291"/>
      <c r="L236" s="291"/>
      <c r="M236" s="291"/>
      <c r="N236" s="291"/>
      <c r="O236" s="291"/>
      <c r="P236" s="291"/>
      <c r="Q236" s="301"/>
    </row>
    <row r="237" spans="5:17">
      <c r="F237" s="291"/>
      <c r="G237" s="291"/>
      <c r="H237" s="291"/>
      <c r="I237" s="291"/>
      <c r="J237" s="291"/>
      <c r="K237" s="291"/>
      <c r="L237" s="291"/>
      <c r="M237" s="291"/>
      <c r="N237" s="291"/>
      <c r="O237" s="291"/>
      <c r="P237" s="291"/>
      <c r="Q237" s="301"/>
    </row>
    <row r="238" spans="5:17">
      <c r="F238" s="291"/>
      <c r="G238" s="291"/>
      <c r="H238" s="291"/>
      <c r="I238" s="291"/>
      <c r="J238" s="291"/>
      <c r="K238" s="291"/>
      <c r="L238" s="291"/>
      <c r="M238" s="291"/>
      <c r="N238" s="291"/>
      <c r="O238" s="291"/>
      <c r="P238" s="291"/>
      <c r="Q238" s="301"/>
    </row>
    <row r="239" spans="5:17">
      <c r="F239" s="291"/>
      <c r="G239" s="291"/>
      <c r="H239" s="291"/>
      <c r="I239" s="291"/>
      <c r="J239" s="291"/>
      <c r="K239" s="291"/>
      <c r="L239" s="291"/>
      <c r="M239" s="291"/>
      <c r="N239" s="291"/>
      <c r="O239" s="291"/>
      <c r="P239" s="291"/>
      <c r="Q239" s="301"/>
    </row>
    <row r="240" spans="5:17">
      <c r="F240" s="291"/>
      <c r="G240" s="291"/>
      <c r="H240" s="291"/>
      <c r="I240" s="291"/>
      <c r="J240" s="291"/>
      <c r="K240" s="291"/>
      <c r="L240" s="291"/>
      <c r="M240" s="291"/>
      <c r="N240" s="291"/>
      <c r="O240" s="291"/>
      <c r="P240" s="291"/>
      <c r="Q240" s="301"/>
    </row>
    <row r="241" spans="6:17">
      <c r="F241" s="291"/>
      <c r="G241" s="291"/>
      <c r="H241" s="291"/>
      <c r="I241" s="291"/>
      <c r="J241" s="291"/>
      <c r="K241" s="291"/>
      <c r="L241" s="291"/>
      <c r="M241" s="291"/>
      <c r="N241" s="291"/>
      <c r="O241" s="291"/>
      <c r="P241" s="291"/>
      <c r="Q241" s="301"/>
    </row>
    <row r="242" spans="6:17">
      <c r="F242" s="291"/>
      <c r="G242" s="291"/>
      <c r="H242" s="291"/>
      <c r="I242" s="291"/>
      <c r="J242" s="291"/>
      <c r="K242" s="291"/>
      <c r="L242" s="291"/>
      <c r="M242" s="291"/>
      <c r="N242" s="291"/>
      <c r="O242" s="291"/>
      <c r="P242" s="291"/>
      <c r="Q242" s="301"/>
    </row>
    <row r="243" spans="6:17">
      <c r="F243" s="291"/>
      <c r="G243" s="291"/>
      <c r="H243" s="291"/>
      <c r="I243" s="291"/>
      <c r="J243" s="291"/>
      <c r="K243" s="291"/>
      <c r="L243" s="291"/>
      <c r="M243" s="291"/>
      <c r="N243" s="291"/>
      <c r="O243" s="291"/>
      <c r="P243" s="291"/>
      <c r="Q243" s="301"/>
    </row>
    <row r="244" spans="6:17">
      <c r="F244" s="291"/>
      <c r="G244" s="291"/>
      <c r="H244" s="291"/>
      <c r="I244" s="291"/>
      <c r="J244" s="291"/>
      <c r="K244" s="291"/>
      <c r="L244" s="291"/>
      <c r="M244" s="291"/>
      <c r="N244" s="291"/>
      <c r="O244" s="291"/>
      <c r="P244" s="291"/>
      <c r="Q244" s="301"/>
    </row>
    <row r="245" spans="6:17">
      <c r="F245" s="291"/>
      <c r="G245" s="291"/>
      <c r="H245" s="291"/>
      <c r="I245" s="291"/>
      <c r="J245" s="291"/>
      <c r="K245" s="291"/>
      <c r="L245" s="291"/>
      <c r="M245" s="291"/>
      <c r="N245" s="291"/>
      <c r="O245" s="291"/>
      <c r="P245" s="291"/>
      <c r="Q245" s="301"/>
    </row>
    <row r="246" spans="6:17">
      <c r="F246" s="291"/>
      <c r="G246" s="291"/>
      <c r="H246" s="291"/>
      <c r="I246" s="291"/>
      <c r="J246" s="291"/>
      <c r="K246" s="291"/>
      <c r="L246" s="291"/>
      <c r="M246" s="291"/>
      <c r="N246" s="291"/>
      <c r="O246" s="291"/>
      <c r="P246" s="291"/>
      <c r="Q246" s="301"/>
    </row>
    <row r="247" spans="6:17">
      <c r="F247" s="291"/>
      <c r="G247" s="291"/>
      <c r="H247" s="291"/>
      <c r="I247" s="291"/>
      <c r="J247" s="291"/>
      <c r="K247" s="291"/>
      <c r="L247" s="291"/>
      <c r="M247" s="291"/>
      <c r="N247" s="291"/>
      <c r="O247" s="291"/>
      <c r="P247" s="291"/>
      <c r="Q247" s="301"/>
    </row>
    <row r="248" spans="6:17">
      <c r="F248" s="291"/>
      <c r="G248" s="291"/>
      <c r="H248" s="291"/>
      <c r="I248" s="291"/>
      <c r="J248" s="291"/>
      <c r="K248" s="291"/>
      <c r="L248" s="291"/>
      <c r="M248" s="291"/>
      <c r="N248" s="291"/>
      <c r="O248" s="291"/>
      <c r="P248" s="291"/>
      <c r="Q248" s="301"/>
    </row>
    <row r="249" spans="6:17">
      <c r="F249" s="291"/>
      <c r="G249" s="291"/>
      <c r="H249" s="291"/>
      <c r="I249" s="291"/>
      <c r="J249" s="291"/>
      <c r="K249" s="291"/>
      <c r="L249" s="291"/>
      <c r="M249" s="291"/>
      <c r="N249" s="291"/>
      <c r="O249" s="291"/>
      <c r="P249" s="291"/>
      <c r="Q249" s="301"/>
    </row>
    <row r="250" spans="6:17">
      <c r="F250" s="291"/>
      <c r="G250" s="291"/>
      <c r="H250" s="291"/>
      <c r="I250" s="291"/>
      <c r="J250" s="291"/>
      <c r="K250" s="291"/>
      <c r="L250" s="291"/>
      <c r="M250" s="291"/>
      <c r="N250" s="291"/>
      <c r="O250" s="291"/>
      <c r="P250" s="291"/>
      <c r="Q250" s="301"/>
    </row>
    <row r="251" spans="6:17">
      <c r="F251" s="291"/>
      <c r="G251" s="291"/>
      <c r="H251" s="291"/>
      <c r="I251" s="291"/>
      <c r="J251" s="291"/>
      <c r="K251" s="291"/>
      <c r="L251" s="291"/>
      <c r="M251" s="291"/>
      <c r="N251" s="291"/>
      <c r="O251" s="291"/>
      <c r="P251" s="291"/>
      <c r="Q251" s="301"/>
    </row>
    <row r="252" spans="6:17">
      <c r="F252" s="291"/>
      <c r="G252" s="291"/>
      <c r="H252" s="291"/>
      <c r="I252" s="291"/>
      <c r="J252" s="291"/>
      <c r="K252" s="291"/>
      <c r="L252" s="291"/>
      <c r="M252" s="291"/>
      <c r="N252" s="291"/>
      <c r="O252" s="291"/>
      <c r="P252" s="291"/>
      <c r="Q252" s="301"/>
    </row>
    <row r="253" spans="6:17">
      <c r="F253" s="291"/>
      <c r="G253" s="291"/>
      <c r="H253" s="291"/>
      <c r="I253" s="291"/>
      <c r="J253" s="291"/>
      <c r="K253" s="291"/>
      <c r="L253" s="291"/>
      <c r="M253" s="291"/>
      <c r="N253" s="291"/>
      <c r="O253" s="291"/>
      <c r="P253" s="291"/>
      <c r="Q253" s="301"/>
    </row>
    <row r="254" spans="6:17">
      <c r="F254" s="291"/>
      <c r="G254" s="291"/>
      <c r="H254" s="291"/>
      <c r="I254" s="291"/>
      <c r="J254" s="291"/>
      <c r="K254" s="291"/>
      <c r="L254" s="291"/>
      <c r="M254" s="291"/>
      <c r="N254" s="291"/>
      <c r="O254" s="291"/>
      <c r="P254" s="291"/>
      <c r="Q254" s="301"/>
    </row>
    <row r="255" spans="6:17">
      <c r="F255" s="291"/>
      <c r="G255" s="291"/>
      <c r="H255" s="291"/>
      <c r="I255" s="291"/>
      <c r="J255" s="291"/>
      <c r="K255" s="291"/>
      <c r="L255" s="291"/>
      <c r="M255" s="291"/>
      <c r="N255" s="291"/>
      <c r="O255" s="291"/>
      <c r="P255" s="291"/>
      <c r="Q255" s="301"/>
    </row>
    <row r="256" spans="6:17">
      <c r="F256" s="291"/>
      <c r="G256" s="291"/>
      <c r="H256" s="291"/>
      <c r="I256" s="291"/>
      <c r="J256" s="291"/>
      <c r="K256" s="291"/>
      <c r="L256" s="291"/>
      <c r="M256" s="291"/>
      <c r="N256" s="291"/>
      <c r="O256" s="291"/>
      <c r="P256" s="291"/>
      <c r="Q256" s="301"/>
    </row>
    <row r="257" spans="6:17">
      <c r="F257" s="291"/>
      <c r="G257" s="291"/>
      <c r="H257" s="291"/>
      <c r="I257" s="291"/>
      <c r="J257" s="291"/>
      <c r="K257" s="291"/>
      <c r="L257" s="291"/>
      <c r="M257" s="291"/>
      <c r="N257" s="291"/>
      <c r="O257" s="291"/>
      <c r="P257" s="291"/>
      <c r="Q257" s="301"/>
    </row>
    <row r="258" spans="6:17">
      <c r="F258" s="291"/>
      <c r="G258" s="291"/>
      <c r="H258" s="291"/>
      <c r="I258" s="291"/>
      <c r="J258" s="291"/>
      <c r="K258" s="291"/>
      <c r="L258" s="291"/>
      <c r="M258" s="291"/>
      <c r="N258" s="291"/>
      <c r="O258" s="291"/>
      <c r="P258" s="291"/>
      <c r="Q258" s="301"/>
    </row>
    <row r="259" spans="6:17">
      <c r="F259" s="291"/>
      <c r="G259" s="291"/>
      <c r="H259" s="291"/>
      <c r="I259" s="291"/>
      <c r="J259" s="291"/>
      <c r="K259" s="291"/>
      <c r="L259" s="291"/>
      <c r="M259" s="291"/>
      <c r="N259" s="291"/>
      <c r="O259" s="291"/>
      <c r="P259" s="291"/>
      <c r="Q259" s="301"/>
    </row>
    <row r="260" spans="6:17">
      <c r="F260" s="291"/>
      <c r="G260" s="291"/>
      <c r="H260" s="291"/>
      <c r="I260" s="291"/>
      <c r="J260" s="291"/>
      <c r="K260" s="291"/>
      <c r="L260" s="291"/>
      <c r="M260" s="291"/>
      <c r="N260" s="291"/>
      <c r="O260" s="291"/>
      <c r="P260" s="291"/>
      <c r="Q260" s="301"/>
    </row>
    <row r="261" spans="6:17">
      <c r="F261" s="291"/>
      <c r="G261" s="291"/>
      <c r="H261" s="291"/>
      <c r="I261" s="291"/>
      <c r="J261" s="291"/>
      <c r="K261" s="291"/>
      <c r="L261" s="291"/>
      <c r="M261" s="291"/>
      <c r="N261" s="291"/>
      <c r="O261" s="291"/>
      <c r="P261" s="291"/>
      <c r="Q261" s="301"/>
    </row>
    <row r="262" spans="6:17">
      <c r="F262" s="291"/>
      <c r="G262" s="291"/>
      <c r="H262" s="291"/>
      <c r="I262" s="291"/>
      <c r="J262" s="291"/>
      <c r="K262" s="291"/>
      <c r="L262" s="291"/>
      <c r="M262" s="291"/>
      <c r="N262" s="291"/>
      <c r="O262" s="291"/>
      <c r="P262" s="291"/>
      <c r="Q262" s="301"/>
    </row>
    <row r="263" spans="6:17">
      <c r="F263" s="291"/>
      <c r="G263" s="291"/>
      <c r="H263" s="291"/>
      <c r="I263" s="291"/>
      <c r="J263" s="291"/>
      <c r="K263" s="291"/>
      <c r="L263" s="291"/>
      <c r="M263" s="291"/>
      <c r="N263" s="291"/>
      <c r="O263" s="291"/>
      <c r="P263" s="291"/>
      <c r="Q263" s="301"/>
    </row>
    <row r="264" spans="6:17">
      <c r="F264" s="291"/>
      <c r="G264" s="291"/>
      <c r="H264" s="291"/>
      <c r="I264" s="291"/>
      <c r="J264" s="291"/>
      <c r="K264" s="291"/>
      <c r="L264" s="291"/>
      <c r="M264" s="291"/>
      <c r="N264" s="291"/>
      <c r="O264" s="291"/>
      <c r="P264" s="291"/>
      <c r="Q264" s="301"/>
    </row>
    <row r="265" spans="6:17">
      <c r="F265" s="291"/>
      <c r="G265" s="291"/>
      <c r="H265" s="291"/>
      <c r="I265" s="291"/>
      <c r="J265" s="291"/>
      <c r="K265" s="291"/>
      <c r="L265" s="291"/>
      <c r="M265" s="291"/>
      <c r="N265" s="291"/>
      <c r="O265" s="291"/>
      <c r="P265" s="291"/>
      <c r="Q265" s="301"/>
    </row>
    <row r="266" spans="6:17">
      <c r="F266" s="291"/>
      <c r="G266" s="291"/>
      <c r="H266" s="291"/>
      <c r="I266" s="291"/>
      <c r="J266" s="291"/>
      <c r="K266" s="291"/>
      <c r="L266" s="291"/>
      <c r="M266" s="291"/>
      <c r="N266" s="291"/>
      <c r="O266" s="291"/>
      <c r="P266" s="291"/>
      <c r="Q266" s="301"/>
    </row>
    <row r="267" spans="6:17">
      <c r="F267" s="291"/>
      <c r="G267" s="291"/>
      <c r="H267" s="291"/>
      <c r="I267" s="291"/>
      <c r="J267" s="291"/>
      <c r="K267" s="291"/>
      <c r="L267" s="291"/>
      <c r="M267" s="291"/>
      <c r="N267" s="291"/>
      <c r="O267" s="291"/>
      <c r="P267" s="291"/>
      <c r="Q267" s="301"/>
    </row>
    <row r="268" spans="6:17">
      <c r="F268" s="291"/>
      <c r="G268" s="291"/>
      <c r="H268" s="291"/>
      <c r="I268" s="291"/>
      <c r="J268" s="291"/>
      <c r="K268" s="291"/>
      <c r="L268" s="291"/>
      <c r="M268" s="291"/>
      <c r="N268" s="291"/>
      <c r="O268" s="291"/>
      <c r="P268" s="291"/>
      <c r="Q268" s="301"/>
    </row>
    <row r="269" spans="6:17">
      <c r="F269" s="291"/>
      <c r="G269" s="291"/>
      <c r="H269" s="291"/>
      <c r="I269" s="291"/>
      <c r="J269" s="291"/>
      <c r="K269" s="291"/>
      <c r="L269" s="291"/>
      <c r="M269" s="291"/>
      <c r="N269" s="291"/>
      <c r="O269" s="291"/>
      <c r="P269" s="291"/>
      <c r="Q269" s="301"/>
    </row>
    <row r="270" spans="6:17">
      <c r="F270" s="291"/>
      <c r="G270" s="291"/>
      <c r="H270" s="291"/>
      <c r="I270" s="291"/>
      <c r="J270" s="291"/>
      <c r="K270" s="291"/>
      <c r="L270" s="291"/>
      <c r="M270" s="291"/>
      <c r="N270" s="291"/>
      <c r="O270" s="291"/>
      <c r="P270" s="291"/>
      <c r="Q270" s="301"/>
    </row>
    <row r="271" spans="6:17">
      <c r="F271" s="291"/>
      <c r="G271" s="291"/>
      <c r="H271" s="291"/>
      <c r="I271" s="291"/>
      <c r="J271" s="291"/>
      <c r="K271" s="291"/>
      <c r="L271" s="291"/>
      <c r="M271" s="291"/>
      <c r="N271" s="291"/>
      <c r="O271" s="291"/>
      <c r="P271" s="291"/>
      <c r="Q271" s="301"/>
    </row>
    <row r="272" spans="6:17">
      <c r="F272" s="291"/>
      <c r="G272" s="291"/>
      <c r="H272" s="291"/>
      <c r="I272" s="291"/>
      <c r="J272" s="291"/>
      <c r="K272" s="291"/>
      <c r="L272" s="291"/>
      <c r="M272" s="291"/>
      <c r="N272" s="291"/>
      <c r="O272" s="291"/>
      <c r="P272" s="291"/>
      <c r="Q272" s="301"/>
    </row>
    <row r="273" spans="6:17">
      <c r="F273" s="291"/>
      <c r="G273" s="291"/>
      <c r="H273" s="291"/>
      <c r="I273" s="291"/>
      <c r="J273" s="291"/>
      <c r="K273" s="291"/>
      <c r="L273" s="291"/>
      <c r="M273" s="291"/>
      <c r="N273" s="291"/>
      <c r="O273" s="291"/>
      <c r="P273" s="291"/>
      <c r="Q273" s="301"/>
    </row>
    <row r="274" spans="6:17">
      <c r="F274" s="291"/>
      <c r="G274" s="291"/>
      <c r="H274" s="291"/>
      <c r="I274" s="291"/>
      <c r="J274" s="291"/>
      <c r="K274" s="291"/>
      <c r="L274" s="291"/>
      <c r="M274" s="291"/>
      <c r="N274" s="291"/>
      <c r="O274" s="291"/>
      <c r="P274" s="291"/>
      <c r="Q274" s="301"/>
    </row>
    <row r="275" spans="6:17">
      <c r="F275" s="291"/>
      <c r="G275" s="291"/>
      <c r="H275" s="291"/>
      <c r="I275" s="291"/>
      <c r="J275" s="291"/>
      <c r="K275" s="291"/>
      <c r="L275" s="291"/>
      <c r="M275" s="291"/>
      <c r="N275" s="291"/>
      <c r="O275" s="291"/>
      <c r="P275" s="291"/>
      <c r="Q275" s="301"/>
    </row>
    <row r="276" spans="6:17">
      <c r="F276" s="291"/>
      <c r="G276" s="291"/>
      <c r="H276" s="291"/>
      <c r="I276" s="291"/>
      <c r="J276" s="291"/>
      <c r="K276" s="291"/>
      <c r="L276" s="291"/>
      <c r="M276" s="291"/>
      <c r="N276" s="291"/>
      <c r="O276" s="291"/>
      <c r="P276" s="291"/>
      <c r="Q276" s="301"/>
    </row>
    <row r="277" spans="6:17">
      <c r="F277" s="291"/>
      <c r="G277" s="291"/>
      <c r="H277" s="291"/>
      <c r="I277" s="291"/>
      <c r="J277" s="291"/>
      <c r="K277" s="291"/>
      <c r="L277" s="291"/>
      <c r="M277" s="291"/>
      <c r="N277" s="291"/>
      <c r="O277" s="291"/>
      <c r="P277" s="291"/>
      <c r="Q277" s="301"/>
    </row>
    <row r="278" spans="6:17">
      <c r="F278" s="291"/>
      <c r="G278" s="291"/>
      <c r="H278" s="291"/>
      <c r="I278" s="291"/>
      <c r="J278" s="291"/>
      <c r="K278" s="291"/>
      <c r="L278" s="291"/>
      <c r="M278" s="291"/>
      <c r="N278" s="291"/>
      <c r="O278" s="291"/>
      <c r="P278" s="291"/>
      <c r="Q278" s="301"/>
    </row>
    <row r="279" spans="6:17">
      <c r="F279" s="291"/>
      <c r="G279" s="291"/>
      <c r="H279" s="291"/>
      <c r="I279" s="291"/>
      <c r="J279" s="291"/>
      <c r="K279" s="291"/>
      <c r="L279" s="291"/>
      <c r="M279" s="291"/>
      <c r="N279" s="291"/>
      <c r="O279" s="291"/>
      <c r="P279" s="291"/>
      <c r="Q279" s="301"/>
    </row>
    <row r="280" spans="6:17">
      <c r="F280" s="291"/>
      <c r="G280" s="291"/>
      <c r="H280" s="291"/>
      <c r="I280" s="291"/>
      <c r="J280" s="291"/>
      <c r="K280" s="291"/>
      <c r="L280" s="291"/>
      <c r="M280" s="291"/>
      <c r="N280" s="291"/>
      <c r="O280" s="291"/>
      <c r="P280" s="291"/>
      <c r="Q280" s="301"/>
    </row>
    <row r="281" spans="6:17">
      <c r="F281" s="291"/>
      <c r="G281" s="291"/>
      <c r="H281" s="291"/>
      <c r="I281" s="291"/>
      <c r="J281" s="291"/>
      <c r="K281" s="291"/>
      <c r="L281" s="291"/>
      <c r="M281" s="291"/>
      <c r="N281" s="291"/>
      <c r="O281" s="291"/>
      <c r="P281" s="291"/>
      <c r="Q281" s="301"/>
    </row>
    <row r="282" spans="6:17">
      <c r="F282" s="291"/>
      <c r="G282" s="291"/>
      <c r="H282" s="291"/>
      <c r="I282" s="291"/>
      <c r="J282" s="291"/>
      <c r="K282" s="291"/>
      <c r="L282" s="291"/>
      <c r="M282" s="291"/>
      <c r="N282" s="291"/>
      <c r="O282" s="291"/>
      <c r="P282" s="291"/>
      <c r="Q282" s="301"/>
    </row>
    <row r="283" spans="6:17">
      <c r="F283" s="291"/>
      <c r="G283" s="291"/>
      <c r="H283" s="291"/>
      <c r="I283" s="291"/>
      <c r="J283" s="291"/>
      <c r="K283" s="291"/>
      <c r="L283" s="291"/>
      <c r="M283" s="291"/>
      <c r="N283" s="291"/>
      <c r="O283" s="291"/>
      <c r="P283" s="291"/>
      <c r="Q283" s="301"/>
    </row>
    <row r="284" spans="6:17">
      <c r="F284" s="291"/>
      <c r="G284" s="291"/>
      <c r="H284" s="291"/>
      <c r="I284" s="291"/>
      <c r="J284" s="291"/>
      <c r="K284" s="291"/>
      <c r="L284" s="291"/>
      <c r="M284" s="291"/>
      <c r="N284" s="291"/>
      <c r="O284" s="291"/>
      <c r="P284" s="291"/>
      <c r="Q284" s="301"/>
    </row>
    <row r="285" spans="6:17">
      <c r="F285" s="291"/>
      <c r="G285" s="291"/>
      <c r="H285" s="291"/>
      <c r="I285" s="291"/>
      <c r="J285" s="291"/>
      <c r="K285" s="291"/>
      <c r="L285" s="291"/>
      <c r="M285" s="291"/>
      <c r="N285" s="291"/>
      <c r="O285" s="291"/>
      <c r="P285" s="291"/>
      <c r="Q285" s="301"/>
    </row>
    <row r="286" spans="6:17">
      <c r="F286" s="291"/>
      <c r="G286" s="291"/>
      <c r="H286" s="291"/>
      <c r="I286" s="291"/>
      <c r="J286" s="291"/>
      <c r="K286" s="291"/>
      <c r="L286" s="291"/>
      <c r="M286" s="291"/>
      <c r="N286" s="291"/>
      <c r="O286" s="291"/>
      <c r="P286" s="291"/>
      <c r="Q286" s="301"/>
    </row>
    <row r="287" spans="6:17">
      <c r="F287" s="291"/>
      <c r="G287" s="291"/>
      <c r="H287" s="291"/>
      <c r="I287" s="291"/>
      <c r="J287" s="291"/>
      <c r="K287" s="291"/>
      <c r="L287" s="291"/>
      <c r="M287" s="291"/>
      <c r="N287" s="291"/>
      <c r="O287" s="291"/>
      <c r="P287" s="291"/>
      <c r="Q287" s="301"/>
    </row>
    <row r="288" spans="6:17">
      <c r="F288" s="291"/>
      <c r="G288" s="291"/>
      <c r="H288" s="291"/>
      <c r="I288" s="291"/>
      <c r="J288" s="291"/>
      <c r="K288" s="291"/>
      <c r="L288" s="291"/>
      <c r="M288" s="291"/>
      <c r="N288" s="291"/>
      <c r="O288" s="291"/>
      <c r="P288" s="291"/>
      <c r="Q288" s="301"/>
    </row>
    <row r="289" spans="6:17">
      <c r="F289" s="291"/>
      <c r="G289" s="291"/>
      <c r="H289" s="291"/>
      <c r="I289" s="291"/>
      <c r="J289" s="291"/>
      <c r="K289" s="291"/>
      <c r="L289" s="291"/>
      <c r="M289" s="291"/>
      <c r="N289" s="291"/>
      <c r="O289" s="291"/>
      <c r="P289" s="291"/>
      <c r="Q289" s="301"/>
    </row>
    <row r="290" spans="6:17">
      <c r="F290" s="291"/>
      <c r="G290" s="291"/>
      <c r="H290" s="291"/>
      <c r="I290" s="291"/>
      <c r="J290" s="291"/>
      <c r="K290" s="291"/>
      <c r="L290" s="291"/>
      <c r="M290" s="291"/>
      <c r="N290" s="291"/>
      <c r="O290" s="291"/>
      <c r="P290" s="291"/>
      <c r="Q290" s="301"/>
    </row>
    <row r="291" spans="6:17">
      <c r="F291" s="291"/>
      <c r="G291" s="291"/>
      <c r="H291" s="291"/>
      <c r="I291" s="291"/>
      <c r="J291" s="291"/>
      <c r="K291" s="291"/>
      <c r="L291" s="291"/>
      <c r="M291" s="291"/>
      <c r="N291" s="291"/>
      <c r="O291" s="291"/>
      <c r="P291" s="291"/>
      <c r="Q291" s="301"/>
    </row>
    <row r="292" spans="6:17">
      <c r="F292" s="291"/>
      <c r="G292" s="291"/>
      <c r="H292" s="291"/>
      <c r="I292" s="291"/>
      <c r="J292" s="291"/>
      <c r="K292" s="291"/>
      <c r="L292" s="291"/>
      <c r="M292" s="291"/>
      <c r="N292" s="291"/>
      <c r="O292" s="291"/>
      <c r="P292" s="291"/>
      <c r="Q292" s="301"/>
    </row>
    <row r="293" spans="6:17">
      <c r="F293" s="291"/>
      <c r="G293" s="291"/>
      <c r="H293" s="291"/>
      <c r="I293" s="291"/>
      <c r="J293" s="291"/>
      <c r="K293" s="291"/>
      <c r="L293" s="291"/>
      <c r="M293" s="291"/>
      <c r="N293" s="291"/>
      <c r="O293" s="291"/>
      <c r="P293" s="291"/>
      <c r="Q293" s="301"/>
    </row>
    <row r="294" spans="6:17">
      <c r="F294" s="291"/>
      <c r="G294" s="291"/>
      <c r="H294" s="291"/>
      <c r="I294" s="291"/>
      <c r="J294" s="291"/>
      <c r="K294" s="291"/>
      <c r="L294" s="291"/>
      <c r="M294" s="291"/>
      <c r="N294" s="291"/>
      <c r="O294" s="291"/>
      <c r="P294" s="291"/>
      <c r="Q294" s="301"/>
    </row>
    <row r="295" spans="6:17">
      <c r="F295" s="291"/>
      <c r="G295" s="291"/>
      <c r="H295" s="291"/>
      <c r="I295" s="291"/>
      <c r="J295" s="291"/>
      <c r="K295" s="291"/>
      <c r="L295" s="291"/>
      <c r="M295" s="291"/>
      <c r="N295" s="291"/>
      <c r="O295" s="291"/>
      <c r="P295" s="291"/>
      <c r="Q295" s="301"/>
    </row>
    <row r="296" spans="6:17">
      <c r="F296" s="291"/>
      <c r="G296" s="291"/>
      <c r="H296" s="291"/>
      <c r="I296" s="291"/>
      <c r="J296" s="291"/>
      <c r="K296" s="291"/>
      <c r="L296" s="291"/>
      <c r="M296" s="291"/>
      <c r="N296" s="291"/>
      <c r="O296" s="291"/>
      <c r="P296" s="291"/>
      <c r="Q296" s="301"/>
    </row>
    <row r="297" spans="6:17">
      <c r="F297" s="291"/>
      <c r="G297" s="291"/>
      <c r="H297" s="291"/>
      <c r="I297" s="291"/>
      <c r="J297" s="291"/>
      <c r="K297" s="291"/>
      <c r="L297" s="291"/>
      <c r="M297" s="291"/>
      <c r="N297" s="291"/>
      <c r="O297" s="291"/>
      <c r="P297" s="291"/>
      <c r="Q297" s="301"/>
    </row>
    <row r="298" spans="6:17">
      <c r="F298" s="291"/>
      <c r="G298" s="291"/>
      <c r="H298" s="291"/>
      <c r="I298" s="291"/>
      <c r="J298" s="291"/>
      <c r="K298" s="291"/>
      <c r="L298" s="291"/>
      <c r="M298" s="291"/>
      <c r="N298" s="291"/>
      <c r="O298" s="291"/>
      <c r="P298" s="291"/>
      <c r="Q298" s="301"/>
    </row>
    <row r="299" spans="6:17">
      <c r="F299" s="291"/>
      <c r="G299" s="291"/>
      <c r="H299" s="291"/>
      <c r="I299" s="291"/>
      <c r="J299" s="291"/>
      <c r="K299" s="291"/>
      <c r="L299" s="291"/>
      <c r="M299" s="291"/>
      <c r="N299" s="291"/>
      <c r="O299" s="291"/>
      <c r="P299" s="291"/>
      <c r="Q299" s="301"/>
    </row>
    <row r="300" spans="6:17">
      <c r="F300" s="291"/>
      <c r="G300" s="291"/>
      <c r="H300" s="291"/>
      <c r="I300" s="291"/>
      <c r="J300" s="291"/>
      <c r="K300" s="291"/>
      <c r="L300" s="291"/>
      <c r="M300" s="291"/>
      <c r="N300" s="291"/>
      <c r="O300" s="291"/>
      <c r="P300" s="291"/>
      <c r="Q300" s="301"/>
    </row>
    <row r="301" spans="6:17">
      <c r="F301" s="291"/>
      <c r="G301" s="291"/>
      <c r="H301" s="291"/>
      <c r="I301" s="291"/>
      <c r="J301" s="291"/>
      <c r="K301" s="291"/>
      <c r="L301" s="291"/>
      <c r="M301" s="291"/>
      <c r="N301" s="291"/>
      <c r="O301" s="291"/>
      <c r="P301" s="291"/>
      <c r="Q301" s="301"/>
    </row>
    <row r="302" spans="6:17">
      <c r="F302" s="291"/>
      <c r="G302" s="291"/>
      <c r="H302" s="291"/>
      <c r="I302" s="291"/>
      <c r="J302" s="291"/>
      <c r="K302" s="291"/>
      <c r="L302" s="291"/>
      <c r="M302" s="291"/>
      <c r="N302" s="291"/>
      <c r="O302" s="291"/>
      <c r="P302" s="291"/>
      <c r="Q302" s="301"/>
    </row>
    <row r="303" spans="6:17">
      <c r="F303" s="291"/>
      <c r="G303" s="291"/>
      <c r="H303" s="291"/>
      <c r="I303" s="291"/>
      <c r="J303" s="291"/>
      <c r="K303" s="291"/>
      <c r="L303" s="291"/>
      <c r="M303" s="291"/>
      <c r="N303" s="291"/>
      <c r="O303" s="291"/>
      <c r="P303" s="291"/>
      <c r="Q303" s="301"/>
    </row>
    <row r="304" spans="6:17">
      <c r="F304" s="291"/>
      <c r="G304" s="291"/>
      <c r="H304" s="291"/>
      <c r="I304" s="291"/>
      <c r="J304" s="291"/>
      <c r="K304" s="291"/>
      <c r="L304" s="291"/>
      <c r="M304" s="291"/>
      <c r="N304" s="291"/>
      <c r="O304" s="291"/>
      <c r="P304" s="291"/>
      <c r="Q304" s="301"/>
    </row>
    <row r="305" spans="6:17">
      <c r="F305" s="291"/>
      <c r="G305" s="291"/>
      <c r="H305" s="291"/>
      <c r="I305" s="291"/>
      <c r="J305" s="291"/>
      <c r="K305" s="291"/>
      <c r="L305" s="291"/>
      <c r="M305" s="291"/>
      <c r="N305" s="291"/>
      <c r="O305" s="291"/>
      <c r="P305" s="291"/>
      <c r="Q305" s="301"/>
    </row>
    <row r="306" spans="6:17">
      <c r="F306" s="291"/>
      <c r="G306" s="291"/>
      <c r="H306" s="291"/>
      <c r="I306" s="291"/>
      <c r="J306" s="291"/>
      <c r="K306" s="291"/>
      <c r="L306" s="291"/>
      <c r="M306" s="291"/>
      <c r="N306" s="291"/>
      <c r="O306" s="291"/>
      <c r="P306" s="291"/>
      <c r="Q306" s="301"/>
    </row>
    <row r="307" spans="6:17">
      <c r="F307" s="291"/>
      <c r="G307" s="291"/>
      <c r="H307" s="291"/>
      <c r="I307" s="291"/>
      <c r="J307" s="291"/>
      <c r="K307" s="291"/>
      <c r="L307" s="291"/>
      <c r="M307" s="291"/>
      <c r="N307" s="291"/>
      <c r="O307" s="291"/>
      <c r="P307" s="291"/>
      <c r="Q307" s="301"/>
    </row>
    <row r="308" spans="6:17">
      <c r="F308" s="291"/>
      <c r="G308" s="291"/>
      <c r="H308" s="291"/>
      <c r="I308" s="291"/>
      <c r="J308" s="291"/>
      <c r="K308" s="291"/>
      <c r="L308" s="291"/>
      <c r="M308" s="291"/>
      <c r="N308" s="291"/>
      <c r="O308" s="291"/>
      <c r="P308" s="291"/>
      <c r="Q308" s="301"/>
    </row>
    <row r="309" spans="6:17">
      <c r="F309" s="291"/>
      <c r="G309" s="291"/>
      <c r="H309" s="291"/>
      <c r="I309" s="291"/>
      <c r="J309" s="291"/>
      <c r="K309" s="291"/>
      <c r="L309" s="291"/>
      <c r="M309" s="291"/>
      <c r="N309" s="291"/>
      <c r="O309" s="291"/>
      <c r="P309" s="291"/>
      <c r="Q309" s="301"/>
    </row>
    <row r="310" spans="6:17">
      <c r="F310" s="291"/>
      <c r="G310" s="291"/>
      <c r="H310" s="291"/>
      <c r="I310" s="291"/>
      <c r="J310" s="291"/>
      <c r="K310" s="291"/>
      <c r="L310" s="291"/>
      <c r="M310" s="291"/>
      <c r="N310" s="291"/>
      <c r="O310" s="291"/>
      <c r="P310" s="291"/>
      <c r="Q310" s="301"/>
    </row>
    <row r="311" spans="6:17">
      <c r="F311" s="291"/>
      <c r="G311" s="291"/>
      <c r="H311" s="291"/>
      <c r="I311" s="291"/>
      <c r="J311" s="291"/>
      <c r="K311" s="291"/>
      <c r="L311" s="291"/>
      <c r="M311" s="291"/>
      <c r="N311" s="291"/>
      <c r="O311" s="291"/>
      <c r="P311" s="291"/>
      <c r="Q311" s="301"/>
    </row>
    <row r="312" spans="6:17">
      <c r="F312" s="291"/>
      <c r="G312" s="291"/>
      <c r="H312" s="291"/>
      <c r="I312" s="291"/>
      <c r="J312" s="291"/>
      <c r="K312" s="291"/>
      <c r="L312" s="291"/>
      <c r="M312" s="291"/>
      <c r="N312" s="291"/>
      <c r="O312" s="291"/>
      <c r="P312" s="291"/>
      <c r="Q312" s="301"/>
    </row>
    <row r="313" spans="6:17">
      <c r="F313" s="291"/>
      <c r="G313" s="291"/>
      <c r="H313" s="291"/>
      <c r="I313" s="291"/>
      <c r="J313" s="291"/>
      <c r="K313" s="291"/>
      <c r="L313" s="291"/>
      <c r="M313" s="291"/>
      <c r="N313" s="291"/>
      <c r="O313" s="291"/>
      <c r="P313" s="291"/>
      <c r="Q313" s="301"/>
    </row>
    <row r="314" spans="6:17">
      <c r="F314" s="291"/>
      <c r="G314" s="291"/>
      <c r="H314" s="291"/>
      <c r="I314" s="291"/>
      <c r="J314" s="291"/>
      <c r="K314" s="291"/>
      <c r="L314" s="291"/>
      <c r="M314" s="291"/>
      <c r="N314" s="291"/>
      <c r="O314" s="291"/>
      <c r="P314" s="291"/>
      <c r="Q314" s="301"/>
    </row>
    <row r="315" spans="6:17">
      <c r="F315" s="291"/>
      <c r="G315" s="291"/>
      <c r="H315" s="291"/>
      <c r="I315" s="291"/>
      <c r="J315" s="291"/>
      <c r="K315" s="291"/>
      <c r="L315" s="291"/>
      <c r="M315" s="291"/>
      <c r="N315" s="291"/>
      <c r="O315" s="291"/>
      <c r="P315" s="291"/>
      <c r="Q315" s="301"/>
    </row>
    <row r="316" spans="6:17">
      <c r="F316" s="291"/>
      <c r="G316" s="291"/>
      <c r="H316" s="291"/>
      <c r="I316" s="291"/>
      <c r="J316" s="291"/>
      <c r="K316" s="291"/>
      <c r="L316" s="291"/>
      <c r="M316" s="291"/>
      <c r="N316" s="291"/>
      <c r="O316" s="291"/>
      <c r="P316" s="291"/>
      <c r="Q316" s="301"/>
    </row>
    <row r="317" spans="6:17">
      <c r="F317" s="291"/>
      <c r="G317" s="291"/>
      <c r="H317" s="291"/>
      <c r="I317" s="291"/>
      <c r="J317" s="291"/>
      <c r="K317" s="291"/>
      <c r="L317" s="291"/>
      <c r="M317" s="291"/>
      <c r="N317" s="291"/>
      <c r="O317" s="291"/>
      <c r="P317" s="291"/>
      <c r="Q317" s="301"/>
    </row>
    <row r="318" spans="6:17">
      <c r="F318" s="291"/>
      <c r="G318" s="291"/>
      <c r="H318" s="291"/>
      <c r="I318" s="291"/>
      <c r="J318" s="291"/>
      <c r="K318" s="291"/>
      <c r="L318" s="291"/>
      <c r="M318" s="291"/>
      <c r="N318" s="291"/>
      <c r="O318" s="291"/>
      <c r="P318" s="291"/>
      <c r="Q318" s="301"/>
    </row>
    <row r="319" spans="6:17">
      <c r="F319" s="291"/>
      <c r="G319" s="291"/>
      <c r="H319" s="291"/>
      <c r="I319" s="291"/>
      <c r="J319" s="291"/>
      <c r="K319" s="291"/>
      <c r="L319" s="291"/>
      <c r="M319" s="291"/>
      <c r="N319" s="291"/>
      <c r="O319" s="291"/>
      <c r="P319" s="291"/>
      <c r="Q319" s="301"/>
    </row>
    <row r="320" spans="6:17">
      <c r="F320" s="291"/>
      <c r="G320" s="291"/>
      <c r="H320" s="291"/>
      <c r="I320" s="291"/>
      <c r="J320" s="291"/>
      <c r="K320" s="291"/>
      <c r="L320" s="291"/>
      <c r="M320" s="291"/>
      <c r="N320" s="291"/>
      <c r="O320" s="291"/>
      <c r="P320" s="291"/>
      <c r="Q320" s="301"/>
    </row>
    <row r="321" spans="6:17">
      <c r="F321" s="291"/>
      <c r="G321" s="291"/>
      <c r="H321" s="291"/>
      <c r="I321" s="291"/>
      <c r="J321" s="291"/>
      <c r="K321" s="291"/>
      <c r="L321" s="291"/>
      <c r="M321" s="291"/>
      <c r="N321" s="291"/>
      <c r="O321" s="291"/>
      <c r="P321" s="291"/>
      <c r="Q321" s="301"/>
    </row>
    <row r="322" spans="6:17">
      <c r="F322" s="291"/>
      <c r="G322" s="291"/>
      <c r="H322" s="291"/>
      <c r="I322" s="291"/>
      <c r="J322" s="291"/>
      <c r="K322" s="291"/>
      <c r="L322" s="291"/>
      <c r="M322" s="291"/>
      <c r="N322" s="291"/>
      <c r="O322" s="291"/>
      <c r="P322" s="291"/>
      <c r="Q322" s="301"/>
    </row>
    <row r="323" spans="6:17">
      <c r="F323" s="291"/>
      <c r="G323" s="291"/>
      <c r="H323" s="291"/>
      <c r="I323" s="291"/>
      <c r="J323" s="291"/>
      <c r="K323" s="291"/>
      <c r="L323" s="291"/>
      <c r="M323" s="291"/>
      <c r="N323" s="291"/>
      <c r="O323" s="291"/>
      <c r="P323" s="291"/>
      <c r="Q323" s="301"/>
    </row>
    <row r="324" spans="6:17">
      <c r="F324" s="291"/>
      <c r="G324" s="291"/>
      <c r="H324" s="291"/>
      <c r="I324" s="291"/>
      <c r="J324" s="291"/>
      <c r="K324" s="291"/>
      <c r="L324" s="291"/>
      <c r="M324" s="291"/>
      <c r="N324" s="291"/>
      <c r="O324" s="291"/>
      <c r="P324" s="291"/>
      <c r="Q324" s="301"/>
    </row>
    <row r="325" spans="6:17">
      <c r="F325" s="291"/>
      <c r="G325" s="291"/>
      <c r="H325" s="291"/>
      <c r="I325" s="291"/>
      <c r="J325" s="291"/>
      <c r="K325" s="291"/>
      <c r="L325" s="291"/>
      <c r="M325" s="291"/>
      <c r="N325" s="291"/>
      <c r="O325" s="291"/>
      <c r="P325" s="291"/>
      <c r="Q325" s="301"/>
    </row>
    <row r="326" spans="6:17">
      <c r="F326" s="291"/>
      <c r="G326" s="291"/>
      <c r="H326" s="291"/>
      <c r="I326" s="291"/>
      <c r="J326" s="291"/>
      <c r="K326" s="291"/>
      <c r="L326" s="291"/>
      <c r="M326" s="291"/>
      <c r="N326" s="291"/>
      <c r="O326" s="291"/>
      <c r="P326" s="291"/>
      <c r="Q326" s="301"/>
    </row>
    <row r="327" spans="6:17">
      <c r="F327" s="291"/>
      <c r="G327" s="291"/>
      <c r="H327" s="291"/>
      <c r="I327" s="291"/>
      <c r="J327" s="291"/>
      <c r="K327" s="291"/>
      <c r="L327" s="291"/>
      <c r="M327" s="291"/>
      <c r="N327" s="291"/>
      <c r="O327" s="291"/>
      <c r="P327" s="291"/>
      <c r="Q327" s="301"/>
    </row>
    <row r="328" spans="6:17">
      <c r="F328" s="291"/>
      <c r="G328" s="291"/>
      <c r="H328" s="291"/>
      <c r="I328" s="291"/>
      <c r="J328" s="291"/>
      <c r="K328" s="291"/>
      <c r="L328" s="291"/>
      <c r="M328" s="291"/>
      <c r="N328" s="291"/>
      <c r="O328" s="291"/>
      <c r="P328" s="291"/>
      <c r="Q328" s="301"/>
    </row>
    <row r="329" spans="6:17">
      <c r="F329" s="291"/>
      <c r="G329" s="291"/>
      <c r="H329" s="291"/>
      <c r="I329" s="291"/>
      <c r="J329" s="291"/>
      <c r="K329" s="291"/>
      <c r="L329" s="291"/>
      <c r="M329" s="291"/>
      <c r="N329" s="291"/>
      <c r="O329" s="291"/>
      <c r="P329" s="291"/>
      <c r="Q329" s="301"/>
    </row>
    <row r="330" spans="6:17">
      <c r="F330" s="291"/>
      <c r="G330" s="291"/>
      <c r="H330" s="291"/>
      <c r="I330" s="291"/>
      <c r="J330" s="291"/>
      <c r="K330" s="291"/>
      <c r="L330" s="291"/>
      <c r="M330" s="291"/>
      <c r="N330" s="291"/>
      <c r="O330" s="291"/>
      <c r="P330" s="291"/>
      <c r="Q330" s="301"/>
    </row>
    <row r="331" spans="6:17">
      <c r="F331" s="291"/>
      <c r="G331" s="291"/>
      <c r="H331" s="291"/>
      <c r="I331" s="291"/>
      <c r="J331" s="291"/>
      <c r="K331" s="291"/>
      <c r="L331" s="291"/>
      <c r="M331" s="291"/>
      <c r="N331" s="291"/>
      <c r="O331" s="291"/>
      <c r="P331" s="291"/>
      <c r="Q331" s="301"/>
    </row>
    <row r="332" spans="6:17">
      <c r="F332" s="291"/>
      <c r="G332" s="291"/>
      <c r="H332" s="291"/>
      <c r="I332" s="291"/>
      <c r="J332" s="291"/>
      <c r="K332" s="291"/>
      <c r="L332" s="291"/>
      <c r="M332" s="291"/>
      <c r="N332" s="291"/>
      <c r="O332" s="291"/>
      <c r="P332" s="291"/>
      <c r="Q332" s="301"/>
    </row>
    <row r="333" spans="6:17">
      <c r="F333" s="291"/>
      <c r="G333" s="291"/>
      <c r="H333" s="291"/>
      <c r="I333" s="291"/>
      <c r="J333" s="291"/>
      <c r="K333" s="291"/>
      <c r="L333" s="291"/>
      <c r="M333" s="291"/>
      <c r="N333" s="291"/>
      <c r="O333" s="291"/>
      <c r="P333" s="291"/>
      <c r="Q333" s="301"/>
    </row>
    <row r="334" spans="6:17">
      <c r="F334" s="291"/>
      <c r="G334" s="291"/>
      <c r="H334" s="291"/>
      <c r="I334" s="291"/>
      <c r="J334" s="291"/>
      <c r="K334" s="291"/>
      <c r="L334" s="291"/>
      <c r="M334" s="291"/>
      <c r="N334" s="291"/>
      <c r="O334" s="291"/>
      <c r="P334" s="291"/>
      <c r="Q334" s="301"/>
    </row>
    <row r="335" spans="6:17">
      <c r="F335" s="291"/>
      <c r="G335" s="291"/>
      <c r="H335" s="291"/>
      <c r="I335" s="291"/>
      <c r="J335" s="291"/>
      <c r="K335" s="291"/>
      <c r="L335" s="291"/>
      <c r="M335" s="291"/>
      <c r="N335" s="291"/>
      <c r="O335" s="291"/>
      <c r="P335" s="291"/>
      <c r="Q335" s="301"/>
    </row>
    <row r="336" spans="6:17">
      <c r="F336" s="291"/>
      <c r="G336" s="291"/>
      <c r="H336" s="291"/>
      <c r="I336" s="291"/>
      <c r="J336" s="291"/>
      <c r="K336" s="291"/>
      <c r="L336" s="291"/>
      <c r="M336" s="291"/>
      <c r="N336" s="291"/>
      <c r="O336" s="291"/>
      <c r="P336" s="291"/>
      <c r="Q336" s="301"/>
    </row>
    <row r="337" spans="6:17">
      <c r="F337" s="291"/>
      <c r="G337" s="291"/>
      <c r="H337" s="291"/>
      <c r="I337" s="291"/>
      <c r="J337" s="291"/>
      <c r="K337" s="291"/>
      <c r="L337" s="291"/>
      <c r="M337" s="291"/>
      <c r="N337" s="291"/>
      <c r="O337" s="291"/>
      <c r="P337" s="291"/>
      <c r="Q337" s="301"/>
    </row>
    <row r="338" spans="6:17">
      <c r="F338" s="291"/>
      <c r="G338" s="291"/>
      <c r="H338" s="291"/>
      <c r="I338" s="291"/>
      <c r="J338" s="291"/>
      <c r="K338" s="291"/>
      <c r="L338" s="291"/>
      <c r="M338" s="291"/>
      <c r="N338" s="291"/>
      <c r="O338" s="291"/>
      <c r="P338" s="291"/>
      <c r="Q338" s="301"/>
    </row>
    <row r="339" spans="6:17">
      <c r="F339" s="291"/>
      <c r="G339" s="291"/>
      <c r="H339" s="291"/>
      <c r="I339" s="291"/>
      <c r="J339" s="291"/>
      <c r="K339" s="291"/>
      <c r="L339" s="291"/>
      <c r="M339" s="291"/>
      <c r="N339" s="291"/>
      <c r="O339" s="291"/>
      <c r="P339" s="291"/>
      <c r="Q339" s="301"/>
    </row>
    <row r="340" spans="6:17">
      <c r="F340" s="291"/>
      <c r="G340" s="291"/>
      <c r="H340" s="291"/>
      <c r="I340" s="291"/>
      <c r="J340" s="291"/>
      <c r="K340" s="291"/>
      <c r="L340" s="291"/>
      <c r="M340" s="291"/>
      <c r="N340" s="291"/>
      <c r="O340" s="291"/>
      <c r="P340" s="291"/>
      <c r="Q340" s="301"/>
    </row>
    <row r="341" spans="6:17">
      <c r="F341" s="291"/>
      <c r="G341" s="291"/>
      <c r="H341" s="291"/>
      <c r="I341" s="291"/>
      <c r="J341" s="291"/>
      <c r="K341" s="291"/>
      <c r="L341" s="291"/>
      <c r="M341" s="291"/>
      <c r="N341" s="291"/>
      <c r="O341" s="291"/>
      <c r="P341" s="291"/>
      <c r="Q341" s="301"/>
    </row>
    <row r="342" spans="6:17">
      <c r="F342" s="291"/>
      <c r="G342" s="291"/>
      <c r="H342" s="291"/>
      <c r="I342" s="291"/>
      <c r="J342" s="291"/>
      <c r="K342" s="291"/>
      <c r="L342" s="291"/>
      <c r="M342" s="291"/>
      <c r="N342" s="291"/>
      <c r="O342" s="291"/>
      <c r="P342" s="291"/>
      <c r="Q342" s="301"/>
    </row>
    <row r="343" spans="6:17">
      <c r="F343" s="291"/>
      <c r="G343" s="291"/>
      <c r="H343" s="291"/>
      <c r="I343" s="291"/>
      <c r="J343" s="291"/>
      <c r="K343" s="291"/>
      <c r="L343" s="291"/>
      <c r="M343" s="291"/>
      <c r="N343" s="291"/>
      <c r="O343" s="291"/>
      <c r="P343" s="291"/>
      <c r="Q343" s="301"/>
    </row>
    <row r="344" spans="6:17">
      <c r="F344" s="291"/>
      <c r="G344" s="291"/>
      <c r="H344" s="291"/>
      <c r="I344" s="291"/>
      <c r="J344" s="291"/>
      <c r="K344" s="291"/>
      <c r="L344" s="291"/>
      <c r="M344" s="291"/>
      <c r="N344" s="291"/>
      <c r="O344" s="291"/>
      <c r="P344" s="291"/>
      <c r="Q344" s="301"/>
    </row>
    <row r="345" spans="6:17">
      <c r="F345" s="291"/>
      <c r="G345" s="291"/>
      <c r="H345" s="291"/>
      <c r="I345" s="291"/>
      <c r="J345" s="291"/>
      <c r="K345" s="291"/>
      <c r="L345" s="291"/>
      <c r="M345" s="291"/>
      <c r="N345" s="291"/>
      <c r="O345" s="291"/>
      <c r="P345" s="291"/>
      <c r="Q345" s="301"/>
    </row>
    <row r="346" spans="6:17">
      <c r="F346" s="291"/>
      <c r="G346" s="291"/>
      <c r="H346" s="291"/>
      <c r="I346" s="291"/>
      <c r="J346" s="291"/>
      <c r="K346" s="291"/>
      <c r="L346" s="291"/>
      <c r="M346" s="291"/>
      <c r="N346" s="291"/>
      <c r="O346" s="291"/>
      <c r="P346" s="291"/>
      <c r="Q346" s="301"/>
    </row>
    <row r="347" spans="6:17">
      <c r="F347" s="291"/>
      <c r="G347" s="291"/>
      <c r="H347" s="291"/>
      <c r="I347" s="291"/>
      <c r="J347" s="291"/>
      <c r="K347" s="291"/>
      <c r="L347" s="291"/>
      <c r="M347" s="291"/>
      <c r="N347" s="291"/>
      <c r="O347" s="291"/>
      <c r="P347" s="291"/>
      <c r="Q347" s="301"/>
    </row>
    <row r="348" spans="6:17">
      <c r="F348" s="291"/>
      <c r="G348" s="291"/>
      <c r="H348" s="291"/>
      <c r="I348" s="291"/>
      <c r="J348" s="291"/>
      <c r="K348" s="291"/>
      <c r="L348" s="291"/>
      <c r="M348" s="291"/>
      <c r="N348" s="291"/>
      <c r="O348" s="291"/>
      <c r="P348" s="291"/>
      <c r="Q348" s="301"/>
    </row>
    <row r="349" spans="6:17">
      <c r="F349" s="291"/>
      <c r="G349" s="291"/>
      <c r="H349" s="291"/>
      <c r="I349" s="291"/>
      <c r="J349" s="291"/>
      <c r="K349" s="291"/>
      <c r="L349" s="291"/>
      <c r="M349" s="291"/>
      <c r="N349" s="291"/>
      <c r="O349" s="291"/>
      <c r="P349" s="291"/>
      <c r="Q349" s="301"/>
    </row>
    <row r="350" spans="6:17">
      <c r="F350" s="291"/>
      <c r="G350" s="291"/>
      <c r="H350" s="291"/>
      <c r="I350" s="291"/>
      <c r="J350" s="291"/>
      <c r="K350" s="291"/>
      <c r="L350" s="291"/>
      <c r="M350" s="291"/>
      <c r="N350" s="291"/>
      <c r="O350" s="291"/>
      <c r="P350" s="291"/>
      <c r="Q350" s="301"/>
    </row>
    <row r="351" spans="6:17">
      <c r="F351" s="291"/>
      <c r="G351" s="291"/>
      <c r="H351" s="291"/>
      <c r="I351" s="291"/>
      <c r="J351" s="291"/>
      <c r="K351" s="291"/>
      <c r="L351" s="291"/>
      <c r="M351" s="291"/>
      <c r="N351" s="291"/>
      <c r="O351" s="291"/>
      <c r="P351" s="291"/>
      <c r="Q351" s="301"/>
    </row>
    <row r="352" spans="6:17">
      <c r="F352" s="291"/>
      <c r="G352" s="291"/>
      <c r="H352" s="291"/>
      <c r="I352" s="291"/>
      <c r="J352" s="291"/>
      <c r="K352" s="291"/>
      <c r="L352" s="291"/>
      <c r="M352" s="291"/>
      <c r="N352" s="291"/>
      <c r="O352" s="291"/>
      <c r="P352" s="291"/>
      <c r="Q352" s="301"/>
    </row>
    <row r="353" spans="6:17">
      <c r="F353" s="291"/>
      <c r="G353" s="291"/>
      <c r="H353" s="291"/>
      <c r="I353" s="291"/>
      <c r="J353" s="291"/>
      <c r="K353" s="291"/>
      <c r="L353" s="291"/>
      <c r="M353" s="291"/>
      <c r="N353" s="291"/>
      <c r="O353" s="291"/>
      <c r="P353" s="291"/>
      <c r="Q353" s="301"/>
    </row>
    <row r="354" spans="6:17">
      <c r="F354" s="291"/>
      <c r="G354" s="291"/>
      <c r="H354" s="291"/>
      <c r="I354" s="291"/>
      <c r="J354" s="291"/>
      <c r="K354" s="291"/>
      <c r="L354" s="291"/>
      <c r="M354" s="291"/>
      <c r="N354" s="291"/>
      <c r="O354" s="291"/>
      <c r="P354" s="291"/>
      <c r="Q354" s="301"/>
    </row>
    <row r="355" spans="6:17">
      <c r="F355" s="291"/>
      <c r="G355" s="291"/>
      <c r="H355" s="291"/>
      <c r="I355" s="291"/>
      <c r="J355" s="291"/>
      <c r="K355" s="291"/>
      <c r="L355" s="291"/>
      <c r="M355" s="291"/>
      <c r="N355" s="291"/>
      <c r="O355" s="291"/>
      <c r="P355" s="291"/>
      <c r="Q355" s="301"/>
    </row>
    <row r="356" spans="6:17">
      <c r="F356" s="291"/>
      <c r="G356" s="291"/>
      <c r="H356" s="291"/>
      <c r="I356" s="291"/>
      <c r="J356" s="291"/>
      <c r="K356" s="291"/>
      <c r="L356" s="291"/>
      <c r="M356" s="291"/>
      <c r="N356" s="291"/>
      <c r="O356" s="291"/>
      <c r="P356" s="291"/>
      <c r="Q356" s="301"/>
    </row>
    <row r="357" spans="6:17">
      <c r="F357" s="291"/>
      <c r="G357" s="291"/>
      <c r="H357" s="291"/>
      <c r="I357" s="291"/>
      <c r="J357" s="291"/>
      <c r="K357" s="291"/>
      <c r="L357" s="291"/>
      <c r="M357" s="291"/>
      <c r="N357" s="291"/>
      <c r="O357" s="291"/>
      <c r="P357" s="291"/>
      <c r="Q357" s="301"/>
    </row>
    <row r="358" spans="6:17">
      <c r="F358" s="291"/>
      <c r="G358" s="291"/>
      <c r="H358" s="291"/>
      <c r="I358" s="291"/>
      <c r="J358" s="291"/>
      <c r="K358" s="291"/>
      <c r="L358" s="291"/>
      <c r="M358" s="291"/>
      <c r="N358" s="291"/>
      <c r="O358" s="291"/>
      <c r="P358" s="291"/>
      <c r="Q358" s="301"/>
    </row>
    <row r="359" spans="6:17">
      <c r="F359" s="291"/>
      <c r="G359" s="291"/>
      <c r="H359" s="291"/>
      <c r="I359" s="291"/>
      <c r="J359" s="291"/>
      <c r="K359" s="291"/>
      <c r="L359" s="291"/>
      <c r="M359" s="291"/>
      <c r="N359" s="291"/>
      <c r="O359" s="291"/>
      <c r="P359" s="291"/>
      <c r="Q359" s="301"/>
    </row>
    <row r="360" spans="6:17">
      <c r="F360" s="291"/>
      <c r="G360" s="291"/>
      <c r="H360" s="291"/>
      <c r="I360" s="291"/>
      <c r="J360" s="291"/>
      <c r="K360" s="291"/>
      <c r="L360" s="291"/>
      <c r="M360" s="291"/>
      <c r="N360" s="291"/>
      <c r="O360" s="291"/>
      <c r="P360" s="291"/>
      <c r="Q360" s="301"/>
    </row>
    <row r="361" spans="6:17">
      <c r="F361" s="291"/>
      <c r="G361" s="291"/>
      <c r="H361" s="291"/>
      <c r="I361" s="291"/>
      <c r="J361" s="291"/>
      <c r="K361" s="291"/>
      <c r="L361" s="291"/>
      <c r="M361" s="291"/>
      <c r="N361" s="291"/>
      <c r="O361" s="291"/>
      <c r="P361" s="291"/>
      <c r="Q361" s="301"/>
    </row>
    <row r="362" spans="6:17">
      <c r="F362" s="291"/>
      <c r="G362" s="291"/>
      <c r="H362" s="291"/>
      <c r="I362" s="291"/>
      <c r="J362" s="291"/>
      <c r="K362" s="291"/>
      <c r="L362" s="291"/>
      <c r="M362" s="291"/>
      <c r="N362" s="291"/>
      <c r="O362" s="291"/>
      <c r="P362" s="291"/>
      <c r="Q362" s="301"/>
    </row>
    <row r="363" spans="6:17">
      <c r="F363" s="291"/>
      <c r="G363" s="291"/>
      <c r="H363" s="291"/>
      <c r="I363" s="291"/>
      <c r="J363" s="291"/>
      <c r="K363" s="291"/>
      <c r="L363" s="291"/>
      <c r="M363" s="291"/>
      <c r="N363" s="291"/>
      <c r="O363" s="291"/>
      <c r="P363" s="291"/>
      <c r="Q363" s="301"/>
    </row>
    <row r="364" spans="6:17">
      <c r="F364" s="291"/>
      <c r="G364" s="291"/>
      <c r="H364" s="291"/>
      <c r="I364" s="291"/>
      <c r="J364" s="291"/>
      <c r="K364" s="291"/>
      <c r="L364" s="291"/>
      <c r="M364" s="291"/>
      <c r="N364" s="291"/>
      <c r="O364" s="291"/>
      <c r="P364" s="291"/>
      <c r="Q364" s="301"/>
    </row>
    <row r="365" spans="6:17">
      <c r="F365" s="291"/>
      <c r="G365" s="291"/>
      <c r="H365" s="291"/>
      <c r="I365" s="291"/>
      <c r="J365" s="291"/>
      <c r="K365" s="291"/>
      <c r="L365" s="291"/>
      <c r="M365" s="291"/>
      <c r="N365" s="291"/>
      <c r="O365" s="291"/>
      <c r="P365" s="291"/>
      <c r="Q365" s="301"/>
    </row>
    <row r="366" spans="6:17">
      <c r="F366" s="291"/>
      <c r="G366" s="291"/>
      <c r="H366" s="291"/>
      <c r="I366" s="291"/>
      <c r="J366" s="291"/>
      <c r="K366" s="291"/>
      <c r="L366" s="291"/>
      <c r="M366" s="291"/>
      <c r="N366" s="291"/>
      <c r="O366" s="291"/>
      <c r="P366" s="291"/>
      <c r="Q366" s="301"/>
    </row>
    <row r="367" spans="6:17">
      <c r="F367" s="291"/>
      <c r="G367" s="291"/>
      <c r="H367" s="291"/>
      <c r="I367" s="291"/>
      <c r="J367" s="291"/>
      <c r="K367" s="291"/>
      <c r="L367" s="291"/>
      <c r="M367" s="291"/>
      <c r="N367" s="291"/>
      <c r="O367" s="291"/>
      <c r="P367" s="291"/>
      <c r="Q367" s="301"/>
    </row>
    <row r="368" spans="6:17">
      <c r="F368" s="291"/>
      <c r="G368" s="291"/>
      <c r="H368" s="291"/>
      <c r="I368" s="291"/>
      <c r="J368" s="291"/>
      <c r="K368" s="291"/>
      <c r="L368" s="291"/>
      <c r="M368" s="291"/>
      <c r="N368" s="291"/>
      <c r="O368" s="291"/>
      <c r="P368" s="291"/>
      <c r="Q368" s="301"/>
    </row>
    <row r="369" spans="6:17">
      <c r="F369" s="291"/>
      <c r="G369" s="291"/>
      <c r="H369" s="291"/>
      <c r="I369" s="291"/>
      <c r="J369" s="291"/>
      <c r="K369" s="291"/>
      <c r="L369" s="291"/>
      <c r="M369" s="291"/>
      <c r="N369" s="291"/>
      <c r="O369" s="291"/>
      <c r="P369" s="291"/>
      <c r="Q369" s="301"/>
    </row>
    <row r="370" spans="6:17">
      <c r="F370" s="291"/>
      <c r="G370" s="291"/>
      <c r="H370" s="291"/>
      <c r="I370" s="291"/>
      <c r="J370" s="291"/>
      <c r="K370" s="291"/>
      <c r="L370" s="291"/>
      <c r="M370" s="291"/>
      <c r="N370" s="291"/>
      <c r="O370" s="291"/>
      <c r="P370" s="291"/>
      <c r="Q370" s="301"/>
    </row>
    <row r="371" spans="6:17">
      <c r="F371" s="291"/>
      <c r="G371" s="291"/>
      <c r="H371" s="291"/>
      <c r="I371" s="291"/>
      <c r="J371" s="291"/>
      <c r="K371" s="291"/>
      <c r="L371" s="291"/>
      <c r="M371" s="291"/>
      <c r="N371" s="291"/>
      <c r="O371" s="291"/>
      <c r="P371" s="291"/>
      <c r="Q371" s="301"/>
    </row>
    <row r="372" spans="6:17">
      <c r="F372" s="291"/>
      <c r="G372" s="291"/>
      <c r="H372" s="291"/>
      <c r="I372" s="291"/>
      <c r="J372" s="291"/>
      <c r="K372" s="291"/>
      <c r="L372" s="291"/>
      <c r="M372" s="291"/>
      <c r="N372" s="291"/>
      <c r="O372" s="291"/>
      <c r="P372" s="291"/>
      <c r="Q372" s="301"/>
    </row>
    <row r="373" spans="6:17">
      <c r="F373" s="291"/>
      <c r="G373" s="291"/>
      <c r="H373" s="291"/>
      <c r="I373" s="291"/>
      <c r="J373" s="291"/>
      <c r="K373" s="291"/>
      <c r="L373" s="291"/>
      <c r="M373" s="291"/>
      <c r="N373" s="291"/>
      <c r="O373" s="291"/>
      <c r="P373" s="291"/>
      <c r="Q373" s="301"/>
    </row>
    <row r="374" spans="6:17">
      <c r="F374" s="291"/>
      <c r="G374" s="291"/>
      <c r="H374" s="291"/>
      <c r="I374" s="291"/>
      <c r="J374" s="291"/>
      <c r="K374" s="291"/>
      <c r="L374" s="291"/>
      <c r="M374" s="291"/>
      <c r="N374" s="291"/>
      <c r="O374" s="291"/>
      <c r="P374" s="291"/>
      <c r="Q374" s="301"/>
    </row>
    <row r="375" spans="6:17">
      <c r="F375" s="291"/>
      <c r="G375" s="291"/>
      <c r="H375" s="291"/>
      <c r="I375" s="291"/>
      <c r="J375" s="291"/>
      <c r="K375" s="291"/>
      <c r="L375" s="291"/>
      <c r="M375" s="291"/>
      <c r="N375" s="291"/>
      <c r="O375" s="291"/>
      <c r="P375" s="291"/>
      <c r="Q375" s="301"/>
    </row>
    <row r="376" spans="6:17">
      <c r="F376" s="291"/>
      <c r="G376" s="291"/>
      <c r="H376" s="291"/>
      <c r="I376" s="291"/>
      <c r="J376" s="291"/>
      <c r="K376" s="291"/>
      <c r="L376" s="291"/>
      <c r="M376" s="291"/>
      <c r="N376" s="291"/>
      <c r="O376" s="291"/>
      <c r="P376" s="291"/>
      <c r="Q376" s="301"/>
    </row>
    <row r="377" spans="6:17">
      <c r="F377" s="291"/>
      <c r="G377" s="291"/>
      <c r="H377" s="291"/>
      <c r="I377" s="291"/>
      <c r="J377" s="291"/>
      <c r="K377" s="291"/>
      <c r="L377" s="291"/>
      <c r="M377" s="291"/>
      <c r="N377" s="291"/>
      <c r="O377" s="291"/>
      <c r="P377" s="291"/>
      <c r="Q377" s="301"/>
    </row>
    <row r="378" spans="6:17">
      <c r="F378" s="291"/>
      <c r="G378" s="291"/>
      <c r="H378" s="291"/>
      <c r="I378" s="291"/>
      <c r="J378" s="291"/>
      <c r="K378" s="291"/>
      <c r="L378" s="291"/>
      <c r="M378" s="291"/>
      <c r="N378" s="291"/>
      <c r="O378" s="291"/>
      <c r="P378" s="291"/>
      <c r="Q378" s="301"/>
    </row>
    <row r="379" spans="6:17">
      <c r="F379" s="291"/>
      <c r="G379" s="291"/>
      <c r="H379" s="291"/>
      <c r="I379" s="291"/>
      <c r="J379" s="291"/>
      <c r="K379" s="291"/>
      <c r="L379" s="291"/>
      <c r="M379" s="291"/>
      <c r="N379" s="291"/>
      <c r="O379" s="291"/>
      <c r="P379" s="291"/>
      <c r="Q379" s="301"/>
    </row>
    <row r="380" spans="6:17">
      <c r="F380" s="291"/>
      <c r="G380" s="291"/>
      <c r="H380" s="291"/>
      <c r="I380" s="291"/>
      <c r="J380" s="291"/>
      <c r="K380" s="291"/>
      <c r="L380" s="291"/>
      <c r="M380" s="291"/>
      <c r="N380" s="291"/>
      <c r="O380" s="291"/>
      <c r="P380" s="291"/>
      <c r="Q380" s="301"/>
    </row>
    <row r="381" spans="6:17">
      <c r="F381" s="291"/>
      <c r="G381" s="291"/>
      <c r="H381" s="291"/>
      <c r="I381" s="291"/>
      <c r="J381" s="291"/>
      <c r="K381" s="291"/>
      <c r="L381" s="291"/>
      <c r="M381" s="291"/>
      <c r="N381" s="291"/>
      <c r="O381" s="291"/>
      <c r="P381" s="291"/>
      <c r="Q381" s="301"/>
    </row>
    <row r="382" spans="6:17">
      <c r="F382" s="291"/>
      <c r="G382" s="291"/>
      <c r="H382" s="291"/>
      <c r="I382" s="291"/>
      <c r="J382" s="291"/>
      <c r="K382" s="291"/>
      <c r="L382" s="291"/>
      <c r="M382" s="291"/>
      <c r="N382" s="291"/>
      <c r="O382" s="291"/>
      <c r="P382" s="291"/>
      <c r="Q382" s="301"/>
    </row>
    <row r="383" spans="6:17">
      <c r="F383" s="291"/>
      <c r="G383" s="291"/>
      <c r="H383" s="291"/>
      <c r="I383" s="291"/>
      <c r="J383" s="291"/>
      <c r="K383" s="291"/>
      <c r="L383" s="291"/>
      <c r="M383" s="291"/>
      <c r="N383" s="291"/>
      <c r="O383" s="291"/>
      <c r="P383" s="291"/>
      <c r="Q383" s="301"/>
    </row>
    <row r="384" spans="6:17">
      <c r="F384" s="291"/>
      <c r="G384" s="291"/>
      <c r="H384" s="291"/>
      <c r="I384" s="291"/>
      <c r="J384" s="291"/>
      <c r="K384" s="291"/>
      <c r="L384" s="291"/>
      <c r="M384" s="291"/>
      <c r="N384" s="291"/>
      <c r="O384" s="291"/>
      <c r="P384" s="291"/>
      <c r="Q384" s="301"/>
    </row>
    <row r="385" spans="6:17">
      <c r="F385" s="291"/>
      <c r="G385" s="291"/>
      <c r="H385" s="291"/>
      <c r="I385" s="291"/>
      <c r="J385" s="291"/>
      <c r="K385" s="291"/>
      <c r="L385" s="291"/>
      <c r="M385" s="291"/>
      <c r="N385" s="291"/>
      <c r="O385" s="291"/>
      <c r="P385" s="291"/>
      <c r="Q385" s="301"/>
    </row>
    <row r="386" spans="6:17">
      <c r="F386" s="291"/>
      <c r="G386" s="291"/>
      <c r="H386" s="291"/>
      <c r="I386" s="291"/>
      <c r="J386" s="291"/>
      <c r="K386" s="291"/>
      <c r="L386" s="291"/>
      <c r="M386" s="291"/>
      <c r="N386" s="291"/>
      <c r="O386" s="291"/>
      <c r="P386" s="291"/>
      <c r="Q386" s="301"/>
    </row>
    <row r="387" spans="6:17">
      <c r="F387" s="291"/>
      <c r="G387" s="291"/>
      <c r="H387" s="291"/>
      <c r="I387" s="291"/>
      <c r="J387" s="291"/>
      <c r="K387" s="291"/>
      <c r="L387" s="291"/>
      <c r="M387" s="291"/>
      <c r="N387" s="291"/>
      <c r="O387" s="291"/>
      <c r="P387" s="291"/>
      <c r="Q387" s="301"/>
    </row>
    <row r="388" spans="6:17">
      <c r="F388" s="291"/>
      <c r="G388" s="291"/>
      <c r="H388" s="291"/>
      <c r="I388" s="291"/>
      <c r="J388" s="291"/>
      <c r="K388" s="291"/>
      <c r="L388" s="291"/>
      <c r="M388" s="291"/>
      <c r="N388" s="291"/>
      <c r="O388" s="291"/>
      <c r="P388" s="291"/>
      <c r="Q388" s="301"/>
    </row>
    <row r="389" spans="6:17">
      <c r="F389" s="291"/>
      <c r="G389" s="291"/>
      <c r="H389" s="291"/>
      <c r="I389" s="291"/>
      <c r="J389" s="291"/>
      <c r="K389" s="291"/>
      <c r="L389" s="291"/>
      <c r="M389" s="291"/>
      <c r="N389" s="291"/>
      <c r="O389" s="291"/>
      <c r="P389" s="291"/>
      <c r="Q389" s="301"/>
    </row>
    <row r="390" spans="6:17">
      <c r="F390" s="291"/>
      <c r="G390" s="291"/>
      <c r="H390" s="291"/>
      <c r="I390" s="291"/>
      <c r="J390" s="291"/>
      <c r="K390" s="291"/>
      <c r="L390" s="291"/>
      <c r="M390" s="291"/>
      <c r="N390" s="291"/>
      <c r="O390" s="291"/>
      <c r="P390" s="291"/>
      <c r="Q390" s="301"/>
    </row>
    <row r="391" spans="6:17">
      <c r="F391" s="291"/>
      <c r="G391" s="291"/>
      <c r="H391" s="291"/>
      <c r="I391" s="291"/>
      <c r="J391" s="291"/>
      <c r="K391" s="291"/>
      <c r="L391" s="291"/>
      <c r="M391" s="291"/>
      <c r="N391" s="291"/>
      <c r="O391" s="291"/>
      <c r="P391" s="291"/>
      <c r="Q391" s="301"/>
    </row>
    <row r="392" spans="6:17">
      <c r="F392" s="291"/>
      <c r="G392" s="291"/>
      <c r="H392" s="291"/>
      <c r="I392" s="291"/>
      <c r="J392" s="291"/>
      <c r="K392" s="291"/>
      <c r="L392" s="291"/>
      <c r="M392" s="291"/>
      <c r="N392" s="291"/>
      <c r="O392" s="291"/>
      <c r="P392" s="291"/>
      <c r="Q392" s="301"/>
    </row>
    <row r="393" spans="6:17">
      <c r="F393" s="291"/>
      <c r="G393" s="291"/>
      <c r="H393" s="291"/>
      <c r="I393" s="291"/>
      <c r="J393" s="291"/>
      <c r="K393" s="291"/>
      <c r="L393" s="291"/>
      <c r="M393" s="291"/>
      <c r="N393" s="291"/>
      <c r="O393" s="291"/>
      <c r="P393" s="291"/>
      <c r="Q393" s="301"/>
    </row>
    <row r="394" spans="6:17">
      <c r="F394" s="291"/>
      <c r="G394" s="291"/>
      <c r="H394" s="291"/>
      <c r="I394" s="291"/>
      <c r="J394" s="291"/>
      <c r="K394" s="291"/>
      <c r="L394" s="291"/>
      <c r="M394" s="291"/>
      <c r="N394" s="291"/>
      <c r="O394" s="291"/>
      <c r="P394" s="291"/>
      <c r="Q394" s="301"/>
    </row>
    <row r="395" spans="6:17">
      <c r="F395" s="291"/>
      <c r="G395" s="291"/>
      <c r="H395" s="291"/>
      <c r="I395" s="291"/>
      <c r="J395" s="291"/>
      <c r="K395" s="291"/>
      <c r="L395" s="291"/>
      <c r="M395" s="291"/>
      <c r="N395" s="291"/>
      <c r="O395" s="291"/>
      <c r="P395" s="291"/>
      <c r="Q395" s="301"/>
    </row>
    <row r="396" spans="6:17">
      <c r="F396" s="291"/>
      <c r="G396" s="291"/>
      <c r="H396" s="291"/>
      <c r="I396" s="291"/>
      <c r="J396" s="291"/>
      <c r="K396" s="291"/>
      <c r="L396" s="291"/>
      <c r="M396" s="291"/>
      <c r="N396" s="291"/>
      <c r="O396" s="291"/>
      <c r="P396" s="291"/>
      <c r="Q396" s="301"/>
    </row>
    <row r="397" spans="6:17">
      <c r="F397" s="291"/>
      <c r="G397" s="291"/>
      <c r="H397" s="291"/>
      <c r="I397" s="291"/>
      <c r="J397" s="291"/>
      <c r="K397" s="291"/>
      <c r="L397" s="291"/>
      <c r="M397" s="291"/>
      <c r="N397" s="291"/>
      <c r="O397" s="291"/>
      <c r="P397" s="291"/>
      <c r="Q397" s="301"/>
    </row>
    <row r="398" spans="6:17">
      <c r="F398" s="291"/>
      <c r="G398" s="291"/>
      <c r="H398" s="291"/>
      <c r="I398" s="291"/>
      <c r="J398" s="291"/>
      <c r="K398" s="291"/>
      <c r="L398" s="291"/>
      <c r="M398" s="291"/>
      <c r="N398" s="291"/>
      <c r="O398" s="291"/>
      <c r="P398" s="291"/>
      <c r="Q398" s="301"/>
    </row>
    <row r="399" spans="6:17">
      <c r="F399" s="291"/>
      <c r="G399" s="291"/>
      <c r="H399" s="291"/>
      <c r="I399" s="291"/>
      <c r="J399" s="291"/>
      <c r="K399" s="291"/>
      <c r="L399" s="291"/>
      <c r="M399" s="291"/>
      <c r="N399" s="291"/>
      <c r="O399" s="291"/>
      <c r="P399" s="291"/>
      <c r="Q399" s="301"/>
    </row>
    <row r="400" spans="6:17">
      <c r="F400" s="291"/>
      <c r="G400" s="291"/>
      <c r="H400" s="291"/>
      <c r="I400" s="291"/>
      <c r="J400" s="291"/>
      <c r="K400" s="291"/>
      <c r="L400" s="291"/>
      <c r="M400" s="291"/>
      <c r="N400" s="291"/>
      <c r="O400" s="291"/>
      <c r="P400" s="291"/>
      <c r="Q400" s="301"/>
    </row>
    <row r="401" spans="6:17">
      <c r="F401" s="291"/>
      <c r="G401" s="291"/>
      <c r="H401" s="291"/>
      <c r="I401" s="291"/>
      <c r="J401" s="291"/>
      <c r="K401" s="291"/>
      <c r="L401" s="291"/>
      <c r="M401" s="291"/>
      <c r="N401" s="291"/>
      <c r="O401" s="291"/>
      <c r="P401" s="291"/>
      <c r="Q401" s="301"/>
    </row>
    <row r="402" spans="6:17">
      <c r="F402" s="291"/>
      <c r="G402" s="291"/>
      <c r="H402" s="291"/>
      <c r="I402" s="291"/>
      <c r="J402" s="291"/>
      <c r="K402" s="291"/>
      <c r="L402" s="291"/>
      <c r="M402" s="291"/>
      <c r="N402" s="291"/>
      <c r="O402" s="291"/>
      <c r="P402" s="291"/>
      <c r="Q402" s="301"/>
    </row>
    <row r="403" spans="6:17">
      <c r="F403" s="291"/>
      <c r="G403" s="291"/>
      <c r="H403" s="291"/>
      <c r="I403" s="291"/>
      <c r="J403" s="291"/>
      <c r="K403" s="291"/>
      <c r="L403" s="291"/>
      <c r="M403" s="291"/>
      <c r="N403" s="291"/>
      <c r="O403" s="291"/>
      <c r="P403" s="291"/>
      <c r="Q403" s="301"/>
    </row>
    <row r="404" spans="6:17">
      <c r="F404" s="291"/>
      <c r="G404" s="291"/>
      <c r="H404" s="291"/>
      <c r="I404" s="291"/>
      <c r="J404" s="291"/>
      <c r="K404" s="291"/>
      <c r="L404" s="291"/>
      <c r="M404" s="291"/>
      <c r="N404" s="291"/>
      <c r="O404" s="291"/>
      <c r="P404" s="291"/>
      <c r="Q404" s="301"/>
    </row>
    <row r="405" spans="6:17">
      <c r="F405" s="291"/>
      <c r="G405" s="291"/>
      <c r="H405" s="291"/>
      <c r="I405" s="291"/>
      <c r="J405" s="291"/>
      <c r="K405" s="291"/>
      <c r="L405" s="291"/>
      <c r="M405" s="291"/>
      <c r="N405" s="291"/>
      <c r="O405" s="291"/>
      <c r="P405" s="291"/>
      <c r="Q405" s="301"/>
    </row>
    <row r="406" spans="6:17">
      <c r="F406" s="291"/>
      <c r="G406" s="291"/>
      <c r="H406" s="291"/>
      <c r="I406" s="291"/>
      <c r="J406" s="291"/>
      <c r="K406" s="291"/>
      <c r="L406" s="291"/>
      <c r="M406" s="291"/>
      <c r="N406" s="291"/>
      <c r="O406" s="291"/>
      <c r="P406" s="291"/>
      <c r="Q406" s="301"/>
    </row>
    <row r="407" spans="6:17">
      <c r="F407" s="291"/>
      <c r="G407" s="291"/>
      <c r="H407" s="291"/>
      <c r="I407" s="291"/>
      <c r="J407" s="291"/>
      <c r="K407" s="291"/>
      <c r="L407" s="291"/>
      <c r="M407" s="291"/>
      <c r="N407" s="291"/>
      <c r="O407" s="291"/>
      <c r="P407" s="291"/>
      <c r="Q407" s="301"/>
    </row>
    <row r="408" spans="6:17">
      <c r="F408" s="291"/>
      <c r="G408" s="291"/>
      <c r="H408" s="291"/>
      <c r="I408" s="291"/>
      <c r="J408" s="291"/>
      <c r="K408" s="291"/>
      <c r="L408" s="291"/>
      <c r="M408" s="291"/>
      <c r="N408" s="291"/>
      <c r="O408" s="291"/>
      <c r="P408" s="291"/>
      <c r="Q408" s="301"/>
    </row>
    <row r="409" spans="6:17">
      <c r="F409" s="291"/>
      <c r="G409" s="291"/>
      <c r="H409" s="291"/>
      <c r="I409" s="291"/>
      <c r="J409" s="291"/>
      <c r="K409" s="291"/>
      <c r="L409" s="291"/>
      <c r="M409" s="291"/>
      <c r="N409" s="291"/>
      <c r="O409" s="291"/>
      <c r="P409" s="291"/>
      <c r="Q409" s="301"/>
    </row>
    <row r="410" spans="6:17">
      <c r="F410" s="291"/>
      <c r="G410" s="291"/>
      <c r="H410" s="291"/>
      <c r="I410" s="291"/>
      <c r="J410" s="291"/>
      <c r="K410" s="291"/>
      <c r="L410" s="291"/>
      <c r="M410" s="291"/>
      <c r="N410" s="291"/>
      <c r="O410" s="291"/>
      <c r="P410" s="291"/>
      <c r="Q410" s="301"/>
    </row>
    <row r="411" spans="6:17">
      <c r="F411" s="291"/>
      <c r="G411" s="291"/>
      <c r="H411" s="291"/>
      <c r="I411" s="291"/>
      <c r="J411" s="291"/>
      <c r="K411" s="291"/>
      <c r="L411" s="291"/>
      <c r="M411" s="291"/>
      <c r="N411" s="291"/>
      <c r="O411" s="291"/>
      <c r="P411" s="291"/>
      <c r="Q411" s="301"/>
    </row>
    <row r="412" spans="6:17">
      <c r="F412" s="291"/>
      <c r="G412" s="291"/>
      <c r="H412" s="291"/>
      <c r="I412" s="291"/>
      <c r="J412" s="291"/>
      <c r="K412" s="291"/>
      <c r="L412" s="291"/>
      <c r="M412" s="291"/>
      <c r="N412" s="291"/>
      <c r="O412" s="291"/>
      <c r="P412" s="291"/>
      <c r="Q412" s="301"/>
    </row>
    <row r="413" spans="6:17">
      <c r="F413" s="291"/>
      <c r="G413" s="291"/>
      <c r="H413" s="291"/>
      <c r="I413" s="291"/>
      <c r="J413" s="291"/>
      <c r="K413" s="291"/>
      <c r="L413" s="291"/>
      <c r="M413" s="291"/>
      <c r="N413" s="291"/>
      <c r="O413" s="291"/>
      <c r="P413" s="291"/>
      <c r="Q413" s="301"/>
    </row>
    <row r="414" spans="6:17">
      <c r="F414" s="291"/>
      <c r="G414" s="291"/>
      <c r="H414" s="291"/>
      <c r="I414" s="291"/>
      <c r="J414" s="291"/>
      <c r="K414" s="291"/>
      <c r="L414" s="291"/>
      <c r="M414" s="291"/>
      <c r="N414" s="291"/>
      <c r="O414" s="291"/>
      <c r="P414" s="291"/>
      <c r="Q414" s="301"/>
    </row>
    <row r="415" spans="6:17">
      <c r="F415" s="291"/>
      <c r="G415" s="291"/>
      <c r="H415" s="291"/>
      <c r="I415" s="291"/>
      <c r="J415" s="291"/>
      <c r="K415" s="291"/>
      <c r="L415" s="291"/>
      <c r="M415" s="291"/>
      <c r="N415" s="291"/>
      <c r="O415" s="291"/>
      <c r="P415" s="291"/>
      <c r="Q415" s="301"/>
    </row>
    <row r="416" spans="6:17">
      <c r="F416" s="291"/>
      <c r="G416" s="291"/>
      <c r="H416" s="291"/>
      <c r="I416" s="291"/>
      <c r="J416" s="291"/>
      <c r="K416" s="291"/>
      <c r="L416" s="291"/>
      <c r="M416" s="291"/>
      <c r="N416" s="291"/>
      <c r="O416" s="291"/>
      <c r="P416" s="291"/>
      <c r="Q416" s="301"/>
    </row>
    <row r="417" spans="6:17">
      <c r="F417" s="291"/>
      <c r="G417" s="291"/>
      <c r="H417" s="291"/>
      <c r="I417" s="291"/>
      <c r="J417" s="291"/>
      <c r="K417" s="291"/>
      <c r="L417" s="291"/>
      <c r="M417" s="291"/>
      <c r="N417" s="291"/>
      <c r="O417" s="291"/>
      <c r="P417" s="291"/>
      <c r="Q417" s="301"/>
    </row>
    <row r="418" spans="6:17">
      <c r="F418" s="291"/>
      <c r="G418" s="291"/>
      <c r="H418" s="291"/>
      <c r="I418" s="291"/>
      <c r="J418" s="291"/>
      <c r="K418" s="291"/>
      <c r="L418" s="291"/>
      <c r="M418" s="291"/>
      <c r="N418" s="291"/>
      <c r="O418" s="291"/>
      <c r="P418" s="291"/>
      <c r="Q418" s="301"/>
    </row>
    <row r="419" spans="6:17">
      <c r="F419" s="291"/>
      <c r="G419" s="291"/>
      <c r="H419" s="291"/>
      <c r="I419" s="291"/>
      <c r="J419" s="291"/>
      <c r="K419" s="291"/>
      <c r="L419" s="291"/>
      <c r="M419" s="291"/>
      <c r="N419" s="291"/>
      <c r="O419" s="291"/>
      <c r="P419" s="291"/>
      <c r="Q419" s="301"/>
    </row>
    <row r="420" spans="6:17">
      <c r="F420" s="291"/>
      <c r="G420" s="291"/>
      <c r="H420" s="291"/>
      <c r="I420" s="291"/>
      <c r="J420" s="291"/>
      <c r="K420" s="291"/>
      <c r="L420" s="291"/>
      <c r="M420" s="291"/>
      <c r="N420" s="291"/>
      <c r="O420" s="291"/>
      <c r="P420" s="291"/>
      <c r="Q420" s="301"/>
    </row>
    <row r="421" spans="6:17">
      <c r="F421" s="291"/>
      <c r="G421" s="291"/>
      <c r="H421" s="291"/>
      <c r="I421" s="291"/>
      <c r="J421" s="291"/>
      <c r="K421" s="291"/>
      <c r="L421" s="291"/>
      <c r="M421" s="291"/>
      <c r="N421" s="291"/>
      <c r="O421" s="291"/>
      <c r="P421" s="291"/>
      <c r="Q421" s="301"/>
    </row>
    <row r="422" spans="6:17">
      <c r="F422" s="291"/>
      <c r="G422" s="291"/>
      <c r="H422" s="291"/>
      <c r="I422" s="291"/>
      <c r="J422" s="291"/>
      <c r="K422" s="291"/>
      <c r="L422" s="291"/>
      <c r="M422" s="291"/>
      <c r="N422" s="291"/>
      <c r="O422" s="291"/>
      <c r="P422" s="291"/>
      <c r="Q422" s="301"/>
    </row>
    <row r="423" spans="6:17">
      <c r="F423" s="291"/>
      <c r="G423" s="291"/>
      <c r="H423" s="291"/>
      <c r="I423" s="291"/>
      <c r="J423" s="291"/>
      <c r="K423" s="291"/>
      <c r="L423" s="291"/>
      <c r="M423" s="291"/>
      <c r="N423" s="291"/>
      <c r="O423" s="291"/>
      <c r="P423" s="291"/>
      <c r="Q423" s="301"/>
    </row>
    <row r="424" spans="6:17">
      <c r="F424" s="291"/>
      <c r="G424" s="291"/>
      <c r="H424" s="291"/>
      <c r="I424" s="291"/>
      <c r="J424" s="291"/>
      <c r="K424" s="291"/>
      <c r="L424" s="291"/>
      <c r="M424" s="291"/>
      <c r="N424" s="291"/>
      <c r="O424" s="291"/>
      <c r="P424" s="291"/>
      <c r="Q424" s="301"/>
    </row>
    <row r="425" spans="6:17">
      <c r="F425" s="291"/>
      <c r="G425" s="291"/>
      <c r="H425" s="291"/>
      <c r="I425" s="291"/>
      <c r="J425" s="291"/>
      <c r="K425" s="291"/>
      <c r="L425" s="291"/>
      <c r="M425" s="291"/>
      <c r="N425" s="291"/>
      <c r="O425" s="291"/>
      <c r="P425" s="291"/>
      <c r="Q425" s="301"/>
    </row>
    <row r="426" spans="6:17">
      <c r="F426" s="291"/>
      <c r="G426" s="291"/>
      <c r="H426" s="291"/>
      <c r="I426" s="291"/>
      <c r="J426" s="291"/>
      <c r="K426" s="291"/>
      <c r="L426" s="291"/>
      <c r="M426" s="291"/>
      <c r="N426" s="291"/>
      <c r="O426" s="291"/>
      <c r="P426" s="291"/>
      <c r="Q426" s="301"/>
    </row>
    <row r="427" spans="6:17">
      <c r="F427" s="291"/>
      <c r="G427" s="291"/>
      <c r="H427" s="291"/>
      <c r="I427" s="291"/>
      <c r="J427" s="291"/>
      <c r="K427" s="291"/>
      <c r="L427" s="291"/>
      <c r="M427" s="291"/>
      <c r="N427" s="291"/>
      <c r="O427" s="291"/>
      <c r="P427" s="291"/>
      <c r="Q427" s="301"/>
    </row>
    <row r="428" spans="6:17">
      <c r="F428" s="291"/>
      <c r="G428" s="291"/>
      <c r="H428" s="291"/>
      <c r="I428" s="291"/>
      <c r="J428" s="291"/>
      <c r="K428" s="291"/>
      <c r="L428" s="291"/>
      <c r="M428" s="291"/>
      <c r="N428" s="291"/>
      <c r="O428" s="291"/>
      <c r="P428" s="291"/>
      <c r="Q428" s="301"/>
    </row>
    <row r="429" spans="6:17">
      <c r="F429" s="291"/>
      <c r="G429" s="291"/>
      <c r="H429" s="291"/>
      <c r="I429" s="291"/>
      <c r="J429" s="291"/>
      <c r="K429" s="291"/>
      <c r="L429" s="291"/>
      <c r="M429" s="291"/>
      <c r="N429" s="291"/>
      <c r="O429" s="291"/>
      <c r="P429" s="291"/>
      <c r="Q429" s="301"/>
    </row>
    <row r="430" spans="6:17">
      <c r="F430" s="291"/>
      <c r="G430" s="291"/>
      <c r="H430" s="291"/>
      <c r="I430" s="291"/>
      <c r="J430" s="291"/>
      <c r="K430" s="291"/>
      <c r="L430" s="291"/>
      <c r="M430" s="291"/>
      <c r="N430" s="291"/>
      <c r="O430" s="291"/>
      <c r="P430" s="291"/>
      <c r="Q430" s="301"/>
    </row>
    <row r="431" spans="6:17">
      <c r="F431" s="291"/>
      <c r="G431" s="291"/>
      <c r="H431" s="291"/>
      <c r="I431" s="291"/>
      <c r="J431" s="291"/>
      <c r="K431" s="291"/>
      <c r="L431" s="291"/>
      <c r="M431" s="291"/>
      <c r="N431" s="291"/>
      <c r="O431" s="291"/>
      <c r="P431" s="291"/>
      <c r="Q431" s="301"/>
    </row>
    <row r="432" spans="6:17">
      <c r="F432" s="291"/>
      <c r="G432" s="291"/>
      <c r="H432" s="291"/>
      <c r="I432" s="291"/>
      <c r="J432" s="291"/>
      <c r="K432" s="291"/>
      <c r="L432" s="291"/>
      <c r="M432" s="291"/>
      <c r="N432" s="291"/>
      <c r="O432" s="291"/>
      <c r="P432" s="291"/>
      <c r="Q432" s="301"/>
    </row>
    <row r="433" spans="6:17">
      <c r="F433" s="291"/>
      <c r="G433" s="291"/>
      <c r="H433" s="291"/>
      <c r="I433" s="291"/>
      <c r="J433" s="291"/>
      <c r="K433" s="291"/>
      <c r="L433" s="291"/>
      <c r="M433" s="291"/>
      <c r="N433" s="291"/>
      <c r="O433" s="291"/>
      <c r="P433" s="291"/>
      <c r="Q433" s="301"/>
    </row>
    <row r="434" spans="6:17">
      <c r="F434" s="291"/>
      <c r="G434" s="291"/>
      <c r="H434" s="291"/>
      <c r="I434" s="291"/>
      <c r="J434" s="291"/>
      <c r="K434" s="291"/>
      <c r="L434" s="291"/>
      <c r="M434" s="291"/>
      <c r="N434" s="291"/>
      <c r="O434" s="291"/>
      <c r="P434" s="291"/>
      <c r="Q434" s="301"/>
    </row>
    <row r="435" spans="6:17">
      <c r="F435" s="291"/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Q435" s="301"/>
    </row>
    <row r="436" spans="6:17">
      <c r="F436" s="291"/>
      <c r="G436" s="291"/>
      <c r="H436" s="291"/>
      <c r="I436" s="291"/>
      <c r="J436" s="291"/>
      <c r="K436" s="291"/>
      <c r="L436" s="291"/>
      <c r="M436" s="291"/>
      <c r="N436" s="291"/>
      <c r="O436" s="291"/>
      <c r="P436" s="291"/>
      <c r="Q436" s="301"/>
    </row>
    <row r="437" spans="6:17">
      <c r="F437" s="291"/>
      <c r="G437" s="291"/>
      <c r="H437" s="291"/>
      <c r="I437" s="291"/>
      <c r="J437" s="291"/>
      <c r="K437" s="291"/>
      <c r="L437" s="291"/>
      <c r="M437" s="291"/>
      <c r="N437" s="291"/>
      <c r="O437" s="291"/>
      <c r="P437" s="291"/>
      <c r="Q437" s="301"/>
    </row>
    <row r="438" spans="6:17">
      <c r="F438" s="291"/>
      <c r="G438" s="291"/>
      <c r="H438" s="291"/>
      <c r="I438" s="291"/>
      <c r="J438" s="291"/>
      <c r="K438" s="291"/>
      <c r="L438" s="291"/>
      <c r="M438" s="291"/>
      <c r="N438" s="291"/>
      <c r="O438" s="291"/>
      <c r="P438" s="291"/>
      <c r="Q438" s="301"/>
    </row>
    <row r="439" spans="6:17">
      <c r="F439" s="291"/>
      <c r="G439" s="291"/>
      <c r="H439" s="291"/>
      <c r="I439" s="291"/>
      <c r="J439" s="291"/>
      <c r="K439" s="291"/>
      <c r="L439" s="291"/>
      <c r="M439" s="291"/>
      <c r="N439" s="291"/>
      <c r="O439" s="291"/>
      <c r="P439" s="291"/>
      <c r="Q439" s="301"/>
    </row>
    <row r="440" spans="6:17">
      <c r="F440" s="291"/>
      <c r="G440" s="291"/>
      <c r="H440" s="291"/>
      <c r="I440" s="291"/>
      <c r="J440" s="291"/>
      <c r="K440" s="291"/>
      <c r="L440" s="291"/>
      <c r="M440" s="291"/>
      <c r="N440" s="291"/>
      <c r="O440" s="291"/>
      <c r="P440" s="291"/>
      <c r="Q440" s="301"/>
    </row>
    <row r="441" spans="6:17">
      <c r="F441" s="291"/>
      <c r="G441" s="291"/>
      <c r="H441" s="291"/>
      <c r="I441" s="291"/>
      <c r="J441" s="291"/>
      <c r="K441" s="291"/>
      <c r="L441" s="291"/>
      <c r="M441" s="291"/>
      <c r="N441" s="291"/>
      <c r="O441" s="291"/>
      <c r="P441" s="291"/>
      <c r="Q441" s="301"/>
    </row>
    <row r="442" spans="6:17">
      <c r="F442" s="291"/>
      <c r="G442" s="291"/>
      <c r="H442" s="291"/>
      <c r="I442" s="291"/>
      <c r="J442" s="291"/>
      <c r="K442" s="291"/>
      <c r="L442" s="291"/>
      <c r="M442" s="291"/>
      <c r="N442" s="291"/>
      <c r="O442" s="291"/>
      <c r="P442" s="291"/>
      <c r="Q442" s="301"/>
    </row>
    <row r="443" spans="6:17">
      <c r="F443" s="291"/>
      <c r="G443" s="291"/>
      <c r="H443" s="291"/>
      <c r="I443" s="291"/>
      <c r="J443" s="291"/>
      <c r="K443" s="291"/>
      <c r="L443" s="291"/>
      <c r="M443" s="291"/>
      <c r="N443" s="291"/>
      <c r="O443" s="291"/>
      <c r="P443" s="291"/>
      <c r="Q443" s="301"/>
    </row>
    <row r="444" spans="6:17">
      <c r="F444" s="291"/>
      <c r="G444" s="291"/>
      <c r="H444" s="291"/>
      <c r="I444" s="291"/>
      <c r="J444" s="291"/>
      <c r="K444" s="291"/>
      <c r="L444" s="291"/>
      <c r="M444" s="291"/>
      <c r="N444" s="291"/>
      <c r="O444" s="291"/>
      <c r="P444" s="291"/>
      <c r="Q444" s="301"/>
    </row>
    <row r="445" spans="6:17">
      <c r="F445" s="291"/>
      <c r="G445" s="291"/>
      <c r="H445" s="291"/>
      <c r="I445" s="291"/>
      <c r="J445" s="291"/>
      <c r="K445" s="291"/>
      <c r="L445" s="291"/>
      <c r="M445" s="291"/>
      <c r="N445" s="291"/>
      <c r="O445" s="291"/>
      <c r="P445" s="291"/>
      <c r="Q445" s="301"/>
    </row>
    <row r="446" spans="6:17">
      <c r="F446" s="291"/>
      <c r="G446" s="291"/>
      <c r="H446" s="291"/>
      <c r="I446" s="291"/>
      <c r="J446" s="291"/>
      <c r="K446" s="291"/>
      <c r="L446" s="291"/>
      <c r="M446" s="291"/>
      <c r="N446" s="291"/>
      <c r="O446" s="291"/>
      <c r="P446" s="291"/>
      <c r="Q446" s="301"/>
    </row>
    <row r="447" spans="6:17">
      <c r="F447" s="291"/>
      <c r="G447" s="291"/>
      <c r="H447" s="291"/>
      <c r="I447" s="291"/>
      <c r="J447" s="291"/>
      <c r="K447" s="291"/>
      <c r="L447" s="291"/>
      <c r="M447" s="291"/>
      <c r="N447" s="291"/>
      <c r="O447" s="291"/>
      <c r="P447" s="291"/>
      <c r="Q447" s="301"/>
    </row>
    <row r="448" spans="6:17">
      <c r="F448" s="291"/>
      <c r="G448" s="291"/>
      <c r="H448" s="291"/>
      <c r="I448" s="291"/>
      <c r="J448" s="291"/>
      <c r="K448" s="291"/>
      <c r="L448" s="291"/>
      <c r="M448" s="291"/>
      <c r="N448" s="291"/>
      <c r="O448" s="291"/>
      <c r="P448" s="291"/>
      <c r="Q448" s="301"/>
    </row>
    <row r="449" spans="6:17">
      <c r="F449" s="291"/>
      <c r="G449" s="291"/>
      <c r="H449" s="291"/>
      <c r="I449" s="291"/>
      <c r="J449" s="291"/>
      <c r="K449" s="291"/>
      <c r="L449" s="291"/>
      <c r="M449" s="291"/>
      <c r="N449" s="291"/>
      <c r="O449" s="291"/>
      <c r="P449" s="291"/>
      <c r="Q449" s="301"/>
    </row>
    <row r="450" spans="6:17">
      <c r="F450" s="291"/>
      <c r="G450" s="291"/>
      <c r="H450" s="291"/>
      <c r="I450" s="291"/>
      <c r="J450" s="291"/>
      <c r="K450" s="291"/>
      <c r="L450" s="291"/>
      <c r="M450" s="291"/>
      <c r="N450" s="291"/>
      <c r="O450" s="291"/>
      <c r="P450" s="291"/>
      <c r="Q450" s="301"/>
    </row>
    <row r="451" spans="6:17">
      <c r="F451" s="291"/>
      <c r="G451" s="291"/>
      <c r="H451" s="291"/>
      <c r="I451" s="291"/>
      <c r="J451" s="291"/>
      <c r="K451" s="291"/>
      <c r="L451" s="291"/>
      <c r="M451" s="291"/>
      <c r="N451" s="291"/>
      <c r="O451" s="291"/>
      <c r="P451" s="291"/>
      <c r="Q451" s="301"/>
    </row>
    <row r="452" spans="6:17">
      <c r="F452" s="291"/>
      <c r="G452" s="291"/>
      <c r="H452" s="291"/>
      <c r="I452" s="291"/>
      <c r="J452" s="291"/>
      <c r="K452" s="291"/>
      <c r="L452" s="291"/>
      <c r="M452" s="291"/>
      <c r="N452" s="291"/>
      <c r="O452" s="291"/>
      <c r="P452" s="291"/>
      <c r="Q452" s="301"/>
    </row>
    <row r="453" spans="6:17">
      <c r="F453" s="291"/>
      <c r="G453" s="291"/>
      <c r="H453" s="291"/>
      <c r="I453" s="291"/>
      <c r="J453" s="291"/>
      <c r="K453" s="291"/>
      <c r="L453" s="291"/>
      <c r="M453" s="291"/>
      <c r="N453" s="291"/>
      <c r="O453" s="291"/>
      <c r="P453" s="291"/>
      <c r="Q453" s="301"/>
    </row>
    <row r="454" spans="6:17">
      <c r="F454" s="291"/>
      <c r="G454" s="291"/>
      <c r="H454" s="291"/>
      <c r="I454" s="291"/>
      <c r="J454" s="291"/>
      <c r="K454" s="291"/>
      <c r="L454" s="291"/>
      <c r="M454" s="291"/>
      <c r="N454" s="291"/>
      <c r="O454" s="291"/>
      <c r="P454" s="291"/>
      <c r="Q454" s="301"/>
    </row>
    <row r="455" spans="6:17">
      <c r="F455" s="291"/>
      <c r="G455" s="291"/>
      <c r="H455" s="291"/>
      <c r="I455" s="291"/>
      <c r="J455" s="291"/>
      <c r="K455" s="291"/>
      <c r="L455" s="291"/>
      <c r="M455" s="291"/>
      <c r="N455" s="291"/>
      <c r="O455" s="291"/>
      <c r="P455" s="291"/>
      <c r="Q455" s="301"/>
    </row>
    <row r="456" spans="6:17">
      <c r="F456" s="291"/>
      <c r="G456" s="291"/>
      <c r="H456" s="291"/>
      <c r="I456" s="291"/>
      <c r="J456" s="291"/>
      <c r="K456" s="291"/>
      <c r="L456" s="291"/>
      <c r="M456" s="291"/>
      <c r="N456" s="291"/>
      <c r="O456" s="291"/>
      <c r="P456" s="291"/>
      <c r="Q456" s="301"/>
    </row>
    <row r="457" spans="6:17">
      <c r="F457" s="291"/>
      <c r="G457" s="291"/>
      <c r="H457" s="291"/>
      <c r="I457" s="291"/>
      <c r="J457" s="291"/>
      <c r="K457" s="291"/>
      <c r="L457" s="291"/>
      <c r="M457" s="291"/>
      <c r="N457" s="291"/>
      <c r="O457" s="291"/>
      <c r="P457" s="291"/>
      <c r="Q457" s="301"/>
    </row>
    <row r="458" spans="6:17">
      <c r="F458" s="291"/>
      <c r="G458" s="291"/>
      <c r="H458" s="291"/>
      <c r="I458" s="291"/>
      <c r="J458" s="291"/>
      <c r="K458" s="291"/>
      <c r="L458" s="291"/>
      <c r="M458" s="291"/>
      <c r="N458" s="291"/>
      <c r="O458" s="291"/>
      <c r="P458" s="291"/>
      <c r="Q458" s="301"/>
    </row>
    <row r="459" spans="6:17">
      <c r="F459" s="291"/>
      <c r="G459" s="291"/>
      <c r="H459" s="291"/>
      <c r="I459" s="291"/>
      <c r="J459" s="291"/>
      <c r="K459" s="291"/>
      <c r="L459" s="291"/>
      <c r="M459" s="291"/>
      <c r="N459" s="291"/>
      <c r="O459" s="291"/>
      <c r="P459" s="291"/>
      <c r="Q459" s="301"/>
    </row>
    <row r="460" spans="6:17">
      <c r="F460" s="291"/>
      <c r="G460" s="291"/>
      <c r="H460" s="291"/>
      <c r="I460" s="291"/>
      <c r="J460" s="291"/>
      <c r="K460" s="291"/>
      <c r="L460" s="291"/>
      <c r="M460" s="291"/>
      <c r="N460" s="291"/>
      <c r="O460" s="291"/>
      <c r="P460" s="291"/>
      <c r="Q460" s="301"/>
    </row>
    <row r="461" spans="6:17">
      <c r="F461" s="291"/>
      <c r="G461" s="291"/>
      <c r="H461" s="291"/>
      <c r="I461" s="291"/>
      <c r="J461" s="291"/>
      <c r="K461" s="291"/>
      <c r="L461" s="291"/>
      <c r="M461" s="291"/>
      <c r="N461" s="291"/>
      <c r="O461" s="291"/>
      <c r="P461" s="291"/>
      <c r="Q461" s="301"/>
    </row>
    <row r="462" spans="6:17">
      <c r="F462" s="291"/>
      <c r="G462" s="291"/>
      <c r="H462" s="291"/>
      <c r="I462" s="291"/>
      <c r="J462" s="291"/>
      <c r="K462" s="291"/>
      <c r="L462" s="291"/>
      <c r="M462" s="291"/>
      <c r="N462" s="291"/>
      <c r="O462" s="291"/>
      <c r="P462" s="291"/>
      <c r="Q462" s="301"/>
    </row>
    <row r="463" spans="6:17">
      <c r="F463" s="291"/>
      <c r="G463" s="291"/>
      <c r="H463" s="291"/>
      <c r="I463" s="291"/>
      <c r="J463" s="291"/>
      <c r="K463" s="291"/>
      <c r="L463" s="291"/>
      <c r="M463" s="291"/>
      <c r="N463" s="291"/>
      <c r="O463" s="291"/>
      <c r="P463" s="291"/>
      <c r="Q463" s="301"/>
    </row>
    <row r="464" spans="6:17">
      <c r="F464" s="291"/>
      <c r="G464" s="291"/>
      <c r="H464" s="291"/>
      <c r="I464" s="291"/>
      <c r="J464" s="291"/>
      <c r="K464" s="291"/>
      <c r="L464" s="291"/>
      <c r="M464" s="291"/>
      <c r="N464" s="291"/>
      <c r="O464" s="291"/>
      <c r="P464" s="291"/>
      <c r="Q464" s="301"/>
    </row>
    <row r="465" spans="6:17">
      <c r="F465" s="291"/>
      <c r="G465" s="291"/>
      <c r="H465" s="291"/>
      <c r="I465" s="291"/>
      <c r="J465" s="291"/>
      <c r="K465" s="291"/>
      <c r="L465" s="291"/>
      <c r="M465" s="291"/>
      <c r="N465" s="291"/>
      <c r="O465" s="291"/>
      <c r="P465" s="291"/>
      <c r="Q465" s="301"/>
    </row>
    <row r="466" spans="6:17">
      <c r="F466" s="291"/>
      <c r="G466" s="291"/>
      <c r="H466" s="291"/>
      <c r="I466" s="291"/>
      <c r="J466" s="291"/>
      <c r="K466" s="291"/>
      <c r="L466" s="291"/>
      <c r="M466" s="291"/>
      <c r="N466" s="291"/>
      <c r="O466" s="291"/>
      <c r="P466" s="291"/>
      <c r="Q466" s="301"/>
    </row>
    <row r="467" spans="6:17">
      <c r="F467" s="291"/>
      <c r="G467" s="291"/>
      <c r="H467" s="291"/>
      <c r="I467" s="291"/>
      <c r="J467" s="291"/>
      <c r="K467" s="291"/>
      <c r="L467" s="291"/>
      <c r="M467" s="291"/>
      <c r="N467" s="291"/>
      <c r="O467" s="291"/>
      <c r="P467" s="291"/>
      <c r="Q467" s="301"/>
    </row>
    <row r="468" spans="6:17">
      <c r="F468" s="291"/>
      <c r="G468" s="291"/>
      <c r="H468" s="291"/>
      <c r="I468" s="291"/>
      <c r="J468" s="291"/>
      <c r="K468" s="291"/>
      <c r="L468" s="291"/>
      <c r="M468" s="291"/>
      <c r="N468" s="291"/>
      <c r="O468" s="291"/>
      <c r="P468" s="291"/>
      <c r="Q468" s="301"/>
    </row>
    <row r="469" spans="6:17">
      <c r="F469" s="291"/>
      <c r="G469" s="291"/>
      <c r="H469" s="291"/>
      <c r="I469" s="291"/>
      <c r="J469" s="291"/>
      <c r="K469" s="291"/>
      <c r="L469" s="291"/>
      <c r="M469" s="291"/>
      <c r="N469" s="291"/>
      <c r="O469" s="291"/>
      <c r="P469" s="291"/>
      <c r="Q469" s="301"/>
    </row>
    <row r="470" spans="6:17">
      <c r="F470" s="291"/>
      <c r="G470" s="291"/>
      <c r="H470" s="291"/>
      <c r="I470" s="291"/>
      <c r="J470" s="291"/>
      <c r="K470" s="291"/>
      <c r="L470" s="291"/>
      <c r="M470" s="291"/>
      <c r="N470" s="291"/>
      <c r="O470" s="291"/>
      <c r="P470" s="291"/>
      <c r="Q470" s="301"/>
    </row>
    <row r="471" spans="6:17">
      <c r="F471" s="291"/>
      <c r="G471" s="291"/>
      <c r="H471" s="291"/>
      <c r="I471" s="291"/>
      <c r="J471" s="291"/>
      <c r="K471" s="291"/>
      <c r="L471" s="291"/>
      <c r="M471" s="291"/>
      <c r="N471" s="291"/>
      <c r="O471" s="291"/>
      <c r="P471" s="291"/>
      <c r="Q471" s="301"/>
    </row>
    <row r="472" spans="6:17">
      <c r="F472" s="291"/>
      <c r="G472" s="291"/>
      <c r="H472" s="291"/>
      <c r="I472" s="291"/>
      <c r="J472" s="291"/>
      <c r="K472" s="291"/>
      <c r="L472" s="291"/>
      <c r="M472" s="291"/>
      <c r="N472" s="291"/>
      <c r="O472" s="291"/>
      <c r="P472" s="291"/>
      <c r="Q472" s="301"/>
    </row>
    <row r="473" spans="6:17">
      <c r="F473" s="291"/>
      <c r="G473" s="291"/>
      <c r="H473" s="291"/>
      <c r="I473" s="291"/>
      <c r="J473" s="291"/>
      <c r="K473" s="291"/>
      <c r="L473" s="291"/>
      <c r="M473" s="291"/>
      <c r="N473" s="291"/>
      <c r="O473" s="291"/>
      <c r="P473" s="291"/>
      <c r="Q473" s="301"/>
    </row>
    <row r="474" spans="6:17">
      <c r="F474" s="291"/>
      <c r="G474" s="291"/>
      <c r="H474" s="291"/>
      <c r="I474" s="291"/>
      <c r="J474" s="291"/>
      <c r="K474" s="291"/>
      <c r="L474" s="291"/>
      <c r="M474" s="291"/>
      <c r="N474" s="291"/>
      <c r="O474" s="291"/>
      <c r="P474" s="291"/>
      <c r="Q474" s="301"/>
    </row>
    <row r="475" spans="6:17">
      <c r="F475" s="291"/>
      <c r="G475" s="291"/>
      <c r="H475" s="291"/>
      <c r="I475" s="291"/>
      <c r="J475" s="291"/>
      <c r="K475" s="291"/>
      <c r="L475" s="291"/>
      <c r="M475" s="291"/>
      <c r="N475" s="291"/>
      <c r="O475" s="291"/>
      <c r="P475" s="291"/>
      <c r="Q475" s="301"/>
    </row>
    <row r="476" spans="6:17">
      <c r="F476" s="291"/>
      <c r="G476" s="291"/>
      <c r="H476" s="291"/>
      <c r="I476" s="291"/>
      <c r="J476" s="291"/>
      <c r="K476" s="291"/>
      <c r="L476" s="291"/>
      <c r="M476" s="291"/>
      <c r="N476" s="291"/>
      <c r="O476" s="291"/>
      <c r="P476" s="291"/>
      <c r="Q476" s="301"/>
    </row>
    <row r="477" spans="6:17">
      <c r="F477" s="291"/>
      <c r="G477" s="291"/>
      <c r="H477" s="291"/>
      <c r="I477" s="291"/>
      <c r="J477" s="291"/>
      <c r="K477" s="291"/>
      <c r="L477" s="291"/>
      <c r="M477" s="291"/>
      <c r="N477" s="291"/>
      <c r="O477" s="291"/>
      <c r="P477" s="291"/>
      <c r="Q477" s="301"/>
    </row>
    <row r="478" spans="6:17">
      <c r="F478" s="291"/>
      <c r="G478" s="291"/>
      <c r="H478" s="291"/>
      <c r="I478" s="291"/>
      <c r="J478" s="291"/>
      <c r="K478" s="291"/>
      <c r="L478" s="291"/>
      <c r="M478" s="291"/>
      <c r="N478" s="291"/>
      <c r="O478" s="291"/>
      <c r="P478" s="291"/>
      <c r="Q478" s="301"/>
    </row>
    <row r="479" spans="6:17">
      <c r="F479" s="291"/>
      <c r="G479" s="291"/>
      <c r="H479" s="291"/>
      <c r="I479" s="291"/>
      <c r="J479" s="291"/>
      <c r="K479" s="291"/>
      <c r="L479" s="291"/>
      <c r="M479" s="291"/>
      <c r="N479" s="291"/>
      <c r="O479" s="291"/>
      <c r="P479" s="291"/>
      <c r="Q479" s="301"/>
    </row>
    <row r="480" spans="6:17">
      <c r="F480" s="291"/>
      <c r="G480" s="291"/>
      <c r="H480" s="291"/>
      <c r="I480" s="291"/>
      <c r="J480" s="291"/>
      <c r="K480" s="291"/>
      <c r="L480" s="291"/>
      <c r="M480" s="291"/>
      <c r="N480" s="291"/>
      <c r="O480" s="291"/>
      <c r="P480" s="291"/>
      <c r="Q480" s="301"/>
    </row>
    <row r="481" spans="6:17">
      <c r="F481" s="291"/>
      <c r="G481" s="291"/>
      <c r="H481" s="291"/>
      <c r="I481" s="291"/>
      <c r="J481" s="291"/>
      <c r="K481" s="291"/>
      <c r="L481" s="291"/>
      <c r="M481" s="291"/>
      <c r="N481" s="291"/>
      <c r="O481" s="291"/>
      <c r="P481" s="291"/>
      <c r="Q481" s="301"/>
    </row>
    <row r="482" spans="6:17">
      <c r="F482" s="291"/>
      <c r="G482" s="291"/>
      <c r="H482" s="291"/>
      <c r="I482" s="291"/>
      <c r="J482" s="291"/>
      <c r="K482" s="291"/>
      <c r="L482" s="291"/>
      <c r="M482" s="291"/>
      <c r="N482" s="291"/>
      <c r="O482" s="291"/>
      <c r="P482" s="291"/>
      <c r="Q482" s="301"/>
    </row>
    <row r="483" spans="6:17">
      <c r="F483" s="291"/>
      <c r="G483" s="291"/>
      <c r="H483" s="291"/>
      <c r="I483" s="291"/>
      <c r="J483" s="291"/>
      <c r="K483" s="291"/>
      <c r="L483" s="291"/>
      <c r="M483" s="291"/>
      <c r="N483" s="291"/>
      <c r="O483" s="291"/>
      <c r="P483" s="291"/>
      <c r="Q483" s="301"/>
    </row>
    <row r="484" spans="6:17">
      <c r="F484" s="291"/>
      <c r="G484" s="291"/>
      <c r="H484" s="291"/>
      <c r="I484" s="291"/>
      <c r="J484" s="291"/>
      <c r="K484" s="291"/>
      <c r="L484" s="291"/>
      <c r="M484" s="291"/>
      <c r="N484" s="291"/>
      <c r="O484" s="291"/>
      <c r="P484" s="291"/>
      <c r="Q484" s="301"/>
    </row>
    <row r="485" spans="6:17">
      <c r="F485" s="291"/>
      <c r="G485" s="291"/>
      <c r="H485" s="291"/>
      <c r="I485" s="291"/>
      <c r="J485" s="291"/>
      <c r="K485" s="291"/>
      <c r="L485" s="291"/>
      <c r="M485" s="291"/>
      <c r="N485" s="291"/>
      <c r="O485" s="291"/>
      <c r="P485" s="291"/>
      <c r="Q485" s="301"/>
    </row>
    <row r="486" spans="6:17">
      <c r="F486" s="291"/>
      <c r="G486" s="291"/>
      <c r="H486" s="291"/>
      <c r="I486" s="291"/>
      <c r="J486" s="291"/>
      <c r="K486" s="291"/>
      <c r="L486" s="291"/>
      <c r="M486" s="291"/>
      <c r="N486" s="291"/>
      <c r="O486" s="291"/>
      <c r="P486" s="291"/>
      <c r="Q486" s="301"/>
    </row>
    <row r="487" spans="6:17">
      <c r="F487" s="291"/>
      <c r="G487" s="291"/>
      <c r="H487" s="291"/>
      <c r="I487" s="291"/>
      <c r="J487" s="291"/>
      <c r="K487" s="291"/>
      <c r="L487" s="291"/>
      <c r="M487" s="291"/>
      <c r="N487" s="291"/>
      <c r="O487" s="291"/>
      <c r="P487" s="291"/>
      <c r="Q487" s="301"/>
    </row>
  </sheetData>
  <mergeCells count="2">
    <mergeCell ref="A1:R1"/>
    <mergeCell ref="A2:R2"/>
  </mergeCells>
  <printOptions horizontalCentered="1"/>
  <pageMargins left="0" right="0" top="0.9" bottom="1.0900000000000001" header="0.17" footer="0.17"/>
  <pageSetup scale="54" fitToHeight="2" orientation="landscape" r:id="rId1"/>
  <headerFooter alignWithMargins="0">
    <oddFooter>&amp;RExhibit No. ___(WGJ-2)
Johnson, Avista
Page &amp;P+1 of 4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zoomScale="80" zoomScaleNormal="80" workbookViewId="0">
      <selection activeCell="A2" sqref="A2:Q2"/>
    </sheetView>
  </sheetViews>
  <sheetFormatPr defaultColWidth="7.6640625" defaultRowHeight="15"/>
  <cols>
    <col min="1" max="1" width="32.44140625" style="237" customWidth="1"/>
    <col min="2" max="2" width="15.6640625" style="237" bestFit="1" customWidth="1"/>
    <col min="3" max="3" width="15.88671875" style="237" bestFit="1" customWidth="1"/>
    <col min="4" max="4" width="15.109375" style="237" bestFit="1" customWidth="1"/>
    <col min="5" max="5" width="16.44140625" style="237" bestFit="1" customWidth="1"/>
    <col min="6" max="6" width="16.5546875" style="237" bestFit="1" customWidth="1"/>
    <col min="7" max="7" width="13.6640625" style="237" customWidth="1"/>
    <col min="8" max="8" width="15.109375" style="237" bestFit="1" customWidth="1"/>
    <col min="9" max="9" width="16.44140625" style="237" bestFit="1" customWidth="1"/>
    <col min="10" max="10" width="14.33203125" style="237" customWidth="1"/>
    <col min="11" max="11" width="15.109375" style="237" bestFit="1" customWidth="1"/>
    <col min="12" max="12" width="15.5546875" style="237" customWidth="1"/>
    <col min="13" max="13" width="13.6640625" style="237" customWidth="1"/>
    <col min="14" max="14" width="17" style="237" bestFit="1" customWidth="1"/>
    <col min="15" max="15" width="7.6640625" style="237"/>
    <col min="16" max="16" width="23" style="237" bestFit="1" customWidth="1"/>
    <col min="17" max="17" width="10.88671875" style="237" bestFit="1" customWidth="1"/>
    <col min="18" max="16384" width="7.6640625" style="237"/>
  </cols>
  <sheetData>
    <row r="1" spans="1:17" ht="15.6">
      <c r="A1" s="388" t="s">
        <v>148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</row>
    <row r="2" spans="1:17" ht="21">
      <c r="A2" s="389" t="s">
        <v>294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</row>
    <row r="3" spans="1:17" ht="22.8">
      <c r="A3" s="390" t="s">
        <v>295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</row>
    <row r="4" spans="1:17" ht="15.6">
      <c r="A4" s="391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</row>
    <row r="7" spans="1:17" ht="27" customHeight="1">
      <c r="A7" s="238" t="s">
        <v>296</v>
      </c>
      <c r="B7" s="239">
        <v>41640</v>
      </c>
      <c r="C7" s="239">
        <v>41671</v>
      </c>
      <c r="D7" s="239">
        <v>41699</v>
      </c>
      <c r="E7" s="239">
        <v>41730</v>
      </c>
      <c r="F7" s="239">
        <v>41760</v>
      </c>
      <c r="G7" s="239">
        <v>41791</v>
      </c>
      <c r="H7" s="239">
        <v>41821</v>
      </c>
      <c r="I7" s="239">
        <v>41852</v>
      </c>
      <c r="J7" s="239">
        <v>41883</v>
      </c>
      <c r="K7" s="239">
        <v>41913</v>
      </c>
      <c r="L7" s="239">
        <v>41944</v>
      </c>
      <c r="M7" s="239">
        <v>41974</v>
      </c>
      <c r="N7" s="240" t="s">
        <v>297</v>
      </c>
    </row>
    <row r="8" spans="1:17" ht="24.9" customHeight="1">
      <c r="A8" s="241" t="s">
        <v>298</v>
      </c>
      <c r="B8" s="242">
        <v>573032</v>
      </c>
      <c r="C8" s="242">
        <v>545716</v>
      </c>
      <c r="D8" s="242">
        <v>506123</v>
      </c>
      <c r="E8" s="242">
        <v>443610</v>
      </c>
      <c r="F8" s="242">
        <v>428312</v>
      </c>
      <c r="G8" s="242">
        <v>409626</v>
      </c>
      <c r="H8" s="242">
        <v>427457</v>
      </c>
      <c r="I8" s="242">
        <v>486327</v>
      </c>
      <c r="J8" s="242">
        <v>491736</v>
      </c>
      <c r="K8" s="242">
        <v>421698</v>
      </c>
      <c r="L8" s="242">
        <v>430844</v>
      </c>
      <c r="M8" s="242">
        <v>531337</v>
      </c>
      <c r="N8" s="208">
        <f t="shared" ref="N8:N13" si="0">SUM(B8:M8)</f>
        <v>5695818</v>
      </c>
      <c r="P8" s="243"/>
    </row>
    <row r="9" spans="1:17" ht="24.9" customHeight="1">
      <c r="A9" s="244" t="s">
        <v>299</v>
      </c>
      <c r="B9" s="242">
        <v>-379964</v>
      </c>
      <c r="C9" s="245">
        <f>IF(C8=0,0,-B10)</f>
        <v>-358118</v>
      </c>
      <c r="D9" s="245">
        <f t="shared" ref="D9:M9" si="1">IF(D8=0,0,-C10)</f>
        <v>-333394</v>
      </c>
      <c r="E9" s="245">
        <f t="shared" si="1"/>
        <v>-319373</v>
      </c>
      <c r="F9" s="245">
        <f t="shared" si="1"/>
        <v>-306107</v>
      </c>
      <c r="G9" s="245">
        <f t="shared" si="1"/>
        <v>-306279</v>
      </c>
      <c r="H9" s="245">
        <f t="shared" si="1"/>
        <v>-306819</v>
      </c>
      <c r="I9" s="245">
        <f t="shared" si="1"/>
        <v>-378698</v>
      </c>
      <c r="J9" s="245">
        <f t="shared" si="1"/>
        <v>-384548</v>
      </c>
      <c r="K9" s="245">
        <f t="shared" si="1"/>
        <v>-316958</v>
      </c>
      <c r="L9" s="245">
        <f t="shared" si="1"/>
        <v>-331579</v>
      </c>
      <c r="M9" s="245">
        <f t="shared" si="1"/>
        <v>-391943</v>
      </c>
      <c r="N9" s="208">
        <f t="shared" si="0"/>
        <v>-4113780</v>
      </c>
    </row>
    <row r="10" spans="1:17" ht="24.9" customHeight="1">
      <c r="A10" s="244" t="s">
        <v>300</v>
      </c>
      <c r="B10" s="242">
        <v>358118</v>
      </c>
      <c r="C10" s="242">
        <v>333394</v>
      </c>
      <c r="D10" s="242">
        <v>319373</v>
      </c>
      <c r="E10" s="242">
        <v>306107</v>
      </c>
      <c r="F10" s="242">
        <v>306279</v>
      </c>
      <c r="G10" s="242">
        <v>306819</v>
      </c>
      <c r="H10" s="242">
        <v>378698</v>
      </c>
      <c r="I10" s="242">
        <v>384548</v>
      </c>
      <c r="J10" s="242">
        <v>316958</v>
      </c>
      <c r="K10" s="242">
        <v>331579</v>
      </c>
      <c r="L10" s="242">
        <v>391943</v>
      </c>
      <c r="M10" s="242">
        <v>388674</v>
      </c>
      <c r="N10" s="208">
        <f t="shared" si="0"/>
        <v>4122490</v>
      </c>
      <c r="P10" s="246"/>
      <c r="Q10" s="246"/>
    </row>
    <row r="11" spans="1:17" ht="30.75" customHeight="1">
      <c r="A11" s="247" t="s">
        <v>301</v>
      </c>
      <c r="B11" s="248">
        <f t="shared" ref="B11:L11" si="2">SUM(B8:B10)</f>
        <v>551186</v>
      </c>
      <c r="C11" s="248">
        <f t="shared" si="2"/>
        <v>520992</v>
      </c>
      <c r="D11" s="248">
        <f t="shared" si="2"/>
        <v>492102</v>
      </c>
      <c r="E11" s="248">
        <f t="shared" si="2"/>
        <v>430344</v>
      </c>
      <c r="F11" s="248">
        <f t="shared" si="2"/>
        <v>428484</v>
      </c>
      <c r="G11" s="248">
        <f t="shared" si="2"/>
        <v>410166</v>
      </c>
      <c r="H11" s="248">
        <f t="shared" si="2"/>
        <v>499336</v>
      </c>
      <c r="I11" s="248">
        <f t="shared" si="2"/>
        <v>492177</v>
      </c>
      <c r="J11" s="248">
        <f t="shared" si="2"/>
        <v>424146</v>
      </c>
      <c r="K11" s="248">
        <f t="shared" si="2"/>
        <v>436319</v>
      </c>
      <c r="L11" s="248">
        <f t="shared" si="2"/>
        <v>491208</v>
      </c>
      <c r="M11" s="248">
        <f>SUM(M8:M10)</f>
        <v>528068</v>
      </c>
      <c r="N11" s="249">
        <f t="shared" si="0"/>
        <v>5704528</v>
      </c>
      <c r="P11" s="250"/>
      <c r="Q11" s="243"/>
    </row>
    <row r="12" spans="1:17" ht="32.25" customHeight="1">
      <c r="A12" s="251" t="s">
        <v>302</v>
      </c>
      <c r="B12" s="252">
        <v>525347</v>
      </c>
      <c r="C12" s="252">
        <v>517091</v>
      </c>
      <c r="D12" s="252">
        <v>479129</v>
      </c>
      <c r="E12" s="252">
        <v>413722</v>
      </c>
      <c r="F12" s="252">
        <v>412815</v>
      </c>
      <c r="G12" s="252">
        <v>423337</v>
      </c>
      <c r="H12" s="252">
        <v>437672</v>
      </c>
      <c r="I12" s="252">
        <v>482257</v>
      </c>
      <c r="J12" s="252">
        <v>407780</v>
      </c>
      <c r="K12" s="252">
        <v>448458</v>
      </c>
      <c r="L12" s="252">
        <v>475296</v>
      </c>
      <c r="M12" s="252">
        <v>551952</v>
      </c>
      <c r="N12" s="253">
        <f>SUM(B12:M12)</f>
        <v>5574856</v>
      </c>
    </row>
    <row r="13" spans="1:17" ht="38.25" customHeight="1">
      <c r="A13" s="254" t="s">
        <v>303</v>
      </c>
      <c r="B13" s="209">
        <f>B11-B12</f>
        <v>25839</v>
      </c>
      <c r="C13" s="209">
        <f>IF(C8=0," ",C11-C12)</f>
        <v>3901</v>
      </c>
      <c r="D13" s="209">
        <f t="shared" ref="D13:M13" si="3">IF(D8=0," ",D11-D12)</f>
        <v>12973</v>
      </c>
      <c r="E13" s="209">
        <f t="shared" si="3"/>
        <v>16622</v>
      </c>
      <c r="F13" s="209">
        <f t="shared" si="3"/>
        <v>15669</v>
      </c>
      <c r="G13" s="209">
        <f t="shared" si="3"/>
        <v>-13171</v>
      </c>
      <c r="H13" s="209">
        <f t="shared" si="3"/>
        <v>61664</v>
      </c>
      <c r="I13" s="209">
        <f t="shared" si="3"/>
        <v>9920</v>
      </c>
      <c r="J13" s="209">
        <f t="shared" si="3"/>
        <v>16366</v>
      </c>
      <c r="K13" s="209">
        <f t="shared" si="3"/>
        <v>-12139</v>
      </c>
      <c r="L13" s="209">
        <f t="shared" si="3"/>
        <v>15912</v>
      </c>
      <c r="M13" s="209">
        <f t="shared" si="3"/>
        <v>-23884</v>
      </c>
      <c r="N13" s="255">
        <f t="shared" si="0"/>
        <v>129672</v>
      </c>
    </row>
    <row r="14" spans="1:17" ht="42.75" customHeight="1">
      <c r="A14" s="254" t="s">
        <v>304</v>
      </c>
      <c r="B14" s="256">
        <v>32.15</v>
      </c>
      <c r="C14" s="256">
        <v>32.15</v>
      </c>
      <c r="D14" s="256">
        <v>32.15</v>
      </c>
      <c r="E14" s="256">
        <v>32.15</v>
      </c>
      <c r="F14" s="256">
        <v>32.15</v>
      </c>
      <c r="G14" s="256">
        <v>32.15</v>
      </c>
      <c r="H14" s="256">
        <v>32.15</v>
      </c>
      <c r="I14" s="256">
        <v>32.15</v>
      </c>
      <c r="J14" s="256">
        <v>32.15</v>
      </c>
      <c r="K14" s="256">
        <v>32.15</v>
      </c>
      <c r="L14" s="256">
        <v>32.15</v>
      </c>
      <c r="M14" s="256">
        <v>32.15</v>
      </c>
      <c r="N14" s="208"/>
    </row>
    <row r="15" spans="1:17" ht="30.75" customHeight="1" thickBot="1">
      <c r="A15" s="257" t="s">
        <v>305</v>
      </c>
      <c r="B15" s="258">
        <f>B13*B14</f>
        <v>830723.85</v>
      </c>
      <c r="C15" s="258">
        <f>IF(C8=0,0,C13*C14)</f>
        <v>125417.15</v>
      </c>
      <c r="D15" s="258">
        <f t="shared" ref="D15:M15" si="4">IF(D8=0,0,D13*D14)</f>
        <v>417081.94999999995</v>
      </c>
      <c r="E15" s="258">
        <f t="shared" si="4"/>
        <v>534397.29999999993</v>
      </c>
      <c r="F15" s="258">
        <f t="shared" si="4"/>
        <v>503758.35</v>
      </c>
      <c r="G15" s="258">
        <f t="shared" si="4"/>
        <v>-423447.64999999997</v>
      </c>
      <c r="H15" s="258">
        <f t="shared" si="4"/>
        <v>1982497.5999999999</v>
      </c>
      <c r="I15" s="258">
        <f t="shared" si="4"/>
        <v>318928</v>
      </c>
      <c r="J15" s="258">
        <f t="shared" si="4"/>
        <v>526166.9</v>
      </c>
      <c r="K15" s="258">
        <f t="shared" si="4"/>
        <v>-390268.85</v>
      </c>
      <c r="L15" s="258">
        <f t="shared" si="4"/>
        <v>511570.8</v>
      </c>
      <c r="M15" s="258">
        <f t="shared" si="4"/>
        <v>-767870.6</v>
      </c>
      <c r="N15" s="258">
        <f>SUM(B15:M15)</f>
        <v>4168954.8000000003</v>
      </c>
    </row>
    <row r="16" spans="1:17" ht="20.100000000000001" customHeight="1" thickTop="1">
      <c r="G16" s="259"/>
      <c r="N16" s="243"/>
    </row>
    <row r="17" spans="1:14" ht="20.100000000000001" customHeight="1">
      <c r="A17" s="260"/>
      <c r="N17" s="243"/>
    </row>
    <row r="18" spans="1:14" ht="36.75" customHeight="1">
      <c r="A18" s="261" t="s">
        <v>306</v>
      </c>
      <c r="B18" s="262">
        <f>B7</f>
        <v>41640</v>
      </c>
      <c r="C18" s="262">
        <f t="shared" ref="C18:N18" si="5">C7</f>
        <v>41671</v>
      </c>
      <c r="D18" s="262">
        <f t="shared" si="5"/>
        <v>41699</v>
      </c>
      <c r="E18" s="262">
        <f t="shared" si="5"/>
        <v>41730</v>
      </c>
      <c r="F18" s="262">
        <f t="shared" si="5"/>
        <v>41760</v>
      </c>
      <c r="G18" s="262">
        <f t="shared" si="5"/>
        <v>41791</v>
      </c>
      <c r="H18" s="262">
        <f t="shared" si="5"/>
        <v>41821</v>
      </c>
      <c r="I18" s="262">
        <f t="shared" si="5"/>
        <v>41852</v>
      </c>
      <c r="J18" s="262">
        <f t="shared" si="5"/>
        <v>41883</v>
      </c>
      <c r="K18" s="262">
        <f t="shared" si="5"/>
        <v>41913</v>
      </c>
      <c r="L18" s="262">
        <f t="shared" si="5"/>
        <v>41944</v>
      </c>
      <c r="M18" s="262">
        <f t="shared" si="5"/>
        <v>41974</v>
      </c>
      <c r="N18" s="239" t="str">
        <f t="shared" si="5"/>
        <v>YTD</v>
      </c>
    </row>
    <row r="19" spans="1:14" ht="29.25" customHeight="1">
      <c r="A19" s="263" t="s">
        <v>65</v>
      </c>
      <c r="B19" s="264">
        <f>IF(B8=0," ",B15*-1)</f>
        <v>-830723.85</v>
      </c>
      <c r="C19" s="264">
        <f>IF(C8=0," ",C15*-1)</f>
        <v>-125417.15</v>
      </c>
      <c r="D19" s="264">
        <f t="shared" ref="D19:M19" si="6">IF(D8=0," ",D15*-1)</f>
        <v>-417081.94999999995</v>
      </c>
      <c r="E19" s="264">
        <f t="shared" si="6"/>
        <v>-534397.29999999993</v>
      </c>
      <c r="F19" s="264">
        <f t="shared" si="6"/>
        <v>-503758.35</v>
      </c>
      <c r="G19" s="264">
        <f t="shared" si="6"/>
        <v>423447.64999999997</v>
      </c>
      <c r="H19" s="264">
        <f t="shared" si="6"/>
        <v>-1982497.5999999999</v>
      </c>
      <c r="I19" s="264">
        <f t="shared" si="6"/>
        <v>-318928</v>
      </c>
      <c r="J19" s="264">
        <f t="shared" si="6"/>
        <v>-526166.9</v>
      </c>
      <c r="K19" s="264">
        <f t="shared" si="6"/>
        <v>390268.85</v>
      </c>
      <c r="L19" s="264">
        <f t="shared" si="6"/>
        <v>-511570.8</v>
      </c>
      <c r="M19" s="264">
        <f t="shared" si="6"/>
        <v>767870.6</v>
      </c>
      <c r="N19" s="264">
        <f>N15*-1</f>
        <v>-4168954.8000000003</v>
      </c>
    </row>
    <row r="20" spans="1:14" ht="15.6">
      <c r="A20" s="265"/>
      <c r="B20" s="266" t="str">
        <f>IF(B19&lt;0,"Rebate","Surcharge")</f>
        <v>Rebate</v>
      </c>
      <c r="C20" s="266" t="str">
        <f t="shared" ref="C20:N20" si="7">IF(C19&lt;0,"Rebate","Surcharge")</f>
        <v>Rebate</v>
      </c>
      <c r="D20" s="266" t="str">
        <f t="shared" si="7"/>
        <v>Rebate</v>
      </c>
      <c r="E20" s="266" t="str">
        <f t="shared" si="7"/>
        <v>Rebate</v>
      </c>
      <c r="F20" s="266" t="str">
        <f t="shared" si="7"/>
        <v>Rebate</v>
      </c>
      <c r="G20" s="266" t="str">
        <f t="shared" si="7"/>
        <v>Surcharge</v>
      </c>
      <c r="H20" s="266" t="str">
        <f t="shared" si="7"/>
        <v>Rebate</v>
      </c>
      <c r="I20" s="266" t="str">
        <f t="shared" si="7"/>
        <v>Rebate</v>
      </c>
      <c r="J20" s="266" t="str">
        <f t="shared" si="7"/>
        <v>Rebate</v>
      </c>
      <c r="K20" s="266" t="str">
        <f t="shared" si="7"/>
        <v>Surcharge</v>
      </c>
      <c r="L20" s="266" t="str">
        <f t="shared" si="7"/>
        <v>Rebate</v>
      </c>
      <c r="M20" s="266" t="str">
        <f t="shared" si="7"/>
        <v>Surcharge</v>
      </c>
      <c r="N20" s="266" t="str">
        <f t="shared" si="7"/>
        <v>Rebate</v>
      </c>
    </row>
    <row r="21" spans="1:14" ht="27" customHeight="1">
      <c r="A21" s="267" t="s">
        <v>307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9">
        <f>SUM(B21:M21)</f>
        <v>0</v>
      </c>
    </row>
    <row r="22" spans="1:14">
      <c r="A22" s="259"/>
      <c r="B22" s="270" t="str">
        <f>IF(B21&lt;0,"Rebate","Surcharge")</f>
        <v>Surcharge</v>
      </c>
      <c r="C22" s="270" t="str">
        <f t="shared" ref="C22:N22" si="8">IF(C21&lt;0,"Rebate","Surcharge")</f>
        <v>Surcharge</v>
      </c>
      <c r="D22" s="270" t="str">
        <f t="shared" si="8"/>
        <v>Surcharge</v>
      </c>
      <c r="E22" s="270" t="str">
        <f t="shared" si="8"/>
        <v>Surcharge</v>
      </c>
      <c r="F22" s="270" t="str">
        <f t="shared" si="8"/>
        <v>Surcharge</v>
      </c>
      <c r="G22" s="270" t="str">
        <f t="shared" si="8"/>
        <v>Surcharge</v>
      </c>
      <c r="H22" s="270" t="str">
        <f t="shared" si="8"/>
        <v>Surcharge</v>
      </c>
      <c r="I22" s="270" t="str">
        <f t="shared" si="8"/>
        <v>Surcharge</v>
      </c>
      <c r="J22" s="270" t="str">
        <f t="shared" si="8"/>
        <v>Surcharge</v>
      </c>
      <c r="K22" s="270" t="str">
        <f t="shared" si="8"/>
        <v>Surcharge</v>
      </c>
      <c r="L22" s="270" t="str">
        <f t="shared" si="8"/>
        <v>Surcharge</v>
      </c>
      <c r="M22" s="270" t="str">
        <f t="shared" si="8"/>
        <v>Surcharge</v>
      </c>
      <c r="N22" s="270" t="str">
        <f t="shared" si="8"/>
        <v>Surcharge</v>
      </c>
    </row>
    <row r="23" spans="1:14" ht="30.75" customHeight="1">
      <c r="A23" s="271" t="s">
        <v>308</v>
      </c>
      <c r="B23" s="272"/>
      <c r="C23" s="272">
        <v>591775</v>
      </c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3">
        <f>SUM(B23:M23)</f>
        <v>591775</v>
      </c>
    </row>
    <row r="24" spans="1:14">
      <c r="B24" s="270" t="str">
        <f>IF(B23&lt;0,"Rebate","Surcharge")</f>
        <v>Surcharge</v>
      </c>
      <c r="C24" s="270" t="str">
        <f t="shared" ref="C24:N24" si="9">IF(C23&lt;0,"Rebate","Surcharge")</f>
        <v>Surcharge</v>
      </c>
      <c r="D24" s="270" t="str">
        <f t="shared" si="9"/>
        <v>Surcharge</v>
      </c>
      <c r="E24" s="270" t="str">
        <f t="shared" si="9"/>
        <v>Surcharge</v>
      </c>
      <c r="F24" s="270" t="str">
        <f t="shared" si="9"/>
        <v>Surcharge</v>
      </c>
      <c r="G24" s="270" t="str">
        <f t="shared" si="9"/>
        <v>Surcharge</v>
      </c>
      <c r="H24" s="270" t="str">
        <f t="shared" si="9"/>
        <v>Surcharge</v>
      </c>
      <c r="I24" s="270" t="str">
        <f t="shared" si="9"/>
        <v>Surcharge</v>
      </c>
      <c r="J24" s="270" t="str">
        <f t="shared" si="9"/>
        <v>Surcharge</v>
      </c>
      <c r="K24" s="270" t="str">
        <f t="shared" si="9"/>
        <v>Surcharge</v>
      </c>
      <c r="L24" s="270" t="str">
        <f t="shared" si="9"/>
        <v>Surcharge</v>
      </c>
      <c r="M24" s="270" t="str">
        <f t="shared" si="9"/>
        <v>Surcharge</v>
      </c>
      <c r="N24" s="270" t="str">
        <f t="shared" si="9"/>
        <v>Surcharge</v>
      </c>
    </row>
    <row r="27" spans="1:14">
      <c r="G27" s="243"/>
    </row>
    <row r="36" spans="1:1" ht="15.6">
      <c r="A36" s="274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&amp;RExhibit No. ___(WGJ-2)
Johnson, Avista
Page &amp;P+3 of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52" sqref="H52"/>
    </sheetView>
  </sheetViews>
  <sheetFormatPr defaultRowHeight="13.2"/>
  <cols>
    <col min="1" max="1" width="2.6640625" customWidth="1"/>
    <col min="3" max="3" width="11.44140625" customWidth="1"/>
    <col min="4" max="4" width="13.44140625" bestFit="1" customWidth="1"/>
    <col min="5" max="5" width="10.6640625" bestFit="1" customWidth="1"/>
    <col min="6" max="6" width="9" customWidth="1"/>
    <col min="7" max="7" width="9.33203125" bestFit="1" customWidth="1"/>
  </cols>
  <sheetData>
    <row r="1" spans="1:8">
      <c r="A1" s="392" t="s">
        <v>148</v>
      </c>
      <c r="B1" s="392"/>
      <c r="C1" s="392"/>
      <c r="D1" s="392"/>
      <c r="E1" s="392"/>
      <c r="F1" s="392"/>
      <c r="G1" s="392"/>
      <c r="H1" s="392"/>
    </row>
    <row r="2" spans="1:8" ht="15.6">
      <c r="A2" s="393" t="s">
        <v>310</v>
      </c>
      <c r="B2" s="393"/>
      <c r="C2" s="393"/>
      <c r="D2" s="393"/>
      <c r="E2" s="393"/>
      <c r="F2" s="393"/>
      <c r="G2" s="393"/>
      <c r="H2" s="393"/>
    </row>
    <row r="3" spans="1:8">
      <c r="A3" s="82"/>
    </row>
    <row r="4" spans="1:8" ht="16.2" thickBot="1">
      <c r="A4" s="82"/>
      <c r="B4" s="394" t="s">
        <v>311</v>
      </c>
      <c r="C4" s="394"/>
      <c r="D4" s="394"/>
      <c r="E4" s="394"/>
      <c r="F4" s="394"/>
      <c r="G4" s="394"/>
      <c r="H4" s="394"/>
    </row>
    <row r="5" spans="1:8" ht="39.6">
      <c r="B5" s="210"/>
      <c r="C5" s="211" t="s">
        <v>312</v>
      </c>
      <c r="D5" s="212" t="s">
        <v>65</v>
      </c>
      <c r="E5" s="213" t="s">
        <v>184</v>
      </c>
      <c r="F5" s="213" t="s">
        <v>313</v>
      </c>
      <c r="G5" s="211" t="s">
        <v>314</v>
      </c>
      <c r="H5" s="211" t="s">
        <v>315</v>
      </c>
    </row>
    <row r="6" spans="1:8">
      <c r="A6" s="82"/>
      <c r="B6" s="214">
        <v>41275</v>
      </c>
      <c r="C6" s="175">
        <v>-58333</v>
      </c>
      <c r="D6" s="175">
        <v>-70550</v>
      </c>
      <c r="E6" s="175">
        <f>+C6-D6</f>
        <v>12217</v>
      </c>
      <c r="F6" s="215">
        <v>0.34839999999999999</v>
      </c>
      <c r="G6" s="33">
        <f>+E6*F6</f>
        <v>4256.4027999999998</v>
      </c>
      <c r="H6">
        <f>+G6*0.9</f>
        <v>3830.7625199999998</v>
      </c>
    </row>
    <row r="7" spans="1:8">
      <c r="A7" s="82"/>
      <c r="B7" s="214">
        <v>41306</v>
      </c>
      <c r="C7" s="175">
        <v>-58333</v>
      </c>
      <c r="D7" s="175">
        <v>-82772</v>
      </c>
      <c r="E7" s="175">
        <f t="shared" ref="E7:E16" si="0">+C7-D7</f>
        <v>24439</v>
      </c>
      <c r="F7" s="215">
        <v>0.34839999999999999</v>
      </c>
      <c r="G7" s="33">
        <f t="shared" ref="G7:G17" si="1">+E7*F7</f>
        <v>8514.5475999999999</v>
      </c>
      <c r="H7">
        <f t="shared" ref="H7:H17" si="2">+G7*0.9</f>
        <v>7663.0928400000003</v>
      </c>
    </row>
    <row r="8" spans="1:8">
      <c r="A8" s="82"/>
      <c r="B8" s="214">
        <v>41334</v>
      </c>
      <c r="C8" s="175">
        <v>-58333</v>
      </c>
      <c r="D8" s="175">
        <v>-213066</v>
      </c>
      <c r="E8" s="175">
        <f t="shared" si="0"/>
        <v>154733</v>
      </c>
      <c r="F8" s="215">
        <v>0.34839999999999999</v>
      </c>
      <c r="G8" s="33">
        <f t="shared" si="1"/>
        <v>53908.977200000001</v>
      </c>
      <c r="H8">
        <f t="shared" si="2"/>
        <v>48518.07948</v>
      </c>
    </row>
    <row r="9" spans="1:8">
      <c r="B9" s="214">
        <v>41365</v>
      </c>
      <c r="C9" s="175">
        <v>-70833</v>
      </c>
      <c r="D9" s="175">
        <v>-408270</v>
      </c>
      <c r="E9" s="175">
        <f t="shared" si="0"/>
        <v>337437</v>
      </c>
      <c r="F9" s="215">
        <v>0.34760000000000002</v>
      </c>
      <c r="G9" s="33">
        <f t="shared" si="1"/>
        <v>117293.1012</v>
      </c>
      <c r="H9">
        <f t="shared" si="2"/>
        <v>105563.79108000001</v>
      </c>
    </row>
    <row r="10" spans="1:8">
      <c r="B10" s="214">
        <v>41395</v>
      </c>
      <c r="C10" s="175">
        <v>-70833</v>
      </c>
      <c r="D10" s="175">
        <v>-448670</v>
      </c>
      <c r="E10" s="175">
        <f t="shared" si="0"/>
        <v>377837</v>
      </c>
      <c r="F10" s="215">
        <v>0.34760000000000002</v>
      </c>
      <c r="G10" s="33">
        <f t="shared" si="1"/>
        <v>131336.14120000001</v>
      </c>
      <c r="H10">
        <f t="shared" si="2"/>
        <v>118202.52708000001</v>
      </c>
    </row>
    <row r="11" spans="1:8">
      <c r="B11" s="214">
        <v>41426</v>
      </c>
      <c r="C11" s="175">
        <v>-70833</v>
      </c>
      <c r="D11" s="175">
        <v>-277300</v>
      </c>
      <c r="E11" s="175">
        <f t="shared" si="0"/>
        <v>206467</v>
      </c>
      <c r="F11" s="215">
        <v>0.34760000000000002</v>
      </c>
      <c r="G11" s="33">
        <f t="shared" si="1"/>
        <v>71767.929199999999</v>
      </c>
      <c r="H11">
        <f t="shared" si="2"/>
        <v>64591.136279999999</v>
      </c>
    </row>
    <row r="12" spans="1:8">
      <c r="B12" s="214">
        <v>41456</v>
      </c>
      <c r="C12" s="175">
        <v>-70833</v>
      </c>
      <c r="D12" s="175">
        <v>-46500</v>
      </c>
      <c r="E12" s="175">
        <f t="shared" si="0"/>
        <v>-24333</v>
      </c>
      <c r="F12" s="215">
        <v>0.34760000000000002</v>
      </c>
      <c r="G12" s="33">
        <f t="shared" si="1"/>
        <v>-8458.1508000000013</v>
      </c>
      <c r="H12">
        <f t="shared" si="2"/>
        <v>-7612.3357200000009</v>
      </c>
    </row>
    <row r="13" spans="1:8">
      <c r="B13" s="214">
        <v>41487</v>
      </c>
      <c r="C13" s="175">
        <v>-70833</v>
      </c>
      <c r="D13" s="175">
        <v>0</v>
      </c>
      <c r="E13" s="175">
        <f t="shared" si="0"/>
        <v>-70833</v>
      </c>
      <c r="F13" s="215">
        <v>0.34760000000000002</v>
      </c>
      <c r="G13" s="33">
        <f t="shared" si="1"/>
        <v>-24621.550800000001</v>
      </c>
      <c r="H13">
        <f t="shared" si="2"/>
        <v>-22159.39572</v>
      </c>
    </row>
    <row r="14" spans="1:8">
      <c r="B14" s="214">
        <v>41518</v>
      </c>
      <c r="C14" s="175">
        <v>-70833</v>
      </c>
      <c r="D14" s="175">
        <v>-31250</v>
      </c>
      <c r="E14" s="175">
        <f t="shared" si="0"/>
        <v>-39583</v>
      </c>
      <c r="F14" s="215">
        <v>0.34760000000000002</v>
      </c>
      <c r="G14" s="33">
        <f t="shared" si="1"/>
        <v>-13759.050800000001</v>
      </c>
      <c r="H14">
        <f t="shared" si="2"/>
        <v>-12383.14572</v>
      </c>
    </row>
    <row r="15" spans="1:8">
      <c r="B15" s="214">
        <v>41548</v>
      </c>
      <c r="C15" s="175">
        <v>-70833</v>
      </c>
      <c r="D15" s="175">
        <v>-440000</v>
      </c>
      <c r="E15" s="175">
        <f t="shared" si="0"/>
        <v>369167</v>
      </c>
      <c r="F15" s="215">
        <v>0.34760000000000002</v>
      </c>
      <c r="G15" s="33">
        <f t="shared" si="1"/>
        <v>128322.4492</v>
      </c>
      <c r="H15">
        <f t="shared" si="2"/>
        <v>115490.20428000001</v>
      </c>
    </row>
    <row r="16" spans="1:8">
      <c r="B16" s="214">
        <v>41579</v>
      </c>
      <c r="C16" s="175">
        <v>-70833</v>
      </c>
      <c r="D16" s="175">
        <v>-96450</v>
      </c>
      <c r="E16" s="175">
        <f t="shared" si="0"/>
        <v>25617</v>
      </c>
      <c r="F16" s="215">
        <v>0.34760000000000002</v>
      </c>
      <c r="G16" s="33">
        <f t="shared" si="1"/>
        <v>8904.4692000000014</v>
      </c>
      <c r="H16">
        <f t="shared" si="2"/>
        <v>8014.022280000001</v>
      </c>
    </row>
    <row r="17" spans="1:8">
      <c r="B17" s="214">
        <v>41609</v>
      </c>
      <c r="C17" s="175">
        <v>-70833</v>
      </c>
      <c r="D17" s="175">
        <v>-499575</v>
      </c>
      <c r="E17" s="175">
        <f>+C17-D17</f>
        <v>428742</v>
      </c>
      <c r="F17" s="215">
        <v>0.34760000000000002</v>
      </c>
      <c r="G17" s="33">
        <f t="shared" si="1"/>
        <v>149030.71920000002</v>
      </c>
      <c r="H17">
        <f t="shared" si="2"/>
        <v>134127.64728000003</v>
      </c>
    </row>
    <row r="18" spans="1:8">
      <c r="A18" s="126"/>
      <c r="B18" s="216" t="s">
        <v>190</v>
      </c>
      <c r="C18" s="217">
        <f>SUM(C6:C17)</f>
        <v>-812496</v>
      </c>
      <c r="D18" s="217">
        <f>SUM(D6:D17)</f>
        <v>-2614403</v>
      </c>
      <c r="E18" s="217">
        <f>SUM(E6:E17)</f>
        <v>1801907</v>
      </c>
      <c r="F18" s="217"/>
      <c r="G18" s="217">
        <f>SUM(G6:G17)</f>
        <v>626495.98439999996</v>
      </c>
      <c r="H18" s="217">
        <f>SUM(H6:H17)</f>
        <v>563846.38595999999</v>
      </c>
    </row>
    <row r="19" spans="1:8">
      <c r="B19" s="8"/>
      <c r="C19" s="8"/>
      <c r="D19" s="8"/>
      <c r="E19" s="167" t="s">
        <v>316</v>
      </c>
      <c r="F19" s="8"/>
      <c r="G19" s="167" t="s">
        <v>316</v>
      </c>
      <c r="H19" s="167" t="s">
        <v>316</v>
      </c>
    </row>
    <row r="21" spans="1:8" ht="16.2" thickBot="1">
      <c r="B21" s="394" t="s">
        <v>317</v>
      </c>
      <c r="C21" s="394"/>
      <c r="D21" s="394"/>
      <c r="E21" s="394"/>
      <c r="F21" s="394"/>
      <c r="G21" s="394"/>
      <c r="H21" s="394"/>
    </row>
    <row r="22" spans="1:8" ht="39.6">
      <c r="B22" s="210"/>
      <c r="C22" s="211" t="s">
        <v>318</v>
      </c>
      <c r="D22" s="212" t="s">
        <v>65</v>
      </c>
      <c r="E22" s="213" t="s">
        <v>184</v>
      </c>
      <c r="F22" s="213" t="s">
        <v>313</v>
      </c>
      <c r="G22" s="211" t="s">
        <v>314</v>
      </c>
      <c r="H22" s="211" t="s">
        <v>315</v>
      </c>
    </row>
    <row r="23" spans="1:8">
      <c r="B23" s="214">
        <v>41275</v>
      </c>
      <c r="C23" s="175">
        <v>-58333</v>
      </c>
      <c r="D23" s="175">
        <v>-70550</v>
      </c>
      <c r="E23" s="175">
        <f>+C23-D23</f>
        <v>12217</v>
      </c>
      <c r="F23" s="215">
        <v>0.34839999999999999</v>
      </c>
      <c r="G23" s="33">
        <f>+E23*F23</f>
        <v>4256.4027999999998</v>
      </c>
      <c r="H23">
        <f>+G23*0.9</f>
        <v>3830.7625199999998</v>
      </c>
    </row>
    <row r="24" spans="1:8">
      <c r="B24" s="214">
        <v>41306</v>
      </c>
      <c r="C24" s="175">
        <v>-58333</v>
      </c>
      <c r="D24" s="175">
        <v>-82772</v>
      </c>
      <c r="E24" s="175">
        <f t="shared" ref="E24:E33" si="3">+C24-D24</f>
        <v>24439</v>
      </c>
      <c r="F24" s="215">
        <v>0.34839999999999999</v>
      </c>
      <c r="G24" s="33">
        <f t="shared" ref="G24:G34" si="4">+E24*F24</f>
        <v>8514.5475999999999</v>
      </c>
      <c r="H24">
        <f t="shared" ref="H24:H34" si="5">+G24*0.9</f>
        <v>7663.0928400000003</v>
      </c>
    </row>
    <row r="25" spans="1:8">
      <c r="B25" s="214">
        <v>41334</v>
      </c>
      <c r="C25" s="175">
        <v>-58333</v>
      </c>
      <c r="D25" s="175">
        <v>-213066</v>
      </c>
      <c r="E25" s="175">
        <f t="shared" si="3"/>
        <v>154733</v>
      </c>
      <c r="F25" s="215">
        <v>0.34839999999999999</v>
      </c>
      <c r="G25" s="33">
        <f t="shared" si="4"/>
        <v>53908.977200000001</v>
      </c>
      <c r="H25">
        <f t="shared" si="5"/>
        <v>48518.07948</v>
      </c>
    </row>
    <row r="26" spans="1:8">
      <c r="B26" s="214">
        <v>41365</v>
      </c>
      <c r="C26" s="175">
        <f>+-31500</f>
        <v>-31500</v>
      </c>
      <c r="D26" s="175">
        <v>-408270</v>
      </c>
      <c r="E26" s="175">
        <f t="shared" si="3"/>
        <v>376770</v>
      </c>
      <c r="F26" s="215">
        <v>0.34760000000000002</v>
      </c>
      <c r="G26" s="33">
        <f t="shared" si="4"/>
        <v>130965.25200000001</v>
      </c>
      <c r="H26">
        <f t="shared" si="5"/>
        <v>117868.7268</v>
      </c>
    </row>
    <row r="27" spans="1:8">
      <c r="B27" s="214">
        <v>41395</v>
      </c>
      <c r="C27" s="175">
        <f t="shared" ref="C27:C34" si="6">+-31500</f>
        <v>-31500</v>
      </c>
      <c r="D27" s="175">
        <v>-448670</v>
      </c>
      <c r="E27" s="175">
        <f t="shared" si="3"/>
        <v>417170</v>
      </c>
      <c r="F27" s="215">
        <v>0.34760000000000002</v>
      </c>
      <c r="G27" s="33">
        <f t="shared" si="4"/>
        <v>145008.29200000002</v>
      </c>
      <c r="H27">
        <f t="shared" si="5"/>
        <v>130507.46280000002</v>
      </c>
    </row>
    <row r="28" spans="1:8">
      <c r="B28" s="214">
        <v>41426</v>
      </c>
      <c r="C28" s="175">
        <f t="shared" si="6"/>
        <v>-31500</v>
      </c>
      <c r="D28" s="175">
        <v>-277300</v>
      </c>
      <c r="E28" s="175">
        <f t="shared" si="3"/>
        <v>245800</v>
      </c>
      <c r="F28" s="215">
        <v>0.34760000000000002</v>
      </c>
      <c r="G28" s="33">
        <f t="shared" si="4"/>
        <v>85440.08</v>
      </c>
      <c r="H28">
        <f t="shared" si="5"/>
        <v>76896.072</v>
      </c>
    </row>
    <row r="29" spans="1:8">
      <c r="B29" s="214">
        <v>41456</v>
      </c>
      <c r="C29" s="175">
        <f t="shared" si="6"/>
        <v>-31500</v>
      </c>
      <c r="D29" s="175">
        <v>-46500</v>
      </c>
      <c r="E29" s="175">
        <f t="shared" si="3"/>
        <v>15000</v>
      </c>
      <c r="F29" s="215">
        <v>0.34760000000000002</v>
      </c>
      <c r="G29" s="33">
        <f t="shared" si="4"/>
        <v>5214</v>
      </c>
      <c r="H29">
        <f t="shared" si="5"/>
        <v>4692.6000000000004</v>
      </c>
    </row>
    <row r="30" spans="1:8">
      <c r="B30" s="214">
        <v>41487</v>
      </c>
      <c r="C30" s="175">
        <f t="shared" si="6"/>
        <v>-31500</v>
      </c>
      <c r="D30" s="175">
        <v>0</v>
      </c>
      <c r="E30" s="175">
        <f t="shared" si="3"/>
        <v>-31500</v>
      </c>
      <c r="F30" s="215">
        <v>0.34760000000000002</v>
      </c>
      <c r="G30" s="33">
        <f t="shared" si="4"/>
        <v>-10949.400000000001</v>
      </c>
      <c r="H30">
        <f t="shared" si="5"/>
        <v>-9854.4600000000009</v>
      </c>
    </row>
    <row r="31" spans="1:8">
      <c r="B31" s="214">
        <v>41518</v>
      </c>
      <c r="C31" s="175">
        <f t="shared" si="6"/>
        <v>-31500</v>
      </c>
      <c r="D31" s="175">
        <v>-31250</v>
      </c>
      <c r="E31" s="175">
        <f t="shared" si="3"/>
        <v>-250</v>
      </c>
      <c r="F31" s="215">
        <v>0.34760000000000002</v>
      </c>
      <c r="G31" s="33">
        <f t="shared" si="4"/>
        <v>-86.9</v>
      </c>
      <c r="H31">
        <f t="shared" si="5"/>
        <v>-78.210000000000008</v>
      </c>
    </row>
    <row r="32" spans="1:8">
      <c r="B32" s="214">
        <v>41548</v>
      </c>
      <c r="C32" s="175">
        <f t="shared" si="6"/>
        <v>-31500</v>
      </c>
      <c r="D32" s="175">
        <v>-440000</v>
      </c>
      <c r="E32" s="175">
        <f t="shared" si="3"/>
        <v>408500</v>
      </c>
      <c r="F32" s="215">
        <v>0.34760000000000002</v>
      </c>
      <c r="G32" s="33">
        <f t="shared" si="4"/>
        <v>141994.6</v>
      </c>
      <c r="H32">
        <f t="shared" si="5"/>
        <v>127795.14000000001</v>
      </c>
    </row>
    <row r="33" spans="2:8">
      <c r="B33" s="214">
        <v>41579</v>
      </c>
      <c r="C33" s="175">
        <f t="shared" si="6"/>
        <v>-31500</v>
      </c>
      <c r="D33" s="175">
        <v>-96450</v>
      </c>
      <c r="E33" s="175">
        <f t="shared" si="3"/>
        <v>64950</v>
      </c>
      <c r="F33" s="215">
        <v>0.34760000000000002</v>
      </c>
      <c r="G33" s="33">
        <f t="shared" si="4"/>
        <v>22576.620000000003</v>
      </c>
      <c r="H33">
        <f t="shared" si="5"/>
        <v>20318.958000000002</v>
      </c>
    </row>
    <row r="34" spans="2:8">
      <c r="B34" s="214">
        <v>41609</v>
      </c>
      <c r="C34" s="175">
        <f t="shared" si="6"/>
        <v>-31500</v>
      </c>
      <c r="D34" s="175">
        <v>-499575</v>
      </c>
      <c r="E34" s="175">
        <f>+C34-D34</f>
        <v>468075</v>
      </c>
      <c r="F34" s="215">
        <v>0.34760000000000002</v>
      </c>
      <c r="G34" s="33">
        <f t="shared" si="4"/>
        <v>162702.87</v>
      </c>
      <c r="H34">
        <f t="shared" si="5"/>
        <v>146432.58300000001</v>
      </c>
    </row>
    <row r="35" spans="2:8">
      <c r="B35" s="216" t="s">
        <v>190</v>
      </c>
      <c r="C35" s="217">
        <f>SUM(C23:C34)</f>
        <v>-458499</v>
      </c>
      <c r="D35" s="217">
        <f>SUM(D23:D34)</f>
        <v>-2614403</v>
      </c>
      <c r="E35" s="217">
        <f>SUM(E23:E34)</f>
        <v>2155904</v>
      </c>
      <c r="F35" s="217"/>
      <c r="G35" s="217">
        <f>SUM(G23:G34)</f>
        <v>749545.34160000004</v>
      </c>
      <c r="H35" s="217">
        <f>SUM(H23:H34)</f>
        <v>674590.80744</v>
      </c>
    </row>
    <row r="36" spans="2:8">
      <c r="B36" s="8"/>
      <c r="C36" s="8"/>
      <c r="D36" s="8"/>
      <c r="E36" s="167" t="s">
        <v>316</v>
      </c>
      <c r="F36" s="8"/>
      <c r="G36" s="167" t="s">
        <v>316</v>
      </c>
      <c r="H36" s="167" t="s">
        <v>316</v>
      </c>
    </row>
    <row r="38" spans="2:8" ht="16.2" thickBot="1">
      <c r="B38" s="394" t="s">
        <v>319</v>
      </c>
      <c r="C38" s="394"/>
      <c r="D38" s="394"/>
      <c r="E38" s="394"/>
      <c r="F38" s="394"/>
      <c r="G38" s="394"/>
      <c r="H38" s="394"/>
    </row>
    <row r="39" spans="2:8" ht="39.6">
      <c r="B39" s="210"/>
      <c r="C39" s="211" t="s">
        <v>318</v>
      </c>
      <c r="D39" s="212" t="s">
        <v>65</v>
      </c>
      <c r="E39" s="213" t="s">
        <v>184</v>
      </c>
      <c r="F39" s="213" t="s">
        <v>313</v>
      </c>
      <c r="G39" s="211" t="s">
        <v>314</v>
      </c>
      <c r="H39" s="211" t="s">
        <v>315</v>
      </c>
    </row>
    <row r="40" spans="2:8">
      <c r="B40" s="214">
        <v>41275</v>
      </c>
      <c r="C40" s="175">
        <f>+C23-C6</f>
        <v>0</v>
      </c>
      <c r="D40" s="175">
        <f>+D23-D6</f>
        <v>0</v>
      </c>
      <c r="E40" s="175">
        <f>+E23-E6</f>
        <v>0</v>
      </c>
      <c r="F40" s="215">
        <v>0.34839999999999999</v>
      </c>
      <c r="G40" s="33">
        <f>+E40*F40</f>
        <v>0</v>
      </c>
      <c r="H40">
        <f>+G40*0.9</f>
        <v>0</v>
      </c>
    </row>
    <row r="41" spans="2:8">
      <c r="B41" s="214">
        <v>41306</v>
      </c>
      <c r="C41" s="175">
        <f t="shared" ref="C41:E51" si="7">+C24-C7</f>
        <v>0</v>
      </c>
      <c r="D41" s="175">
        <f t="shared" si="7"/>
        <v>0</v>
      </c>
      <c r="E41" s="175">
        <f t="shared" si="7"/>
        <v>0</v>
      </c>
      <c r="F41" s="215">
        <v>0.34839999999999999</v>
      </c>
      <c r="G41" s="33">
        <f t="shared" ref="G41:G51" si="8">+E41*F41</f>
        <v>0</v>
      </c>
      <c r="H41">
        <f t="shared" ref="H41:H51" si="9">+G41*0.9</f>
        <v>0</v>
      </c>
    </row>
    <row r="42" spans="2:8">
      <c r="B42" s="214">
        <v>41334</v>
      </c>
      <c r="C42" s="175">
        <f t="shared" si="7"/>
        <v>0</v>
      </c>
      <c r="D42" s="175">
        <f t="shared" si="7"/>
        <v>0</v>
      </c>
      <c r="E42" s="175">
        <f t="shared" si="7"/>
        <v>0</v>
      </c>
      <c r="F42" s="215">
        <v>0.34839999999999999</v>
      </c>
      <c r="G42" s="33">
        <f t="shared" si="8"/>
        <v>0</v>
      </c>
      <c r="H42">
        <f t="shared" si="9"/>
        <v>0</v>
      </c>
    </row>
    <row r="43" spans="2:8">
      <c r="B43" s="214">
        <v>41365</v>
      </c>
      <c r="C43" s="175">
        <f t="shared" si="7"/>
        <v>39333</v>
      </c>
      <c r="D43" s="175">
        <f t="shared" si="7"/>
        <v>0</v>
      </c>
      <c r="E43" s="175">
        <f t="shared" si="7"/>
        <v>39333</v>
      </c>
      <c r="F43" s="215">
        <v>0.34760000000000002</v>
      </c>
      <c r="G43" s="33">
        <f t="shared" si="8"/>
        <v>13672.150800000001</v>
      </c>
      <c r="H43">
        <f t="shared" si="9"/>
        <v>12304.935720000001</v>
      </c>
    </row>
    <row r="44" spans="2:8">
      <c r="B44" s="214">
        <v>41395</v>
      </c>
      <c r="C44" s="175">
        <f t="shared" si="7"/>
        <v>39333</v>
      </c>
      <c r="D44" s="175">
        <f t="shared" si="7"/>
        <v>0</v>
      </c>
      <c r="E44" s="175">
        <f t="shared" si="7"/>
        <v>39333</v>
      </c>
      <c r="F44" s="215">
        <v>0.34760000000000002</v>
      </c>
      <c r="G44" s="33">
        <f t="shared" si="8"/>
        <v>13672.150800000001</v>
      </c>
      <c r="H44">
        <f t="shared" si="9"/>
        <v>12304.935720000001</v>
      </c>
    </row>
    <row r="45" spans="2:8">
      <c r="B45" s="214">
        <v>41426</v>
      </c>
      <c r="C45" s="175">
        <f t="shared" si="7"/>
        <v>39333</v>
      </c>
      <c r="D45" s="175">
        <f t="shared" si="7"/>
        <v>0</v>
      </c>
      <c r="E45" s="175">
        <f t="shared" si="7"/>
        <v>39333</v>
      </c>
      <c r="F45" s="215">
        <v>0.34760000000000002</v>
      </c>
      <c r="G45" s="33">
        <f t="shared" si="8"/>
        <v>13672.150800000001</v>
      </c>
      <c r="H45">
        <f t="shared" si="9"/>
        <v>12304.935720000001</v>
      </c>
    </row>
    <row r="46" spans="2:8">
      <c r="B46" s="214">
        <v>41456</v>
      </c>
      <c r="C46" s="175">
        <f t="shared" si="7"/>
        <v>39333</v>
      </c>
      <c r="D46" s="175">
        <f t="shared" si="7"/>
        <v>0</v>
      </c>
      <c r="E46" s="175">
        <f t="shared" si="7"/>
        <v>39333</v>
      </c>
      <c r="F46" s="215">
        <v>0.34760000000000002</v>
      </c>
      <c r="G46" s="33">
        <f t="shared" si="8"/>
        <v>13672.150800000001</v>
      </c>
      <c r="H46">
        <f t="shared" si="9"/>
        <v>12304.935720000001</v>
      </c>
    </row>
    <row r="47" spans="2:8">
      <c r="B47" s="214">
        <v>41487</v>
      </c>
      <c r="C47" s="175">
        <f t="shared" si="7"/>
        <v>39333</v>
      </c>
      <c r="D47" s="175">
        <f t="shared" si="7"/>
        <v>0</v>
      </c>
      <c r="E47" s="175">
        <f t="shared" si="7"/>
        <v>39333</v>
      </c>
      <c r="F47" s="215">
        <v>0.34760000000000002</v>
      </c>
      <c r="G47" s="33">
        <f t="shared" si="8"/>
        <v>13672.150800000001</v>
      </c>
      <c r="H47">
        <f t="shared" si="9"/>
        <v>12304.935720000001</v>
      </c>
    </row>
    <row r="48" spans="2:8">
      <c r="B48" s="214">
        <v>41518</v>
      </c>
      <c r="C48" s="175">
        <f t="shared" si="7"/>
        <v>39333</v>
      </c>
      <c r="D48" s="175">
        <f t="shared" si="7"/>
        <v>0</v>
      </c>
      <c r="E48" s="175">
        <f t="shared" si="7"/>
        <v>39333</v>
      </c>
      <c r="F48" s="215">
        <v>0.34760000000000002</v>
      </c>
      <c r="G48" s="33">
        <f t="shared" si="8"/>
        <v>13672.150800000001</v>
      </c>
      <c r="H48">
        <f t="shared" si="9"/>
        <v>12304.935720000001</v>
      </c>
    </row>
    <row r="49" spans="2:8">
      <c r="B49" s="214">
        <v>41548</v>
      </c>
      <c r="C49" s="175">
        <f t="shared" si="7"/>
        <v>39333</v>
      </c>
      <c r="D49" s="175">
        <f t="shared" si="7"/>
        <v>0</v>
      </c>
      <c r="E49" s="175">
        <f t="shared" si="7"/>
        <v>39333</v>
      </c>
      <c r="F49" s="215">
        <v>0.34760000000000002</v>
      </c>
      <c r="G49" s="33">
        <f t="shared" si="8"/>
        <v>13672.150800000001</v>
      </c>
      <c r="H49">
        <f t="shared" si="9"/>
        <v>12304.935720000001</v>
      </c>
    </row>
    <row r="50" spans="2:8">
      <c r="B50" s="214">
        <v>41579</v>
      </c>
      <c r="C50" s="175">
        <f t="shared" si="7"/>
        <v>39333</v>
      </c>
      <c r="D50" s="175">
        <f t="shared" si="7"/>
        <v>0</v>
      </c>
      <c r="E50" s="175">
        <f t="shared" si="7"/>
        <v>39333</v>
      </c>
      <c r="F50" s="215">
        <v>0.34760000000000002</v>
      </c>
      <c r="G50" s="33">
        <f t="shared" si="8"/>
        <v>13672.150800000001</v>
      </c>
      <c r="H50">
        <f t="shared" si="9"/>
        <v>12304.935720000001</v>
      </c>
    </row>
    <row r="51" spans="2:8">
      <c r="B51" s="214">
        <v>41609</v>
      </c>
      <c r="C51" s="175">
        <f t="shared" si="7"/>
        <v>39333</v>
      </c>
      <c r="D51" s="175">
        <f t="shared" si="7"/>
        <v>0</v>
      </c>
      <c r="E51" s="175">
        <f t="shared" si="7"/>
        <v>39333</v>
      </c>
      <c r="F51" s="215">
        <v>0.34760000000000002</v>
      </c>
      <c r="G51" s="33">
        <f t="shared" si="8"/>
        <v>13672.150800000001</v>
      </c>
      <c r="H51">
        <f t="shared" si="9"/>
        <v>12304.935720000001</v>
      </c>
    </row>
    <row r="52" spans="2:8">
      <c r="B52" s="216" t="s">
        <v>190</v>
      </c>
      <c r="C52" s="217">
        <f>SUM(C40:C51)</f>
        <v>353997</v>
      </c>
      <c r="D52" s="217">
        <f>SUM(D40:D51)</f>
        <v>0</v>
      </c>
      <c r="E52" s="217">
        <f>SUM(E40:E51)</f>
        <v>353997</v>
      </c>
      <c r="F52" s="217"/>
      <c r="G52" s="217">
        <f>SUM(G40:G51)</f>
        <v>123049.35720000001</v>
      </c>
      <c r="H52" s="217">
        <f>SUM(H40:H51)</f>
        <v>110744.42148000002</v>
      </c>
    </row>
    <row r="53" spans="2:8">
      <c r="B53" s="8"/>
      <c r="C53" s="8"/>
      <c r="D53" s="8"/>
      <c r="E53" s="167" t="s">
        <v>316</v>
      </c>
      <c r="F53" s="8"/>
      <c r="G53" s="167" t="s">
        <v>316</v>
      </c>
      <c r="H53" s="167" t="s">
        <v>316</v>
      </c>
    </row>
  </sheetData>
  <mergeCells count="5">
    <mergeCell ref="A1:H1"/>
    <mergeCell ref="A2:H2"/>
    <mergeCell ref="B4:H4"/>
    <mergeCell ref="B21:H21"/>
    <mergeCell ref="B38:H38"/>
  </mergeCells>
  <printOptions horizontalCentered="1"/>
  <pageMargins left="0.7" right="0.7" top="0.5" bottom="0.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M13" sqref="M13"/>
    </sheetView>
  </sheetViews>
  <sheetFormatPr defaultRowHeight="13.2"/>
  <cols>
    <col min="1" max="1" width="10.109375" bestFit="1" customWidth="1"/>
  </cols>
  <sheetData>
    <row r="1" spans="1:2">
      <c r="A1" s="218">
        <v>40972</v>
      </c>
    </row>
    <row r="3" spans="1:2">
      <c r="A3" s="82" t="s">
        <v>320</v>
      </c>
      <c r="B3" s="82" t="s">
        <v>321</v>
      </c>
    </row>
    <row r="4" spans="1:2">
      <c r="B4" t="s">
        <v>322</v>
      </c>
    </row>
    <row r="5" spans="1:2">
      <c r="B5" t="s">
        <v>323</v>
      </c>
    </row>
    <row r="7" spans="1:2">
      <c r="B7" t="s">
        <v>324</v>
      </c>
    </row>
    <row r="8" spans="1:2">
      <c r="B8" t="s">
        <v>325</v>
      </c>
    </row>
    <row r="9" spans="1:2">
      <c r="B9" t="s">
        <v>326</v>
      </c>
    </row>
    <row r="10" spans="1:2">
      <c r="B10" t="s">
        <v>327</v>
      </c>
    </row>
    <row r="12" spans="1:2">
      <c r="B12" t="s">
        <v>328</v>
      </c>
    </row>
    <row r="13" spans="1:2">
      <c r="B13" t="s">
        <v>329</v>
      </c>
    </row>
    <row r="14" spans="1:2">
      <c r="B14" t="s">
        <v>330</v>
      </c>
    </row>
    <row r="16" spans="1:2">
      <c r="B16" s="82" t="s">
        <v>331</v>
      </c>
    </row>
    <row r="17" spans="1:2">
      <c r="B17" s="82" t="s">
        <v>332</v>
      </c>
    </row>
    <row r="19" spans="1:2">
      <c r="A19" s="82" t="s">
        <v>333</v>
      </c>
      <c r="B19" s="82" t="s">
        <v>334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B1" workbookViewId="0">
      <selection activeCell="G8" sqref="G8"/>
    </sheetView>
  </sheetViews>
  <sheetFormatPr defaultRowHeight="13.2" outlineLevelCol="1"/>
  <cols>
    <col min="1" max="1" width="4.88671875" style="128" customWidth="1"/>
    <col min="2" max="2" width="10.6640625" style="25" customWidth="1"/>
    <col min="3" max="3" width="33" style="25" customWidth="1"/>
    <col min="4" max="4" width="11.44140625" style="25" customWidth="1" outlineLevel="1"/>
    <col min="5" max="5" width="13.5546875" style="25" customWidth="1" outlineLevel="1"/>
    <col min="6" max="6" width="13.6640625" style="25" customWidth="1"/>
    <col min="7" max="8" width="13.5546875" style="25" customWidth="1"/>
    <col min="9" max="10" width="12.44140625" style="25" customWidth="1"/>
    <col min="11" max="11" width="12.6640625" style="25" customWidth="1"/>
    <col min="12" max="15" width="12.44140625" style="25" customWidth="1"/>
    <col min="16" max="17" width="13.5546875" style="25" customWidth="1"/>
    <col min="18" max="24" width="9.109375" customWidth="1"/>
    <col min="26" max="26" width="10.109375" bestFit="1" customWidth="1"/>
  </cols>
  <sheetData>
    <row r="1" spans="1:17">
      <c r="A1" s="219" t="s">
        <v>148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</row>
    <row r="2" spans="1:17" ht="15.6">
      <c r="A2" s="220" t="s">
        <v>335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</row>
    <row r="3" spans="1:17">
      <c r="A3" s="127" t="s">
        <v>150</v>
      </c>
    </row>
    <row r="4" spans="1:17">
      <c r="A4" s="128" t="s">
        <v>151</v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7">
      <c r="B5" s="130" t="s">
        <v>152</v>
      </c>
      <c r="C5" s="24"/>
      <c r="D5" s="396" t="s">
        <v>153</v>
      </c>
      <c r="E5" s="396"/>
      <c r="F5" s="131">
        <v>41305</v>
      </c>
      <c r="G5" s="131">
        <v>41333</v>
      </c>
      <c r="H5" s="131">
        <v>41364</v>
      </c>
      <c r="I5" s="131">
        <v>41394</v>
      </c>
      <c r="J5" s="131">
        <v>41425</v>
      </c>
      <c r="K5" s="131">
        <v>41455</v>
      </c>
      <c r="L5" s="131">
        <v>41486</v>
      </c>
      <c r="M5" s="131">
        <v>41517</v>
      </c>
      <c r="N5" s="131">
        <v>41547</v>
      </c>
      <c r="O5" s="131">
        <v>41578</v>
      </c>
      <c r="P5" s="131">
        <v>41608</v>
      </c>
      <c r="Q5" s="131">
        <v>41639</v>
      </c>
    </row>
    <row r="6" spans="1:17">
      <c r="A6" s="128">
        <v>1</v>
      </c>
      <c r="B6" s="25" t="s">
        <v>154</v>
      </c>
      <c r="D6" s="397">
        <f>'WGJ-2 Page 1'!D6:E6</f>
        <v>198069940.78500003</v>
      </c>
      <c r="E6" s="397"/>
      <c r="F6" s="132">
        <f>'WGJ-2 Page 1'!F6</f>
        <v>21637001.565000001</v>
      </c>
      <c r="G6" s="132">
        <f>'WGJ-2 Page 1'!G6</f>
        <v>21929186.82</v>
      </c>
      <c r="H6" s="132">
        <f>'WGJ-2 Page 1'!H6</f>
        <v>23776856.465</v>
      </c>
      <c r="I6" s="132">
        <f>'WGJ-2 Page 1'!I6</f>
        <v>15594828.135</v>
      </c>
      <c r="J6" s="132">
        <f>'WGJ-2 Page 1'!J6</f>
        <v>11696613</v>
      </c>
      <c r="K6" s="132">
        <f>'WGJ-2 Page 1'!K6</f>
        <v>11288454</v>
      </c>
      <c r="L6" s="132">
        <f>'WGJ-2 Page 1'!L6</f>
        <v>15757204</v>
      </c>
      <c r="M6" s="132">
        <f>'WGJ-2 Page 1'!M6</f>
        <v>14301087</v>
      </c>
      <c r="N6" s="132">
        <f>'WGJ-2 Page 1'!N6</f>
        <v>13509093</v>
      </c>
      <c r="O6" s="132">
        <f>'WGJ-2 Page 1'!O6</f>
        <v>12571027</v>
      </c>
      <c r="P6" s="132">
        <f>'WGJ-2 Page 1'!P6</f>
        <v>18306165.02</v>
      </c>
      <c r="Q6" s="132">
        <f>'WGJ-2 Page 1'!Q6</f>
        <v>17702424.780000001</v>
      </c>
    </row>
    <row r="7" spans="1:17">
      <c r="A7" s="128">
        <f>A6+1</f>
        <v>2</v>
      </c>
      <c r="B7" s="25" t="s">
        <v>155</v>
      </c>
      <c r="D7" s="398">
        <f>'WGJ-2 Page 1'!D7:E7</f>
        <v>-150887385</v>
      </c>
      <c r="E7" s="398"/>
      <c r="F7" s="132">
        <f>'WGJ-2 Page 1'!F7</f>
        <v>-16799872</v>
      </c>
      <c r="G7" s="132">
        <f>'WGJ-2 Page 1'!G7</f>
        <v>-12355172</v>
      </c>
      <c r="H7" s="132">
        <f>'WGJ-2 Page 1'!H7</f>
        <v>-13519401</v>
      </c>
      <c r="I7" s="132">
        <f>'WGJ-2 Page 1'!I7</f>
        <v>-12490297</v>
      </c>
      <c r="J7" s="132">
        <f>'WGJ-2 Page 1'!J7</f>
        <v>-13315264</v>
      </c>
      <c r="K7" s="132">
        <f>'WGJ-2 Page 1'!K7</f>
        <v>-11174889</v>
      </c>
      <c r="L7" s="132">
        <f>'WGJ-2 Page 1'!L7</f>
        <v>-16819937</v>
      </c>
      <c r="M7" s="132">
        <f>'WGJ-2 Page 1'!M7</f>
        <v>-10771540</v>
      </c>
      <c r="N7" s="132">
        <f>'WGJ-2 Page 1'!N7</f>
        <v>-10843355</v>
      </c>
      <c r="O7" s="132">
        <f>'WGJ-2 Page 1'!O7</f>
        <v>-10823724</v>
      </c>
      <c r="P7" s="132">
        <f>'WGJ-2 Page 1'!P7</f>
        <v>-10067740</v>
      </c>
      <c r="Q7" s="132">
        <f>'WGJ-2 Page 1'!Q7</f>
        <v>-11906194</v>
      </c>
    </row>
    <row r="8" spans="1:17">
      <c r="A8" s="128">
        <f>+A7+1</f>
        <v>3</v>
      </c>
      <c r="B8" s="134" t="s">
        <v>156</v>
      </c>
      <c r="D8" s="399">
        <f>'WGJ-2 Page 1'!D8:E8</f>
        <v>3518573</v>
      </c>
      <c r="E8" s="399"/>
      <c r="F8" s="132">
        <f>'WGJ-2 Page 1'!F8</f>
        <v>297264</v>
      </c>
      <c r="G8" s="132">
        <f>'WGJ-2 Page 1'!G8</f>
        <v>268606</v>
      </c>
      <c r="H8" s="132">
        <f>'WGJ-2 Page 1'!H8</f>
        <v>306942</v>
      </c>
      <c r="I8" s="132">
        <f>'WGJ-2 Page 1'!I8</f>
        <v>337238</v>
      </c>
      <c r="J8" s="132">
        <f>'WGJ-2 Page 1'!J8</f>
        <v>328649</v>
      </c>
      <c r="K8" s="132">
        <f>'WGJ-2 Page 1'!K8</f>
        <v>316893</v>
      </c>
      <c r="L8" s="132">
        <f>'WGJ-2 Page 1'!L8</f>
        <v>282911</v>
      </c>
      <c r="M8" s="132">
        <f>'WGJ-2 Page 1'!M8</f>
        <v>289200</v>
      </c>
      <c r="N8" s="132">
        <f>'WGJ-2 Page 1'!N8</f>
        <v>273184</v>
      </c>
      <c r="O8" s="132">
        <f>'WGJ-2 Page 1'!O8</f>
        <v>284648</v>
      </c>
      <c r="P8" s="132">
        <f>'WGJ-2 Page 1'!P8</f>
        <v>233019</v>
      </c>
      <c r="Q8" s="132">
        <f>'WGJ-2 Page 1'!Q8</f>
        <v>300019</v>
      </c>
    </row>
    <row r="9" spans="1:17">
      <c r="A9" s="128">
        <f t="shared" ref="A9:A15" si="0">A8+1</f>
        <v>4</v>
      </c>
      <c r="B9" s="25" t="s">
        <v>157</v>
      </c>
      <c r="D9" s="399">
        <f>'WGJ-2 Page 1'!D9:E9</f>
        <v>27282448</v>
      </c>
      <c r="E9" s="399"/>
      <c r="F9" s="132">
        <f>'WGJ-2 Page 1'!F9</f>
        <v>2404223</v>
      </c>
      <c r="G9" s="132">
        <f>'WGJ-2 Page 1'!G9</f>
        <v>2713455</v>
      </c>
      <c r="H9" s="132">
        <f>'WGJ-2 Page 1'!H9</f>
        <v>1871612</v>
      </c>
      <c r="I9" s="132">
        <f>'WGJ-2 Page 1'!I9</f>
        <v>2179270</v>
      </c>
      <c r="J9" s="132">
        <f>'WGJ-2 Page 1'!J9</f>
        <v>1105711</v>
      </c>
      <c r="K9" s="132">
        <f>'WGJ-2 Page 1'!K9</f>
        <v>1184588</v>
      </c>
      <c r="L9" s="132">
        <f>'WGJ-2 Page 1'!L9</f>
        <v>2197774</v>
      </c>
      <c r="M9" s="132">
        <f>'WGJ-2 Page 1'!M9</f>
        <v>3102692</v>
      </c>
      <c r="N9" s="132">
        <f>'WGJ-2 Page 1'!N9</f>
        <v>3305897</v>
      </c>
      <c r="O9" s="132">
        <f>'WGJ-2 Page 1'!O9</f>
        <v>2444916</v>
      </c>
      <c r="P9" s="132">
        <f>'WGJ-2 Page 1'!P9</f>
        <v>2249223</v>
      </c>
      <c r="Q9" s="132">
        <f>'WGJ-2 Page 1'!Q9</f>
        <v>2523087</v>
      </c>
    </row>
    <row r="10" spans="1:17">
      <c r="A10" s="128">
        <f t="shared" si="0"/>
        <v>5</v>
      </c>
      <c r="B10" s="25" t="s">
        <v>158</v>
      </c>
      <c r="D10" s="399">
        <f>'WGJ-2 Page 1'!D10:E10</f>
        <v>89150875</v>
      </c>
      <c r="E10" s="399"/>
      <c r="F10" s="132">
        <f>'WGJ-2 Page 1'!F10</f>
        <v>12167651</v>
      </c>
      <c r="G10" s="132">
        <f>'WGJ-2 Page 1'!G10</f>
        <v>13775030</v>
      </c>
      <c r="H10" s="132">
        <f>'WGJ-2 Page 1'!H10</f>
        <v>2035023</v>
      </c>
      <c r="I10" s="132">
        <f>'WGJ-2 Page 1'!I10</f>
        <v>1865777</v>
      </c>
      <c r="J10" s="132">
        <f>'WGJ-2 Page 1'!J10</f>
        <v>3891130</v>
      </c>
      <c r="K10" s="132">
        <f>'WGJ-2 Page 1'!K10</f>
        <v>2757899</v>
      </c>
      <c r="L10" s="132">
        <f>'WGJ-2 Page 1'!L10</f>
        <v>7030730</v>
      </c>
      <c r="M10" s="132">
        <f>'WGJ-2 Page 1'!M10</f>
        <v>10075246</v>
      </c>
      <c r="N10" s="132">
        <f>'WGJ-2 Page 1'!N10</f>
        <v>9938206</v>
      </c>
      <c r="O10" s="132">
        <f>'WGJ-2 Page 1'!O10</f>
        <v>9717054</v>
      </c>
      <c r="P10" s="132">
        <f>'WGJ-2 Page 1'!P10</f>
        <v>7979846</v>
      </c>
      <c r="Q10" s="132">
        <f>'WGJ-2 Page 1'!Q10</f>
        <v>7917283</v>
      </c>
    </row>
    <row r="11" spans="1:17">
      <c r="A11" s="128">
        <f t="shared" si="0"/>
        <v>6</v>
      </c>
      <c r="B11" s="20" t="s">
        <v>68</v>
      </c>
      <c r="C11" s="55"/>
      <c r="D11" s="399"/>
      <c r="E11" s="399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</row>
    <row r="12" spans="1:17">
      <c r="A12" s="135">
        <f t="shared" si="0"/>
        <v>7</v>
      </c>
      <c r="B12" s="20" t="s">
        <v>67</v>
      </c>
      <c r="C12" s="55"/>
      <c r="D12" s="364">
        <f>'WGJ-2 Page 1'!D12:E12</f>
        <v>18896021</v>
      </c>
      <c r="E12" s="364"/>
      <c r="F12" s="132">
        <f>'WGJ-2 Page 1'!F12</f>
        <v>1690954</v>
      </c>
      <c r="G12" s="132">
        <f>'WGJ-2 Page 1'!G12</f>
        <v>1610959</v>
      </c>
      <c r="H12" s="132">
        <f>'WGJ-2 Page 1'!H12</f>
        <v>1808808</v>
      </c>
      <c r="I12" s="132">
        <f>'WGJ-2 Page 1'!I12</f>
        <v>1580867</v>
      </c>
      <c r="J12" s="132">
        <f>'WGJ-2 Page 1'!J12</f>
        <v>1616581</v>
      </c>
      <c r="K12" s="132">
        <f>'WGJ-2 Page 1'!K12</f>
        <v>1590834</v>
      </c>
      <c r="L12" s="132">
        <f>'WGJ-2 Page 1'!L12</f>
        <v>1607039</v>
      </c>
      <c r="M12" s="132">
        <f>'WGJ-2 Page 1'!M12</f>
        <v>1648720</v>
      </c>
      <c r="N12" s="132">
        <f>'WGJ-2 Page 1'!N12</f>
        <v>1464333</v>
      </c>
      <c r="O12" s="132">
        <f>'WGJ-2 Page 1'!O12</f>
        <v>1428159</v>
      </c>
      <c r="P12" s="132">
        <f>'WGJ-2 Page 1'!P12</f>
        <v>1416770</v>
      </c>
      <c r="Q12" s="132">
        <f>'WGJ-2 Page 1'!Q12</f>
        <v>1431997</v>
      </c>
    </row>
    <row r="13" spans="1:17">
      <c r="A13" s="135">
        <f t="shared" si="0"/>
        <v>8</v>
      </c>
      <c r="B13" s="20" t="s">
        <v>159</v>
      </c>
      <c r="C13" s="55"/>
      <c r="D13" s="364">
        <f>'WGJ-2 Page 1'!D13:E13</f>
        <v>488277</v>
      </c>
      <c r="E13" s="364"/>
      <c r="F13" s="132">
        <f>'WGJ-2 Page 1'!F13</f>
        <v>55076</v>
      </c>
      <c r="G13" s="132">
        <f>'WGJ-2 Page 1'!G13</f>
        <v>37496</v>
      </c>
      <c r="H13" s="132">
        <f>'WGJ-2 Page 1'!H13</f>
        <v>73604</v>
      </c>
      <c r="I13" s="132">
        <f>'WGJ-2 Page 1'!I13</f>
        <v>59102</v>
      </c>
      <c r="J13" s="132">
        <f>'WGJ-2 Page 1'!J13</f>
        <v>33038</v>
      </c>
      <c r="K13" s="132">
        <f>'WGJ-2 Page 1'!K13</f>
        <v>34795</v>
      </c>
      <c r="L13" s="132">
        <f>'WGJ-2 Page 1'!L13</f>
        <v>27548</v>
      </c>
      <c r="M13" s="132">
        <f>'WGJ-2 Page 1'!M13</f>
        <v>38001</v>
      </c>
      <c r="N13" s="132">
        <f>'WGJ-2 Page 1'!N13</f>
        <v>48638</v>
      </c>
      <c r="O13" s="132">
        <f>'WGJ-2 Page 1'!O13</f>
        <v>34528</v>
      </c>
      <c r="P13" s="132">
        <f>'WGJ-2 Page 1'!P13</f>
        <v>30289</v>
      </c>
      <c r="Q13" s="132">
        <f>'WGJ-2 Page 1'!Q13</f>
        <v>16162</v>
      </c>
    </row>
    <row r="14" spans="1:17">
      <c r="A14" s="128">
        <f t="shared" si="0"/>
        <v>9</v>
      </c>
      <c r="B14" s="21" t="s">
        <v>160</v>
      </c>
      <c r="D14" s="400">
        <f>'WGJ-2 Page 1'!D14:E14</f>
        <v>0</v>
      </c>
      <c r="E14" s="400"/>
      <c r="F14" s="132">
        <f>'WGJ-2 Page 1'!F14</f>
        <v>0</v>
      </c>
      <c r="G14" s="132">
        <f>'WGJ-2 Page 1'!G14</f>
        <v>0</v>
      </c>
      <c r="H14" s="132">
        <f>'WGJ-2 Page 1'!H14</f>
        <v>0</v>
      </c>
      <c r="I14" s="132">
        <f>'WGJ-2 Page 1'!I14</f>
        <v>0</v>
      </c>
      <c r="J14" s="132">
        <f>'WGJ-2 Page 1'!J14</f>
        <v>0</v>
      </c>
      <c r="K14" s="132">
        <f>'WGJ-2 Page 1'!K14</f>
        <v>0</v>
      </c>
      <c r="L14" s="132">
        <f>'WGJ-2 Page 1'!L14</f>
        <v>0</v>
      </c>
      <c r="M14" s="132">
        <f>'WGJ-2 Page 1'!M14</f>
        <v>0</v>
      </c>
      <c r="N14" s="132">
        <f>'WGJ-2 Page 1'!N14</f>
        <v>0</v>
      </c>
      <c r="O14" s="132">
        <f>'WGJ-2 Page 1'!O14</f>
        <v>0</v>
      </c>
      <c r="P14" s="132">
        <f>'WGJ-2 Page 1'!P14</f>
        <v>0</v>
      </c>
      <c r="Q14" s="132">
        <f>'WGJ-2 Page 1'!Q14</f>
        <v>0</v>
      </c>
    </row>
    <row r="15" spans="1:17">
      <c r="A15" s="128">
        <f t="shared" si="0"/>
        <v>10</v>
      </c>
      <c r="B15" s="136" t="s">
        <v>161</v>
      </c>
      <c r="C15" s="136"/>
      <c r="D15" s="401">
        <f>SUM(D6:E14)</f>
        <v>186518749.78500003</v>
      </c>
      <c r="E15" s="401"/>
      <c r="F15" s="137">
        <f>SUM(F6:F14)</f>
        <v>21452297.565000001</v>
      </c>
      <c r="G15" s="137">
        <f t="shared" ref="G15:Q15" si="1">SUM(G6:G14)</f>
        <v>27979560.82</v>
      </c>
      <c r="H15" s="137">
        <f t="shared" si="1"/>
        <v>16353444.465</v>
      </c>
      <c r="I15" s="137">
        <f t="shared" si="1"/>
        <v>9126785.1349999998</v>
      </c>
      <c r="J15" s="137">
        <f t="shared" si="1"/>
        <v>5356458</v>
      </c>
      <c r="K15" s="137">
        <f t="shared" si="1"/>
        <v>5998574</v>
      </c>
      <c r="L15" s="137">
        <f t="shared" si="1"/>
        <v>10083269</v>
      </c>
      <c r="M15" s="137">
        <f t="shared" si="1"/>
        <v>18683406</v>
      </c>
      <c r="N15" s="137">
        <f t="shared" si="1"/>
        <v>17695996</v>
      </c>
      <c r="O15" s="137">
        <f t="shared" si="1"/>
        <v>15656608</v>
      </c>
      <c r="P15" s="137">
        <f t="shared" si="1"/>
        <v>20147572.02</v>
      </c>
      <c r="Q15" s="137">
        <f t="shared" si="1"/>
        <v>17984778.780000001</v>
      </c>
    </row>
    <row r="16" spans="1:17" ht="25.5" customHeight="1">
      <c r="B16" s="130" t="s">
        <v>162</v>
      </c>
      <c r="C16" s="24"/>
      <c r="D16" s="395" t="str">
        <f>'WGJ-2 Page 1'!D16:E16</f>
        <v>Total through December</v>
      </c>
      <c r="E16" s="395"/>
      <c r="F16" s="221">
        <f>F5</f>
        <v>41305</v>
      </c>
      <c r="G16" s="221">
        <f>G5</f>
        <v>41333</v>
      </c>
      <c r="H16" s="221">
        <f t="shared" ref="H16:Q16" si="2">H5</f>
        <v>41364</v>
      </c>
      <c r="I16" s="221">
        <f t="shared" si="2"/>
        <v>41394</v>
      </c>
      <c r="J16" s="221">
        <f t="shared" si="2"/>
        <v>41425</v>
      </c>
      <c r="K16" s="221">
        <f t="shared" si="2"/>
        <v>41455</v>
      </c>
      <c r="L16" s="221">
        <f t="shared" si="2"/>
        <v>41486</v>
      </c>
      <c r="M16" s="221">
        <f t="shared" si="2"/>
        <v>41517</v>
      </c>
      <c r="N16" s="221">
        <f t="shared" si="2"/>
        <v>41547</v>
      </c>
      <c r="O16" s="221">
        <f t="shared" si="2"/>
        <v>41578</v>
      </c>
      <c r="P16" s="221">
        <f t="shared" si="2"/>
        <v>41608</v>
      </c>
      <c r="Q16" s="221">
        <f t="shared" si="2"/>
        <v>41639</v>
      </c>
    </row>
    <row r="17" spans="1:26">
      <c r="A17" s="128">
        <f>A15+1</f>
        <v>11</v>
      </c>
      <c r="B17" s="138" t="s">
        <v>154</v>
      </c>
      <c r="C17" s="139"/>
      <c r="D17" s="403">
        <f>'WGJ-2 Page 1'!D17:E17</f>
        <v>130329130</v>
      </c>
      <c r="E17" s="403"/>
      <c r="F17" s="222">
        <f>'WGJ-2 Page 1'!F17</f>
        <v>14997446</v>
      </c>
      <c r="G17" s="222">
        <f>'WGJ-2 Page 1'!G17</f>
        <v>13232443</v>
      </c>
      <c r="H17" s="222">
        <f>'WGJ-2 Page 1'!H17</f>
        <v>12710608</v>
      </c>
      <c r="I17" s="222">
        <f>'WGJ-2 Page 1'!I17</f>
        <v>10429524</v>
      </c>
      <c r="J17" s="222">
        <f>'WGJ-2 Page 1'!J17</f>
        <v>8530863</v>
      </c>
      <c r="K17" s="222">
        <f>'WGJ-2 Page 1'!K17</f>
        <v>8277524</v>
      </c>
      <c r="L17" s="222">
        <f>'WGJ-2 Page 1'!L17</f>
        <v>8213533</v>
      </c>
      <c r="M17" s="222">
        <f>'WGJ-2 Page 1'!M17</f>
        <v>10240223</v>
      </c>
      <c r="N17" s="222">
        <f>'WGJ-2 Page 1'!N17</f>
        <v>8039783</v>
      </c>
      <c r="O17" s="222">
        <f>'WGJ-2 Page 1'!O17</f>
        <v>9414550</v>
      </c>
      <c r="P17" s="222">
        <f>'WGJ-2 Page 1'!P17</f>
        <v>12788401</v>
      </c>
      <c r="Q17" s="222">
        <f>'WGJ-2 Page 1'!Q17</f>
        <v>13454232</v>
      </c>
    </row>
    <row r="18" spans="1:26">
      <c r="A18" s="128">
        <f t="shared" ref="A18:A33" si="3">A17+1</f>
        <v>12</v>
      </c>
      <c r="B18" s="138" t="s">
        <v>155</v>
      </c>
      <c r="C18" s="139"/>
      <c r="D18" s="404">
        <f>'WGJ-2 Page 1'!D18:E18</f>
        <v>-84980824</v>
      </c>
      <c r="E18" s="404"/>
      <c r="F18" s="223">
        <f>'WGJ-2 Page 1'!F18</f>
        <v>-6903038</v>
      </c>
      <c r="G18" s="223">
        <f>'WGJ-2 Page 1'!G18</f>
        <v>-6253766</v>
      </c>
      <c r="H18" s="223">
        <f>'WGJ-2 Page 1'!H18</f>
        <v>-6574919</v>
      </c>
      <c r="I18" s="223">
        <f>'WGJ-2 Page 1'!I18</f>
        <v>-8035136</v>
      </c>
      <c r="J18" s="223">
        <f>'WGJ-2 Page 1'!J18</f>
        <v>-7462411</v>
      </c>
      <c r="K18" s="223">
        <f>'WGJ-2 Page 1'!K18</f>
        <v>-6358811</v>
      </c>
      <c r="L18" s="223">
        <f>'WGJ-2 Page 1'!L18</f>
        <v>-7752369</v>
      </c>
      <c r="M18" s="223">
        <f>'WGJ-2 Page 1'!M18</f>
        <v>-4810418</v>
      </c>
      <c r="N18" s="223">
        <f>'WGJ-2 Page 1'!N18</f>
        <v>-6289985</v>
      </c>
      <c r="O18" s="223">
        <f>'WGJ-2 Page 1'!O18</f>
        <v>-7401091</v>
      </c>
      <c r="P18" s="223">
        <f>'WGJ-2 Page 1'!P18</f>
        <v>-8405153</v>
      </c>
      <c r="Q18" s="223">
        <f>'WGJ-2 Page 1'!Q18</f>
        <v>-8733727</v>
      </c>
    </row>
    <row r="19" spans="1:26">
      <c r="A19" s="128">
        <f>+A18+1</f>
        <v>13</v>
      </c>
      <c r="B19" s="140" t="s">
        <v>156</v>
      </c>
      <c r="C19" s="139"/>
      <c r="D19" s="404">
        <f>'WGJ-2 Page 1'!D19:E19</f>
        <v>4607627</v>
      </c>
      <c r="E19" s="404"/>
      <c r="F19" s="223">
        <f>'WGJ-2 Page 1'!F19</f>
        <v>383968.91666666669</v>
      </c>
      <c r="G19" s="223">
        <f>'WGJ-2 Page 1'!G19</f>
        <v>383968.91666666669</v>
      </c>
      <c r="H19" s="223">
        <f>'WGJ-2 Page 1'!H19</f>
        <v>383968.91666666669</v>
      </c>
      <c r="I19" s="223">
        <f>'WGJ-2 Page 1'!I19</f>
        <v>383968.91666666669</v>
      </c>
      <c r="J19" s="223">
        <f>'WGJ-2 Page 1'!J19</f>
        <v>383968.91666666669</v>
      </c>
      <c r="K19" s="223">
        <f>'WGJ-2 Page 1'!K19</f>
        <v>383968.91666666669</v>
      </c>
      <c r="L19" s="223">
        <f>'WGJ-2 Page 1'!L19</f>
        <v>383968.91666666669</v>
      </c>
      <c r="M19" s="223">
        <f>'WGJ-2 Page 1'!M19</f>
        <v>383968.91666666669</v>
      </c>
      <c r="N19" s="223">
        <f>'WGJ-2 Page 1'!N19</f>
        <v>383968.91666666669</v>
      </c>
      <c r="O19" s="223">
        <f>'WGJ-2 Page 1'!O19</f>
        <v>383968.91666666669</v>
      </c>
      <c r="P19" s="223">
        <f>'WGJ-2 Page 1'!P19</f>
        <v>383968.91666666669</v>
      </c>
      <c r="Q19" s="223">
        <f>'WGJ-2 Page 1'!Q19</f>
        <v>383968.91666666669</v>
      </c>
    </row>
    <row r="20" spans="1:26">
      <c r="A20" s="128">
        <f>+A19+1</f>
        <v>14</v>
      </c>
      <c r="B20" s="138" t="s">
        <v>157</v>
      </c>
      <c r="C20" s="139"/>
      <c r="D20" s="404">
        <f>'WGJ-2 Page 1'!D20:E20</f>
        <v>31025396</v>
      </c>
      <c r="E20" s="404"/>
      <c r="F20" s="222">
        <f>'WGJ-2 Page 1'!F20</f>
        <v>2779051</v>
      </c>
      <c r="G20" s="222">
        <f>'WGJ-2 Page 1'!G20</f>
        <v>2667744</v>
      </c>
      <c r="H20" s="222">
        <f>'WGJ-2 Page 1'!H20</f>
        <v>2775501</v>
      </c>
      <c r="I20" s="222">
        <f>'WGJ-2 Page 1'!I20</f>
        <v>2020557</v>
      </c>
      <c r="J20" s="222">
        <f>'WGJ-2 Page 1'!J20</f>
        <v>1704426</v>
      </c>
      <c r="K20" s="222">
        <f>'WGJ-2 Page 1'!K20</f>
        <v>1475295</v>
      </c>
      <c r="L20" s="222">
        <f>'WGJ-2 Page 1'!L20</f>
        <v>2739032</v>
      </c>
      <c r="M20" s="222">
        <f>'WGJ-2 Page 1'!M20</f>
        <v>2967332</v>
      </c>
      <c r="N20" s="222">
        <f>'WGJ-2 Page 1'!N20</f>
        <v>2919939</v>
      </c>
      <c r="O20" s="222">
        <f>'WGJ-2 Page 1'!O20</f>
        <v>3052588</v>
      </c>
      <c r="P20" s="222">
        <f>'WGJ-2 Page 1'!P20</f>
        <v>2913823</v>
      </c>
      <c r="Q20" s="222">
        <f>'WGJ-2 Page 1'!Q20</f>
        <v>3010108</v>
      </c>
    </row>
    <row r="21" spans="1:26">
      <c r="A21" s="128">
        <f t="shared" si="3"/>
        <v>15</v>
      </c>
      <c r="B21" s="138" t="s">
        <v>158</v>
      </c>
      <c r="C21" s="139"/>
      <c r="D21" s="404">
        <f>'WGJ-2 Page 1'!D21:E21</f>
        <v>92382390</v>
      </c>
      <c r="E21" s="404"/>
      <c r="F21" s="222">
        <f>'WGJ-2 Page 1'!F21</f>
        <v>9324060</v>
      </c>
      <c r="G21" s="222">
        <f>'WGJ-2 Page 1'!G21</f>
        <v>8646899</v>
      </c>
      <c r="H21" s="222">
        <f>'WGJ-2 Page 1'!H21</f>
        <v>8377117</v>
      </c>
      <c r="I21" s="222">
        <f>'WGJ-2 Page 1'!I21</f>
        <v>4998775</v>
      </c>
      <c r="J21" s="222">
        <f>'WGJ-2 Page 1'!J21</f>
        <v>3034991</v>
      </c>
      <c r="K21" s="222">
        <f>'WGJ-2 Page 1'!K21</f>
        <v>2592359</v>
      </c>
      <c r="L21" s="222">
        <f>'WGJ-2 Page 1'!L21</f>
        <v>7522825</v>
      </c>
      <c r="M21" s="222">
        <f>'WGJ-2 Page 1'!M21</f>
        <v>8820667</v>
      </c>
      <c r="N21" s="222">
        <f>'WGJ-2 Page 1'!N21</f>
        <v>9214643</v>
      </c>
      <c r="O21" s="222">
        <f>'WGJ-2 Page 1'!O21</f>
        <v>9279297</v>
      </c>
      <c r="P21" s="222">
        <f>'WGJ-2 Page 1'!P21</f>
        <v>9863116</v>
      </c>
      <c r="Q21" s="222">
        <f>'WGJ-2 Page 1'!Q21</f>
        <v>10707641</v>
      </c>
    </row>
    <row r="22" spans="1:26">
      <c r="A22" s="128">
        <f t="shared" si="3"/>
        <v>16</v>
      </c>
      <c r="B22" s="138" t="s">
        <v>68</v>
      </c>
      <c r="C22" s="139"/>
      <c r="D22" s="404"/>
      <c r="E22" s="404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</row>
    <row r="23" spans="1:26">
      <c r="A23" s="128">
        <f t="shared" si="3"/>
        <v>17</v>
      </c>
      <c r="B23" s="138" t="s">
        <v>67</v>
      </c>
      <c r="C23" s="139"/>
      <c r="D23" s="404">
        <f>'WGJ-2 Page 1'!D23:E23</f>
        <v>18058718.850000001</v>
      </c>
      <c r="E23" s="404"/>
      <c r="F23" s="224">
        <f>'WGJ-2 Page 1'!F23</f>
        <v>1520361</v>
      </c>
      <c r="G23" s="224">
        <f>'WGJ-2 Page 1'!G23</f>
        <v>1465382.28</v>
      </c>
      <c r="H23" s="224">
        <f>'WGJ-2 Page 1'!H23</f>
        <v>1508738.57</v>
      </c>
      <c r="I23" s="224">
        <f>'WGJ-2 Page 1'!I23</f>
        <v>1443538</v>
      </c>
      <c r="J23" s="224">
        <f>'WGJ-2 Page 1'!J23</f>
        <v>1426268</v>
      </c>
      <c r="K23" s="224">
        <f>'WGJ-2 Page 1'!K23</f>
        <v>1396752</v>
      </c>
      <c r="L23" s="222">
        <f>'WGJ-2 Page 1'!L23</f>
        <v>1441175</v>
      </c>
      <c r="M23" s="222">
        <f>'WGJ-2 Page 1'!M23</f>
        <v>1489048</v>
      </c>
      <c r="N23" s="222">
        <f>'WGJ-2 Page 1'!N23</f>
        <v>1492163</v>
      </c>
      <c r="O23" s="222">
        <f>'WGJ-2 Page 1'!O23</f>
        <v>1556734</v>
      </c>
      <c r="P23" s="222">
        <f>'WGJ-2 Page 1'!P23</f>
        <v>1674187</v>
      </c>
      <c r="Q23" s="222">
        <f>'WGJ-2 Page 1'!Q23</f>
        <v>1644372</v>
      </c>
    </row>
    <row r="24" spans="1:26">
      <c r="A24" s="128">
        <f t="shared" si="3"/>
        <v>18</v>
      </c>
      <c r="B24" s="138" t="s">
        <v>159</v>
      </c>
      <c r="C24" s="138"/>
      <c r="D24" s="405">
        <f>'WGJ-2 Page 1'!D24:E24</f>
        <v>883711</v>
      </c>
      <c r="E24" s="405"/>
      <c r="F24" s="222">
        <f>'WGJ-2 Page 1'!F24</f>
        <v>42656</v>
      </c>
      <c r="G24" s="222">
        <f>'WGJ-2 Page 1'!G24</f>
        <v>64015</v>
      </c>
      <c r="H24" s="222">
        <f>'WGJ-2 Page 1'!H24</f>
        <v>129860</v>
      </c>
      <c r="I24" s="222">
        <f>'WGJ-2 Page 1'!I24</f>
        <v>97390</v>
      </c>
      <c r="J24" s="222">
        <f>'WGJ-2 Page 1'!J24</f>
        <v>52577</v>
      </c>
      <c r="K24" s="222">
        <f>'WGJ-2 Page 1'!K24</f>
        <v>70281</v>
      </c>
      <c r="L24" s="222">
        <f>'WGJ-2 Page 1'!L24</f>
        <v>65808</v>
      </c>
      <c r="M24" s="222">
        <f>'WGJ-2 Page 1'!M24</f>
        <v>76848</v>
      </c>
      <c r="N24" s="222">
        <f>'WGJ-2 Page 1'!N24</f>
        <v>86944</v>
      </c>
      <c r="O24" s="222">
        <f>'WGJ-2 Page 1'!O24</f>
        <v>43966</v>
      </c>
      <c r="P24" s="222">
        <f>'WGJ-2 Page 1'!P24</f>
        <v>52696</v>
      </c>
      <c r="Q24" s="222">
        <f>'WGJ-2 Page 1'!Q24</f>
        <v>100670</v>
      </c>
    </row>
    <row r="25" spans="1:26">
      <c r="A25" s="128">
        <f t="shared" si="3"/>
        <v>19</v>
      </c>
      <c r="B25" s="136" t="s">
        <v>164</v>
      </c>
      <c r="C25" s="136"/>
      <c r="D25" s="401">
        <f>SUM(D17:E24)</f>
        <v>192306148.84999999</v>
      </c>
      <c r="E25" s="401"/>
      <c r="F25" s="141">
        <f>SUM(F17:F24)</f>
        <v>22144504.916666664</v>
      </c>
      <c r="G25" s="141">
        <f t="shared" ref="G25:Q25" si="4">SUM(G17:G24)</f>
        <v>20206686.196666669</v>
      </c>
      <c r="H25" s="141">
        <f t="shared" si="4"/>
        <v>19310874.486666668</v>
      </c>
      <c r="I25" s="141">
        <f t="shared" si="4"/>
        <v>11338616.916666666</v>
      </c>
      <c r="J25" s="141">
        <f t="shared" si="4"/>
        <v>7670682.916666667</v>
      </c>
      <c r="K25" s="141">
        <f t="shared" si="4"/>
        <v>7837368.916666666</v>
      </c>
      <c r="L25" s="141">
        <f t="shared" si="4"/>
        <v>12613972.916666668</v>
      </c>
      <c r="M25" s="141">
        <f t="shared" si="4"/>
        <v>19167668.916666668</v>
      </c>
      <c r="N25" s="141">
        <f t="shared" si="4"/>
        <v>15847455.916666666</v>
      </c>
      <c r="O25" s="141">
        <f t="shared" si="4"/>
        <v>16330012.916666666</v>
      </c>
      <c r="P25" s="141">
        <f t="shared" si="4"/>
        <v>19271038.916666668</v>
      </c>
      <c r="Q25" s="141">
        <f t="shared" si="4"/>
        <v>20567264.916666668</v>
      </c>
    </row>
    <row r="26" spans="1:26">
      <c r="A26" s="128">
        <f t="shared" si="3"/>
        <v>20</v>
      </c>
      <c r="B26" s="136" t="s">
        <v>165</v>
      </c>
      <c r="C26" s="136"/>
      <c r="D26" s="406">
        <f>D15-D25</f>
        <v>-5787399.0649999678</v>
      </c>
      <c r="E26" s="406" t="str">
        <f>IF(E15=0," ",E15-E25)</f>
        <v xml:space="preserve"> </v>
      </c>
      <c r="F26" s="141">
        <f>IF(F15=0," ",F15-F25)</f>
        <v>-692207.35166666284</v>
      </c>
      <c r="G26" s="141">
        <f t="shared" ref="G26:Q26" si="5">IF(G15=0," ",G15-G25)</f>
        <v>7772874.6233333312</v>
      </c>
      <c r="H26" s="141">
        <f t="shared" si="5"/>
        <v>-2957430.0216666684</v>
      </c>
      <c r="I26" s="141">
        <f t="shared" si="5"/>
        <v>-2211831.7816666663</v>
      </c>
      <c r="J26" s="141">
        <f t="shared" si="5"/>
        <v>-2314224.916666667</v>
      </c>
      <c r="K26" s="141">
        <f t="shared" si="5"/>
        <v>-1838794.916666666</v>
      </c>
      <c r="L26" s="141">
        <f>IF(L15=0," ",L15-L25)</f>
        <v>-2530703.9166666679</v>
      </c>
      <c r="M26" s="141">
        <f t="shared" si="5"/>
        <v>-484262.91666666791</v>
      </c>
      <c r="N26" s="141">
        <f t="shared" si="5"/>
        <v>1848540.083333334</v>
      </c>
      <c r="O26" s="141">
        <f t="shared" si="5"/>
        <v>-673404.91666666605</v>
      </c>
      <c r="P26" s="141">
        <f t="shared" si="5"/>
        <v>876533.10333333164</v>
      </c>
      <c r="Q26" s="141">
        <f t="shared" si="5"/>
        <v>-2582486.1366666667</v>
      </c>
      <c r="Z26" s="186"/>
    </row>
    <row r="27" spans="1:26">
      <c r="A27" s="135">
        <f t="shared" si="3"/>
        <v>21</v>
      </c>
      <c r="B27" s="142" t="s">
        <v>309</v>
      </c>
      <c r="C27" s="142"/>
      <c r="D27" s="407">
        <f>SUM(F27:Q27)</f>
        <v>-1407744</v>
      </c>
      <c r="E27" s="407"/>
      <c r="F27" s="143">
        <f>'WGJ-2 Page 1'!F27</f>
        <v>-405020</v>
      </c>
      <c r="G27" s="143">
        <f>'WGJ-2 Page 1'!G27</f>
        <v>-2232888</v>
      </c>
      <c r="H27" s="143">
        <f>'WGJ-2 Page 1'!H27</f>
        <v>-1335360</v>
      </c>
      <c r="I27" s="143">
        <f>'WGJ-2 Page 1'!I27</f>
        <v>-442568</v>
      </c>
      <c r="J27" s="143">
        <f>'WGJ-2 Page 1'!J27</f>
        <v>-414608</v>
      </c>
      <c r="K27" s="143">
        <f>'WGJ-2 Page 2,3'!J126</f>
        <v>-459113</v>
      </c>
      <c r="L27" s="143">
        <f>'WGJ-2 Page 2,3'!K126</f>
        <v>1609214</v>
      </c>
      <c r="M27" s="143">
        <f>'WGJ-2 Page 2,3'!L126</f>
        <v>876652</v>
      </c>
      <c r="N27" s="143">
        <f>'WGJ-2 Page 2,3'!M126</f>
        <v>668141</v>
      </c>
      <c r="O27" s="143">
        <f>'WGJ-2 Page 2,3'!N126</f>
        <v>-223497</v>
      </c>
      <c r="P27" s="143">
        <f>'WGJ-2 Page 2,3'!O126</f>
        <v>187654</v>
      </c>
      <c r="Q27" s="143">
        <f>'WGJ-2 Page 2,3'!P126</f>
        <v>763649</v>
      </c>
    </row>
    <row r="28" spans="1:26" ht="15">
      <c r="A28" s="128">
        <f t="shared" si="3"/>
        <v>22</v>
      </c>
      <c r="B28" s="25" t="s">
        <v>167</v>
      </c>
      <c r="D28" s="402">
        <f>D26+D27</f>
        <v>-7195143.0649999678</v>
      </c>
      <c r="E28" s="402"/>
      <c r="F28" s="154">
        <f t="shared" ref="F28:Q28" si="6">SUM(F26:F27)</f>
        <v>-1097227.3516666628</v>
      </c>
      <c r="G28" s="166">
        <f t="shared" si="6"/>
        <v>5539986.6233333312</v>
      </c>
      <c r="H28" s="166">
        <f t="shared" si="6"/>
        <v>-4292790.0216666684</v>
      </c>
      <c r="I28" s="166">
        <f t="shared" si="6"/>
        <v>-2654399.7816666663</v>
      </c>
      <c r="J28" s="166">
        <f t="shared" si="6"/>
        <v>-2728832.916666667</v>
      </c>
      <c r="K28" s="166">
        <f t="shared" si="6"/>
        <v>-2297907.916666666</v>
      </c>
      <c r="L28" s="166">
        <f t="shared" si="6"/>
        <v>-921489.91666666791</v>
      </c>
      <c r="M28" s="166">
        <f t="shared" si="6"/>
        <v>392389.08333333209</v>
      </c>
      <c r="N28" s="166">
        <f t="shared" si="6"/>
        <v>2516681.083333334</v>
      </c>
      <c r="O28" s="166">
        <f t="shared" si="6"/>
        <v>-896901.91666666605</v>
      </c>
      <c r="P28" s="166">
        <f t="shared" si="6"/>
        <v>1064187.1033333316</v>
      </c>
      <c r="Q28" s="166">
        <f t="shared" si="6"/>
        <v>-1818837.1366666667</v>
      </c>
    </row>
    <row r="29" spans="1:26">
      <c r="A29" s="135">
        <f t="shared" si="3"/>
        <v>23</v>
      </c>
      <c r="B29" s="20" t="s">
        <v>168</v>
      </c>
      <c r="D29" s="145"/>
      <c r="E29" s="145"/>
      <c r="F29" s="225">
        <v>0.65239999999999998</v>
      </c>
      <c r="G29" s="225">
        <v>0.65239999999999998</v>
      </c>
      <c r="H29" s="225">
        <v>0.65239999999999998</v>
      </c>
      <c r="I29" s="225">
        <v>0.65239999999999998</v>
      </c>
      <c r="J29" s="225">
        <v>0.65239999999999998</v>
      </c>
      <c r="K29" s="225">
        <v>0.65239999999999998</v>
      </c>
      <c r="L29" s="225">
        <v>0.65239999999999998</v>
      </c>
      <c r="M29" s="225">
        <v>0.65239999999999998</v>
      </c>
      <c r="N29" s="225">
        <v>0.65239999999999998</v>
      </c>
      <c r="O29" s="225">
        <v>0.65239999999999998</v>
      </c>
      <c r="P29" s="225">
        <v>0.65239999999999998</v>
      </c>
      <c r="Q29" s="225">
        <v>0.65239999999999998</v>
      </c>
    </row>
    <row r="30" spans="1:26">
      <c r="A30" s="128">
        <f t="shared" si="3"/>
        <v>24</v>
      </c>
      <c r="B30" s="25" t="s">
        <v>169</v>
      </c>
      <c r="D30" s="381">
        <f>SUM(F30:Q30)</f>
        <v>-4694111.3356060022</v>
      </c>
      <c r="E30" s="381"/>
      <c r="F30" s="146">
        <f>+F28*F29</f>
        <v>-715831.12422733079</v>
      </c>
      <c r="G30" s="146">
        <f>+G28*G29</f>
        <v>3614287.273062665</v>
      </c>
      <c r="H30" s="146">
        <f>+H28*H29</f>
        <v>-2800616.2101353342</v>
      </c>
      <c r="I30" s="146">
        <f t="shared" ref="I30:Q30" si="7">+I28*I29</f>
        <v>-1731730.4175593329</v>
      </c>
      <c r="J30" s="146">
        <f t="shared" si="7"/>
        <v>-1780290.5948333335</v>
      </c>
      <c r="K30" s="146">
        <f t="shared" si="7"/>
        <v>-1499155.1248333328</v>
      </c>
      <c r="L30" s="146">
        <f t="shared" si="7"/>
        <v>-601180.02163333411</v>
      </c>
      <c r="M30" s="146">
        <f t="shared" si="7"/>
        <v>255994.63796666585</v>
      </c>
      <c r="N30" s="146">
        <f t="shared" si="7"/>
        <v>1641882.738766667</v>
      </c>
      <c r="O30" s="146">
        <f t="shared" si="7"/>
        <v>-585138.81043333292</v>
      </c>
      <c r="P30" s="146">
        <f t="shared" si="7"/>
        <v>694275.66621466551</v>
      </c>
      <c r="Q30" s="146">
        <f t="shared" si="7"/>
        <v>-1186609.3479613333</v>
      </c>
    </row>
    <row r="31" spans="1:26">
      <c r="A31" s="226">
        <f t="shared" si="3"/>
        <v>25</v>
      </c>
      <c r="B31" s="409" t="s">
        <v>170</v>
      </c>
      <c r="C31" s="409"/>
      <c r="D31" s="381">
        <f>SUM(F31:Q31)</f>
        <v>-4815523.45</v>
      </c>
      <c r="E31" s="381"/>
      <c r="F31" s="227">
        <f>'WGJ-2 Page 1'!F31</f>
        <v>-830723.85</v>
      </c>
      <c r="G31" s="227">
        <f>'WGJ-2 Page 1'!G31</f>
        <v>-125417.15</v>
      </c>
      <c r="H31" s="227">
        <f>'WGJ-2 Page 1'!H31</f>
        <v>-417081.94999999995</v>
      </c>
      <c r="I31" s="227">
        <f>'WGJ-2 Page 1'!I31</f>
        <v>-534397.29999999993</v>
      </c>
      <c r="J31" s="227">
        <f>'WGJ-2 Page 1'!J31</f>
        <v>-503758.35</v>
      </c>
      <c r="K31" s="227">
        <f>'WGJ-2 Page 1'!K31</f>
        <v>423447.64999999997</v>
      </c>
      <c r="L31" s="227">
        <f>'WGJ-2 Page 1'!L31</f>
        <v>-1982497.5999999999</v>
      </c>
      <c r="M31" s="227">
        <f>'WGJ-2 Page 1'!M31</f>
        <v>-318928</v>
      </c>
      <c r="N31" s="227">
        <f>'WGJ-2 Page 1'!N31</f>
        <v>-526166.9</v>
      </c>
      <c r="O31" s="228"/>
      <c r="P31" s="228"/>
      <c r="Q31" s="228"/>
    </row>
    <row r="32" spans="1:26">
      <c r="A32" s="229">
        <f t="shared" si="3"/>
        <v>26</v>
      </c>
      <c r="B32" s="375" t="s">
        <v>171</v>
      </c>
      <c r="C32" s="375"/>
      <c r="D32" s="376">
        <f>SUM(F32:Q32)</f>
        <v>-9509634.7856060006</v>
      </c>
      <c r="E32" s="376"/>
      <c r="F32" s="147">
        <f>IF(F15=0," ",F30+F31)</f>
        <v>-1546554.9742273306</v>
      </c>
      <c r="G32" s="147">
        <f t="shared" ref="G32:Q32" si="8">IF(G15=0," ",G30+G31)</f>
        <v>3488870.1230626651</v>
      </c>
      <c r="H32" s="147">
        <f t="shared" si="8"/>
        <v>-3217698.1601353344</v>
      </c>
      <c r="I32" s="147">
        <f t="shared" si="8"/>
        <v>-2266127.717559333</v>
      </c>
      <c r="J32" s="147">
        <f t="shared" si="8"/>
        <v>-2284048.9448333336</v>
      </c>
      <c r="K32" s="147">
        <f t="shared" si="8"/>
        <v>-1075707.4748333329</v>
      </c>
      <c r="L32" s="147">
        <f t="shared" si="8"/>
        <v>-2583677.6216333341</v>
      </c>
      <c r="M32" s="147">
        <f t="shared" si="8"/>
        <v>-62933.362033334153</v>
      </c>
      <c r="N32" s="147">
        <f t="shared" si="8"/>
        <v>1115715.8387666671</v>
      </c>
      <c r="O32" s="147">
        <f t="shared" si="8"/>
        <v>-585138.81043333292</v>
      </c>
      <c r="P32" s="147">
        <f t="shared" si="8"/>
        <v>694275.66621466551</v>
      </c>
      <c r="Q32" s="147">
        <f t="shared" si="8"/>
        <v>-1186609.3479613333</v>
      </c>
    </row>
    <row r="33" spans="1:17">
      <c r="A33" s="230">
        <f t="shared" si="3"/>
        <v>27</v>
      </c>
      <c r="B33" s="136" t="s">
        <v>173</v>
      </c>
      <c r="C33" s="136"/>
      <c r="D33" s="148"/>
      <c r="E33" s="148"/>
      <c r="F33" s="149">
        <f>IF(F15=0," ",F32)</f>
        <v>-1546554.9742273306</v>
      </c>
      <c r="G33" s="149">
        <f>IF(G31=0," ",+F33+G32)</f>
        <v>1942315.1488353345</v>
      </c>
      <c r="H33" s="149">
        <f>IF(H31=0," ",+G33+H32)</f>
        <v>-1275383.0112999999</v>
      </c>
      <c r="I33" s="149">
        <f t="shared" ref="I33:Q33" si="9">IF(I31=0," ",+H33+I32)</f>
        <v>-3541510.7288593329</v>
      </c>
      <c r="J33" s="149">
        <f t="shared" si="9"/>
        <v>-5825559.673692666</v>
      </c>
      <c r="K33" s="149">
        <f t="shared" si="9"/>
        <v>-6901267.1485259989</v>
      </c>
      <c r="L33" s="149">
        <f>IF(L31=0," ",+K33+L32)</f>
        <v>-9484944.7701593339</v>
      </c>
      <c r="M33" s="149">
        <f>IF(M31=0," ",+L33+M32)</f>
        <v>-9547878.1321926676</v>
      </c>
      <c r="N33" s="149">
        <f>IF(N31=0," ",+M33+N32)</f>
        <v>-8432162.2934259996</v>
      </c>
      <c r="O33" s="149" t="str">
        <f t="shared" si="9"/>
        <v xml:space="preserve"> </v>
      </c>
      <c r="P33" s="149" t="str">
        <f t="shared" si="9"/>
        <v xml:space="preserve"> </v>
      </c>
      <c r="Q33" s="149" t="str">
        <f t="shared" si="9"/>
        <v xml:space="preserve"> </v>
      </c>
    </row>
    <row r="34" spans="1:17">
      <c r="A34" s="150" t="s">
        <v>174</v>
      </c>
      <c r="B34" s="151">
        <v>10000000</v>
      </c>
      <c r="C34" s="152" t="s">
        <v>175</v>
      </c>
      <c r="D34" s="153">
        <v>0.9</v>
      </c>
      <c r="E34" s="153">
        <v>0.9</v>
      </c>
      <c r="F34" s="154">
        <f>IF(F15=0," ",IF(ABS(F$33)&lt;$B34,0,(ABS(F$33)-$B34)*SIGN(F$33)))</f>
        <v>0</v>
      </c>
      <c r="G34" s="154">
        <f t="shared" ref="G34:Q34" si="10">IF(G15=0," ",IF(ABS(G$33)&lt;$B34,0,(ABS(G$33)-$B34)*SIGN(G$33)))</f>
        <v>0</v>
      </c>
      <c r="H34" s="154">
        <f t="shared" si="10"/>
        <v>0</v>
      </c>
      <c r="I34" s="154">
        <f t="shared" si="10"/>
        <v>0</v>
      </c>
      <c r="J34" s="154">
        <f t="shared" si="10"/>
        <v>0</v>
      </c>
      <c r="K34" s="154">
        <f t="shared" si="10"/>
        <v>0</v>
      </c>
      <c r="L34" s="154">
        <f t="shared" si="10"/>
        <v>0</v>
      </c>
      <c r="M34" s="154">
        <f t="shared" si="10"/>
        <v>0</v>
      </c>
      <c r="N34" s="154">
        <f t="shared" si="10"/>
        <v>0</v>
      </c>
      <c r="O34" s="154" t="e">
        <f t="shared" si="10"/>
        <v>#VALUE!</v>
      </c>
      <c r="P34" s="154" t="e">
        <f t="shared" si="10"/>
        <v>#VALUE!</v>
      </c>
      <c r="Q34" s="154" t="e">
        <f t="shared" si="10"/>
        <v>#VALUE!</v>
      </c>
    </row>
    <row r="35" spans="1:17">
      <c r="A35" s="150" t="s">
        <v>174</v>
      </c>
      <c r="B35" s="151">
        <v>4000000</v>
      </c>
      <c r="C35" s="152" t="str">
        <f>"to "&amp;TEXT(B34,"$#,##0,,")&amp;"M"</f>
        <v>to $10M</v>
      </c>
      <c r="D35" s="153">
        <v>0.5</v>
      </c>
      <c r="E35" s="153">
        <v>0.75</v>
      </c>
      <c r="F35" s="154">
        <f>IF(F15=0," ",IF(ABS(F$33)&lt;$B35,0,MIN($B$34-$B$35,ABS(F$33)-$B35)*SIGN(F$33)))</f>
        <v>0</v>
      </c>
      <c r="G35" s="154">
        <f t="shared" ref="G35:Q35" si="11">IF(G15=0," ",IF(ABS(G$33)&lt;$B35,0,MIN($B$34-$B$35,ABS(G$33)-$B35)*SIGN(G$33)))</f>
        <v>0</v>
      </c>
      <c r="H35" s="154">
        <f t="shared" si="11"/>
        <v>0</v>
      </c>
      <c r="I35" s="154">
        <f t="shared" si="11"/>
        <v>0</v>
      </c>
      <c r="J35" s="154">
        <f t="shared" si="11"/>
        <v>-1825559.673692666</v>
      </c>
      <c r="K35" s="154">
        <f t="shared" si="11"/>
        <v>-2901267.1485259989</v>
      </c>
      <c r="L35" s="154">
        <f t="shared" si="11"/>
        <v>-5484944.7701593339</v>
      </c>
      <c r="M35" s="154">
        <f t="shared" si="11"/>
        <v>-5547878.1321926676</v>
      </c>
      <c r="N35" s="154">
        <f t="shared" si="11"/>
        <v>-4432162.2934259996</v>
      </c>
      <c r="O35" s="154" t="e">
        <f t="shared" si="11"/>
        <v>#VALUE!</v>
      </c>
      <c r="P35" s="154" t="e">
        <f t="shared" si="11"/>
        <v>#VALUE!</v>
      </c>
      <c r="Q35" s="154" t="e">
        <f t="shared" si="11"/>
        <v>#VALUE!</v>
      </c>
    </row>
    <row r="36" spans="1:17">
      <c r="A36" s="150" t="s">
        <v>174</v>
      </c>
      <c r="B36" s="151">
        <v>0</v>
      </c>
      <c r="C36" s="152" t="str">
        <f>"to "&amp;TEXT(B35,"$#,##0,,")&amp;"M"</f>
        <v>to $4M</v>
      </c>
      <c r="D36" s="153">
        <v>0</v>
      </c>
      <c r="E36" s="153">
        <v>0</v>
      </c>
      <c r="F36" s="154">
        <f>IF(F15=0," ",IF(ABS(F$33)&lt;$B36,0,MIN($B$35-$B$36,ABS(F$33)-$B36)*SIGN(F$33)))</f>
        <v>-1546554.9742273306</v>
      </c>
      <c r="G36" s="154">
        <f t="shared" ref="G36:Q36" si="12">IF(G15=0," ",IF(ABS(G$33)&lt;$B36,0,MIN($B$35-$B$36,ABS(G$33)-$B36)*SIGN(G$33)))</f>
        <v>1942315.1488353345</v>
      </c>
      <c r="H36" s="154">
        <f t="shared" si="12"/>
        <v>-1275383.0112999999</v>
      </c>
      <c r="I36" s="154">
        <f t="shared" si="12"/>
        <v>-3541510.7288593329</v>
      </c>
      <c r="J36" s="154">
        <f t="shared" si="12"/>
        <v>-4000000</v>
      </c>
      <c r="K36" s="154">
        <f t="shared" si="12"/>
        <v>-4000000</v>
      </c>
      <c r="L36" s="154">
        <f t="shared" si="12"/>
        <v>-4000000</v>
      </c>
      <c r="M36" s="154">
        <f t="shared" si="12"/>
        <v>-4000000</v>
      </c>
      <c r="N36" s="154">
        <f t="shared" si="12"/>
        <v>-4000000</v>
      </c>
      <c r="O36" s="154" t="e">
        <f t="shared" si="12"/>
        <v>#VALUE!</v>
      </c>
      <c r="P36" s="154" t="e">
        <f t="shared" si="12"/>
        <v>#VALUE!</v>
      </c>
      <c r="Q36" s="154" t="e">
        <f t="shared" si="12"/>
        <v>#VALUE!</v>
      </c>
    </row>
    <row r="37" spans="1:17">
      <c r="A37" s="25"/>
      <c r="B37" s="156"/>
      <c r="C37" s="157" t="s">
        <v>176</v>
      </c>
      <c r="D37" s="158"/>
      <c r="E37" s="158"/>
      <c r="F37" s="159">
        <f>IF(F15=0," ",SUM(F34:F36)-F33)</f>
        <v>0</v>
      </c>
      <c r="G37" s="159">
        <f t="shared" ref="G37:Q37" si="13">IF(G15=0," ",SUM(G34:G36)-G33)</f>
        <v>0</v>
      </c>
      <c r="H37" s="159">
        <f t="shared" si="13"/>
        <v>0</v>
      </c>
      <c r="I37" s="159">
        <f t="shared" si="13"/>
        <v>0</v>
      </c>
      <c r="J37" s="159">
        <f t="shared" si="13"/>
        <v>0</v>
      </c>
      <c r="K37" s="159">
        <f t="shared" si="13"/>
        <v>0</v>
      </c>
      <c r="L37" s="159">
        <f t="shared" si="13"/>
        <v>0</v>
      </c>
      <c r="M37" s="159">
        <f t="shared" si="13"/>
        <v>0</v>
      </c>
      <c r="N37" s="159">
        <f t="shared" si="13"/>
        <v>0</v>
      </c>
      <c r="O37" s="159" t="e">
        <f t="shared" si="13"/>
        <v>#VALUE!</v>
      </c>
      <c r="P37" s="159" t="e">
        <f t="shared" si="13"/>
        <v>#VALUE!</v>
      </c>
      <c r="Q37" s="159" t="e">
        <f t="shared" si="13"/>
        <v>#VALUE!</v>
      </c>
    </row>
    <row r="38" spans="1:17">
      <c r="A38" s="25" t="s">
        <v>177</v>
      </c>
      <c r="D38" s="161"/>
      <c r="E38" s="161"/>
      <c r="F38" s="154">
        <f>IF(F15=0," ",SUMPRODUCT(IF(F33&gt;0,$D$34:$D$36,$E$34:$E$36),F34:F36))</f>
        <v>0</v>
      </c>
      <c r="G38" s="154">
        <f t="shared" ref="G38:Q38" si="14">IF(G15=0," ",SUMPRODUCT(IF(G33&gt;0,$D$34:$D$36,$E$34:$E$36),G34:G36))</f>
        <v>0</v>
      </c>
      <c r="H38" s="154">
        <f t="shared" si="14"/>
        <v>0</v>
      </c>
      <c r="I38" s="154">
        <f t="shared" si="14"/>
        <v>0</v>
      </c>
      <c r="J38" s="154">
        <f t="shared" si="14"/>
        <v>-1369169.7552694995</v>
      </c>
      <c r="K38" s="154">
        <f t="shared" si="14"/>
        <v>-2175950.3613944994</v>
      </c>
      <c r="L38" s="154">
        <f t="shared" si="14"/>
        <v>-4113708.5776195005</v>
      </c>
      <c r="M38" s="154">
        <f t="shared" si="14"/>
        <v>-4160908.5991445007</v>
      </c>
      <c r="N38" s="154">
        <f t="shared" si="14"/>
        <v>-3324121.7200694997</v>
      </c>
      <c r="O38" s="154" t="e">
        <f t="shared" si="14"/>
        <v>#VALUE!</v>
      </c>
      <c r="P38" s="154" t="e">
        <f t="shared" si="14"/>
        <v>#VALUE!</v>
      </c>
      <c r="Q38" s="154" t="e">
        <f t="shared" si="14"/>
        <v>#VALUE!</v>
      </c>
    </row>
    <row r="39" spans="1:17">
      <c r="A39" s="25" t="s">
        <v>179</v>
      </c>
      <c r="D39" s="162"/>
      <c r="E39" s="162"/>
      <c r="F39" s="154">
        <f>IF(F15=0," ",F38-D38)</f>
        <v>0</v>
      </c>
      <c r="G39" s="154">
        <f t="shared" ref="G39:Q39" si="15">IF(G15=0," ",G38-F38)</f>
        <v>0</v>
      </c>
      <c r="H39" s="154">
        <f t="shared" si="15"/>
        <v>0</v>
      </c>
      <c r="I39" s="154">
        <f t="shared" si="15"/>
        <v>0</v>
      </c>
      <c r="J39" s="154">
        <f t="shared" si="15"/>
        <v>-1369169.7552694995</v>
      </c>
      <c r="K39" s="154">
        <f t="shared" si="15"/>
        <v>-806780.60612499993</v>
      </c>
      <c r="L39" s="154">
        <f t="shared" si="15"/>
        <v>-1937758.216225001</v>
      </c>
      <c r="M39" s="154">
        <f t="shared" si="15"/>
        <v>-47200.021525000222</v>
      </c>
      <c r="N39" s="154">
        <f t="shared" si="15"/>
        <v>836786.87907500099</v>
      </c>
      <c r="O39" s="154" t="e">
        <f t="shared" si="15"/>
        <v>#VALUE!</v>
      </c>
      <c r="P39" s="154" t="e">
        <f t="shared" si="15"/>
        <v>#VALUE!</v>
      </c>
      <c r="Q39" s="154" t="e">
        <f t="shared" si="15"/>
        <v>#VALUE!</v>
      </c>
    </row>
    <row r="40" spans="1:17">
      <c r="A40" s="410" t="s">
        <v>180</v>
      </c>
      <c r="B40" s="410"/>
      <c r="C40" s="410"/>
      <c r="D40" s="376" t="e">
        <f>SUM(F40:Q40)</f>
        <v>#VALUE!</v>
      </c>
      <c r="E40" s="376"/>
      <c r="F40" s="163">
        <f>IF(F15=0," ",-F39-E39)</f>
        <v>0</v>
      </c>
      <c r="G40" s="163">
        <f>IF(G15=0," ",-G39-F39)</f>
        <v>0</v>
      </c>
      <c r="H40" s="163">
        <f>IF(H15=0," ",-H39-G39)</f>
        <v>0</v>
      </c>
      <c r="I40" s="163">
        <f>IF(I15=0," ",-I39)</f>
        <v>0</v>
      </c>
      <c r="J40" s="163">
        <f t="shared" ref="J40:Q40" si="16">IF(J15=0," ",-J39)</f>
        <v>1369169.7552694995</v>
      </c>
      <c r="K40" s="163">
        <f t="shared" si="16"/>
        <v>806780.60612499993</v>
      </c>
      <c r="L40" s="163">
        <f t="shared" si="16"/>
        <v>1937758.216225001</v>
      </c>
      <c r="M40" s="163">
        <f t="shared" si="16"/>
        <v>47200.021525000222</v>
      </c>
      <c r="N40" s="163">
        <f t="shared" si="16"/>
        <v>-836786.87907500099</v>
      </c>
      <c r="O40" s="163" t="e">
        <f t="shared" si="16"/>
        <v>#VALUE!</v>
      </c>
      <c r="P40" s="163" t="e">
        <f t="shared" si="16"/>
        <v>#VALUE!</v>
      </c>
      <c r="Q40" s="163" t="e">
        <f t="shared" si="16"/>
        <v>#VALUE!</v>
      </c>
    </row>
    <row r="41" spans="1:17" ht="13.8" thickBot="1">
      <c r="A41" s="408" t="s">
        <v>181</v>
      </c>
      <c r="B41" s="408"/>
      <c r="C41" s="408"/>
      <c r="D41" s="164"/>
      <c r="E41" s="164"/>
      <c r="F41" s="165">
        <f>IF(F15=0," ",F33-F38)</f>
        <v>-1546554.9742273306</v>
      </c>
      <c r="G41" s="165">
        <f t="shared" ref="G41:Q41" si="17">IF(G15=0," ",G33-G38)</f>
        <v>1942315.1488353345</v>
      </c>
      <c r="H41" s="165">
        <f t="shared" si="17"/>
        <v>-1275383.0112999999</v>
      </c>
      <c r="I41" s="165">
        <f t="shared" si="17"/>
        <v>-3541510.7288593329</v>
      </c>
      <c r="J41" s="165">
        <f t="shared" si="17"/>
        <v>-4456389.9184231665</v>
      </c>
      <c r="K41" s="165">
        <f t="shared" si="17"/>
        <v>-4725316.7871314995</v>
      </c>
      <c r="L41" s="165">
        <f t="shared" si="17"/>
        <v>-5371236.1925398335</v>
      </c>
      <c r="M41" s="165">
        <f t="shared" si="17"/>
        <v>-5386969.5330481669</v>
      </c>
      <c r="N41" s="165">
        <f t="shared" si="17"/>
        <v>-5108040.5733564999</v>
      </c>
      <c r="O41" s="165" t="e">
        <f t="shared" si="17"/>
        <v>#VALUE!</v>
      </c>
      <c r="P41" s="165" t="e">
        <f t="shared" si="17"/>
        <v>#VALUE!</v>
      </c>
      <c r="Q41" s="165" t="e">
        <f t="shared" si="17"/>
        <v>#VALUE!</v>
      </c>
    </row>
    <row r="42" spans="1:17" ht="13.8" thickTop="1"/>
  </sheetData>
  <mergeCells count="32">
    <mergeCell ref="A41:C41"/>
    <mergeCell ref="D30:E30"/>
    <mergeCell ref="B31:C31"/>
    <mergeCell ref="D31:E31"/>
    <mergeCell ref="B32:C32"/>
    <mergeCell ref="D32:E32"/>
    <mergeCell ref="A40:C40"/>
    <mergeCell ref="D40:E40"/>
    <mergeCell ref="D28:E28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16:E16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</mergeCells>
  <conditionalFormatting sqref="F37:Q37">
    <cfRule type="expression" dxfId="0" priority="1" stopIfTrue="1">
      <formula>ABS(F37)&gt;0.1</formula>
    </cfRule>
  </conditionalFormatting>
  <pageMargins left="0.2" right="0.2" top="0.75" bottom="0.75" header="0.3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F3349ED99AEA84F95503F108E8F45F0" ma:contentTypeVersion="119" ma:contentTypeDescription="" ma:contentTypeScope="" ma:versionID="2f70d3bc30184424e24f80807feff9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2015-03-31T07:00:00+00:00</OpenedDate>
    <Date1 xmlns="dc463f71-b30c-4ab2-9473-d307f9d35888">2015-03-31T07:00:00+00:00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150520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19D08AE-C945-44D5-A3AB-4A6DE8635DD8}"/>
</file>

<file path=customXml/itemProps2.xml><?xml version="1.0" encoding="utf-8"?>
<ds:datastoreItem xmlns:ds="http://schemas.openxmlformats.org/officeDocument/2006/customXml" ds:itemID="{0426AF92-9318-4850-B72F-272FF7DCBDC1}"/>
</file>

<file path=customXml/itemProps3.xml><?xml version="1.0" encoding="utf-8"?>
<ds:datastoreItem xmlns:ds="http://schemas.openxmlformats.org/officeDocument/2006/customXml" ds:itemID="{7A331449-C2C8-416C-BD88-1628CF2A6435}"/>
</file>

<file path=customXml/itemProps4.xml><?xml version="1.0" encoding="utf-8"?>
<ds:datastoreItem xmlns:ds="http://schemas.openxmlformats.org/officeDocument/2006/customXml" ds:itemID="{611CBF89-48AD-452C-A6D4-5EF1F3D430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WA bud vs auth</vt:lpstr>
      <vt:lpstr>WA act vs auth</vt:lpstr>
      <vt:lpstr>Directions</vt:lpstr>
      <vt:lpstr>WGJ-2 Page 1</vt:lpstr>
      <vt:lpstr>WGJ-2 Page 2,3</vt:lpstr>
      <vt:lpstr>WGJ-2 Page 4</vt:lpstr>
      <vt:lpstr>ID Rec Adjustment</vt:lpstr>
      <vt:lpstr>Notes</vt:lpstr>
      <vt:lpstr>Our Focus</vt:lpstr>
      <vt:lpstr>RRC Instructions</vt:lpstr>
      <vt:lpstr>AVARpt</vt:lpstr>
      <vt:lpstr>DefRpt</vt:lpstr>
      <vt:lpstr>GLAccts</vt:lpstr>
      <vt:lpstr>'Our Focus'!Print_Area</vt:lpstr>
      <vt:lpstr>'WA act vs auth'!Print_Area</vt:lpstr>
      <vt:lpstr>'WA bud vs auth'!Print_Area</vt:lpstr>
      <vt:lpstr>'WGJ-2 Page 1'!Print_Area</vt:lpstr>
      <vt:lpstr>'WGJ-2 Page 2,3'!Print_Area</vt:lpstr>
      <vt:lpstr>'WGJ-2 Page 4'!Print_Area</vt:lpstr>
      <vt:lpstr>'WA act vs auth'!Print_Titles</vt:lpstr>
      <vt:lpstr>'WA bud vs auth'!Print_Titles</vt:lpstr>
      <vt:lpstr>'WGJ-2 Page 2,3'!Print_Titles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tmm8381</dc:creator>
  <cp:lastModifiedBy>Denise Crawford</cp:lastModifiedBy>
  <cp:lastPrinted>2015-03-27T15:00:44Z</cp:lastPrinted>
  <dcterms:created xsi:type="dcterms:W3CDTF">2015-01-09T19:27:43Z</dcterms:created>
  <dcterms:modified xsi:type="dcterms:W3CDTF">2015-04-02T18:02:13Z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0x0101006E56B4D1795A2E4DB2F0B01679ED314A003F3349ED99AEA84F95503F108E8F45F0</vt:lpwstr>
  </property>
  <property fmtid="{D5CDD505-2E9C-101B-9397-08002B2CF9AE}" pid="3" name="_docset_NoMedatataSyncRequired">
    <vt:lpwstr>False</vt:lpwstr>
  </property>
</Properties>
</file>