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80" windowHeight="10040" firstSheet="3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Broadband" sheetId="12" r:id="rId6"/>
    <sheet name="PartBIncomeStmt(PY)" sheetId="1" r:id="rId7"/>
    <sheet name="PartBIncomeStmt(CY) " sheetId="9" r:id="rId8"/>
    <sheet name="PartBIncomeStmtSummary" sheetId="10" r:id="rId9"/>
    <sheet name="AccessRevDetail" sheetId="3" r:id="rId10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5" l="1"/>
  <c r="C40" i="11"/>
  <c r="B40" i="11"/>
  <c r="B42" i="11"/>
  <c r="C41" i="2"/>
  <c r="B41" i="2"/>
  <c r="B43" i="2"/>
  <c r="D10" i="12"/>
  <c r="E10" i="12" s="1"/>
  <c r="D11" i="12"/>
  <c r="E11" i="12" s="1"/>
  <c r="C12" i="12"/>
  <c r="C18" i="8" s="1"/>
  <c r="B12" i="12"/>
  <c r="B18" i="8" s="1"/>
  <c r="D12" i="12" l="1"/>
  <c r="E12" i="12" s="1"/>
  <c r="D13" i="3"/>
  <c r="C13" i="3"/>
  <c r="A4" i="3"/>
  <c r="B5" i="9"/>
  <c r="B5" i="1"/>
  <c r="A3" i="8"/>
  <c r="A3" i="12" s="1"/>
  <c r="A3" i="7"/>
  <c r="A2" i="11"/>
  <c r="D11" i="8" l="1"/>
  <c r="D10" i="8"/>
  <c r="D42" i="2"/>
  <c r="B42" i="5" s="1"/>
  <c r="C11" i="7" s="1"/>
  <c r="D41" i="11"/>
  <c r="C42" i="5" s="1"/>
  <c r="D45" i="2"/>
  <c r="B45" i="5" s="1"/>
  <c r="C12" i="7" s="1"/>
  <c r="D11" i="2"/>
  <c r="B11" i="5" s="1"/>
  <c r="D33" i="2"/>
  <c r="B33" i="5" s="1"/>
  <c r="B38" i="2"/>
  <c r="D18" i="3"/>
  <c r="C18" i="3"/>
  <c r="C24" i="11"/>
  <c r="C25" i="2"/>
  <c r="E56" i="9"/>
  <c r="D56" i="10" s="1"/>
  <c r="E56" i="1"/>
  <c r="C56" i="10" s="1"/>
  <c r="C55" i="1"/>
  <c r="E34" i="1"/>
  <c r="E35" i="1"/>
  <c r="I10" i="11"/>
  <c r="I12" i="11"/>
  <c r="G13" i="5" s="1"/>
  <c r="G45" i="11"/>
  <c r="C45" i="11"/>
  <c r="B45" i="11"/>
  <c r="D44" i="11"/>
  <c r="C45" i="5" s="1"/>
  <c r="D12" i="7" s="1"/>
  <c r="I43" i="11"/>
  <c r="G44" i="5" s="1"/>
  <c r="D43" i="11"/>
  <c r="C44" i="5"/>
  <c r="I42" i="11"/>
  <c r="G43" i="5" s="1"/>
  <c r="D42" i="11"/>
  <c r="C43" i="5" s="1"/>
  <c r="I41" i="11"/>
  <c r="G42" i="5"/>
  <c r="I40" i="11"/>
  <c r="G41" i="5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I36" i="11" s="1"/>
  <c r="D32" i="11"/>
  <c r="C33" i="5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D21" i="11"/>
  <c r="C22" i="5" s="1"/>
  <c r="D20" i="11"/>
  <c r="C21" i="5" s="1"/>
  <c r="D13" i="7" s="1"/>
  <c r="G19" i="11"/>
  <c r="G47" i="11" s="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/>
  <c r="D12" i="11"/>
  <c r="C13" i="5" s="1"/>
  <c r="I11" i="11"/>
  <c r="G12" i="5"/>
  <c r="D10" i="11"/>
  <c r="C11" i="5" s="1"/>
  <c r="I9" i="11"/>
  <c r="G10" i="5" s="1"/>
  <c r="D9" i="11"/>
  <c r="C10" i="5" s="1"/>
  <c r="C33" i="11"/>
  <c r="G34" i="5"/>
  <c r="E37" i="9"/>
  <c r="D37" i="10" s="1"/>
  <c r="E54" i="1"/>
  <c r="C54" i="10" s="1"/>
  <c r="E53" i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/>
  <c r="E40" i="9"/>
  <c r="D40" i="10" s="1"/>
  <c r="E39" i="9"/>
  <c r="D39" i="10" s="1"/>
  <c r="D38" i="9"/>
  <c r="C38" i="9"/>
  <c r="E36" i="9"/>
  <c r="D36" i="10" s="1"/>
  <c r="E35" i="9"/>
  <c r="D35" i="10"/>
  <c r="E34" i="9"/>
  <c r="D34" i="10" s="1"/>
  <c r="D32" i="9"/>
  <c r="C32" i="9"/>
  <c r="E31" i="9"/>
  <c r="D31" i="10" s="1"/>
  <c r="E30" i="9"/>
  <c r="D30" i="10" s="1"/>
  <c r="E29" i="9"/>
  <c r="E28" i="9"/>
  <c r="D28" i="10" s="1"/>
  <c r="D25" i="9"/>
  <c r="D26" i="9" s="1"/>
  <c r="C25" i="9"/>
  <c r="C26" i="9" s="1"/>
  <c r="C58" i="9" s="1"/>
  <c r="E24" i="9"/>
  <c r="D24" i="10" s="1"/>
  <c r="E23" i="9"/>
  <c r="E22" i="9"/>
  <c r="D22" i="10" s="1"/>
  <c r="E21" i="9"/>
  <c r="D21" i="10" s="1"/>
  <c r="E20" i="9"/>
  <c r="D20" i="10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C36" i="10" s="1"/>
  <c r="E37" i="1"/>
  <c r="C37" i="10" s="1"/>
  <c r="C34" i="10"/>
  <c r="E29" i="1"/>
  <c r="E30" i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E24" i="1"/>
  <c r="C24" i="10" s="1"/>
  <c r="E18" i="1"/>
  <c r="C18" i="10" s="1"/>
  <c r="E12" i="1"/>
  <c r="C12" i="10" s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/>
  <c r="D19" i="3"/>
  <c r="D20" i="3" s="1"/>
  <c r="C19" i="3"/>
  <c r="D58" i="9"/>
  <c r="E38" i="9"/>
  <c r="C27" i="9"/>
  <c r="C29" i="10"/>
  <c r="E17" i="9"/>
  <c r="I40" i="2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/>
  <c r="I34" i="2"/>
  <c r="F34" i="5" s="1"/>
  <c r="I23" i="2"/>
  <c r="F23" i="5"/>
  <c r="I24" i="2"/>
  <c r="F24" i="5" s="1"/>
  <c r="I25" i="2"/>
  <c r="F25" i="5" s="1"/>
  <c r="I26" i="2"/>
  <c r="F26" i="5"/>
  <c r="I27" i="2"/>
  <c r="F27" i="5" s="1"/>
  <c r="I28" i="2"/>
  <c r="F28" i="5"/>
  <c r="I29" i="2"/>
  <c r="F29" i="5" s="1"/>
  <c r="I30" i="2"/>
  <c r="F30" i="5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B43" i="5" s="1"/>
  <c r="D44" i="2"/>
  <c r="B44" i="5" s="1"/>
  <c r="D41" i="2"/>
  <c r="D35" i="2"/>
  <c r="B35" i="5" s="1"/>
  <c r="D36" i="2"/>
  <c r="D37" i="2"/>
  <c r="D32" i="2"/>
  <c r="D30" i="2"/>
  <c r="B30" i="5" s="1"/>
  <c r="D29" i="2"/>
  <c r="D18" i="2"/>
  <c r="B18" i="5" s="1"/>
  <c r="D19" i="2"/>
  <c r="B19" i="5"/>
  <c r="D20" i="2"/>
  <c r="B20" i="5"/>
  <c r="D21" i="2"/>
  <c r="B21" i="5" s="1"/>
  <c r="C13" i="7" s="1"/>
  <c r="D22" i="2"/>
  <c r="B22" i="5" s="1"/>
  <c r="D23" i="2"/>
  <c r="B23" i="5"/>
  <c r="D24" i="2"/>
  <c r="B24" i="5" s="1"/>
  <c r="D17" i="2"/>
  <c r="B17" i="5" s="1"/>
  <c r="D14" i="2"/>
  <c r="D15" i="2"/>
  <c r="B15" i="5" s="1"/>
  <c r="D13" i="2"/>
  <c r="B13" i="5" s="1"/>
  <c r="D10" i="2"/>
  <c r="D25" i="8"/>
  <c r="E25" i="8" s="1"/>
  <c r="D18" i="8"/>
  <c r="E18" i="8" s="1"/>
  <c r="C12" i="8"/>
  <c r="B12" i="8"/>
  <c r="E10" i="8"/>
  <c r="E14" i="7"/>
  <c r="F40" i="5"/>
  <c r="C33" i="9"/>
  <c r="C43" i="9" s="1"/>
  <c r="G37" i="5"/>
  <c r="E11" i="8"/>
  <c r="B36" i="5"/>
  <c r="B37" i="5"/>
  <c r="B32" i="5"/>
  <c r="B29" i="5"/>
  <c r="B14" i="5"/>
  <c r="G46" i="2"/>
  <c r="H37" i="2"/>
  <c r="H45" i="2"/>
  <c r="I45" i="2" s="1"/>
  <c r="F45" i="5" s="1"/>
  <c r="G37" i="2"/>
  <c r="I32" i="2"/>
  <c r="G32" i="2"/>
  <c r="G20" i="2"/>
  <c r="C46" i="2"/>
  <c r="C34" i="2" s="1"/>
  <c r="C38" i="2" s="1"/>
  <c r="C48" i="2" s="1"/>
  <c r="B46" i="2"/>
  <c r="B25" i="2"/>
  <c r="D38" i="10" l="1"/>
  <c r="F37" i="5"/>
  <c r="D12" i="8"/>
  <c r="E12" i="8" s="1"/>
  <c r="C59" i="9"/>
  <c r="C60" i="9"/>
  <c r="C51" i="9"/>
  <c r="E13" i="7"/>
  <c r="D27" i="1"/>
  <c r="D33" i="1" s="1"/>
  <c r="D42" i="1" s="1"/>
  <c r="E42" i="1" s="1"/>
  <c r="C42" i="10" s="1"/>
  <c r="C38" i="10"/>
  <c r="E38" i="1"/>
  <c r="E17" i="1"/>
  <c r="C57" i="1"/>
  <c r="C17" i="10"/>
  <c r="H46" i="2"/>
  <c r="H48" i="2" s="1"/>
  <c r="I37" i="2"/>
  <c r="D34" i="2"/>
  <c r="D38" i="2" s="1"/>
  <c r="D45" i="11"/>
  <c r="C41" i="5"/>
  <c r="D10" i="7" s="1"/>
  <c r="D24" i="11"/>
  <c r="C25" i="5"/>
  <c r="B47" i="11"/>
  <c r="G48" i="2"/>
  <c r="F20" i="5"/>
  <c r="E12" i="7"/>
  <c r="B48" i="2"/>
  <c r="B41" i="5"/>
  <c r="D46" i="2"/>
  <c r="F46" i="5"/>
  <c r="C37" i="11"/>
  <c r="C47" i="11" s="1"/>
  <c r="D33" i="11"/>
  <c r="C34" i="5" s="1"/>
  <c r="D11" i="7"/>
  <c r="E11" i="7"/>
  <c r="I46" i="2"/>
  <c r="I20" i="2"/>
  <c r="F32" i="5"/>
  <c r="B10" i="5"/>
  <c r="B25" i="5" s="1"/>
  <c r="D25" i="2"/>
  <c r="D58" i="1"/>
  <c r="D57" i="1"/>
  <c r="C30" i="10"/>
  <c r="C32" i="10" s="1"/>
  <c r="E32" i="1"/>
  <c r="D57" i="9"/>
  <c r="D27" i="9"/>
  <c r="D33" i="9" s="1"/>
  <c r="D29" i="10"/>
  <c r="D32" i="10" s="1"/>
  <c r="E32" i="9"/>
  <c r="E55" i="9"/>
  <c r="D52" i="10"/>
  <c r="D55" i="10" s="1"/>
  <c r="C53" i="10"/>
  <c r="C55" i="10" s="1"/>
  <c r="E55" i="1"/>
  <c r="G22" i="5"/>
  <c r="G32" i="5" s="1"/>
  <c r="I31" i="11"/>
  <c r="C29" i="5"/>
  <c r="H44" i="11"/>
  <c r="G40" i="5"/>
  <c r="G11" i="5"/>
  <c r="G20" i="5" s="1"/>
  <c r="I19" i="11"/>
  <c r="C20" i="3"/>
  <c r="C58" i="1"/>
  <c r="C27" i="1"/>
  <c r="C33" i="1" s="1"/>
  <c r="C43" i="1" s="1"/>
  <c r="C23" i="10"/>
  <c r="C25" i="10" s="1"/>
  <c r="C26" i="10" s="1"/>
  <c r="E25" i="1"/>
  <c r="E26" i="1" s="1"/>
  <c r="D17" i="10"/>
  <c r="E25" i="9"/>
  <c r="E26" i="9" s="1"/>
  <c r="E27" i="9" s="1"/>
  <c r="E33" i="9" s="1"/>
  <c r="D23" i="10"/>
  <c r="D25" i="10" s="1"/>
  <c r="D26" i="10" s="1"/>
  <c r="C57" i="9"/>
  <c r="D43" i="1" l="1"/>
  <c r="D51" i="1" s="1"/>
  <c r="B34" i="5"/>
  <c r="B38" i="5" s="1"/>
  <c r="C46" i="5"/>
  <c r="D15" i="7"/>
  <c r="C38" i="5"/>
  <c r="C48" i="5" s="1"/>
  <c r="D60" i="1"/>
  <c r="D59" i="1"/>
  <c r="F48" i="5"/>
  <c r="D48" i="2"/>
  <c r="D58" i="10"/>
  <c r="D57" i="10"/>
  <c r="E58" i="1"/>
  <c r="E57" i="1"/>
  <c r="C51" i="1"/>
  <c r="C59" i="1"/>
  <c r="C60" i="1"/>
  <c r="B46" i="5"/>
  <c r="C10" i="7"/>
  <c r="E58" i="9"/>
  <c r="E57" i="9"/>
  <c r="D27" i="10"/>
  <c r="D33" i="10" s="1"/>
  <c r="C58" i="10"/>
  <c r="C57" i="10"/>
  <c r="I44" i="11"/>
  <c r="H45" i="11"/>
  <c r="H47" i="11" s="1"/>
  <c r="D37" i="11"/>
  <c r="D47" i="11" s="1"/>
  <c r="D42" i="9"/>
  <c r="E42" i="9" s="1"/>
  <c r="D42" i="10" s="1"/>
  <c r="C27" i="10"/>
  <c r="C33" i="10" s="1"/>
  <c r="C43" i="10" s="1"/>
  <c r="E27" i="1"/>
  <c r="E33" i="1" s="1"/>
  <c r="E43" i="1" s="1"/>
  <c r="B48" i="5"/>
  <c r="I48" i="2"/>
  <c r="D43" i="9" l="1"/>
  <c r="D51" i="9" s="1"/>
  <c r="E43" i="9"/>
  <c r="E60" i="9" s="1"/>
  <c r="C60" i="10"/>
  <c r="C59" i="10"/>
  <c r="C51" i="10"/>
  <c r="D59" i="9"/>
  <c r="D60" i="9"/>
  <c r="C15" i="7"/>
  <c r="E15" i="7" s="1"/>
  <c r="E10" i="7"/>
  <c r="E59" i="1"/>
  <c r="E51" i="1"/>
  <c r="E60" i="1"/>
  <c r="G45" i="5"/>
  <c r="G46" i="5" s="1"/>
  <c r="G48" i="5" s="1"/>
  <c r="I45" i="11"/>
  <c r="I47" i="11" s="1"/>
  <c r="D43" i="10"/>
  <c r="E59" i="9" l="1"/>
  <c r="E51" i="9"/>
  <c r="D59" i="10"/>
  <c r="D51" i="10"/>
  <c r="D60" i="10"/>
</calcChain>
</file>

<file path=xl/sharedStrings.xml><?xml version="1.0" encoding="utf-8"?>
<sst xmlns="http://schemas.openxmlformats.org/spreadsheetml/2006/main" count="594" uniqueCount="236">
  <si>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</si>
  <si>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</si>
  <si>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</si>
  <si>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</si>
  <si>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</si>
  <si>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</si>
  <si>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</si>
  <si>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</si>
  <si>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</si>
  <si>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</si>
  <si>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</si>
  <si>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</si>
  <si>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</si>
  <si>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</si>
  <si>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</si>
  <si>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</si>
  <si>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</si>
  <si>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</si>
  <si>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</si>
  <si>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</si>
  <si>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</si>
  <si>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</si>
  <si>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</si>
  <si>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</si>
  <si>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</si>
  <si>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</si>
  <si>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</si>
  <si>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</si>
  <si>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</si>
  <si>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</si>
  <si>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</si>
  <si>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</si>
  <si>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</si>
  <si>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</si>
  <si>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</si>
  <si>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</si>
  <si>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</si>
  <si>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</si>
  <si>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</si>
  <si>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</si>
  <si>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</si>
  <si>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</si>
  <si>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</si>
  <si>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</si>
  <si>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</si>
  <si>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</si>
  <si>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</si>
  <si>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</si>
  <si>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</si>
  <si>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</si>
  <si>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</si>
  <si>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</si>
  <si>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</si>
  <si>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</si>
  <si>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</si>
  <si>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</si>
  <si>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</si>
  <si>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</si>
  <si>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</si>
  <si>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</si>
  <si>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</si>
  <si>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</si>
  <si>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</si>
  <si>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</si>
  <si>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</si>
  <si>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</si>
  <si>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</si>
  <si>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</si>
  <si>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</si>
  <si>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</si>
  <si>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</si>
  <si>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</si>
  <si>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</si>
  <si>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</si>
  <si>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</si>
  <si>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</si>
  <si>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</si>
  <si>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</si>
  <si>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</si>
  <si>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</si>
  <si>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</si>
  <si>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</si>
  <si>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</si>
  <si>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</si>
  <si>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</si>
  <si>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</si>
  <si>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</si>
  <si>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</si>
  <si>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</si>
  <si>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</si>
  <si>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</si>
  <si>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</si>
  <si>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</si>
  <si>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</si>
  <si>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</si>
  <si>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</si>
  <si>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</si>
  <si>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</si>
  <si>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</si>
  <si>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</si>
  <si>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</si>
  <si>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</si>
  <si>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</si>
  <si>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</si>
  <si>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</si>
  <si>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</si>
  <si>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</si>
  <si>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</si>
  <si>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</si>
  <si>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</si>
  <si>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</si>
  <si>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</si>
  <si>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</si>
  <si>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</si>
  <si>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</si>
  <si>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</si>
  <si>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</si>
  <si>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</si>
  <si>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</si>
  <si>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</si>
  <si>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</si>
  <si>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</si>
  <si>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</si>
  <si>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</si>
  <si>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</si>
  <si>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</si>
  <si>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</si>
  <si>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</si>
  <si>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</si>
  <si>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</si>
  <si>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</si>
  <si>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</si>
  <si>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</si>
  <si>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</si>
  <si>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</si>
  <si>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</si>
  <si>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</si>
  <si>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</si>
  <si>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</si>
  <si>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</si>
  <si>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</si>
  <si>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</si>
  <si>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</si>
  <si>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</si>
  <si>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</si>
  <si>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</si>
  <si>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</si>
  <si>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</si>
  <si>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</si>
  <si>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</si>
  <si>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</si>
  <si>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</si>
  <si>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</si>
  <si>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</si>
  <si>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</si>
  <si>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</si>
  <si>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</si>
  <si>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</si>
  <si>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</si>
  <si>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</si>
  <si>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</si>
  <si>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</si>
  <si>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</si>
  <si>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</si>
  <si>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</si>
  <si>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</si>
  <si>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</si>
  <si>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</si>
  <si>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</si>
  <si>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</si>
  <si>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</si>
  <si>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</si>
  <si>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</si>
  <si>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</si>
  <si>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</si>
  <si>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</si>
  <si>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</si>
  <si>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</si>
  <si>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</si>
  <si>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</si>
  <si>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</si>
  <si>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</si>
  <si>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</si>
  <si>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</si>
  <si>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</si>
  <si>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</si>
  <si>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</si>
  <si>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</si>
  <si>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</si>
  <si>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</si>
  <si>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</si>
  <si>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</si>
  <si>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</si>
  <si>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</si>
  <si>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</si>
  <si>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</si>
  <si>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</si>
  <si>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</si>
  <si>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</si>
  <si>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</si>
  <si>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</si>
  <si>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</si>
  <si>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</si>
  <si>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</si>
  <si>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</si>
  <si>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</si>
  <si>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</si>
  <si>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</si>
  <si>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</si>
  <si>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</si>
  <si>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</si>
  <si>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</si>
  <si>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</si>
  <si>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</si>
  <si>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</si>
  <si>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</si>
  <si>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</si>
  <si>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</si>
  <si>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</si>
  <si>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</si>
  <si>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</si>
  <si>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</si>
  <si>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</si>
  <si>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</si>
  <si>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</si>
  <si>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</si>
  <si>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</si>
  <si>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</si>
  <si>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</si>
  <si>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Mashell Telecom, Inc.</t>
  </si>
  <si>
    <t>Company Name:  (Below)</t>
  </si>
  <si>
    <t>% Change</t>
  </si>
  <si>
    <t>Broadband Connections:</t>
  </si>
  <si>
    <t>DSL</t>
  </si>
  <si>
    <t>Cable modem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</si>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</sst>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0" fontId="0" fillId="0" borderId="17" xfId="0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3" xfId="0" applyNumberFormat="1" applyBorder="1"/>
    <xf numFmtId="3" fontId="0" fillId="0" borderId="11" xfId="0" applyNumberFormat="1" applyBorder="1"/>
    <xf numFmtId="3" fontId="0" fillId="0" borderId="13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topLeftCell="A19" workbookViewId="0">
      <selection activeCell="C45" sqref="C45"/>
    </sheetView>
  </sheetViews>
  <sheetFormatPr defaultColWidth="8.81640625"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185756</v>
      </c>
      <c r="C10" s="24"/>
      <c r="D10" s="75">
        <f>SUM(B10:C10)</f>
        <v>185756</v>
      </c>
      <c r="E10" s="19"/>
      <c r="F10" s="19" t="s">
        <v>83</v>
      </c>
      <c r="G10" s="65">
        <v>782927</v>
      </c>
      <c r="H10" s="24"/>
      <c r="I10" s="75">
        <f>SUM(G10:H10)</f>
        <v>782927</v>
      </c>
    </row>
    <row r="11" spans="1:9" x14ac:dyDescent="0.35">
      <c r="A11" s="19" t="s">
        <v>168</v>
      </c>
      <c r="B11" s="65"/>
      <c r="C11" s="24"/>
      <c r="D11" s="75">
        <f>SUM(B11:C11)</f>
        <v>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>
        <v>3429042</v>
      </c>
      <c r="C13" s="24"/>
      <c r="D13" s="75">
        <f>SUM(B13:C13)</f>
        <v>3429042</v>
      </c>
      <c r="E13" s="19"/>
      <c r="F13" s="19" t="s">
        <v>88</v>
      </c>
      <c r="G13" s="65"/>
      <c r="H13" s="24"/>
      <c r="I13" s="75">
        <f t="shared" si="0"/>
        <v>0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1400000</v>
      </c>
      <c r="H14" s="24"/>
      <c r="I14" s="75">
        <f t="shared" si="0"/>
        <v>1400000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34159</v>
      </c>
      <c r="H16" s="24"/>
      <c r="I16" s="75">
        <f t="shared" si="0"/>
        <v>34159</v>
      </c>
    </row>
    <row r="17" spans="1:9" x14ac:dyDescent="0.35">
      <c r="A17" s="19" t="s">
        <v>49</v>
      </c>
      <c r="B17" s="65">
        <v>369294</v>
      </c>
      <c r="C17" s="24"/>
      <c r="D17" s="75">
        <f>SUM(B17:C17)</f>
        <v>369294</v>
      </c>
      <c r="E17" s="20"/>
      <c r="F17" s="19" t="s">
        <v>92</v>
      </c>
      <c r="G17" s="65"/>
      <c r="H17" s="24"/>
      <c r="I17" s="75">
        <f t="shared" si="0"/>
        <v>0</v>
      </c>
    </row>
    <row r="18" spans="1:9" x14ac:dyDescent="0.35">
      <c r="A18" s="19" t="s">
        <v>52</v>
      </c>
      <c r="B18" s="65">
        <v>71947</v>
      </c>
      <c r="C18" s="24"/>
      <c r="D18" s="75">
        <f t="shared" ref="D18:D24" si="2">SUM(B18:C18)</f>
        <v>71947</v>
      </c>
      <c r="E18" s="19"/>
      <c r="F18" s="19" t="s">
        <v>93</v>
      </c>
      <c r="G18" s="65">
        <v>63488</v>
      </c>
      <c r="H18" s="24"/>
      <c r="I18" s="75">
        <f t="shared" si="0"/>
        <v>63488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287158</v>
      </c>
      <c r="H19" s="25"/>
      <c r="I19" s="76">
        <f t="shared" si="0"/>
        <v>287158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2567732</v>
      </c>
      <c r="H20" s="24"/>
      <c r="I20" s="75">
        <f t="shared" ref="I20" si="3">SUM(I10:I19)</f>
        <v>2567732</v>
      </c>
    </row>
    <row r="21" spans="1:9" x14ac:dyDescent="0.35">
      <c r="A21" s="19" t="s">
        <v>54</v>
      </c>
      <c r="B21" s="65">
        <v>237725</v>
      </c>
      <c r="C21" s="67">
        <v>-133088</v>
      </c>
      <c r="D21" s="75">
        <f t="shared" si="2"/>
        <v>104637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/>
      <c r="H22" s="24"/>
      <c r="I22" s="75">
        <f>SUM(G22:H22)</f>
        <v>0</v>
      </c>
    </row>
    <row r="23" spans="1:9" x14ac:dyDescent="0.35">
      <c r="A23" s="19" t="s">
        <v>56</v>
      </c>
      <c r="B23" s="65"/>
      <c r="C23" s="24"/>
      <c r="D23" s="75">
        <f t="shared" si="2"/>
        <v>0</v>
      </c>
      <c r="E23" s="19"/>
      <c r="F23" s="19" t="s">
        <v>98</v>
      </c>
      <c r="G23" s="65"/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58331</v>
      </c>
      <c r="C24" s="25"/>
      <c r="D24" s="76">
        <f t="shared" si="2"/>
        <v>58331</v>
      </c>
      <c r="E24" s="19"/>
      <c r="F24" s="19" t="s">
        <v>99</v>
      </c>
      <c r="G24" s="65"/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4352095</v>
      </c>
      <c r="C25" s="77">
        <f>C21</f>
        <v>-133088</v>
      </c>
      <c r="D25" s="75">
        <f t="shared" ref="D25" si="5">D10+D11+D13+D14+D15+D17+D18+D19+D20+D21+D22+D23+D24</f>
        <v>4219007</v>
      </c>
      <c r="E25" s="19"/>
      <c r="F25" s="19" t="s">
        <v>100</v>
      </c>
      <c r="G25" s="65">
        <v>6050000</v>
      </c>
      <c r="H25" s="24"/>
      <c r="I25" s="75">
        <f t="shared" si="4"/>
        <v>6050000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>
        <v>100347</v>
      </c>
      <c r="H29" s="24"/>
      <c r="I29" s="75">
        <f t="shared" si="4"/>
        <v>100347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6150347</v>
      </c>
      <c r="H32" s="24"/>
      <c r="I32" s="75">
        <f t="shared" ref="I32" si="6">SUM(I22:I31)</f>
        <v>6150347</v>
      </c>
    </row>
    <row r="33" spans="1:9" x14ac:dyDescent="0.35">
      <c r="A33" s="19" t="s">
        <v>63</v>
      </c>
      <c r="B33" s="65">
        <v>56993</v>
      </c>
      <c r="C33" s="24"/>
      <c r="D33" s="75">
        <f t="shared" ref="D33:D37" si="7">SUM(B33:C33)</f>
        <v>56993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7242431</v>
      </c>
      <c r="C34" s="78">
        <f>-1*(C46+C21)</f>
        <v>-160699</v>
      </c>
      <c r="D34" s="75">
        <f t="shared" si="7"/>
        <v>7081732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>
        <v>78173</v>
      </c>
      <c r="C35" s="24"/>
      <c r="D35" s="75">
        <f t="shared" si="7"/>
        <v>78173</v>
      </c>
      <c r="E35" s="19"/>
      <c r="F35" s="19" t="s">
        <v>172</v>
      </c>
      <c r="G35" s="65"/>
      <c r="H35" s="65"/>
      <c r="I35" s="75">
        <f t="shared" ref="I35:I36" si="8">SUM(G35:H35)</f>
        <v>0</v>
      </c>
    </row>
    <row r="36" spans="1:9" x14ac:dyDescent="0.35">
      <c r="A36" s="19" t="s">
        <v>68</v>
      </c>
      <c r="B36" s="65">
        <v>257857</v>
      </c>
      <c r="C36" s="24"/>
      <c r="D36" s="75">
        <f t="shared" si="7"/>
        <v>257857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9" x14ac:dyDescent="0.35">
      <c r="A38" s="19" t="s">
        <v>70</v>
      </c>
      <c r="B38" s="75">
        <f>B29+B30+B32+B33+B34+B35+B36+B37</f>
        <v>7635454</v>
      </c>
      <c r="C38" s="78">
        <f>C34</f>
        <v>-160699</v>
      </c>
      <c r="D38" s="75">
        <f t="shared" ref="D38" si="10">D29+D30+D32+D33+D34+D35+D36+D37</f>
        <v>7474755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57050</v>
      </c>
      <c r="H39" s="24"/>
      <c r="I39" s="75">
        <f>SUM(G39:H39)</f>
        <v>57050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/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f>15448126+24549</f>
        <v>15472675</v>
      </c>
      <c r="C41" s="65">
        <f>474082+24549</f>
        <v>498631</v>
      </c>
      <c r="D41" s="75">
        <f>SUM(B41:C41)</f>
        <v>15971306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>
        <f>93509-24549</f>
        <v>68960</v>
      </c>
      <c r="C43" s="24"/>
      <c r="D43" s="75">
        <f t="shared" si="12"/>
        <v>68960</v>
      </c>
      <c r="E43" s="19"/>
      <c r="F43" s="19" t="s">
        <v>116</v>
      </c>
      <c r="G43" s="65">
        <v>11054124</v>
      </c>
      <c r="H43" s="24"/>
      <c r="I43" s="75">
        <f t="shared" si="11"/>
        <v>11054124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-13654112</v>
      </c>
      <c r="C45" s="66">
        <v>-204844</v>
      </c>
      <c r="D45" s="76">
        <f t="shared" si="12"/>
        <v>-13858956</v>
      </c>
      <c r="E45" s="19"/>
      <c r="F45" s="19" t="s">
        <v>207</v>
      </c>
      <c r="G45" s="66">
        <v>-5954181</v>
      </c>
      <c r="H45" s="76">
        <f>-1*H37</f>
        <v>0</v>
      </c>
      <c r="I45" s="76">
        <f t="shared" si="11"/>
        <v>-5954181</v>
      </c>
    </row>
    <row r="46" spans="1:9" x14ac:dyDescent="0.35">
      <c r="A46" s="19" t="s">
        <v>76</v>
      </c>
      <c r="B46" s="75">
        <f>B41+B42+B43+B44+B45</f>
        <v>1887523</v>
      </c>
      <c r="C46" s="75">
        <f t="shared" ref="C46:D46" si="13">C41+C42+C43+C44+C45</f>
        <v>293787</v>
      </c>
      <c r="D46" s="75">
        <f t="shared" si="13"/>
        <v>2181310</v>
      </c>
      <c r="E46" s="19"/>
      <c r="F46" s="19" t="s">
        <v>119</v>
      </c>
      <c r="G46" s="75">
        <f>SUM(G39:G45)</f>
        <v>5156993</v>
      </c>
      <c r="H46" s="80">
        <f t="shared" ref="H46:I46" si="14">SUM(H39:H45)</f>
        <v>0</v>
      </c>
      <c r="I46" s="75">
        <f t="shared" si="14"/>
        <v>5156993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13875072</v>
      </c>
      <c r="C48" s="79">
        <f t="shared" ref="C48:D48" si="15">C25+C38+C46</f>
        <v>0</v>
      </c>
      <c r="D48" s="79">
        <f t="shared" si="15"/>
        <v>13875072</v>
      </c>
      <c r="E48" s="19"/>
      <c r="F48" s="23" t="s">
        <v>120</v>
      </c>
      <c r="G48" s="79">
        <f>G20+G32+G37+G46</f>
        <v>13875072</v>
      </c>
      <c r="H48" s="79">
        <f t="shared" ref="H48:I48" si="16">H20+H32+H37+H46</f>
        <v>0</v>
      </c>
      <c r="I48" s="79">
        <f t="shared" si="16"/>
        <v>13875072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2" orientation="landscape" r:id="rId1"/>
  <headerFooter>
    <oddHeader>&amp;L&amp;"-,Bold"2014 State USF Petition Filing Requirement -WAC 480-123-110(e)
Prior Year Balance Sheet</oddHeader>
    <oddFooter>&amp;CPage 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workbookViewId="0">
      <selection activeCell="C45" sqref="C45"/>
    </sheetView>
  </sheetViews>
  <sheetFormatPr defaultColWidth="8.81640625" defaultRowHeight="14.5" x14ac:dyDescent="0.35"/>
  <cols>
    <col min="1" max="1" width="36.45312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tr">
        <f>'PartABalance Sheet(PY)'!A3</f>
        <v>Mashell Telecom, Inc.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334574</v>
      </c>
      <c r="D10" s="72">
        <v>343826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401888</v>
      </c>
      <c r="D12" s="72">
        <v>247899</v>
      </c>
    </row>
    <row r="13" spans="1:4" x14ac:dyDescent="0.35">
      <c r="A13" s="19" t="s">
        <v>192</v>
      </c>
      <c r="B13" s="11"/>
      <c r="C13" s="65">
        <f>1304752-C17</f>
        <v>194703</v>
      </c>
      <c r="D13" s="72">
        <f>1070455-D17</f>
        <v>218020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66592</v>
      </c>
      <c r="D15" s="72">
        <v>44721</v>
      </c>
    </row>
    <row r="16" spans="1:4" x14ac:dyDescent="0.35">
      <c r="A16" s="19" t="s">
        <v>192</v>
      </c>
      <c r="B16" s="11"/>
      <c r="C16" s="65">
        <v>520468</v>
      </c>
      <c r="D16" s="72">
        <v>592036</v>
      </c>
    </row>
    <row r="17" spans="1:4" x14ac:dyDescent="0.35">
      <c r="A17" s="19" t="s">
        <v>227</v>
      </c>
      <c r="B17" s="12" t="s">
        <v>194</v>
      </c>
      <c r="C17" s="66">
        <v>1110049</v>
      </c>
      <c r="D17" s="73">
        <v>852435</v>
      </c>
    </row>
    <row r="18" spans="1:4" x14ac:dyDescent="0.35">
      <c r="A18" s="19" t="s">
        <v>195</v>
      </c>
      <c r="B18" s="7"/>
      <c r="C18" s="41">
        <f>C10+C12+C13+C15+C16+C17</f>
        <v>2628274</v>
      </c>
      <c r="D18" s="41">
        <f>D10+D12+D13+D15+D16+D17</f>
        <v>2298937</v>
      </c>
    </row>
    <row r="19" spans="1:4" x14ac:dyDescent="0.35">
      <c r="A19" s="20" t="s">
        <v>205</v>
      </c>
      <c r="B19" s="19"/>
      <c r="C19" s="43">
        <f>'PartBIncomeStmt(PY)'!E12</f>
        <v>2628274</v>
      </c>
      <c r="D19" s="43">
        <f>'PartBIncomeStmt(CY) '!E12</f>
        <v>2298937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22" workbookViewId="0">
      <selection activeCell="C45" sqref="C45"/>
    </sheetView>
  </sheetViews>
  <sheetFormatPr defaultColWidth="8.81640625"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tr">
        <f>'PartABalance Sheet(PY)'!A3</f>
        <v>Mashell Telecom, Inc.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361842</v>
      </c>
      <c r="C9" s="24"/>
      <c r="D9" s="38">
        <f>SUM(B9:C9)</f>
        <v>361842</v>
      </c>
      <c r="E9" s="19"/>
      <c r="F9" s="19" t="s">
        <v>83</v>
      </c>
      <c r="G9" s="65">
        <v>632894</v>
      </c>
      <c r="H9" s="24"/>
      <c r="I9" s="38">
        <f>SUM(G9:H9)</f>
        <v>632894</v>
      </c>
    </row>
    <row r="10" spans="1:9" x14ac:dyDescent="0.35">
      <c r="A10" s="19" t="s">
        <v>168</v>
      </c>
      <c r="B10" s="65"/>
      <c r="C10" s="24"/>
      <c r="D10" s="38">
        <f>SUM(B10:C10)</f>
        <v>0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>
        <v>3401580</v>
      </c>
      <c r="C12" s="24"/>
      <c r="D12" s="38">
        <f>SUM(B12:C12)</f>
        <v>3401580</v>
      </c>
      <c r="E12" s="19"/>
      <c r="F12" s="19" t="s">
        <v>88</v>
      </c>
      <c r="G12" s="65"/>
      <c r="H12" s="24"/>
      <c r="I12" s="38">
        <f t="shared" si="0"/>
        <v>0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1216000</v>
      </c>
      <c r="H13" s="24"/>
      <c r="I13" s="38">
        <f t="shared" si="0"/>
        <v>1216000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28227</v>
      </c>
      <c r="H15" s="24"/>
      <c r="I15" s="38">
        <f t="shared" si="0"/>
        <v>28227</v>
      </c>
    </row>
    <row r="16" spans="1:9" x14ac:dyDescent="0.35">
      <c r="A16" s="19" t="s">
        <v>49</v>
      </c>
      <c r="B16" s="65">
        <v>256724</v>
      </c>
      <c r="C16" s="24"/>
      <c r="D16" s="38">
        <f>SUM(B16:C16)</f>
        <v>256724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>
        <v>9889</v>
      </c>
      <c r="C17" s="24"/>
      <c r="D17" s="38">
        <f t="shared" ref="D17:D23" si="2">SUM(B17:C17)</f>
        <v>9889</v>
      </c>
      <c r="E17" s="19"/>
      <c r="F17" s="19" t="s">
        <v>93</v>
      </c>
      <c r="G17" s="65">
        <v>85842</v>
      </c>
      <c r="H17" s="24"/>
      <c r="I17" s="38">
        <f t="shared" si="0"/>
        <v>85842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308508</v>
      </c>
      <c r="H18" s="25"/>
      <c r="I18" s="39">
        <f t="shared" si="0"/>
        <v>308508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2271471</v>
      </c>
      <c r="H19" s="24"/>
      <c r="I19" s="38">
        <f t="shared" ref="I19" si="3">SUM(I9:I18)</f>
        <v>2271471</v>
      </c>
    </row>
    <row r="20" spans="1:9" x14ac:dyDescent="0.35">
      <c r="A20" s="19" t="s">
        <v>54</v>
      </c>
      <c r="B20" s="65">
        <v>214564</v>
      </c>
      <c r="C20" s="67">
        <v>-96751</v>
      </c>
      <c r="D20" s="38">
        <f t="shared" si="2"/>
        <v>117813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/>
      <c r="H21" s="24"/>
      <c r="I21" s="38">
        <f>SUM(G21:H21)</f>
        <v>0</v>
      </c>
    </row>
    <row r="22" spans="1:9" x14ac:dyDescent="0.35">
      <c r="A22" s="19" t="s">
        <v>56</v>
      </c>
      <c r="B22" s="65"/>
      <c r="C22" s="24"/>
      <c r="D22" s="38">
        <f t="shared" si="2"/>
        <v>0</v>
      </c>
      <c r="E22" s="19"/>
      <c r="F22" s="19" t="s">
        <v>98</v>
      </c>
      <c r="G22" s="65"/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70564</v>
      </c>
      <c r="C23" s="25"/>
      <c r="D23" s="39">
        <f t="shared" si="2"/>
        <v>70564</v>
      </c>
      <c r="E23" s="19"/>
      <c r="F23" s="19" t="s">
        <v>99</v>
      </c>
      <c r="G23" s="65"/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4315163</v>
      </c>
      <c r="C24" s="57">
        <f>C20</f>
        <v>-96751</v>
      </c>
      <c r="D24" s="38">
        <f t="shared" ref="D24" si="5">D9+D10+D12+D13+D14+D16+D17+D18+D19+D20+D21+D22+D23</f>
        <v>4218412</v>
      </c>
      <c r="E24" s="19"/>
      <c r="F24" s="19" t="s">
        <v>100</v>
      </c>
      <c r="G24" s="65">
        <v>5806465</v>
      </c>
      <c r="H24" s="24"/>
      <c r="I24" s="38">
        <f t="shared" si="4"/>
        <v>5806465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>
        <v>74410</v>
      </c>
      <c r="H28" s="24"/>
      <c r="I28" s="38">
        <f t="shared" si="4"/>
        <v>74410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5880875</v>
      </c>
      <c r="H31" s="24"/>
      <c r="I31" s="38">
        <f t="shared" ref="I31" si="6">SUM(I21:I30)</f>
        <v>5880875</v>
      </c>
    </row>
    <row r="32" spans="1:9" x14ac:dyDescent="0.35">
      <c r="A32" s="19" t="s">
        <v>63</v>
      </c>
      <c r="B32" s="65">
        <v>60003</v>
      </c>
      <c r="C32" s="24"/>
      <c r="D32" s="38">
        <f t="shared" ref="D32:D36" si="7">SUM(B32:C32)</f>
        <v>60003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6382187</v>
      </c>
      <c r="C33" s="80">
        <f>-1*(C45+C20)</f>
        <v>-23981</v>
      </c>
      <c r="D33" s="38">
        <f t="shared" si="7"/>
        <v>6358206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>
        <v>74691</v>
      </c>
      <c r="C34" s="24"/>
      <c r="D34" s="38">
        <f t="shared" si="7"/>
        <v>74691</v>
      </c>
      <c r="E34" s="19"/>
      <c r="F34" s="19" t="s">
        <v>172</v>
      </c>
      <c r="G34" s="65"/>
      <c r="H34" s="65"/>
      <c r="I34" s="38">
        <f t="shared" ref="I34:I35" si="8">SUM(G34:H34)</f>
        <v>0</v>
      </c>
    </row>
    <row r="35" spans="1:9" x14ac:dyDescent="0.35">
      <c r="A35" s="19" t="s">
        <v>68</v>
      </c>
      <c r="B35" s="65">
        <v>200538</v>
      </c>
      <c r="C35" s="24"/>
      <c r="D35" s="38">
        <f t="shared" si="7"/>
        <v>200538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0</v>
      </c>
      <c r="H36" s="38">
        <f t="shared" ref="H36:I36" si="9">SUM(H33:H35)</f>
        <v>0</v>
      </c>
      <c r="I36" s="38">
        <f t="shared" si="9"/>
        <v>0</v>
      </c>
    </row>
    <row r="37" spans="1:9" x14ac:dyDescent="0.35">
      <c r="A37" s="19" t="s">
        <v>70</v>
      </c>
      <c r="B37" s="38">
        <f>B28+B29+B31+B32+B33+B34+B35+B36</f>
        <v>6717419</v>
      </c>
      <c r="C37" s="57">
        <f>C33</f>
        <v>-23981</v>
      </c>
      <c r="D37" s="38">
        <f t="shared" ref="D37" si="10">D28+D29+D31+D32+D33+D34+D35+D36</f>
        <v>6693438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57050</v>
      </c>
      <c r="H38" s="24"/>
      <c r="I38" s="38">
        <f>SUM(G38:H38)</f>
        <v>57050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/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f>14988718+133734</f>
        <v>15122452</v>
      </c>
      <c r="C40" s="65">
        <f>-166147-133734</f>
        <v>-299881</v>
      </c>
      <c r="D40" s="38">
        <f>SUM(B40:C40)</f>
        <v>14822571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>
        <f>219741-133734</f>
        <v>86007</v>
      </c>
      <c r="C42" s="24"/>
      <c r="D42" s="38">
        <f t="shared" si="12"/>
        <v>86007</v>
      </c>
      <c r="E42" s="19"/>
      <c r="F42" s="19" t="s">
        <v>116</v>
      </c>
      <c r="G42" s="65">
        <v>11054124</v>
      </c>
      <c r="H42" s="24"/>
      <c r="I42" s="38">
        <f t="shared" si="11"/>
        <v>11054124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-13456586</v>
      </c>
      <c r="C44" s="66">
        <v>420613</v>
      </c>
      <c r="D44" s="39">
        <f t="shared" si="12"/>
        <v>-13035973</v>
      </c>
      <c r="E44" s="19"/>
      <c r="F44" s="19" t="s">
        <v>207</v>
      </c>
      <c r="G44" s="66">
        <v>-6479065</v>
      </c>
      <c r="H44" s="83">
        <f>-1*H36</f>
        <v>0</v>
      </c>
      <c r="I44" s="39">
        <f t="shared" si="11"/>
        <v>-6479065</v>
      </c>
    </row>
    <row r="45" spans="1:9" x14ac:dyDescent="0.35">
      <c r="A45" s="19" t="s">
        <v>76</v>
      </c>
      <c r="B45" s="38">
        <f>B40+B41+B42+B43+B44</f>
        <v>1751873</v>
      </c>
      <c r="C45" s="38">
        <f t="shared" ref="C45:D45" si="13">C40+C41+C42+C43+C44</f>
        <v>120732</v>
      </c>
      <c r="D45" s="38">
        <f t="shared" si="13"/>
        <v>1872605</v>
      </c>
      <c r="E45" s="19"/>
      <c r="F45" s="19" t="s">
        <v>119</v>
      </c>
      <c r="G45" s="38">
        <f>SUM(G38:G44)</f>
        <v>4632109</v>
      </c>
      <c r="H45" s="56">
        <f t="shared" ref="H45:I45" si="14">SUM(H38:H44)</f>
        <v>0</v>
      </c>
      <c r="I45" s="38">
        <f t="shared" si="14"/>
        <v>4632109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12784455</v>
      </c>
      <c r="C47" s="40">
        <f t="shared" ref="C47:D47" si="15">C24+C37+C45</f>
        <v>0</v>
      </c>
      <c r="D47" s="40">
        <f t="shared" si="15"/>
        <v>12784455</v>
      </c>
      <c r="E47" s="19"/>
      <c r="F47" s="23" t="s">
        <v>120</v>
      </c>
      <c r="G47" s="40">
        <f>G19+G31+G36+G45</f>
        <v>12784455</v>
      </c>
      <c r="H47" s="40">
        <f t="shared" ref="H47:I47" si="16">H19+H31+H36+H45</f>
        <v>0</v>
      </c>
      <c r="I47" s="40">
        <f t="shared" si="16"/>
        <v>12784455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topLeftCell="A3" workbookViewId="0">
      <selection activeCell="C45" sqref="C45"/>
    </sheetView>
  </sheetViews>
  <sheetFormatPr defaultColWidth="8.81640625"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tr">
        <f>'PartABalance Sheet(PY)'!A3</f>
        <v>Mashell Telecom, Inc.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185756</v>
      </c>
      <c r="C10" s="38">
        <f>'PartABalance Sheet(CY) '!D9</f>
        <v>361842</v>
      </c>
      <c r="D10" s="19"/>
      <c r="E10" s="19" t="s">
        <v>83</v>
      </c>
      <c r="F10" s="38">
        <f>'PartABalance Sheet(PY)'!I10</f>
        <v>782927</v>
      </c>
      <c r="G10" s="38">
        <f>'PartABalance Sheet(CY) '!I9</f>
        <v>632894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3429042</v>
      </c>
      <c r="C13" s="38">
        <f>'PartABalance Sheet(CY) '!D12</f>
        <v>3401580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1400000</v>
      </c>
      <c r="G14" s="38">
        <f>'PartABalance Sheet(CY) '!I13</f>
        <v>1216000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34159</v>
      </c>
      <c r="G16" s="38">
        <f>'PartABalance Sheet(CY) '!I15</f>
        <v>28227</v>
      </c>
    </row>
    <row r="17" spans="1:7" x14ac:dyDescent="0.35">
      <c r="A17" s="19" t="s">
        <v>49</v>
      </c>
      <c r="B17" s="38">
        <f>'PartABalance Sheet(PY)'!D17</f>
        <v>369294</v>
      </c>
      <c r="C17" s="38">
        <f>'PartABalance Sheet(CY) '!D16</f>
        <v>256724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71947</v>
      </c>
      <c r="C18" s="38">
        <f>'PartABalance Sheet(CY) '!D17</f>
        <v>9889</v>
      </c>
      <c r="D18" s="19"/>
      <c r="E18" s="19" t="s">
        <v>93</v>
      </c>
      <c r="F18" s="38">
        <f>'PartABalance Sheet(PY)'!I18</f>
        <v>63488</v>
      </c>
      <c r="G18" s="38">
        <f>'PartABalance Sheet(CY) '!I17</f>
        <v>85842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287158</v>
      </c>
      <c r="G19" s="39">
        <f>'PartABalance Sheet(CY) '!I18</f>
        <v>308508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2567732</v>
      </c>
      <c r="G20" s="41">
        <f>SUM(G10:G19)</f>
        <v>2271471</v>
      </c>
    </row>
    <row r="21" spans="1:7" x14ac:dyDescent="0.35">
      <c r="A21" s="19" t="s">
        <v>54</v>
      </c>
      <c r="B21" s="38">
        <f>'PartABalance Sheet(PY)'!D21</f>
        <v>104637</v>
      </c>
      <c r="C21" s="38">
        <f>'PartABalance Sheet(CY) '!D20</f>
        <v>117813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0</v>
      </c>
      <c r="C23" s="38">
        <f>'PartABalance Sheet(CY) '!D22</f>
        <v>0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58331</v>
      </c>
      <c r="C24" s="39">
        <f>'PartABalance Sheet(CY) '!D23</f>
        <v>70564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4219007</v>
      </c>
      <c r="C25" s="38">
        <f>C10+C11+C13+C14+C15+C17+C18+C19+C20+C21+C22+C23+C24</f>
        <v>4218412</v>
      </c>
      <c r="D25" s="19"/>
      <c r="E25" s="19" t="s">
        <v>100</v>
      </c>
      <c r="F25" s="38">
        <f>'PartABalance Sheet(PY)'!I25</f>
        <v>6050000</v>
      </c>
      <c r="G25" s="38">
        <f>'PartABalance Sheet(CY) '!I24</f>
        <v>5806465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100347</v>
      </c>
      <c r="G29" s="38">
        <f>'PartABalance Sheet(CY) '!I28</f>
        <v>74410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6150347</v>
      </c>
      <c r="G32" s="38">
        <f>SUM(G22:G31)</f>
        <v>5880875</v>
      </c>
    </row>
    <row r="33" spans="1:7" x14ac:dyDescent="0.35">
      <c r="A33" s="19" t="s">
        <v>63</v>
      </c>
      <c r="B33" s="38">
        <f>'PartABalance Sheet(PY)'!D33</f>
        <v>56993</v>
      </c>
      <c r="C33" s="38">
        <f>'PartABalance Sheet(CY) '!D32</f>
        <v>60003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7081732</v>
      </c>
      <c r="C34" s="38">
        <f>'PartABalance Sheet(CY) '!D33</f>
        <v>6358206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78173</v>
      </c>
      <c r="C35" s="38">
        <f>'PartABalance Sheet(CY) '!D34</f>
        <v>74691</v>
      </c>
      <c r="D35" s="19"/>
      <c r="E35" s="19" t="s">
        <v>128</v>
      </c>
      <c r="F35" s="38">
        <f>'PartABalance Sheet(PY)'!I35</f>
        <v>0</v>
      </c>
      <c r="G35" s="38">
        <f>'PartABalance Sheet(CY) '!I34</f>
        <v>0</v>
      </c>
    </row>
    <row r="36" spans="1:7" x14ac:dyDescent="0.35">
      <c r="A36" s="19" t="s">
        <v>68</v>
      </c>
      <c r="B36" s="38">
        <f>'PartABalance Sheet(PY)'!D36</f>
        <v>257857</v>
      </c>
      <c r="C36" s="38">
        <f>'PartABalance Sheet(CY) '!D35</f>
        <v>200538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0</v>
      </c>
      <c r="G37" s="38">
        <f>SUM(G34:G36)</f>
        <v>0</v>
      </c>
    </row>
    <row r="38" spans="1:7" x14ac:dyDescent="0.35">
      <c r="A38" s="19" t="s">
        <v>70</v>
      </c>
      <c r="B38" s="38">
        <f>B29+B30+B32+B33+B34+B35+B36+B37</f>
        <v>7474755</v>
      </c>
      <c r="C38" s="38">
        <f>C29+C30+C32+C33+C34+C35+C36+C37</f>
        <v>6693438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57050</v>
      </c>
      <c r="G39" s="38">
        <f>'PartABalance Sheet(CY) '!I38</f>
        <v>57050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15971306</v>
      </c>
      <c r="C41" s="38">
        <f>'PartABalance Sheet(CY) '!D40</f>
        <v>14822571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68960</v>
      </c>
      <c r="C43" s="38">
        <f>'PartABalance Sheet(CY) '!D42</f>
        <v>86007</v>
      </c>
      <c r="D43" s="19"/>
      <c r="E43" s="19" t="s">
        <v>116</v>
      </c>
      <c r="F43" s="38">
        <f>'PartABalance Sheet(PY)'!I43</f>
        <v>11054124</v>
      </c>
      <c r="G43" s="38">
        <f>'PartABalance Sheet(CY) '!I42</f>
        <v>11054124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-13858956</v>
      </c>
      <c r="C45" s="39">
        <f>'PartABalance Sheet(CY) '!D44</f>
        <v>-13035973</v>
      </c>
      <c r="D45" s="19"/>
      <c r="E45" s="19" t="s">
        <v>118</v>
      </c>
      <c r="F45" s="39">
        <f>'PartABalance Sheet(PY)'!I45</f>
        <v>-5954181</v>
      </c>
      <c r="G45" s="39">
        <f>'PartABalance Sheet(CY) '!I44</f>
        <v>-6479065</v>
      </c>
    </row>
    <row r="46" spans="1:7" x14ac:dyDescent="0.35">
      <c r="A46" s="19" t="s">
        <v>76</v>
      </c>
      <c r="B46" s="38">
        <f>SUM(B41:B45)</f>
        <v>2181310</v>
      </c>
      <c r="C46" s="38">
        <f>SUM(C41:C45)</f>
        <v>1872605</v>
      </c>
      <c r="D46" s="19"/>
      <c r="E46" s="19" t="s">
        <v>119</v>
      </c>
      <c r="F46" s="38">
        <f>SUM(F39:F45)</f>
        <v>5156993</v>
      </c>
      <c r="G46" s="38">
        <f>SUM(G39:G45)</f>
        <v>4632109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13875072</v>
      </c>
      <c r="C48" s="40">
        <f>C25+C38+C46</f>
        <v>12784455</v>
      </c>
      <c r="D48" s="19"/>
      <c r="E48" s="23" t="s">
        <v>120</v>
      </c>
      <c r="F48" s="40">
        <f>F20+F32+F37+F46</f>
        <v>13875072</v>
      </c>
      <c r="G48" s="40">
        <f>G20+G32+G37+G46</f>
        <v>12784455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C45" sqref="C45"/>
    </sheetView>
  </sheetViews>
  <sheetFormatPr defaultColWidth="8.81640625"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Mashell Telecom, Inc.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15971306</v>
      </c>
      <c r="D10" s="75">
        <f>'PartABalance Sheet (Summary)'!C41</f>
        <v>14822571</v>
      </c>
      <c r="E10" s="75">
        <f>(C10+D10)/2</f>
        <v>15396938.5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-13858956</v>
      </c>
      <c r="D12" s="75">
        <f>'PartABalance Sheet (Summary)'!C45</f>
        <v>-13035973</v>
      </c>
      <c r="E12" s="75">
        <f t="shared" ref="E12:E15" si="0">(C12+D12)/2</f>
        <v>-13447464.5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104637</v>
      </c>
      <c r="D13" s="75">
        <f>'PartABalance Sheet (Summary)'!C21</f>
        <v>117813</v>
      </c>
      <c r="E13" s="75">
        <f t="shared" si="0"/>
        <v>111225</v>
      </c>
    </row>
    <row r="14" spans="1:5" x14ac:dyDescent="0.35">
      <c r="A14" s="19" t="s">
        <v>144</v>
      </c>
      <c r="B14" s="19"/>
      <c r="C14" s="65"/>
      <c r="D14" s="65"/>
      <c r="E14" s="65">
        <f t="shared" si="0"/>
        <v>0</v>
      </c>
    </row>
    <row r="15" spans="1:5" ht="15" thickBot="1" x14ac:dyDescent="0.4">
      <c r="A15" s="19" t="s">
        <v>213</v>
      </c>
      <c r="B15" s="19"/>
      <c r="C15" s="81">
        <f>SUM(C10:C14)</f>
        <v>2216987</v>
      </c>
      <c r="D15" s="81">
        <f>SUM(D10:D14)</f>
        <v>1904411</v>
      </c>
      <c r="E15" s="82">
        <f t="shared" si="0"/>
        <v>2060699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abSelected="1" workbookViewId="0">
      <selection activeCell="C45" sqref="C45"/>
    </sheetView>
  </sheetViews>
  <sheetFormatPr defaultColWidth="8.81640625"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Mashell Telecom, Inc.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2455</v>
      </c>
      <c r="C10" s="65">
        <v>2306</v>
      </c>
      <c r="D10" s="38">
        <f>C10-B10</f>
        <v>-149</v>
      </c>
      <c r="E10" s="44">
        <f>D10/B10</f>
        <v>-6.0692464358452138E-2</v>
      </c>
    </row>
    <row r="11" spans="1:5" x14ac:dyDescent="0.35">
      <c r="A11" s="19" t="s">
        <v>153</v>
      </c>
      <c r="B11" s="65">
        <v>547</v>
      </c>
      <c r="C11" s="65">
        <v>523</v>
      </c>
      <c r="D11" s="38">
        <f>C11-B11</f>
        <v>-24</v>
      </c>
      <c r="E11" s="44">
        <f t="shared" ref="E11:E12" si="0">D11/B11</f>
        <v>-4.3875685557586835E-2</v>
      </c>
    </row>
    <row r="12" spans="1:5" ht="15" thickBot="1" x14ac:dyDescent="0.4">
      <c r="A12" s="19" t="s">
        <v>154</v>
      </c>
      <c r="B12" s="40">
        <f>SUM(B10:B11)</f>
        <v>3002</v>
      </c>
      <c r="C12" s="40">
        <f t="shared" ref="C12:D12" si="1">SUM(C10:C11)</f>
        <v>2829</v>
      </c>
      <c r="D12" s="40">
        <f t="shared" si="1"/>
        <v>-173</v>
      </c>
      <c r="E12" s="45">
        <f t="shared" si="0"/>
        <v>-5.7628247834776818E-2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f>Broadband!B12</f>
        <v>2039</v>
      </c>
      <c r="C18" s="68">
        <f>Broadband!C12</f>
        <v>2020</v>
      </c>
      <c r="D18" s="40">
        <f>C18-B18</f>
        <v>-19</v>
      </c>
      <c r="E18" s="45">
        <f>D18/B18</f>
        <v>-9.3182932810201083E-3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32475</v>
      </c>
      <c r="C25" s="68">
        <v>239585</v>
      </c>
      <c r="D25" s="40">
        <f>C25-B25</f>
        <v>207110</v>
      </c>
      <c r="E25" s="45">
        <f>D25/B25</f>
        <v>6.3775211701308701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45" sqref="C45"/>
    </sheetView>
  </sheetViews>
  <sheetFormatPr defaultRowHeight="14.5" x14ac:dyDescent="0.35"/>
  <cols>
    <col min="1" max="1" width="23.81640625" bestFit="1" customWidth="1"/>
    <col min="2" max="3" width="13.54296875" bestFit="1" customWidth="1"/>
    <col min="4" max="4" width="10.453125" bestFit="1" customWidth="1"/>
    <col min="5" max="5" width="9.54296875" bestFit="1" customWidth="1"/>
  </cols>
  <sheetData>
    <row r="2" spans="1:5" x14ac:dyDescent="0.35">
      <c r="A2" t="s">
        <v>230</v>
      </c>
    </row>
    <row r="3" spans="1:5" x14ac:dyDescent="0.35">
      <c r="A3" s="2" t="str">
        <f>Statistics!A3</f>
        <v>Mashell Telecom, Inc.</v>
      </c>
    </row>
    <row r="6" spans="1:5" x14ac:dyDescent="0.35">
      <c r="A6" s="10"/>
      <c r="B6" s="10" t="s">
        <v>78</v>
      </c>
      <c r="C6" s="10" t="s">
        <v>138</v>
      </c>
      <c r="D6" s="10"/>
      <c r="E6" s="10"/>
    </row>
    <row r="7" spans="1:5" x14ac:dyDescent="0.35">
      <c r="A7" s="11" t="s">
        <v>197</v>
      </c>
      <c r="B7" s="11" t="s">
        <v>166</v>
      </c>
      <c r="C7" s="11" t="s">
        <v>166</v>
      </c>
      <c r="D7" s="11" t="s">
        <v>163</v>
      </c>
      <c r="E7" s="11" t="s">
        <v>231</v>
      </c>
    </row>
    <row r="8" spans="1:5" x14ac:dyDescent="0.35">
      <c r="A8" s="12"/>
      <c r="B8" s="12" t="s">
        <v>158</v>
      </c>
      <c r="C8" s="12" t="s">
        <v>160</v>
      </c>
      <c r="D8" s="12"/>
      <c r="E8" s="12"/>
    </row>
    <row r="9" spans="1:5" x14ac:dyDescent="0.35">
      <c r="A9" s="85" t="s">
        <v>232</v>
      </c>
      <c r="B9" s="7"/>
      <c r="C9" s="7"/>
      <c r="D9" s="7"/>
      <c r="E9" s="7"/>
    </row>
    <row r="10" spans="1:5" x14ac:dyDescent="0.35">
      <c r="A10" s="86" t="s">
        <v>233</v>
      </c>
      <c r="B10" s="36">
        <v>1319</v>
      </c>
      <c r="C10" s="36">
        <v>1309</v>
      </c>
      <c r="D10" s="36">
        <f>C10-B10</f>
        <v>-10</v>
      </c>
      <c r="E10" s="89">
        <f>D10/B10</f>
        <v>-7.5815011372251705E-3</v>
      </c>
    </row>
    <row r="11" spans="1:5" x14ac:dyDescent="0.35">
      <c r="A11" s="87" t="s">
        <v>234</v>
      </c>
      <c r="B11" s="92">
        <v>720</v>
      </c>
      <c r="C11" s="92">
        <v>711</v>
      </c>
      <c r="D11" s="92">
        <f>C11-B11</f>
        <v>-9</v>
      </c>
      <c r="E11" s="90">
        <f>D11/B11</f>
        <v>-1.2500000000000001E-2</v>
      </c>
    </row>
    <row r="12" spans="1:5" ht="15" thickBot="1" x14ac:dyDescent="0.4">
      <c r="A12" s="87" t="s">
        <v>235</v>
      </c>
      <c r="B12" s="93">
        <f>SUM(B10:B11)</f>
        <v>2039</v>
      </c>
      <c r="C12" s="93">
        <f>SUM(C10:C11)</f>
        <v>2020</v>
      </c>
      <c r="D12" s="93">
        <f>C12-B12</f>
        <v>-19</v>
      </c>
      <c r="E12" s="91">
        <f>D12/B12</f>
        <v>-9.3182932810201083E-3</v>
      </c>
    </row>
    <row r="13" spans="1:5" ht="15" thickTop="1" x14ac:dyDescent="0.35">
      <c r="A13" s="88"/>
      <c r="B13" s="88"/>
      <c r="C13" s="2"/>
      <c r="D13" s="2"/>
      <c r="E13" s="16"/>
    </row>
  </sheetData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28" workbookViewId="0">
      <selection activeCell="C45" sqref="C45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tr">
        <f>'PartABalance Sheet(PY)'!A3</f>
        <v>Mashell Telecom,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691417</v>
      </c>
      <c r="D11" s="33"/>
      <c r="E11" s="38">
        <f>SUM(C11:D11)</f>
        <v>691417</v>
      </c>
    </row>
    <row r="12" spans="1:5" x14ac:dyDescent="0.35">
      <c r="A12" s="11">
        <v>2</v>
      </c>
      <c r="B12" s="19" t="s">
        <v>5</v>
      </c>
      <c r="C12" s="65">
        <v>2628274</v>
      </c>
      <c r="D12" s="24"/>
      <c r="E12" s="38">
        <f t="shared" ref="E12:E16" si="0">SUM(C12:D12)</f>
        <v>2628274</v>
      </c>
    </row>
    <row r="13" spans="1:5" x14ac:dyDescent="0.35">
      <c r="A13" s="11">
        <v>3</v>
      </c>
      <c r="B13" s="19" t="s">
        <v>6</v>
      </c>
      <c r="C13" s="65">
        <v>191602</v>
      </c>
      <c r="D13" s="65">
        <v>-191602</v>
      </c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63</v>
      </c>
      <c r="D14" s="65"/>
      <c r="E14" s="38">
        <f t="shared" si="0"/>
        <v>63</v>
      </c>
    </row>
    <row r="15" spans="1:5" x14ac:dyDescent="0.35">
      <c r="A15" s="11">
        <v>5</v>
      </c>
      <c r="B15" s="19" t="s">
        <v>8</v>
      </c>
      <c r="C15" s="65">
        <v>34661</v>
      </c>
      <c r="D15" s="65"/>
      <c r="E15" s="38">
        <f t="shared" si="0"/>
        <v>34661</v>
      </c>
    </row>
    <row r="16" spans="1:5" x14ac:dyDescent="0.35">
      <c r="A16" s="11">
        <v>6</v>
      </c>
      <c r="B16" s="19" t="s">
        <v>182</v>
      </c>
      <c r="C16" s="65">
        <v>-19744</v>
      </c>
      <c r="D16" s="65"/>
      <c r="E16" s="38">
        <f t="shared" si="0"/>
        <v>-19744</v>
      </c>
    </row>
    <row r="17" spans="1:6" x14ac:dyDescent="0.35">
      <c r="A17" s="11">
        <v>7</v>
      </c>
      <c r="B17" s="23" t="s">
        <v>181</v>
      </c>
      <c r="C17" s="46">
        <f>SUM(C11:C16)</f>
        <v>3526273</v>
      </c>
      <c r="D17" s="46">
        <f t="shared" ref="D17:E17" si="1">SUM(D11:D16)</f>
        <v>-191602</v>
      </c>
      <c r="E17" s="46">
        <f t="shared" si="1"/>
        <v>3334671</v>
      </c>
      <c r="F17" s="1"/>
    </row>
    <row r="18" spans="1:6" x14ac:dyDescent="0.35">
      <c r="A18" s="11">
        <v>8</v>
      </c>
      <c r="B18" s="19" t="s">
        <v>9</v>
      </c>
      <c r="C18" s="65">
        <v>1390067</v>
      </c>
      <c r="D18" s="65"/>
      <c r="E18" s="47">
        <f>SUM(C18:D18)</f>
        <v>1390067</v>
      </c>
    </row>
    <row r="19" spans="1:6" x14ac:dyDescent="0.35">
      <c r="A19" s="11">
        <v>9</v>
      </c>
      <c r="B19" s="19" t="s">
        <v>44</v>
      </c>
      <c r="C19" s="65">
        <v>505087</v>
      </c>
      <c r="D19" s="65">
        <v>-161217</v>
      </c>
      <c r="E19" s="47">
        <f t="shared" ref="E19:E24" si="2">SUM(C19:D19)</f>
        <v>343870</v>
      </c>
    </row>
    <row r="20" spans="1:6" x14ac:dyDescent="0.35">
      <c r="A20" s="11">
        <v>10</v>
      </c>
      <c r="B20" s="19" t="s">
        <v>10</v>
      </c>
      <c r="C20" s="65">
        <v>470886</v>
      </c>
      <c r="D20" s="65">
        <v>51301</v>
      </c>
      <c r="E20" s="47">
        <f t="shared" si="2"/>
        <v>522187</v>
      </c>
    </row>
    <row r="21" spans="1:6" x14ac:dyDescent="0.35">
      <c r="A21" s="11">
        <v>11</v>
      </c>
      <c r="B21" s="19" t="s">
        <v>11</v>
      </c>
      <c r="C21" s="65">
        <v>52036</v>
      </c>
      <c r="D21" s="65">
        <v>-23183</v>
      </c>
      <c r="E21" s="47">
        <f t="shared" si="2"/>
        <v>28853</v>
      </c>
    </row>
    <row r="22" spans="1:6" x14ac:dyDescent="0.35">
      <c r="A22" s="11">
        <v>12</v>
      </c>
      <c r="B22" s="19" t="s">
        <v>12</v>
      </c>
      <c r="C22" s="65">
        <v>722482</v>
      </c>
      <c r="D22" s="65">
        <v>-79132</v>
      </c>
      <c r="E22" s="47">
        <f t="shared" si="2"/>
        <v>643350</v>
      </c>
    </row>
    <row r="23" spans="1:6" x14ac:dyDescent="0.35">
      <c r="A23" s="11">
        <v>13</v>
      </c>
      <c r="B23" s="19" t="s">
        <v>13</v>
      </c>
      <c r="C23" s="65">
        <v>1216109</v>
      </c>
      <c r="D23" s="65">
        <v>3399</v>
      </c>
      <c r="E23" s="47">
        <f t="shared" si="2"/>
        <v>1219508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1216109</v>
      </c>
      <c r="D25" s="38">
        <f t="shared" ref="D25:E25" si="3">SUM(D23:D24)</f>
        <v>3399</v>
      </c>
      <c r="E25" s="47">
        <f t="shared" si="3"/>
        <v>1219508</v>
      </c>
    </row>
    <row r="26" spans="1:6" x14ac:dyDescent="0.35">
      <c r="A26" s="11">
        <v>14</v>
      </c>
      <c r="B26" s="23" t="s">
        <v>180</v>
      </c>
      <c r="C26" s="46">
        <f>C18+C19+C20+C21+C22+C25</f>
        <v>4356667</v>
      </c>
      <c r="D26" s="46">
        <f t="shared" ref="D26:E26" si="4">D18+D19+D20+D21+D22+D25</f>
        <v>-208832</v>
      </c>
      <c r="E26" s="49">
        <f t="shared" si="4"/>
        <v>4147835</v>
      </c>
      <c r="F26" s="1"/>
    </row>
    <row r="27" spans="1:6" x14ac:dyDescent="0.35">
      <c r="A27" s="11">
        <v>15</v>
      </c>
      <c r="B27" s="19" t="s">
        <v>18</v>
      </c>
      <c r="C27" s="38">
        <f>C17-C26</f>
        <v>-830394</v>
      </c>
      <c r="D27" s="38">
        <f t="shared" ref="D27:E27" si="5">D17-D26</f>
        <v>17230</v>
      </c>
      <c r="E27" s="38">
        <f t="shared" si="5"/>
        <v>-813164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-351</v>
      </c>
      <c r="D30" s="65">
        <v>351</v>
      </c>
      <c r="E30" s="38">
        <f t="shared" si="6"/>
        <v>0</v>
      </c>
    </row>
    <row r="31" spans="1:6" x14ac:dyDescent="0.35">
      <c r="A31" s="11">
        <v>19</v>
      </c>
      <c r="B31" s="19" t="s">
        <v>17</v>
      </c>
      <c r="C31" s="65">
        <v>262906</v>
      </c>
      <c r="D31" s="70"/>
      <c r="E31" s="38">
        <f t="shared" si="6"/>
        <v>262906</v>
      </c>
    </row>
    <row r="32" spans="1:6" x14ac:dyDescent="0.35">
      <c r="A32" s="11">
        <v>20</v>
      </c>
      <c r="B32" s="19" t="s">
        <v>16</v>
      </c>
      <c r="C32" s="43">
        <f>SUM(C29:C31)</f>
        <v>262555</v>
      </c>
      <c r="D32" s="43">
        <f t="shared" ref="D32:E32" si="7">SUM(D29:D31)</f>
        <v>351</v>
      </c>
      <c r="E32" s="50">
        <f t="shared" si="7"/>
        <v>262906</v>
      </c>
    </row>
    <row r="33" spans="1:5" x14ac:dyDescent="0.35">
      <c r="A33" s="11">
        <v>21</v>
      </c>
      <c r="B33" s="19" t="s">
        <v>27</v>
      </c>
      <c r="C33" s="43">
        <f>C27+C28-C32</f>
        <v>-1092949</v>
      </c>
      <c r="D33" s="43">
        <f>D27+D28-D32</f>
        <v>16879</v>
      </c>
      <c r="E33" s="50">
        <f>E27+E28-E32</f>
        <v>-1076070</v>
      </c>
    </row>
    <row r="34" spans="1:5" x14ac:dyDescent="0.35">
      <c r="A34" s="11">
        <v>22</v>
      </c>
      <c r="B34" s="19" t="s">
        <v>19</v>
      </c>
      <c r="C34" s="65">
        <v>312997</v>
      </c>
      <c r="D34" s="24"/>
      <c r="E34" s="38">
        <f>SUM(C34:D34)</f>
        <v>312997</v>
      </c>
    </row>
    <row r="35" spans="1:5" x14ac:dyDescent="0.35">
      <c r="A35" s="11">
        <v>23</v>
      </c>
      <c r="B35" s="19" t="s">
        <v>20</v>
      </c>
      <c r="C35" s="65">
        <v>2083</v>
      </c>
      <c r="D35" s="24"/>
      <c r="E35" s="38">
        <f t="shared" ref="E35:E37" si="8">SUM(C35:D35)</f>
        <v>2083</v>
      </c>
    </row>
    <row r="36" spans="1:5" x14ac:dyDescent="0.35">
      <c r="A36" s="11">
        <v>24</v>
      </c>
      <c r="B36" s="19" t="s">
        <v>21</v>
      </c>
      <c r="C36" s="65">
        <v>-1385</v>
      </c>
      <c r="D36" s="24"/>
      <c r="E36" s="38">
        <f t="shared" si="8"/>
        <v>-1385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313695</v>
      </c>
      <c r="D38" s="51">
        <f t="shared" ref="D38:E38" si="9">SUM(D34:D37)</f>
        <v>0</v>
      </c>
      <c r="E38" s="50">
        <f t="shared" si="9"/>
        <v>313695</v>
      </c>
    </row>
    <row r="39" spans="1:5" x14ac:dyDescent="0.35">
      <c r="A39" s="11">
        <v>27</v>
      </c>
      <c r="B39" s="19" t="s">
        <v>23</v>
      </c>
      <c r="C39" s="65">
        <v>-26424</v>
      </c>
      <c r="D39" s="24"/>
      <c r="E39" s="38">
        <f>SUM(C39:D39)</f>
        <v>-26424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1646476</v>
      </c>
      <c r="D42" s="75">
        <f>-1*D33</f>
        <v>-16879</v>
      </c>
      <c r="E42" s="38">
        <f t="shared" si="10"/>
        <v>1629597</v>
      </c>
    </row>
    <row r="43" spans="1:5" x14ac:dyDescent="0.35">
      <c r="A43" s="11">
        <v>31</v>
      </c>
      <c r="B43" s="19" t="s">
        <v>26</v>
      </c>
      <c r="C43" s="43">
        <f>C33-C38+C39+C40+C41+C42</f>
        <v>213408</v>
      </c>
      <c r="D43" s="43">
        <f t="shared" ref="D43:E43" si="11">D33-D38+D39+D40+D41+D42</f>
        <v>0</v>
      </c>
      <c r="E43" s="50">
        <f t="shared" si="11"/>
        <v>213408</v>
      </c>
    </row>
    <row r="44" spans="1:5" x14ac:dyDescent="0.35">
      <c r="A44" s="11">
        <v>32</v>
      </c>
      <c r="B44" s="19" t="s">
        <v>28</v>
      </c>
      <c r="C44" s="65"/>
      <c r="D44" s="65"/>
      <c r="E44" s="38">
        <f>SUM(C44:D44)</f>
        <v>0</v>
      </c>
    </row>
    <row r="45" spans="1:5" x14ac:dyDescent="0.35">
      <c r="A45" s="11">
        <v>33</v>
      </c>
      <c r="B45" s="19" t="s">
        <v>29</v>
      </c>
      <c r="C45" s="65">
        <v>-6167589</v>
      </c>
      <c r="D45" s="24"/>
      <c r="E45" s="38">
        <f t="shared" ref="E45:E50" si="12">SUM(C45:D45)</f>
        <v>-6167589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-5954181</v>
      </c>
      <c r="D51" s="51">
        <f t="shared" ref="D51:E51" si="13">(D43+D45+D46)-(D47+D48+D49+D50)</f>
        <v>0</v>
      </c>
      <c r="E51" s="50">
        <f t="shared" si="13"/>
        <v>-5954181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1565595</v>
      </c>
      <c r="D56" s="24"/>
      <c r="E56" s="38">
        <f>C56</f>
        <v>1565595</v>
      </c>
    </row>
    <row r="57" spans="1:5" x14ac:dyDescent="0.35">
      <c r="A57" s="11">
        <v>45</v>
      </c>
      <c r="B57" s="19" t="s">
        <v>40</v>
      </c>
      <c r="C57" s="58">
        <f>((C26+C32-C20-C21)/C17)</f>
        <v>1.1616514092924739</v>
      </c>
      <c r="D57" s="58">
        <f>((D26+D32-D20-D21)/D17)</f>
        <v>1.2348461915846389</v>
      </c>
      <c r="E57" s="58">
        <f>((E26+E32-E20-E21)/E17)</f>
        <v>1.1574458169936404</v>
      </c>
    </row>
    <row r="58" spans="1:5" x14ac:dyDescent="0.35">
      <c r="A58" s="11">
        <v>46</v>
      </c>
      <c r="B58" s="19" t="s">
        <v>41</v>
      </c>
      <c r="C58" s="58">
        <f>((C26+C32+C38)/C17)</f>
        <v>1.3989038852068458</v>
      </c>
      <c r="D58" s="58">
        <f>((D26+D32+D38)/D17)</f>
        <v>1.0880940699992694</v>
      </c>
      <c r="E58" s="58">
        <f>((E26+E32+E38)/E17)</f>
        <v>1.4167622533077475</v>
      </c>
    </row>
    <row r="59" spans="1:5" x14ac:dyDescent="0.35">
      <c r="A59" s="11">
        <v>47</v>
      </c>
      <c r="B59" s="19" t="s">
        <v>42</v>
      </c>
      <c r="C59" s="58">
        <f>((C43+C38)/C38)</f>
        <v>1.6803041170563764</v>
      </c>
      <c r="D59" s="58" t="e">
        <f t="shared" ref="D59:E59" si="16">((D43+D38)/D38)</f>
        <v>#DIV/0!</v>
      </c>
      <c r="E59" s="58">
        <f t="shared" si="16"/>
        <v>1.6803041170563764</v>
      </c>
    </row>
    <row r="60" spans="1:5" x14ac:dyDescent="0.35">
      <c r="A60" s="11">
        <v>48</v>
      </c>
      <c r="B60" s="19" t="s">
        <v>43</v>
      </c>
      <c r="C60" s="58">
        <f>(C43+C38+C20+C21)/C56</f>
        <v>0.67068750219565088</v>
      </c>
      <c r="D60" s="58" t="e">
        <f t="shared" ref="D60:E60" si="17">(D43+D38+D20+D21)/D56</f>
        <v>#DIV/0!</v>
      </c>
      <c r="E60" s="58">
        <f t="shared" si="17"/>
        <v>0.68864744713671155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abSelected="1" workbookViewId="0">
      <selection activeCell="C45" sqref="C45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tr">
        <f>'PartABalance Sheet(PY)'!A3</f>
        <v>Mashell Telecom,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652675</v>
      </c>
      <c r="D11" s="33"/>
      <c r="E11" s="38">
        <f>SUM(C11:D11)</f>
        <v>652675</v>
      </c>
    </row>
    <row r="12" spans="1:5" x14ac:dyDescent="0.35">
      <c r="A12" s="11">
        <v>2</v>
      </c>
      <c r="B12" s="19" t="s">
        <v>5</v>
      </c>
      <c r="C12" s="65">
        <v>2298937</v>
      </c>
      <c r="D12" s="24"/>
      <c r="E12" s="38">
        <f t="shared" ref="E12:E16" si="0">SUM(C12:D12)</f>
        <v>2298937</v>
      </c>
    </row>
    <row r="13" spans="1:5" x14ac:dyDescent="0.35">
      <c r="A13" s="11">
        <v>3</v>
      </c>
      <c r="B13" s="19" t="s">
        <v>6</v>
      </c>
      <c r="C13" s="65">
        <v>167654</v>
      </c>
      <c r="D13" s="65">
        <v>-167654</v>
      </c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41</v>
      </c>
      <c r="D14" s="65"/>
      <c r="E14" s="38">
        <f t="shared" si="0"/>
        <v>41</v>
      </c>
    </row>
    <row r="15" spans="1:5" x14ac:dyDescent="0.35">
      <c r="A15" s="11">
        <v>5</v>
      </c>
      <c r="B15" s="19" t="s">
        <v>8</v>
      </c>
      <c r="C15" s="65">
        <v>32157</v>
      </c>
      <c r="D15" s="65"/>
      <c r="E15" s="38">
        <f t="shared" si="0"/>
        <v>32157</v>
      </c>
    </row>
    <row r="16" spans="1:5" x14ac:dyDescent="0.35">
      <c r="A16" s="11">
        <v>6</v>
      </c>
      <c r="B16" s="19" t="s">
        <v>182</v>
      </c>
      <c r="C16" s="65">
        <v>-13577</v>
      </c>
      <c r="D16" s="65"/>
      <c r="E16" s="38">
        <f t="shared" si="0"/>
        <v>-13577</v>
      </c>
    </row>
    <row r="17" spans="1:6" x14ac:dyDescent="0.35">
      <c r="A17" s="11">
        <v>7</v>
      </c>
      <c r="B17" s="23" t="s">
        <v>181</v>
      </c>
      <c r="C17" s="46">
        <f>SUM(C11:C16)</f>
        <v>3137887</v>
      </c>
      <c r="D17" s="52">
        <f t="shared" ref="D17:E17" si="1">SUM(D11:D16)</f>
        <v>-167654</v>
      </c>
      <c r="E17" s="49">
        <f t="shared" si="1"/>
        <v>2970233</v>
      </c>
      <c r="F17" s="1"/>
    </row>
    <row r="18" spans="1:6" x14ac:dyDescent="0.35">
      <c r="A18" s="11">
        <v>8</v>
      </c>
      <c r="B18" s="19" t="s">
        <v>9</v>
      </c>
      <c r="C18" s="65">
        <v>1432660</v>
      </c>
      <c r="D18" s="65">
        <v>-12448</v>
      </c>
      <c r="E18" s="47">
        <f>SUM(C18:D18)</f>
        <v>1420212</v>
      </c>
    </row>
    <row r="19" spans="1:6" x14ac:dyDescent="0.35">
      <c r="A19" s="11">
        <v>9</v>
      </c>
      <c r="B19" s="19" t="s">
        <v>44</v>
      </c>
      <c r="C19" s="65">
        <v>638627</v>
      </c>
      <c r="D19" s="65">
        <v>-248776</v>
      </c>
      <c r="E19" s="47">
        <f t="shared" ref="E19:E24" si="2">SUM(C19:D19)</f>
        <v>389851</v>
      </c>
    </row>
    <row r="20" spans="1:6" x14ac:dyDescent="0.35">
      <c r="A20" s="11">
        <v>10</v>
      </c>
      <c r="B20" s="19" t="s">
        <v>10</v>
      </c>
      <c r="C20" s="65">
        <v>475303</v>
      </c>
      <c r="D20" s="65">
        <v>29440</v>
      </c>
      <c r="E20" s="47">
        <f t="shared" si="2"/>
        <v>504743</v>
      </c>
    </row>
    <row r="21" spans="1:6" x14ac:dyDescent="0.35">
      <c r="A21" s="11">
        <v>11</v>
      </c>
      <c r="B21" s="19" t="s">
        <v>11</v>
      </c>
      <c r="C21" s="65">
        <v>59314</v>
      </c>
      <c r="D21" s="65">
        <v>-31880</v>
      </c>
      <c r="E21" s="47">
        <f t="shared" si="2"/>
        <v>27434</v>
      </c>
    </row>
    <row r="22" spans="1:6" x14ac:dyDescent="0.35">
      <c r="A22" s="11">
        <v>12</v>
      </c>
      <c r="B22" s="19" t="s">
        <v>12</v>
      </c>
      <c r="C22" s="65">
        <v>835664</v>
      </c>
      <c r="D22" s="65">
        <v>-193587</v>
      </c>
      <c r="E22" s="47">
        <f t="shared" si="2"/>
        <v>642077</v>
      </c>
    </row>
    <row r="23" spans="1:6" x14ac:dyDescent="0.35">
      <c r="A23" s="11">
        <v>13</v>
      </c>
      <c r="B23" s="19" t="s">
        <v>13</v>
      </c>
      <c r="C23" s="65">
        <v>1279813</v>
      </c>
      <c r="D23" s="65">
        <v>12331</v>
      </c>
      <c r="E23" s="47">
        <f t="shared" si="2"/>
        <v>1292144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1279813</v>
      </c>
      <c r="D25" s="38">
        <f t="shared" ref="D25:E25" si="3">SUM(D23:D24)</f>
        <v>12331</v>
      </c>
      <c r="E25" s="47">
        <f t="shared" si="3"/>
        <v>1292144</v>
      </c>
    </row>
    <row r="26" spans="1:6" x14ac:dyDescent="0.35">
      <c r="A26" s="11">
        <v>14</v>
      </c>
      <c r="B26" s="23" t="s">
        <v>180</v>
      </c>
      <c r="C26" s="46">
        <f>C18+C19+C20+C21+C22+C25</f>
        <v>4721381</v>
      </c>
      <c r="D26" s="46">
        <f t="shared" ref="D26:E26" si="4">D18+D19+D20+D21+D22+D25</f>
        <v>-444920</v>
      </c>
      <c r="E26" s="49">
        <f t="shared" si="4"/>
        <v>4276461</v>
      </c>
      <c r="F26" s="1"/>
    </row>
    <row r="27" spans="1:6" x14ac:dyDescent="0.35">
      <c r="A27" s="11">
        <v>15</v>
      </c>
      <c r="B27" s="19" t="s">
        <v>18</v>
      </c>
      <c r="C27" s="38">
        <f>C17-C26</f>
        <v>-1583494</v>
      </c>
      <c r="D27" s="38">
        <f t="shared" ref="D27:E27" si="5">D17-D26</f>
        <v>277266</v>
      </c>
      <c r="E27" s="47">
        <f t="shared" si="5"/>
        <v>-1306228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/>
      <c r="D30" s="65"/>
      <c r="E30" s="47">
        <f t="shared" si="6"/>
        <v>0</v>
      </c>
    </row>
    <row r="31" spans="1:6" x14ac:dyDescent="0.35">
      <c r="A31" s="11">
        <v>19</v>
      </c>
      <c r="B31" s="19" t="s">
        <v>17</v>
      </c>
      <c r="C31" s="65">
        <v>242528</v>
      </c>
      <c r="D31" s="70"/>
      <c r="E31" s="47">
        <f t="shared" si="6"/>
        <v>242528</v>
      </c>
    </row>
    <row r="32" spans="1:6" x14ac:dyDescent="0.35">
      <c r="A32" s="11">
        <v>20</v>
      </c>
      <c r="B32" s="19" t="s">
        <v>16</v>
      </c>
      <c r="C32" s="43">
        <f>SUM(C29:C31)</f>
        <v>242528</v>
      </c>
      <c r="D32" s="43">
        <f t="shared" ref="D32:E32" si="7">SUM(D29:D31)</f>
        <v>0</v>
      </c>
      <c r="E32" s="50">
        <f t="shared" si="7"/>
        <v>242528</v>
      </c>
    </row>
    <row r="33" spans="1:5" x14ac:dyDescent="0.35">
      <c r="A33" s="11">
        <v>21</v>
      </c>
      <c r="B33" s="19" t="s">
        <v>27</v>
      </c>
      <c r="C33" s="43">
        <f>C27+C28-C32</f>
        <v>-1826022</v>
      </c>
      <c r="D33" s="43">
        <f>D27+D28-D32</f>
        <v>277266</v>
      </c>
      <c r="E33" s="50">
        <f>E27+E28-E32</f>
        <v>-1548756</v>
      </c>
    </row>
    <row r="34" spans="1:5" x14ac:dyDescent="0.35">
      <c r="A34" s="11">
        <v>22</v>
      </c>
      <c r="B34" s="19" t="s">
        <v>19</v>
      </c>
      <c r="C34" s="65">
        <v>379157</v>
      </c>
      <c r="D34" s="53"/>
      <c r="E34" s="47">
        <f>SUM(C34:D34)</f>
        <v>379157</v>
      </c>
    </row>
    <row r="35" spans="1:5" x14ac:dyDescent="0.35">
      <c r="A35" s="11">
        <v>23</v>
      </c>
      <c r="B35" s="19" t="s">
        <v>20</v>
      </c>
      <c r="C35" s="65">
        <v>6170</v>
      </c>
      <c r="D35" s="53"/>
      <c r="E35" s="47">
        <f t="shared" ref="E35:E37" si="8">SUM(C35:D35)</f>
        <v>6170</v>
      </c>
    </row>
    <row r="36" spans="1:5" x14ac:dyDescent="0.35">
      <c r="A36" s="11">
        <v>24</v>
      </c>
      <c r="B36" s="19" t="s">
        <v>21</v>
      </c>
      <c r="C36" s="65">
        <v>-301</v>
      </c>
      <c r="D36" s="53"/>
      <c r="E36" s="47">
        <f t="shared" si="8"/>
        <v>-301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385026</v>
      </c>
      <c r="D38" s="51">
        <f t="shared" ref="D38:E38" si="9">SUM(D34:D37)</f>
        <v>0</v>
      </c>
      <c r="E38" s="50">
        <f t="shared" si="9"/>
        <v>385026</v>
      </c>
    </row>
    <row r="39" spans="1:5" x14ac:dyDescent="0.35">
      <c r="A39" s="11">
        <v>27</v>
      </c>
      <c r="B39" s="19" t="s">
        <v>23</v>
      </c>
      <c r="C39" s="65">
        <v>-58692</v>
      </c>
      <c r="D39" s="53"/>
      <c r="E39" s="54">
        <f>SUM(C39:D39)</f>
        <v>-58692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1744856</v>
      </c>
      <c r="D42" s="78">
        <f>-1*D33</f>
        <v>-277266</v>
      </c>
      <c r="E42" s="54">
        <f t="shared" si="10"/>
        <v>1467590</v>
      </c>
    </row>
    <row r="43" spans="1:5" x14ac:dyDescent="0.35">
      <c r="A43" s="11">
        <v>31</v>
      </c>
      <c r="B43" s="19" t="s">
        <v>26</v>
      </c>
      <c r="C43" s="43">
        <f>C33-C38+C39+C40+C41+C42</f>
        <v>-524884</v>
      </c>
      <c r="D43" s="43">
        <f t="shared" ref="D43:E43" si="11">D33-D38+D39+D40+D41+D42</f>
        <v>0</v>
      </c>
      <c r="E43" s="50">
        <f t="shared" si="11"/>
        <v>-524884</v>
      </c>
    </row>
    <row r="44" spans="1:5" x14ac:dyDescent="0.35">
      <c r="A44" s="11">
        <v>32</v>
      </c>
      <c r="B44" s="19" t="s">
        <v>28</v>
      </c>
      <c r="C44" s="65"/>
      <c r="D44" s="65"/>
      <c r="E44" s="54">
        <f>SUM(C44:D44)</f>
        <v>0</v>
      </c>
    </row>
    <row r="45" spans="1:5" x14ac:dyDescent="0.35">
      <c r="A45" s="11">
        <v>33</v>
      </c>
      <c r="B45" s="19" t="s">
        <v>29</v>
      </c>
      <c r="C45" s="65">
        <v>-5954181</v>
      </c>
      <c r="D45" s="53"/>
      <c r="E45" s="54">
        <f t="shared" ref="E45:E50" si="12">SUM(C45:D45)</f>
        <v>-5954181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-6479065</v>
      </c>
      <c r="D51" s="51">
        <f t="shared" ref="D51:E51" si="13">(D43+D45+D46)-(D47+D48+D49+D50)</f>
        <v>0</v>
      </c>
      <c r="E51" s="50">
        <f t="shared" si="13"/>
        <v>-6479065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806692</v>
      </c>
      <c r="D56" s="53"/>
      <c r="E56" s="47">
        <f>C56</f>
        <v>806692</v>
      </c>
    </row>
    <row r="57" spans="1:5" x14ac:dyDescent="0.35">
      <c r="A57" s="11">
        <v>45</v>
      </c>
      <c r="B57" s="19" t="s">
        <v>40</v>
      </c>
      <c r="C57" s="61">
        <f>((C26+C32-C20-C21)/C17)</f>
        <v>1.4115524236532417</v>
      </c>
      <c r="D57" s="61">
        <f>((D26+D32-D20-D21)/D17)</f>
        <v>2.6392451119567681</v>
      </c>
      <c r="E57" s="61">
        <f>((E26+E32-E20-E21)/E17)</f>
        <v>1.342255641224106</v>
      </c>
    </row>
    <row r="58" spans="1:5" x14ac:dyDescent="0.35">
      <c r="A58" s="11">
        <v>46</v>
      </c>
      <c r="B58" s="19" t="s">
        <v>41</v>
      </c>
      <c r="C58" s="61">
        <f>((C26+C32+C38)/C17)</f>
        <v>1.7046295803513638</v>
      </c>
      <c r="D58" s="61">
        <f>((D26+D32+D38)/D17)</f>
        <v>2.6537988953439822</v>
      </c>
      <c r="E58" s="61">
        <f>((E26+E32+E38)/E17)</f>
        <v>1.6510539745535115</v>
      </c>
    </row>
    <row r="59" spans="1:5" x14ac:dyDescent="0.35">
      <c r="A59" s="11">
        <v>47</v>
      </c>
      <c r="B59" s="19" t="s">
        <v>42</v>
      </c>
      <c r="C59" s="61">
        <f>((C43+C38)/C38)</f>
        <v>-0.36324300177130897</v>
      </c>
      <c r="D59" s="61" t="e">
        <f t="shared" ref="D59:E59" si="16">((D43+D38)/D38)</f>
        <v>#DIV/0!</v>
      </c>
      <c r="E59" s="61">
        <f t="shared" si="16"/>
        <v>-0.36324300177130897</v>
      </c>
    </row>
    <row r="60" spans="1:5" x14ac:dyDescent="0.35">
      <c r="A60" s="11">
        <v>48</v>
      </c>
      <c r="B60" s="19" t="s">
        <v>43</v>
      </c>
      <c r="C60" s="61">
        <f>(C43+C38+C20+C21)/C56</f>
        <v>0.48935529297427022</v>
      </c>
      <c r="D60" s="61" t="e">
        <f t="shared" ref="D60:E60" si="17">(D43+D38+D20+D21)/D56</f>
        <v>#DIV/0!</v>
      </c>
      <c r="E60" s="61">
        <f t="shared" si="17"/>
        <v>0.48633059457636868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abSelected="1" topLeftCell="A23" workbookViewId="0">
      <selection activeCell="C45" sqref="C45"/>
    </sheetView>
  </sheetViews>
  <sheetFormatPr defaultColWidth="8.81640625"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/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691417</v>
      </c>
      <c r="D11" s="47">
        <f>'PartBIncomeStmt(CY) '!E11</f>
        <v>652675</v>
      </c>
    </row>
    <row r="12" spans="1:4" x14ac:dyDescent="0.35">
      <c r="A12" s="11">
        <v>2</v>
      </c>
      <c r="B12" s="19" t="s">
        <v>5</v>
      </c>
      <c r="C12" s="38">
        <f>'PartBIncomeStmt(PY)'!E12</f>
        <v>2628274</v>
      </c>
      <c r="D12" s="47">
        <f>'PartBIncomeStmt(CY) '!E12</f>
        <v>2298937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63</v>
      </c>
      <c r="D14" s="47">
        <f>'PartBIncomeStmt(CY) '!E14</f>
        <v>41</v>
      </c>
    </row>
    <row r="15" spans="1:4" x14ac:dyDescent="0.35">
      <c r="A15" s="11">
        <v>5</v>
      </c>
      <c r="B15" s="19" t="s">
        <v>8</v>
      </c>
      <c r="C15" s="38">
        <f>'PartBIncomeStmt(PY)'!E15</f>
        <v>34661</v>
      </c>
      <c r="D15" s="47">
        <f>'PartBIncomeStmt(CY) '!E15</f>
        <v>32157</v>
      </c>
    </row>
    <row r="16" spans="1:4" x14ac:dyDescent="0.35">
      <c r="A16" s="11">
        <v>6</v>
      </c>
      <c r="B16" s="19" t="s">
        <v>182</v>
      </c>
      <c r="C16" s="38">
        <f>'PartBIncomeStmt(PY)'!E16</f>
        <v>-19744</v>
      </c>
      <c r="D16" s="47">
        <f>'PartBIncomeStmt(CY) '!E16</f>
        <v>-13577</v>
      </c>
    </row>
    <row r="17" spans="1:5" x14ac:dyDescent="0.35">
      <c r="A17" s="11">
        <v>7</v>
      </c>
      <c r="B17" s="23" t="s">
        <v>181</v>
      </c>
      <c r="C17" s="46">
        <f>SUM(C11:C16)</f>
        <v>3334671</v>
      </c>
      <c r="D17" s="49">
        <f t="shared" ref="D17" si="0">SUM(D11:D16)</f>
        <v>2970233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1390067</v>
      </c>
      <c r="D18" s="47">
        <f>'PartBIncomeStmt(CY) '!E18</f>
        <v>1420212</v>
      </c>
    </row>
    <row r="19" spans="1:5" x14ac:dyDescent="0.35">
      <c r="A19" s="11">
        <v>9</v>
      </c>
      <c r="B19" s="19" t="s">
        <v>44</v>
      </c>
      <c r="C19" s="38">
        <f>'PartBIncomeStmt(PY)'!E19</f>
        <v>343870</v>
      </c>
      <c r="D19" s="47">
        <f>'PartBIncomeStmt(CY) '!E19</f>
        <v>389851</v>
      </c>
    </row>
    <row r="20" spans="1:5" x14ac:dyDescent="0.35">
      <c r="A20" s="11">
        <v>10</v>
      </c>
      <c r="B20" s="19" t="s">
        <v>10</v>
      </c>
      <c r="C20" s="38">
        <f>'PartBIncomeStmt(PY)'!E20</f>
        <v>522187</v>
      </c>
      <c r="D20" s="47">
        <f>'PartBIncomeStmt(CY) '!E20</f>
        <v>504743</v>
      </c>
    </row>
    <row r="21" spans="1:5" x14ac:dyDescent="0.35">
      <c r="A21" s="11">
        <v>11</v>
      </c>
      <c r="B21" s="19" t="s">
        <v>11</v>
      </c>
      <c r="C21" s="38">
        <f>'PartBIncomeStmt(PY)'!E21</f>
        <v>28853</v>
      </c>
      <c r="D21" s="47">
        <f>'PartBIncomeStmt(CY) '!E21</f>
        <v>27434</v>
      </c>
    </row>
    <row r="22" spans="1:5" x14ac:dyDescent="0.35">
      <c r="A22" s="11">
        <v>12</v>
      </c>
      <c r="B22" s="19" t="s">
        <v>12</v>
      </c>
      <c r="C22" s="38">
        <f>'PartBIncomeStmt(PY)'!E22</f>
        <v>643350</v>
      </c>
      <c r="D22" s="47">
        <f>'PartBIncomeStmt(CY) '!E22</f>
        <v>642077</v>
      </c>
    </row>
    <row r="23" spans="1:5" x14ac:dyDescent="0.35">
      <c r="A23" s="11">
        <v>13</v>
      </c>
      <c r="B23" s="19" t="s">
        <v>13</v>
      </c>
      <c r="C23" s="38">
        <f>'PartBIncomeStmt(PY)'!E23</f>
        <v>1219508</v>
      </c>
      <c r="D23" s="47">
        <f>'PartBIncomeStmt(CY) '!E23</f>
        <v>1292144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1219508</v>
      </c>
      <c r="D25" s="47">
        <f t="shared" ref="D25" si="1">SUM(D23:D24)</f>
        <v>1292144</v>
      </c>
    </row>
    <row r="26" spans="1:5" x14ac:dyDescent="0.35">
      <c r="A26" s="11">
        <v>14</v>
      </c>
      <c r="B26" s="23" t="s">
        <v>180</v>
      </c>
      <c r="C26" s="46">
        <f>C18+C19+C20+C21+C22+C25</f>
        <v>4147835</v>
      </c>
      <c r="D26" s="49">
        <f t="shared" ref="D26" si="2">D18+D19+D20+D21+D22+D25</f>
        <v>4276461</v>
      </c>
      <c r="E26" s="1"/>
    </row>
    <row r="27" spans="1:5" x14ac:dyDescent="0.35">
      <c r="A27" s="11">
        <v>15</v>
      </c>
      <c r="B27" s="19" t="s">
        <v>18</v>
      </c>
      <c r="C27" s="38">
        <f>C17-C26</f>
        <v>-813164</v>
      </c>
      <c r="D27" s="47">
        <f t="shared" ref="D27" si="3">D17-D26</f>
        <v>-1306228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0</v>
      </c>
      <c r="D30" s="47">
        <f>'PartBIncomeStmt(CY) '!E30</f>
        <v>0</v>
      </c>
    </row>
    <row r="31" spans="1:5" x14ac:dyDescent="0.35">
      <c r="A31" s="11">
        <v>19</v>
      </c>
      <c r="B31" s="19" t="s">
        <v>17</v>
      </c>
      <c r="C31" s="38">
        <f>'PartBIncomeStmt(PY)'!E31</f>
        <v>262906</v>
      </c>
      <c r="D31" s="47">
        <f>'PartBIncomeStmt(CY) '!E31</f>
        <v>242528</v>
      </c>
    </row>
    <row r="32" spans="1:5" x14ac:dyDescent="0.35">
      <c r="A32" s="11">
        <v>20</v>
      </c>
      <c r="B32" s="19" t="s">
        <v>16</v>
      </c>
      <c r="C32" s="43">
        <f>SUM(C29:C31)</f>
        <v>262906</v>
      </c>
      <c r="D32" s="50">
        <f t="shared" ref="D32" si="4">SUM(D29:D31)</f>
        <v>242528</v>
      </c>
    </row>
    <row r="33" spans="1:4" x14ac:dyDescent="0.35">
      <c r="A33" s="11">
        <v>21</v>
      </c>
      <c r="B33" s="19" t="s">
        <v>27</v>
      </c>
      <c r="C33" s="43">
        <f>C27+C28-C32</f>
        <v>-1076070</v>
      </c>
      <c r="D33" s="50">
        <f>D27+D28-D32</f>
        <v>-1548756</v>
      </c>
    </row>
    <row r="34" spans="1:4" x14ac:dyDescent="0.35">
      <c r="A34" s="11">
        <v>22</v>
      </c>
      <c r="B34" s="19" t="s">
        <v>19</v>
      </c>
      <c r="C34" s="38">
        <f>'PartBIncomeStmt(PY)'!E34</f>
        <v>312997</v>
      </c>
      <c r="D34" s="47">
        <f>'PartBIncomeStmt(CY) '!E34</f>
        <v>379157</v>
      </c>
    </row>
    <row r="35" spans="1:4" x14ac:dyDescent="0.35">
      <c r="A35" s="11">
        <v>23</v>
      </c>
      <c r="B35" s="19" t="s">
        <v>20</v>
      </c>
      <c r="C35" s="38">
        <f>'PartBIncomeStmt(PY)'!E35</f>
        <v>2083</v>
      </c>
      <c r="D35" s="47">
        <f>'PartBIncomeStmt(CY) '!E35</f>
        <v>6170</v>
      </c>
    </row>
    <row r="36" spans="1:4" x14ac:dyDescent="0.35">
      <c r="A36" s="11">
        <v>24</v>
      </c>
      <c r="B36" s="19" t="s">
        <v>21</v>
      </c>
      <c r="C36" s="38">
        <f>'PartBIncomeStmt(PY)'!E36</f>
        <v>-1385</v>
      </c>
      <c r="D36" s="47">
        <f>'PartBIncomeStmt(CY) '!E36</f>
        <v>-301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313695</v>
      </c>
      <c r="D38" s="50">
        <f t="shared" ref="D38" si="5">SUM(D34:D37)</f>
        <v>385026</v>
      </c>
    </row>
    <row r="39" spans="1:4" x14ac:dyDescent="0.35">
      <c r="A39" s="11">
        <v>27</v>
      </c>
      <c r="B39" s="19" t="s">
        <v>23</v>
      </c>
      <c r="C39" s="38">
        <f>'PartBIncomeStmt(PY)'!E39</f>
        <v>-26424</v>
      </c>
      <c r="D39" s="47">
        <f>'PartBIncomeStmt(CY) '!E39</f>
        <v>-58692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1629597</v>
      </c>
      <c r="D42" s="47">
        <f>'PartBIncomeStmt(CY) '!E42</f>
        <v>1467590</v>
      </c>
    </row>
    <row r="43" spans="1:4" x14ac:dyDescent="0.35">
      <c r="A43" s="11">
        <v>31</v>
      </c>
      <c r="B43" s="19" t="s">
        <v>26</v>
      </c>
      <c r="C43" s="43">
        <f>C33-C38+C39+C40+C41+C42</f>
        <v>213408</v>
      </c>
      <c r="D43" s="50">
        <f t="shared" ref="D43" si="6">D33-D38+D39+D40+D41+D42</f>
        <v>-524884</v>
      </c>
    </row>
    <row r="44" spans="1:4" x14ac:dyDescent="0.3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35">
      <c r="A45" s="11">
        <v>33</v>
      </c>
      <c r="B45" s="19" t="s">
        <v>29</v>
      </c>
      <c r="C45" s="38">
        <f>'PartBIncomeStmt(PY)'!E45</f>
        <v>-6167589</v>
      </c>
      <c r="D45" s="47">
        <f>'PartBIncomeStmt(CY) '!E45</f>
        <v>-5954181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-5954181</v>
      </c>
      <c r="D51" s="50">
        <f t="shared" ref="D51" si="7">(D43+D45+D46)-(D47+D48+D49+D50)</f>
        <v>-6479065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1565595</v>
      </c>
      <c r="D56" s="47">
        <f>'PartBIncomeStmt(CY) '!E56</f>
        <v>806692</v>
      </c>
    </row>
    <row r="57" spans="1:4" x14ac:dyDescent="0.35">
      <c r="A57" s="11">
        <v>45</v>
      </c>
      <c r="B57" s="19" t="s">
        <v>40</v>
      </c>
      <c r="C57" s="61">
        <f>((C26+C32-C20-C21)/C17)</f>
        <v>1.1574458169936404</v>
      </c>
      <c r="D57" s="61">
        <f>((D26+D32-D20-D21)/D17)</f>
        <v>1.342255641224106</v>
      </c>
    </row>
    <row r="58" spans="1:4" x14ac:dyDescent="0.35">
      <c r="A58" s="11">
        <v>46</v>
      </c>
      <c r="B58" s="19" t="s">
        <v>41</v>
      </c>
      <c r="C58" s="61">
        <f>((C26+C32+C38)/C17)</f>
        <v>1.4167622533077475</v>
      </c>
      <c r="D58" s="61">
        <f>((D26+D32+D38)/D17)</f>
        <v>1.6510539745535115</v>
      </c>
    </row>
    <row r="59" spans="1:4" x14ac:dyDescent="0.35">
      <c r="A59" s="11">
        <v>47</v>
      </c>
      <c r="B59" s="19" t="s">
        <v>42</v>
      </c>
      <c r="C59" s="61">
        <f>((C43+C38)/C38)</f>
        <v>1.6803041170563764</v>
      </c>
      <c r="D59" s="61">
        <f t="shared" ref="D59" si="9">((D43+D38)/D38)</f>
        <v>-0.36324300177130897</v>
      </c>
    </row>
    <row r="60" spans="1:4" x14ac:dyDescent="0.35">
      <c r="A60" s="11">
        <v>48</v>
      </c>
      <c r="B60" s="19" t="s">
        <v>43</v>
      </c>
      <c r="C60" s="55">
        <f>(C43+C38+C20+C21)/C56</f>
        <v>0.68864744713671155</v>
      </c>
      <c r="D60" s="61">
        <f t="shared" ref="D60" si="10">(D43+D38+D20+D21)/D56</f>
        <v>0.48633059457636868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1C9A990C9B13240AF111766B57EB269" ma:contentTypeVersion="175" ma:contentTypeDescription="" ma:contentTypeScope="" ma:versionID="47d09647a2408133caeccb37bcc003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Mashell Telecom, Inc.</CaseCompanyNames>
    <DocketNumber xmlns="dc463f71-b30c-4ab2-9473-d307f9d35888">141533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6E1FC0-073E-49A5-8E46-F0B14ED4A10E}"/>
</file>

<file path=customXml/itemProps2.xml><?xml version="1.0" encoding="utf-8"?>
<ds:datastoreItem xmlns:ds="http://schemas.openxmlformats.org/officeDocument/2006/customXml" ds:itemID="{6CBB44E7-815D-4040-880D-0B7ACCCA8F3C}"/>
</file>

<file path=customXml/itemProps3.xml><?xml version="1.0" encoding="utf-8"?>
<ds:datastoreItem xmlns:ds="http://schemas.openxmlformats.org/officeDocument/2006/customXml" ds:itemID="{7E4D1459-8F7E-4DC1-B6A5-97D51F80ECC1}"/>
</file>

<file path=customXml/itemProps4.xml><?xml version="1.0" encoding="utf-8"?>
<ds:datastoreItem xmlns:ds="http://schemas.openxmlformats.org/officeDocument/2006/customXml" ds:itemID="{F48BA0E2-983D-43C0-93BB-C7F9A4891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PartABalance Sheet(PY)</vt:lpstr>
      <vt:lpstr>PartABalance Sheet(CY) </vt:lpstr>
      <vt:lpstr>PartABalance Sheet (Summary)</vt:lpstr>
      <vt:lpstr>RateBase</vt:lpstr>
      <vt:lpstr>Statistics</vt:lpstr>
      <vt:lpstr>Broadband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2014-07-28T20:55:53Z</cp:lastPrinted>
  <dcterms:created xsi:type="dcterms:W3CDTF">2014-05-21T17:51:51Z</dcterms:created>
  <dcterms:modified xsi:type="dcterms:W3CDTF">2014-08-05T16:36:00Z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0x0101006E56B4D1795A2E4DB2F0B01679ED314A0051C9A990C9B13240AF111766B57EB269</vt:lpwstr>
  </property>
  <property fmtid="{D5CDD505-2E9C-101B-9397-08002B2CF9AE}" pid="3" name="_docset_NoMedatataSyncRequired">
    <vt:lpwstr>False</vt:lpwstr>
  </property>
</Properties>
</file>