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PFROP">'Sheet1'!$E$10:$O$79</definedName>
    <definedName name="ProFormaAdj">'Sheet1'!$AJ$10:$AW$78</definedName>
    <definedName name="RestatingAdj">'Sheet1'!$S$10:$AF$78</definedName>
  </definedNames>
  <calcPr fullCalcOnLoad="1"/>
</workbook>
</file>

<file path=xl/comments1.xml><?xml version="1.0" encoding="utf-8"?>
<comments xmlns="http://schemas.openxmlformats.org/spreadsheetml/2006/main">
  <authors>
    <author>Information Services</author>
  </authors>
  <commentList>
    <comment ref="AR45" authorId="0">
      <text>
        <r>
          <rPr>
            <b/>
            <sz val="8"/>
            <rFont val="Tahoma"/>
            <family val="0"/>
          </rPr>
          <t>Information Services:</t>
        </r>
        <r>
          <rPr>
            <sz val="8"/>
            <rFont val="Tahoma"/>
            <family val="0"/>
          </rPr>
          <t xml:space="preserve">
per Co</t>
        </r>
      </text>
    </comment>
  </commentList>
</comments>
</file>

<file path=xl/sharedStrings.xml><?xml version="1.0" encoding="utf-8"?>
<sst xmlns="http://schemas.openxmlformats.org/spreadsheetml/2006/main" count="382" uniqueCount="148">
  <si>
    <t>Bremerton-Kitsap Airporter, Inc., C-903</t>
  </si>
  <si>
    <t>ProForma Income Statement</t>
  </si>
  <si>
    <t>12 mo. Ended August 31, 2002</t>
  </si>
  <si>
    <t>Restating</t>
  </si>
  <si>
    <t>Per</t>
  </si>
  <si>
    <t>Pro</t>
  </si>
  <si>
    <t>Effect of</t>
  </si>
  <si>
    <t>Pro Forma</t>
  </si>
  <si>
    <t>Actual</t>
  </si>
  <si>
    <t>Books</t>
  </si>
  <si>
    <t>Forma b/4</t>
  </si>
  <si>
    <t>Requested</t>
  </si>
  <si>
    <t>Revised</t>
  </si>
  <si>
    <t>at Revised</t>
  </si>
  <si>
    <t>Adjustments</t>
  </si>
  <si>
    <t>Restated</t>
  </si>
  <si>
    <t>Rates</t>
  </si>
  <si>
    <t>w/ Rates</t>
  </si>
  <si>
    <t>Revenues</t>
  </si>
  <si>
    <t>Kitsap</t>
  </si>
  <si>
    <t>Pierce</t>
  </si>
  <si>
    <t>Charters</t>
  </si>
  <si>
    <t>Baggage</t>
  </si>
  <si>
    <t>Refunds</t>
  </si>
  <si>
    <t>Total Revenue</t>
  </si>
  <si>
    <t>Expenses</t>
  </si>
  <si>
    <t>Advertising</t>
  </si>
  <si>
    <t>SeaTac Concessions</t>
  </si>
  <si>
    <t>Radio Rpr/Usage</t>
  </si>
  <si>
    <t>Gasoline</t>
  </si>
  <si>
    <t>Fuel Tax Refunds</t>
  </si>
  <si>
    <t>Vehicle Insurance</t>
  </si>
  <si>
    <t>Vehicle Licenses</t>
  </si>
  <si>
    <t>Vehicle Maint. &amp; Parts</t>
  </si>
  <si>
    <t>Charter Exp</t>
  </si>
  <si>
    <t>Sea-Tac Kiosk</t>
  </si>
  <si>
    <t>Payroll</t>
  </si>
  <si>
    <t>Payroll Taxes</t>
  </si>
  <si>
    <t>Pub Util Tax</t>
  </si>
  <si>
    <t>WUTC Tax</t>
  </si>
  <si>
    <t>Accounting</t>
  </si>
  <si>
    <t>Bad Debts</t>
  </si>
  <si>
    <t>Bank Charges</t>
  </si>
  <si>
    <t>Cash Over/Short</t>
  </si>
  <si>
    <t>Baggage Delivery</t>
  </si>
  <si>
    <t>Handicap Transport</t>
  </si>
  <si>
    <t>Computer Maint/Programming</t>
  </si>
  <si>
    <t>Credit Card Exp</t>
  </si>
  <si>
    <t>Depreciation</t>
  </si>
  <si>
    <t>Drug Screening</t>
  </si>
  <si>
    <t>Dues &amp; Subscriptions</t>
  </si>
  <si>
    <t>Ed. &amp; Training</t>
  </si>
  <si>
    <t>Insurance</t>
  </si>
  <si>
    <t>Janitorial</t>
  </si>
  <si>
    <t>Laundry &amp; Uniforms</t>
  </si>
  <si>
    <t>Legal</t>
  </si>
  <si>
    <t>Misc.</t>
  </si>
  <si>
    <t>Office Supply</t>
  </si>
  <si>
    <t>Postage &amp; Printing</t>
  </si>
  <si>
    <t>Rent</t>
  </si>
  <si>
    <t>General Repairs/Maint.</t>
  </si>
  <si>
    <t>Taxes &amp; Licenses</t>
  </si>
  <si>
    <t>Telephone</t>
  </si>
  <si>
    <t>Travel &amp; Meetings</t>
  </si>
  <si>
    <t>Utilities</t>
  </si>
  <si>
    <t>Officer Salaries</t>
  </si>
  <si>
    <t>Total Operating Expenses</t>
  </si>
  <si>
    <t>Net Operating Income</t>
  </si>
  <si>
    <t>Other Income/(Expense)</t>
  </si>
  <si>
    <t>Net Income</t>
  </si>
  <si>
    <t>Op. Ratio - %</t>
  </si>
  <si>
    <t>Restating Actual Adjustments</t>
  </si>
  <si>
    <t>RA -1</t>
  </si>
  <si>
    <t>RA -2</t>
  </si>
  <si>
    <t>RA -3</t>
  </si>
  <si>
    <t>RA -4</t>
  </si>
  <si>
    <t>RA -5</t>
  </si>
  <si>
    <t>RA -6</t>
  </si>
  <si>
    <t>RA -7</t>
  </si>
  <si>
    <t>RA -8</t>
  </si>
  <si>
    <t>RA -9</t>
  </si>
  <si>
    <t>RA -10</t>
  </si>
  <si>
    <t>Total</t>
  </si>
  <si>
    <t>Record</t>
  </si>
  <si>
    <t>To Adjust</t>
  </si>
  <si>
    <t>Fuel Tax</t>
  </si>
  <si>
    <t>Depr. to</t>
  </si>
  <si>
    <t>Affiliated</t>
  </si>
  <si>
    <t>Owner</t>
  </si>
  <si>
    <t>Credits</t>
  </si>
  <si>
    <t>Staff</t>
  </si>
  <si>
    <t>Expense</t>
  </si>
  <si>
    <t>Salary</t>
  </si>
  <si>
    <t>Schedule</t>
  </si>
  <si>
    <t>SeaTac Kiosk</t>
  </si>
  <si>
    <t>ProForma Adjustments</t>
  </si>
  <si>
    <t>PF-1</t>
  </si>
  <si>
    <t>PF-2</t>
  </si>
  <si>
    <t>PF-3</t>
  </si>
  <si>
    <t>PF-4</t>
  </si>
  <si>
    <t>PF-5</t>
  </si>
  <si>
    <t>PF-6</t>
  </si>
  <si>
    <t>PF-7</t>
  </si>
  <si>
    <t>PF-8</t>
  </si>
  <si>
    <t>PF-9</t>
  </si>
  <si>
    <t>PF-10</t>
  </si>
  <si>
    <t>To PF</t>
  </si>
  <si>
    <t>Revenue</t>
  </si>
  <si>
    <t>Customers &amp;</t>
  </si>
  <si>
    <t>Annualize</t>
  </si>
  <si>
    <t>L &amp; I</t>
  </si>
  <si>
    <t>RE &amp; PP</t>
  </si>
  <si>
    <t xml:space="preserve">to </t>
  </si>
  <si>
    <t>RevenueTo</t>
  </si>
  <si>
    <t>to Current</t>
  </si>
  <si>
    <t>Sea-Tac</t>
  </si>
  <si>
    <t>Tax</t>
  </si>
  <si>
    <t>Present</t>
  </si>
  <si>
    <t>Representative</t>
  </si>
  <si>
    <t>Levels</t>
  </si>
  <si>
    <t>Kiosk Rent</t>
  </si>
  <si>
    <t>If the Company</t>
  </si>
  <si>
    <t>had accepted</t>
  </si>
  <si>
    <t>them.</t>
  </si>
  <si>
    <t>Docket TC-021578</t>
  </si>
  <si>
    <t xml:space="preserve"> </t>
  </si>
  <si>
    <t>Separated ProForma Income Statement</t>
  </si>
  <si>
    <t>Company</t>
  </si>
  <si>
    <t>Results</t>
  </si>
  <si>
    <t>at</t>
  </si>
  <si>
    <t>Separation</t>
  </si>
  <si>
    <t>Ft. Lewis/McChord</t>
  </si>
  <si>
    <t>Basis</t>
  </si>
  <si>
    <t>Operations</t>
  </si>
  <si>
    <t>Psgr. Count</t>
  </si>
  <si>
    <t>Kitsap Psgrs.</t>
  </si>
  <si>
    <t>Pierce Psgrs.</t>
  </si>
  <si>
    <t>Psgr. Revenue</t>
  </si>
  <si>
    <t>Needed for 93.0</t>
  </si>
  <si>
    <t>O.R. per psgr.</t>
  </si>
  <si>
    <t>Psgrs</t>
  </si>
  <si>
    <t>Dvr. P/Roll</t>
  </si>
  <si>
    <t>Fuel</t>
  </si>
  <si>
    <t>Charter Rev.</t>
  </si>
  <si>
    <t>P/Roll Study</t>
  </si>
  <si>
    <t>Psgr Revenue</t>
  </si>
  <si>
    <t>GA</t>
  </si>
  <si>
    <t>WorkSheet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</si>
</sst>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_);_(* \(#,##0.00000\);_(* &quot;-&quot;?????_);_(@_)"/>
    <numFmt numFmtId="167" formatCode="_(* #,##0.000_);_(* \(#,##0.000\);_(* &quot;-&quot;?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8">
    <font>
      <sz val="10"/>
      <name val="Arial"/>
      <family val="0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17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Alignment="1" quotePrefix="1">
      <alignment horizontal="left" indent="1"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0" fontId="0" fillId="0" borderId="0" xfId="21" applyNumberForma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0" xfId="21" applyNumberFormat="1" applyAlignment="1">
      <alignment/>
    </xf>
    <xf numFmtId="164" fontId="0" fillId="0" borderId="0" xfId="0" applyNumberFormat="1" applyAlignment="1">
      <alignment/>
    </xf>
    <xf numFmtId="44" fontId="0" fillId="0" borderId="0" xfId="17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21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542925</xdr:colOff>
      <xdr:row>31</xdr:row>
      <xdr:rowOff>76200</xdr:rowOff>
    </xdr:from>
    <xdr:to>
      <xdr:col>57</xdr:col>
      <xdr:colOff>447675</xdr:colOff>
      <xdr:row>31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757225" y="5095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Bus\General\RateCase\BKPsgr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Bus\General\RateCase\BK200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3">
          <cell r="E143">
            <v>45523.149764093585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FStatement"/>
      <sheetName val="Separation"/>
      <sheetName val="Monthly P&amp;L"/>
      <sheetName val="Depr"/>
      <sheetName val="Compare"/>
      <sheetName val="Pax"/>
      <sheetName val="Payroll&amp;Tax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I80"/>
  <sheetViews>
    <sheetView tabSelected="1" zoomScale="75" zoomScaleNormal="75" workbookViewId="0" topLeftCell="AZ9">
      <selection activeCell="BE88" sqref="BE88"/>
    </sheetView>
  </sheetViews>
  <sheetFormatPr defaultColWidth="9.140625" defaultRowHeight="12.75"/>
  <cols>
    <col min="6" max="6" width="19.57421875" style="0" customWidth="1"/>
    <col min="7" max="7" width="12.7109375" style="0" bestFit="1" customWidth="1"/>
    <col min="8" max="8" width="12.140625" style="0" bestFit="1" customWidth="1"/>
    <col min="9" max="9" width="12.7109375" style="0" bestFit="1" customWidth="1"/>
    <col min="10" max="10" width="12.140625" style="0" bestFit="1" customWidth="1"/>
    <col min="11" max="11" width="12.7109375" style="0" bestFit="1" customWidth="1"/>
    <col min="12" max="12" width="11.00390625" style="0" bestFit="1" customWidth="1"/>
    <col min="13" max="13" width="12.7109375" style="0" bestFit="1" customWidth="1"/>
    <col min="14" max="14" width="11.00390625" style="0" bestFit="1" customWidth="1"/>
    <col min="15" max="15" width="12.7109375" style="0" bestFit="1" customWidth="1"/>
    <col min="23" max="23" width="9.28125" style="0" bestFit="1" customWidth="1"/>
    <col min="26" max="26" width="10.421875" style="0" bestFit="1" customWidth="1"/>
    <col min="32" max="32" width="12.140625" style="0" bestFit="1" customWidth="1"/>
    <col min="39" max="39" width="10.421875" style="0" bestFit="1" customWidth="1"/>
    <col min="40" max="40" width="14.57421875" style="0" bestFit="1" customWidth="1"/>
    <col min="41" max="41" width="9.8515625" style="0" bestFit="1" customWidth="1"/>
    <col min="42" max="42" width="10.00390625" style="0" bestFit="1" customWidth="1"/>
    <col min="43" max="43" width="10.57421875" style="0" bestFit="1" customWidth="1"/>
    <col min="49" max="49" width="12.140625" style="0" bestFit="1" customWidth="1"/>
    <col min="54" max="54" width="11.57421875" style="0" bestFit="1" customWidth="1"/>
    <col min="55" max="55" width="12.7109375" style="0" bestFit="1" customWidth="1"/>
    <col min="59" max="59" width="12.7109375" style="0" bestFit="1" customWidth="1"/>
    <col min="60" max="60" width="14.57421875" style="0" bestFit="1" customWidth="1"/>
  </cols>
  <sheetData>
    <row r="2" ht="12.75">
      <c r="AD2" t="s">
        <v>125</v>
      </c>
    </row>
    <row r="10" spans="5:52" ht="12.75">
      <c r="E10" t="s">
        <v>0</v>
      </c>
      <c r="S10" t="s">
        <v>0</v>
      </c>
      <c r="AJ10" t="s">
        <v>0</v>
      </c>
      <c r="AZ10" t="s">
        <v>0</v>
      </c>
    </row>
    <row r="11" spans="5:52" ht="12.75">
      <c r="E11" t="s">
        <v>1</v>
      </c>
      <c r="S11" t="s">
        <v>71</v>
      </c>
      <c r="AJ11" t="s">
        <v>95</v>
      </c>
      <c r="AZ11" s="1" t="s">
        <v>126</v>
      </c>
    </row>
    <row r="12" spans="5:52" ht="12.75">
      <c r="E12" s="1" t="s">
        <v>2</v>
      </c>
      <c r="S12" s="1" t="s">
        <v>2</v>
      </c>
      <c r="AJ12" s="1" t="s">
        <v>2</v>
      </c>
      <c r="AZ12" s="1" t="s">
        <v>2</v>
      </c>
    </row>
    <row r="13" spans="5:52" ht="12.75">
      <c r="E13" s="11" t="s">
        <v>124</v>
      </c>
      <c r="S13" s="1" t="str">
        <f>E13</f>
        <v>Docket TC-021578</v>
      </c>
      <c r="AJ13" s="1" t="str">
        <f>S13</f>
        <v>Docket TC-021578</v>
      </c>
      <c r="AZ13" s="1" t="str">
        <f>AJ13</f>
        <v>Docket TC-021578</v>
      </c>
    </row>
    <row r="14" spans="5:52" ht="12.75">
      <c r="E14" s="1"/>
      <c r="S14" s="1"/>
      <c r="AJ14" s="1"/>
      <c r="AZ14" s="1"/>
    </row>
    <row r="15" spans="22:55" ht="12.75"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M15" s="3" t="s">
        <v>96</v>
      </c>
      <c r="AN15" s="3" t="s">
        <v>97</v>
      </c>
      <c r="AO15" s="3" t="s">
        <v>98</v>
      </c>
      <c r="AP15" s="3" t="s">
        <v>99</v>
      </c>
      <c r="AQ15" s="3" t="s">
        <v>100</v>
      </c>
      <c r="AR15" s="3" t="s">
        <v>101</v>
      </c>
      <c r="AS15" s="3" t="s">
        <v>102</v>
      </c>
      <c r="AT15" s="3" t="s">
        <v>103</v>
      </c>
      <c r="AU15" s="3" t="s">
        <v>104</v>
      </c>
      <c r="AV15" s="3" t="s">
        <v>105</v>
      </c>
      <c r="BC15" s="2" t="s">
        <v>82</v>
      </c>
    </row>
    <row r="16" spans="8:55" ht="12.75">
      <c r="H16" s="2" t="s">
        <v>3</v>
      </c>
      <c r="I16" s="2" t="s">
        <v>4</v>
      </c>
      <c r="J16" s="2"/>
      <c r="K16" s="2" t="s">
        <v>5</v>
      </c>
      <c r="L16" s="2" t="s">
        <v>6</v>
      </c>
      <c r="N16" s="2" t="s">
        <v>6</v>
      </c>
      <c r="O16" s="2" t="s">
        <v>7</v>
      </c>
      <c r="AF16" s="2" t="s">
        <v>82</v>
      </c>
      <c r="BC16" s="2" t="s">
        <v>127</v>
      </c>
    </row>
    <row r="17" spans="7:55" ht="12.75">
      <c r="G17" s="2" t="s">
        <v>4</v>
      </c>
      <c r="H17" s="2" t="s">
        <v>8</v>
      </c>
      <c r="I17" s="2" t="s">
        <v>9</v>
      </c>
      <c r="J17" s="2" t="s">
        <v>7</v>
      </c>
      <c r="K17" s="3" t="s">
        <v>10</v>
      </c>
      <c r="L17" s="2" t="s">
        <v>11</v>
      </c>
      <c r="M17" s="2" t="s">
        <v>7</v>
      </c>
      <c r="N17" s="2" t="s">
        <v>12</v>
      </c>
      <c r="O17" s="2" t="s">
        <v>13</v>
      </c>
      <c r="V17" s="2" t="s">
        <v>83</v>
      </c>
      <c r="W17" s="2" t="s">
        <v>84</v>
      </c>
      <c r="X17" s="2" t="s">
        <v>84</v>
      </c>
      <c r="Y17" s="2" t="s">
        <v>84</v>
      </c>
      <c r="Z17" s="2" t="s">
        <v>84</v>
      </c>
      <c r="AF17" s="2" t="s">
        <v>3</v>
      </c>
      <c r="AM17" s="3" t="s">
        <v>106</v>
      </c>
      <c r="AN17" s="3" t="s">
        <v>106</v>
      </c>
      <c r="AO17" s="2" t="s">
        <v>106</v>
      </c>
      <c r="AP17" s="2" t="s">
        <v>106</v>
      </c>
      <c r="AQ17" s="3" t="s">
        <v>106</v>
      </c>
      <c r="AR17" s="2" t="s">
        <v>106</v>
      </c>
      <c r="AS17" s="2" t="s">
        <v>106</v>
      </c>
      <c r="AW17" s="2" t="s">
        <v>82</v>
      </c>
      <c r="BC17" s="2" t="s">
        <v>128</v>
      </c>
    </row>
    <row r="18" spans="7:60" ht="12.75">
      <c r="G18" s="4" t="s">
        <v>9</v>
      </c>
      <c r="H18" s="4" t="s">
        <v>14</v>
      </c>
      <c r="I18" s="4" t="s">
        <v>15</v>
      </c>
      <c r="J18" s="4" t="s">
        <v>14</v>
      </c>
      <c r="K18" s="4" t="s">
        <v>16</v>
      </c>
      <c r="L18" s="4" t="s">
        <v>16</v>
      </c>
      <c r="M18" s="4" t="s">
        <v>17</v>
      </c>
      <c r="N18" s="4" t="s">
        <v>16</v>
      </c>
      <c r="O18" s="4" t="s">
        <v>16</v>
      </c>
      <c r="V18" s="2" t="s">
        <v>85</v>
      </c>
      <c r="W18" s="2" t="s">
        <v>86</v>
      </c>
      <c r="X18" s="2" t="s">
        <v>87</v>
      </c>
      <c r="Y18" s="3" t="s">
        <v>55</v>
      </c>
      <c r="Z18" s="2" t="s">
        <v>88</v>
      </c>
      <c r="AF18" s="2" t="s">
        <v>8</v>
      </c>
      <c r="AM18" s="3" t="s">
        <v>107</v>
      </c>
      <c r="AN18" s="3" t="s">
        <v>108</v>
      </c>
      <c r="AO18" s="2" t="s">
        <v>36</v>
      </c>
      <c r="AP18" s="2" t="s">
        <v>52</v>
      </c>
      <c r="AQ18" s="2" t="s">
        <v>109</v>
      </c>
      <c r="AR18" s="2" t="s">
        <v>110</v>
      </c>
      <c r="AS18" s="2" t="s">
        <v>111</v>
      </c>
      <c r="AW18" s="2" t="s">
        <v>7</v>
      </c>
      <c r="BB18" s="2" t="s">
        <v>90</v>
      </c>
      <c r="BC18" s="2" t="s">
        <v>129</v>
      </c>
      <c r="BH18" s="2" t="s">
        <v>20</v>
      </c>
    </row>
    <row r="19" spans="22:60" ht="12.75">
      <c r="V19" s="2" t="s">
        <v>89</v>
      </c>
      <c r="W19" s="2" t="s">
        <v>90</v>
      </c>
      <c r="X19" s="2" t="s">
        <v>59</v>
      </c>
      <c r="Y19" s="2" t="s">
        <v>91</v>
      </c>
      <c r="Z19" s="2" t="s">
        <v>92</v>
      </c>
      <c r="AF19" s="2" t="s">
        <v>14</v>
      </c>
      <c r="AM19" s="2" t="s">
        <v>112</v>
      </c>
      <c r="AN19" s="3" t="s">
        <v>113</v>
      </c>
      <c r="AO19" s="2" t="s">
        <v>114</v>
      </c>
      <c r="AP19" s="2" t="s">
        <v>114</v>
      </c>
      <c r="AQ19" s="2" t="s">
        <v>115</v>
      </c>
      <c r="AR19" s="2" t="s">
        <v>91</v>
      </c>
      <c r="AS19" s="2" t="s">
        <v>116</v>
      </c>
      <c r="AW19" s="2" t="s">
        <v>14</v>
      </c>
      <c r="BB19" s="3" t="s">
        <v>134</v>
      </c>
      <c r="BC19" s="2" t="s">
        <v>117</v>
      </c>
      <c r="BE19" s="2" t="s">
        <v>130</v>
      </c>
      <c r="BG19" s="2" t="s">
        <v>19</v>
      </c>
      <c r="BH19" s="21" t="s">
        <v>131</v>
      </c>
    </row>
    <row r="20" spans="5:60" ht="12.75">
      <c r="E20" t="s">
        <v>18</v>
      </c>
      <c r="N20" t="s">
        <v>121</v>
      </c>
      <c r="S20" t="s">
        <v>18</v>
      </c>
      <c r="W20" s="2" t="s">
        <v>93</v>
      </c>
      <c r="AJ20" t="s">
        <v>18</v>
      </c>
      <c r="AM20" s="2" t="s">
        <v>117</v>
      </c>
      <c r="AN20" s="2" t="s">
        <v>118</v>
      </c>
      <c r="AO20" s="2" t="s">
        <v>119</v>
      </c>
      <c r="AP20" s="2" t="s">
        <v>119</v>
      </c>
      <c r="AQ20" s="2" t="s">
        <v>120</v>
      </c>
      <c r="BC20" s="2" t="s">
        <v>119</v>
      </c>
      <c r="BE20" s="2" t="s">
        <v>132</v>
      </c>
      <c r="BG20" s="3" t="s">
        <v>133</v>
      </c>
      <c r="BH20" s="2" t="s">
        <v>133</v>
      </c>
    </row>
    <row r="21" spans="14:55" ht="12.75">
      <c r="N21" t="s">
        <v>122</v>
      </c>
      <c r="W21" s="2"/>
      <c r="AM21" s="2" t="s">
        <v>119</v>
      </c>
      <c r="AN21" s="2" t="s">
        <v>119</v>
      </c>
      <c r="AO21" s="2"/>
      <c r="AP21" s="2"/>
      <c r="AQ21" s="2"/>
      <c r="BC21" s="2"/>
    </row>
    <row r="22" spans="14:55" ht="12.75">
      <c r="N22" t="s">
        <v>123</v>
      </c>
      <c r="W22" s="2"/>
      <c r="AM22" s="2"/>
      <c r="AN22" s="2"/>
      <c r="AO22" s="2"/>
      <c r="AP22" s="2"/>
      <c r="AQ22" s="2"/>
      <c r="BC22" s="2"/>
    </row>
    <row r="23" spans="23:52" ht="12.75">
      <c r="W23" s="2"/>
      <c r="AZ23" t="s">
        <v>18</v>
      </c>
    </row>
    <row r="24" spans="23:55" ht="12.75">
      <c r="W24" s="2"/>
      <c r="AM24" s="2"/>
      <c r="AN24" s="2"/>
      <c r="BC24" s="2"/>
    </row>
    <row r="25" spans="3:60" ht="12.75">
      <c r="C25">
        <v>106367</v>
      </c>
      <c r="E25" s="5" t="s">
        <v>19</v>
      </c>
      <c r="G25" s="6">
        <v>1511795</v>
      </c>
      <c r="H25" s="6">
        <f>AF25</f>
        <v>0</v>
      </c>
      <c r="I25" s="6">
        <f>H25+G25</f>
        <v>1511795</v>
      </c>
      <c r="J25" s="6">
        <v>-156147</v>
      </c>
      <c r="K25" s="6">
        <f>J25+I25</f>
        <v>1355648</v>
      </c>
      <c r="L25" s="6">
        <v>212734</v>
      </c>
      <c r="M25" s="6">
        <f>L25+K25</f>
        <v>1568382</v>
      </c>
      <c r="N25" s="6">
        <v>34280</v>
      </c>
      <c r="O25" s="6">
        <f>N25+K25</f>
        <v>1389928</v>
      </c>
      <c r="S25" s="5" t="s">
        <v>19</v>
      </c>
      <c r="AF25" s="7">
        <f aca="true" t="shared" si="0" ref="AF25:AF30">SUM(V25:AE25)</f>
        <v>0</v>
      </c>
      <c r="AJ25" s="5" t="s">
        <v>19</v>
      </c>
      <c r="AM25" s="7">
        <f>3920-205590</f>
        <v>-201670</v>
      </c>
      <c r="AN25" s="7">
        <f>'[1]Sheet1'!$E$143</f>
        <v>45523.149764093585</v>
      </c>
      <c r="AW25" s="7">
        <f aca="true" t="shared" si="1" ref="AW25:AW30">SUM(AM25:AV25)</f>
        <v>-156146.85023590643</v>
      </c>
      <c r="AZ25" s="8" t="s">
        <v>135</v>
      </c>
      <c r="BB25" s="22">
        <v>106367</v>
      </c>
      <c r="BC25" s="6">
        <v>1355648.3597640935</v>
      </c>
      <c r="BE25" s="2" t="s">
        <v>8</v>
      </c>
      <c r="BG25" s="23">
        <v>1355648.3597640935</v>
      </c>
      <c r="BH25" s="23"/>
    </row>
    <row r="26" spans="3:60" ht="12.75">
      <c r="C26">
        <v>16681</v>
      </c>
      <c r="E26" s="5" t="s">
        <v>20</v>
      </c>
      <c r="G26" s="7">
        <v>174614</v>
      </c>
      <c r="H26" s="7">
        <f>AF26</f>
        <v>0</v>
      </c>
      <c r="I26" s="7">
        <f>H26+G26</f>
        <v>174614</v>
      </c>
      <c r="J26" s="7">
        <v>45294</v>
      </c>
      <c r="K26" s="7">
        <f>J26+I26</f>
        <v>219908</v>
      </c>
      <c r="L26" s="7">
        <v>20850</v>
      </c>
      <c r="M26" s="7">
        <f>L26+K26</f>
        <v>240758</v>
      </c>
      <c r="N26" s="7">
        <v>20851</v>
      </c>
      <c r="O26" s="7">
        <f>N26+K26</f>
        <v>240759</v>
      </c>
      <c r="S26" s="5" t="s">
        <v>20</v>
      </c>
      <c r="AF26" s="7">
        <f t="shared" si="0"/>
        <v>0</v>
      </c>
      <c r="AJ26" s="5" t="s">
        <v>20</v>
      </c>
      <c r="AM26" s="7">
        <f>45872-578</f>
        <v>45294</v>
      </c>
      <c r="AW26" s="7">
        <f t="shared" si="1"/>
        <v>45294</v>
      </c>
      <c r="AZ26" s="8" t="s">
        <v>136</v>
      </c>
      <c r="BB26" s="22">
        <v>16681</v>
      </c>
      <c r="BC26" s="7">
        <v>219908</v>
      </c>
      <c r="BE26" s="2" t="s">
        <v>8</v>
      </c>
      <c r="BH26" s="6">
        <v>219908</v>
      </c>
    </row>
    <row r="27" spans="5:60" ht="12.75">
      <c r="E27" s="8" t="s">
        <v>21</v>
      </c>
      <c r="G27" s="7">
        <v>9420</v>
      </c>
      <c r="H27" s="7">
        <f>AF27</f>
        <v>0</v>
      </c>
      <c r="I27" s="7">
        <f>H27+G27</f>
        <v>9420</v>
      </c>
      <c r="J27" s="7">
        <v>0</v>
      </c>
      <c r="K27" s="7">
        <f>J27+I27</f>
        <v>9420</v>
      </c>
      <c r="L27" s="7"/>
      <c r="M27" s="7">
        <f>L27+K27</f>
        <v>9420</v>
      </c>
      <c r="N27" s="7"/>
      <c r="O27" s="7">
        <f>N27+K27</f>
        <v>9420</v>
      </c>
      <c r="S27" s="8" t="s">
        <v>21</v>
      </c>
      <c r="AF27" s="7">
        <f t="shared" si="0"/>
        <v>0</v>
      </c>
      <c r="AJ27" s="8" t="s">
        <v>21</v>
      </c>
      <c r="AW27" s="7">
        <f t="shared" si="1"/>
        <v>0</v>
      </c>
      <c r="AZ27" s="8" t="s">
        <v>21</v>
      </c>
      <c r="BC27" s="7">
        <v>9420</v>
      </c>
      <c r="BE27" s="2" t="s">
        <v>137</v>
      </c>
      <c r="BG27" s="16">
        <v>8105.205167582727</v>
      </c>
      <c r="BH27" s="16">
        <v>1314.794832417273</v>
      </c>
    </row>
    <row r="28" spans="5:60" ht="12.75">
      <c r="E28" s="5" t="s">
        <v>22</v>
      </c>
      <c r="G28" s="7">
        <v>838</v>
      </c>
      <c r="H28" s="7">
        <f>AF28</f>
        <v>0</v>
      </c>
      <c r="I28" s="7">
        <f>H28+G28</f>
        <v>838</v>
      </c>
      <c r="J28" s="7">
        <v>0</v>
      </c>
      <c r="K28" s="7">
        <f>J28+I28</f>
        <v>838</v>
      </c>
      <c r="L28" s="7"/>
      <c r="M28" s="7">
        <f>L28+K28</f>
        <v>838</v>
      </c>
      <c r="N28" s="7"/>
      <c r="O28" s="7">
        <f>N28+K28</f>
        <v>838</v>
      </c>
      <c r="S28" s="5" t="s">
        <v>22</v>
      </c>
      <c r="AF28" s="7">
        <f t="shared" si="0"/>
        <v>0</v>
      </c>
      <c r="AJ28" s="5" t="s">
        <v>22</v>
      </c>
      <c r="AW28" s="7">
        <f t="shared" si="1"/>
        <v>0</v>
      </c>
      <c r="AZ28" s="5" t="s">
        <v>22</v>
      </c>
      <c r="BC28" s="7">
        <v>838</v>
      </c>
      <c r="BE28" s="2" t="s">
        <v>137</v>
      </c>
      <c r="BG28" s="16">
        <v>721.0362983475928</v>
      </c>
      <c r="BH28" s="16">
        <v>116.96370165240708</v>
      </c>
    </row>
    <row r="29" spans="5:60" ht="12.75">
      <c r="E29" s="5" t="s">
        <v>23</v>
      </c>
      <c r="G29" s="9">
        <v>-3337</v>
      </c>
      <c r="H29" s="9">
        <f>AF29</f>
        <v>0</v>
      </c>
      <c r="I29" s="9">
        <f>H29+G29</f>
        <v>-3337</v>
      </c>
      <c r="J29" s="9">
        <v>0</v>
      </c>
      <c r="K29" s="9">
        <f>J29+I29</f>
        <v>-3337</v>
      </c>
      <c r="L29" s="9"/>
      <c r="M29" s="9">
        <f>L29+K29</f>
        <v>-3337</v>
      </c>
      <c r="N29" s="9"/>
      <c r="O29" s="9">
        <f>N29+K29</f>
        <v>-3337</v>
      </c>
      <c r="S29" s="5" t="s">
        <v>23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9">
        <f t="shared" si="0"/>
        <v>0</v>
      </c>
      <c r="AJ29" s="5" t="s">
        <v>23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9">
        <f t="shared" si="1"/>
        <v>0</v>
      </c>
      <c r="AZ29" s="5" t="s">
        <v>23</v>
      </c>
      <c r="BC29" s="9">
        <v>-3337</v>
      </c>
      <c r="BE29" s="2" t="s">
        <v>137</v>
      </c>
      <c r="BG29" s="17">
        <v>-2871.2388157349847</v>
      </c>
      <c r="BH29" s="17">
        <v>-465.76118426501483</v>
      </c>
    </row>
    <row r="30" spans="5:60" ht="12.75">
      <c r="E30" s="5" t="s">
        <v>24</v>
      </c>
      <c r="G30" s="7">
        <f aca="true" t="shared" si="2" ref="G30:O30">SUM(G25:G29)</f>
        <v>1693330</v>
      </c>
      <c r="H30" s="7">
        <f t="shared" si="2"/>
        <v>0</v>
      </c>
      <c r="I30" s="7">
        <f t="shared" si="2"/>
        <v>1693330</v>
      </c>
      <c r="J30" s="7">
        <f t="shared" si="2"/>
        <v>-110853</v>
      </c>
      <c r="K30" s="7">
        <f t="shared" si="2"/>
        <v>1582477</v>
      </c>
      <c r="L30" s="7">
        <f t="shared" si="2"/>
        <v>233584</v>
      </c>
      <c r="M30" s="7">
        <f t="shared" si="2"/>
        <v>1816061</v>
      </c>
      <c r="N30" s="7">
        <f t="shared" si="2"/>
        <v>55131</v>
      </c>
      <c r="O30" s="7">
        <f t="shared" si="2"/>
        <v>1637608</v>
      </c>
      <c r="S30" s="5" t="s">
        <v>24</v>
      </c>
      <c r="V30" s="7">
        <f>SUM(V25:V29)</f>
        <v>0</v>
      </c>
      <c r="W30" s="7">
        <f aca="true" t="shared" si="3" ref="W30:AE30">SUM(W25:W29)</f>
        <v>0</v>
      </c>
      <c r="X30" s="7">
        <f t="shared" si="3"/>
        <v>0</v>
      </c>
      <c r="Y30" s="7">
        <f t="shared" si="3"/>
        <v>0</v>
      </c>
      <c r="Z30" s="7">
        <f t="shared" si="3"/>
        <v>0</v>
      </c>
      <c r="AA30" s="7">
        <f t="shared" si="3"/>
        <v>0</v>
      </c>
      <c r="AB30" s="7">
        <f t="shared" si="3"/>
        <v>0</v>
      </c>
      <c r="AC30" s="7">
        <f t="shared" si="3"/>
        <v>0</v>
      </c>
      <c r="AD30" s="7">
        <f t="shared" si="3"/>
        <v>0</v>
      </c>
      <c r="AE30" s="7">
        <f t="shared" si="3"/>
        <v>0</v>
      </c>
      <c r="AF30" s="7">
        <f t="shared" si="0"/>
        <v>0</v>
      </c>
      <c r="AJ30" s="5" t="s">
        <v>24</v>
      </c>
      <c r="AM30" s="7">
        <f aca="true" t="shared" si="4" ref="AM30:AV30">SUM(AM25:AM29)</f>
        <v>-156376</v>
      </c>
      <c r="AN30" s="7">
        <f t="shared" si="4"/>
        <v>45523.149764093585</v>
      </c>
      <c r="AO30" s="7">
        <f t="shared" si="4"/>
        <v>0</v>
      </c>
      <c r="AP30" s="7">
        <f t="shared" si="4"/>
        <v>0</v>
      </c>
      <c r="AQ30" s="7">
        <f t="shared" si="4"/>
        <v>0</v>
      </c>
      <c r="AR30" s="7">
        <f t="shared" si="4"/>
        <v>0</v>
      </c>
      <c r="AS30" s="7">
        <f t="shared" si="4"/>
        <v>0</v>
      </c>
      <c r="AT30" s="7">
        <f t="shared" si="4"/>
        <v>0</v>
      </c>
      <c r="AU30" s="7">
        <f t="shared" si="4"/>
        <v>0</v>
      </c>
      <c r="AV30" s="7">
        <f t="shared" si="4"/>
        <v>0</v>
      </c>
      <c r="AW30" s="7">
        <f t="shared" si="1"/>
        <v>-110852.85023590642</v>
      </c>
      <c r="AZ30" s="5" t="s">
        <v>24</v>
      </c>
      <c r="BC30" s="7">
        <v>1582477.3597640935</v>
      </c>
      <c r="BG30" s="7">
        <v>1361603.3624142888</v>
      </c>
      <c r="BH30" s="7">
        <v>220873.99734980467</v>
      </c>
    </row>
    <row r="32" spans="5:61" ht="12.75">
      <c r="E32" s="11" t="s">
        <v>25</v>
      </c>
      <c r="S32" s="11" t="s">
        <v>25</v>
      </c>
      <c r="AJ32" s="11" t="s">
        <v>25</v>
      </c>
      <c r="BD32" s="1" t="s">
        <v>138</v>
      </c>
      <c r="BG32" s="7">
        <v>34280.01668844172</v>
      </c>
      <c r="BH32" s="6">
        <v>20851.25</v>
      </c>
      <c r="BI32" s="23"/>
    </row>
    <row r="33" spans="5:60" ht="12.75">
      <c r="E33" s="8" t="s">
        <v>26</v>
      </c>
      <c r="G33" s="7">
        <v>12554</v>
      </c>
      <c r="H33" s="7">
        <f>AF33</f>
        <v>0</v>
      </c>
      <c r="I33" s="7">
        <f aca="true" t="shared" si="5" ref="I33:I73">H33+G33</f>
        <v>12554</v>
      </c>
      <c r="J33" s="7">
        <f>AW33</f>
        <v>0</v>
      </c>
      <c r="K33" s="7">
        <f aca="true" t="shared" si="6" ref="K33:K73">J33+I33</f>
        <v>12554</v>
      </c>
      <c r="L33" s="7"/>
      <c r="M33" s="7">
        <f>L33+K33</f>
        <v>12554</v>
      </c>
      <c r="O33" s="7"/>
      <c r="S33" s="8" t="s">
        <v>26</v>
      </c>
      <c r="AF33" s="7">
        <f>SUM(V33:AE33)</f>
        <v>0</v>
      </c>
      <c r="AJ33" s="8" t="s">
        <v>26</v>
      </c>
      <c r="AW33" s="7">
        <f>SUM(AM33:AV33)</f>
        <v>0</v>
      </c>
      <c r="BD33" s="1" t="s">
        <v>139</v>
      </c>
      <c r="BG33" s="24">
        <v>0.32228056341197664</v>
      </c>
      <c r="BH33" s="24">
        <v>1.25</v>
      </c>
    </row>
    <row r="34" spans="5:49" ht="12.75">
      <c r="E34" s="5" t="s">
        <v>27</v>
      </c>
      <c r="G34" s="7">
        <v>21825</v>
      </c>
      <c r="H34" s="7">
        <f aca="true" t="shared" si="7" ref="H34:H73">AF34</f>
        <v>0</v>
      </c>
      <c r="I34" s="7">
        <f t="shared" si="5"/>
        <v>21825</v>
      </c>
      <c r="J34" s="7">
        <f aca="true" t="shared" si="8" ref="J34:J43">AW34</f>
        <v>0</v>
      </c>
      <c r="K34" s="7">
        <f t="shared" si="6"/>
        <v>21825</v>
      </c>
      <c r="L34" s="7"/>
      <c r="M34" s="7">
        <f aca="true" t="shared" si="9" ref="M34:M73">L34+K34</f>
        <v>21825</v>
      </c>
      <c r="N34" s="7"/>
      <c r="O34" s="7"/>
      <c r="S34" s="5" t="s">
        <v>27</v>
      </c>
      <c r="AF34" s="7">
        <f aca="true" t="shared" si="10" ref="AF34:AF73">SUM(V34:AE34)</f>
        <v>0</v>
      </c>
      <c r="AJ34" s="5" t="s">
        <v>27</v>
      </c>
      <c r="AW34" s="7">
        <f aca="true" t="shared" si="11" ref="AW34:AW73">SUM(AM34:AV34)</f>
        <v>0</v>
      </c>
    </row>
    <row r="35" spans="5:52" ht="12.75">
      <c r="E35" s="5" t="s">
        <v>28</v>
      </c>
      <c r="G35" s="7">
        <v>6758</v>
      </c>
      <c r="H35" s="7">
        <f t="shared" si="7"/>
        <v>0</v>
      </c>
      <c r="I35" s="7">
        <f t="shared" si="5"/>
        <v>6758</v>
      </c>
      <c r="J35" s="7">
        <f t="shared" si="8"/>
        <v>0</v>
      </c>
      <c r="K35" s="7">
        <f t="shared" si="6"/>
        <v>6758</v>
      </c>
      <c r="L35" s="7"/>
      <c r="M35" s="7">
        <f t="shared" si="9"/>
        <v>6758</v>
      </c>
      <c r="N35" s="7"/>
      <c r="O35" s="7"/>
      <c r="S35" s="5" t="s">
        <v>28</v>
      </c>
      <c r="AF35" s="7">
        <f t="shared" si="10"/>
        <v>0</v>
      </c>
      <c r="AJ35" s="5" t="s">
        <v>28</v>
      </c>
      <c r="AW35" s="7">
        <f t="shared" si="11"/>
        <v>0</v>
      </c>
      <c r="AZ35" s="11" t="s">
        <v>25</v>
      </c>
    </row>
    <row r="36" spans="5:52" ht="12.75">
      <c r="E36" s="5"/>
      <c r="G36" s="7"/>
      <c r="H36" s="7"/>
      <c r="I36" s="7"/>
      <c r="J36" s="7"/>
      <c r="K36" s="7"/>
      <c r="L36" s="7"/>
      <c r="M36" s="7"/>
      <c r="N36" s="7"/>
      <c r="O36" s="7"/>
      <c r="S36" s="5"/>
      <c r="AF36" s="7"/>
      <c r="AJ36" s="5"/>
      <c r="AW36" s="7"/>
      <c r="AZ36" s="11"/>
    </row>
    <row r="37" spans="5:60" ht="12.75">
      <c r="E37" s="8" t="s">
        <v>29</v>
      </c>
      <c r="G37" s="7">
        <v>165081</v>
      </c>
      <c r="H37" s="7">
        <f t="shared" si="7"/>
        <v>0</v>
      </c>
      <c r="I37" s="7">
        <f t="shared" si="5"/>
        <v>165081</v>
      </c>
      <c r="J37" s="7">
        <f t="shared" si="8"/>
        <v>0</v>
      </c>
      <c r="K37" s="7">
        <f t="shared" si="6"/>
        <v>165081</v>
      </c>
      <c r="L37" s="7"/>
      <c r="M37" s="7">
        <f t="shared" si="9"/>
        <v>165081</v>
      </c>
      <c r="N37" s="7"/>
      <c r="O37" s="7"/>
      <c r="S37" s="8" t="s">
        <v>29</v>
      </c>
      <c r="V37" s="7"/>
      <c r="AF37" s="7">
        <f t="shared" si="10"/>
        <v>0</v>
      </c>
      <c r="AJ37" s="8" t="s">
        <v>29</v>
      </c>
      <c r="AW37" s="7">
        <f t="shared" si="11"/>
        <v>0</v>
      </c>
      <c r="AZ37" s="8" t="s">
        <v>26</v>
      </c>
      <c r="BC37" s="16">
        <v>12554.21</v>
      </c>
      <c r="BE37" s="2" t="s">
        <v>140</v>
      </c>
      <c r="BG37" s="16">
        <v>10852.298737647097</v>
      </c>
      <c r="BH37" s="16">
        <v>1701.911262352903</v>
      </c>
    </row>
    <row r="38" spans="5:60" ht="12.75">
      <c r="E38" s="5" t="s">
        <v>30</v>
      </c>
      <c r="G38" s="7">
        <v>0</v>
      </c>
      <c r="H38" s="7">
        <f t="shared" si="7"/>
        <v>-23573</v>
      </c>
      <c r="I38" s="7">
        <f t="shared" si="5"/>
        <v>-23573</v>
      </c>
      <c r="J38" s="7">
        <f t="shared" si="8"/>
        <v>0</v>
      </c>
      <c r="K38" s="7">
        <f t="shared" si="6"/>
        <v>-23573</v>
      </c>
      <c r="L38" s="7"/>
      <c r="M38" s="7">
        <f t="shared" si="9"/>
        <v>-23573</v>
      </c>
      <c r="N38" s="7"/>
      <c r="O38" s="7"/>
      <c r="S38" s="5" t="s">
        <v>30</v>
      </c>
      <c r="V38" s="7">
        <v>-23573</v>
      </c>
      <c r="AF38" s="7">
        <f t="shared" si="10"/>
        <v>-23573</v>
      </c>
      <c r="AJ38" s="5" t="s">
        <v>30</v>
      </c>
      <c r="AM38" s="7"/>
      <c r="AW38" s="7">
        <f t="shared" si="11"/>
        <v>0</v>
      </c>
      <c r="AZ38" s="5" t="s">
        <v>27</v>
      </c>
      <c r="BC38" s="16">
        <v>21824.9</v>
      </c>
      <c r="BE38" s="2" t="s">
        <v>140</v>
      </c>
      <c r="BG38" s="16">
        <v>18866.20780752227</v>
      </c>
      <c r="BH38" s="16">
        <v>2958.6921924777325</v>
      </c>
    </row>
    <row r="39" spans="5:60" ht="12.75">
      <c r="E39" s="5" t="s">
        <v>31</v>
      </c>
      <c r="G39" s="7">
        <v>75042</v>
      </c>
      <c r="H39" s="7">
        <f t="shared" si="7"/>
        <v>0</v>
      </c>
      <c r="I39" s="7">
        <f t="shared" si="5"/>
        <v>75042</v>
      </c>
      <c r="J39" s="7">
        <f t="shared" si="8"/>
        <v>24219</v>
      </c>
      <c r="K39" s="7">
        <f t="shared" si="6"/>
        <v>99261</v>
      </c>
      <c r="L39" s="7"/>
      <c r="M39" s="7">
        <f t="shared" si="9"/>
        <v>99261</v>
      </c>
      <c r="N39" s="7"/>
      <c r="O39" s="7"/>
      <c r="S39" s="5" t="s">
        <v>31</v>
      </c>
      <c r="V39" s="2"/>
      <c r="AF39" s="7">
        <f t="shared" si="10"/>
        <v>0</v>
      </c>
      <c r="AJ39" s="5" t="s">
        <v>31</v>
      </c>
      <c r="AM39" s="2"/>
      <c r="AP39" s="16">
        <f>21929+2290</f>
        <v>24219</v>
      </c>
      <c r="AW39" s="7">
        <f t="shared" si="11"/>
        <v>24219</v>
      </c>
      <c r="AZ39" s="5" t="s">
        <v>28</v>
      </c>
      <c r="BC39" s="16">
        <v>6757.56</v>
      </c>
      <c r="BE39" s="2" t="s">
        <v>141</v>
      </c>
      <c r="BG39" s="16">
        <v>5600.9046149176775</v>
      </c>
      <c r="BH39" s="16">
        <v>1156.655385082322</v>
      </c>
    </row>
    <row r="40" spans="5:60" ht="12.75">
      <c r="E40" s="5" t="s">
        <v>32</v>
      </c>
      <c r="G40" s="7">
        <v>1362</v>
      </c>
      <c r="H40" s="7">
        <f t="shared" si="7"/>
        <v>0</v>
      </c>
      <c r="I40" s="7">
        <f t="shared" si="5"/>
        <v>1362</v>
      </c>
      <c r="J40" s="7">
        <f>AW40</f>
        <v>0</v>
      </c>
      <c r="K40" s="7">
        <f t="shared" si="6"/>
        <v>1362</v>
      </c>
      <c r="L40" s="7"/>
      <c r="M40" s="7">
        <f t="shared" si="9"/>
        <v>1362</v>
      </c>
      <c r="N40" s="7"/>
      <c r="O40" s="7"/>
      <c r="S40" s="5" t="s">
        <v>32</v>
      </c>
      <c r="AF40" s="7">
        <f t="shared" si="10"/>
        <v>0</v>
      </c>
      <c r="AJ40" s="5" t="s">
        <v>32</v>
      </c>
      <c r="AW40" s="7">
        <f t="shared" si="11"/>
        <v>0</v>
      </c>
      <c r="AZ40" s="8" t="s">
        <v>29</v>
      </c>
      <c r="BC40" s="16">
        <v>165080.96</v>
      </c>
      <c r="BE40" s="2" t="s">
        <v>8</v>
      </c>
      <c r="BG40" s="7">
        <v>144442</v>
      </c>
      <c r="BH40" s="7">
        <v>20639</v>
      </c>
    </row>
    <row r="41" spans="5:60" ht="12.75">
      <c r="E41" s="5" t="s">
        <v>33</v>
      </c>
      <c r="G41" s="7">
        <v>61273</v>
      </c>
      <c r="H41" s="7">
        <f t="shared" si="7"/>
        <v>0</v>
      </c>
      <c r="I41" s="7">
        <f t="shared" si="5"/>
        <v>61273</v>
      </c>
      <c r="J41" s="7">
        <f t="shared" si="8"/>
        <v>0</v>
      </c>
      <c r="K41" s="7">
        <f t="shared" si="6"/>
        <v>61273</v>
      </c>
      <c r="L41" s="7"/>
      <c r="M41" s="7">
        <f t="shared" si="9"/>
        <v>61273</v>
      </c>
      <c r="N41" s="7"/>
      <c r="O41" s="7"/>
      <c r="S41" s="5" t="s">
        <v>33</v>
      </c>
      <c r="AF41" s="7">
        <f t="shared" si="10"/>
        <v>0</v>
      </c>
      <c r="AJ41" s="5" t="s">
        <v>33</v>
      </c>
      <c r="AW41" s="7">
        <f t="shared" si="11"/>
        <v>0</v>
      </c>
      <c r="AZ41" s="5" t="s">
        <v>30</v>
      </c>
      <c r="BC41" s="16">
        <v>-23573</v>
      </c>
      <c r="BE41" s="2" t="s">
        <v>142</v>
      </c>
      <c r="BG41" s="16">
        <v>-20625.82166330468</v>
      </c>
      <c r="BH41" s="16">
        <v>-2947.178336695319</v>
      </c>
    </row>
    <row r="42" spans="5:60" ht="12.75">
      <c r="E42" s="5" t="s">
        <v>34</v>
      </c>
      <c r="G42" s="7">
        <v>111</v>
      </c>
      <c r="H42" s="7">
        <f t="shared" si="7"/>
        <v>0</v>
      </c>
      <c r="I42" s="7">
        <f t="shared" si="5"/>
        <v>111</v>
      </c>
      <c r="J42" s="7">
        <f t="shared" si="8"/>
        <v>0</v>
      </c>
      <c r="K42" s="7">
        <f t="shared" si="6"/>
        <v>111</v>
      </c>
      <c r="L42" s="7"/>
      <c r="M42" s="7">
        <f t="shared" si="9"/>
        <v>111</v>
      </c>
      <c r="N42" s="7"/>
      <c r="O42" s="7"/>
      <c r="S42" s="5" t="s">
        <v>34</v>
      </c>
      <c r="AF42" s="7">
        <f t="shared" si="10"/>
        <v>0</v>
      </c>
      <c r="AJ42" s="5" t="s">
        <v>34</v>
      </c>
      <c r="AW42" s="7">
        <f t="shared" si="11"/>
        <v>0</v>
      </c>
      <c r="AZ42" s="5" t="s">
        <v>31</v>
      </c>
      <c r="BC42" s="16">
        <v>99260.94</v>
      </c>
      <c r="BE42" s="2" t="s">
        <v>141</v>
      </c>
      <c r="BG42" s="16">
        <v>82270.97605157286</v>
      </c>
      <c r="BH42" s="16">
        <v>16989.963948427132</v>
      </c>
    </row>
    <row r="43" spans="5:60" ht="12.75">
      <c r="E43" s="8" t="s">
        <v>35</v>
      </c>
      <c r="G43" s="7">
        <v>2154</v>
      </c>
      <c r="H43" s="7">
        <f t="shared" si="7"/>
        <v>0</v>
      </c>
      <c r="I43" s="7">
        <f t="shared" si="5"/>
        <v>2154</v>
      </c>
      <c r="J43" s="7">
        <f t="shared" si="8"/>
        <v>2674</v>
      </c>
      <c r="K43" s="7">
        <f t="shared" si="6"/>
        <v>4828</v>
      </c>
      <c r="L43" s="7"/>
      <c r="M43" s="7">
        <f t="shared" si="9"/>
        <v>4828</v>
      </c>
      <c r="N43" s="7"/>
      <c r="O43" s="7"/>
      <c r="S43" s="5" t="s">
        <v>94</v>
      </c>
      <c r="AF43" s="7">
        <f t="shared" si="10"/>
        <v>0</v>
      </c>
      <c r="AJ43" s="5" t="s">
        <v>94</v>
      </c>
      <c r="AQ43" s="16">
        <v>2674</v>
      </c>
      <c r="AW43" s="7">
        <f t="shared" si="11"/>
        <v>2674</v>
      </c>
      <c r="AZ43" s="5" t="s">
        <v>32</v>
      </c>
      <c r="BC43" s="16">
        <v>1361.65</v>
      </c>
      <c r="BE43" s="2" t="s">
        <v>141</v>
      </c>
      <c r="BG43" s="16">
        <v>1128.583655772595</v>
      </c>
      <c r="BH43" s="16">
        <v>233.06634422740515</v>
      </c>
    </row>
    <row r="44" spans="5:60" ht="12.75">
      <c r="E44" s="5" t="s">
        <v>36</v>
      </c>
      <c r="G44" s="7">
        <v>684337</v>
      </c>
      <c r="H44" s="7">
        <f t="shared" si="7"/>
        <v>0</v>
      </c>
      <c r="I44" s="7">
        <f t="shared" si="5"/>
        <v>684337</v>
      </c>
      <c r="J44" s="7">
        <f>AW44</f>
        <v>41576</v>
      </c>
      <c r="K44" s="7">
        <f t="shared" si="6"/>
        <v>725913</v>
      </c>
      <c r="L44" s="7"/>
      <c r="M44" s="7">
        <f t="shared" si="9"/>
        <v>725913</v>
      </c>
      <c r="N44" s="7"/>
      <c r="O44" s="7"/>
      <c r="S44" s="5" t="s">
        <v>36</v>
      </c>
      <c r="AF44" s="7">
        <f t="shared" si="10"/>
        <v>0</v>
      </c>
      <c r="AJ44" s="5" t="s">
        <v>36</v>
      </c>
      <c r="AO44" s="16">
        <f>12252+16171+13153</f>
        <v>41576</v>
      </c>
      <c r="AW44" s="7">
        <f t="shared" si="11"/>
        <v>41576</v>
      </c>
      <c r="AZ44" s="5" t="s">
        <v>33</v>
      </c>
      <c r="BC44" s="16">
        <v>61272.57</v>
      </c>
      <c r="BE44" s="2" t="s">
        <v>141</v>
      </c>
      <c r="BG44" s="16">
        <v>50784.87206637698</v>
      </c>
      <c r="BH44" s="16">
        <v>10487.697933623012</v>
      </c>
    </row>
    <row r="45" spans="5:60" ht="12.75">
      <c r="E45" s="5" t="s">
        <v>37</v>
      </c>
      <c r="G45" s="7">
        <v>94732</v>
      </c>
      <c r="H45" s="7">
        <f t="shared" si="7"/>
        <v>0</v>
      </c>
      <c r="I45" s="7">
        <f t="shared" si="5"/>
        <v>94732</v>
      </c>
      <c r="J45" s="7">
        <f>AW45</f>
        <v>12659.564</v>
      </c>
      <c r="K45" s="7">
        <f t="shared" si="6"/>
        <v>107391.564</v>
      </c>
      <c r="L45" s="7"/>
      <c r="M45" s="7">
        <f>L45+K45</f>
        <v>107391.564</v>
      </c>
      <c r="N45" s="7"/>
      <c r="O45" s="7"/>
      <c r="S45" s="5" t="s">
        <v>37</v>
      </c>
      <c r="AF45" s="7">
        <f t="shared" si="10"/>
        <v>0</v>
      </c>
      <c r="AJ45" s="5" t="s">
        <v>37</v>
      </c>
      <c r="AO45" s="16">
        <f>AO44*0.0765</f>
        <v>3180.564</v>
      </c>
      <c r="AR45" s="7">
        <v>9479</v>
      </c>
      <c r="AW45" s="7">
        <f t="shared" si="11"/>
        <v>12659.564</v>
      </c>
      <c r="AZ45" s="5" t="s">
        <v>34</v>
      </c>
      <c r="BC45" s="16">
        <v>111.25</v>
      </c>
      <c r="BE45" s="2" t="s">
        <v>143</v>
      </c>
      <c r="BG45" s="16">
        <v>95.72230094411661</v>
      </c>
      <c r="BH45" s="16">
        <v>15.527699055883401</v>
      </c>
    </row>
    <row r="46" spans="5:60" ht="12.75">
      <c r="E46" s="5" t="s">
        <v>38</v>
      </c>
      <c r="G46" s="7">
        <v>32648</v>
      </c>
      <c r="H46" s="7">
        <f t="shared" si="7"/>
        <v>0</v>
      </c>
      <c r="I46" s="7">
        <f t="shared" si="5"/>
        <v>32648</v>
      </c>
      <c r="J46" s="7">
        <f aca="true" t="shared" si="12" ref="J46:J73">AW46</f>
        <v>-2135.0258955435575</v>
      </c>
      <c r="K46" s="7">
        <f t="shared" si="6"/>
        <v>30512.974104456443</v>
      </c>
      <c r="L46" s="7">
        <f>L30*0.01926</f>
        <v>4498.82784</v>
      </c>
      <c r="M46" s="7">
        <f t="shared" si="9"/>
        <v>35011.80194445644</v>
      </c>
      <c r="N46" s="7">
        <f>N30*0.01926</f>
        <v>1061.82306</v>
      </c>
      <c r="O46" s="7"/>
      <c r="S46" s="5" t="s">
        <v>38</v>
      </c>
      <c r="AF46" s="7">
        <f t="shared" si="10"/>
        <v>0</v>
      </c>
      <c r="AJ46" s="5" t="s">
        <v>38</v>
      </c>
      <c r="AM46" s="16">
        <f>AM30*0.01926</f>
        <v>-3011.80176</v>
      </c>
      <c r="AN46" s="16">
        <f>AN30*0.01926</f>
        <v>876.7758644564424</v>
      </c>
      <c r="AW46" s="7">
        <f t="shared" si="11"/>
        <v>-2135.0258955435575</v>
      </c>
      <c r="AZ46" s="5" t="s">
        <v>94</v>
      </c>
      <c r="BC46" s="16">
        <v>4827.68</v>
      </c>
      <c r="BE46" s="2" t="s">
        <v>140</v>
      </c>
      <c r="BG46" s="16">
        <v>4173.215643976335</v>
      </c>
      <c r="BH46" s="16">
        <v>654.4643560236656</v>
      </c>
    </row>
    <row r="47" spans="5:60" ht="12.75">
      <c r="E47" s="5" t="s">
        <v>39</v>
      </c>
      <c r="G47" s="7">
        <v>8386</v>
      </c>
      <c r="H47" s="7">
        <f t="shared" si="7"/>
        <v>0</v>
      </c>
      <c r="I47" s="7">
        <f t="shared" si="5"/>
        <v>8386</v>
      </c>
      <c r="J47" s="7">
        <f t="shared" si="12"/>
        <v>-443.41140094362567</v>
      </c>
      <c r="K47" s="7">
        <f t="shared" si="6"/>
        <v>7942.588599056375</v>
      </c>
      <c r="L47" s="7">
        <f>L30*0.004</f>
        <v>934.336</v>
      </c>
      <c r="M47" s="7">
        <f t="shared" si="9"/>
        <v>8876.924599056374</v>
      </c>
      <c r="N47" s="7">
        <f>N30*0.004</f>
        <v>220.524</v>
      </c>
      <c r="O47" s="7"/>
      <c r="S47" s="5" t="s">
        <v>39</v>
      </c>
      <c r="AF47" s="7">
        <f t="shared" si="10"/>
        <v>0</v>
      </c>
      <c r="AJ47" s="5" t="s">
        <v>39</v>
      </c>
      <c r="AM47" s="16">
        <f>AM30*0.004</f>
        <v>-625.504</v>
      </c>
      <c r="AN47" s="16">
        <f>AN30*0.004</f>
        <v>182.09259905637435</v>
      </c>
      <c r="AW47" s="7">
        <f t="shared" si="11"/>
        <v>-443.41140094362567</v>
      </c>
      <c r="AZ47" s="5" t="s">
        <v>36</v>
      </c>
      <c r="BC47" s="16">
        <v>725913.2</v>
      </c>
      <c r="BE47" s="2" t="s">
        <v>144</v>
      </c>
      <c r="BG47" s="16">
        <v>609347.8520303518</v>
      </c>
      <c r="BH47" s="16">
        <v>116565.34796964828</v>
      </c>
    </row>
    <row r="48" spans="5:60" ht="12.75">
      <c r="E48" s="5" t="s">
        <v>40</v>
      </c>
      <c r="G48" s="7">
        <v>8624</v>
      </c>
      <c r="H48" s="7">
        <f t="shared" si="7"/>
        <v>0</v>
      </c>
      <c r="I48" s="7">
        <f t="shared" si="5"/>
        <v>8624</v>
      </c>
      <c r="J48" s="7">
        <f t="shared" si="12"/>
        <v>0</v>
      </c>
      <c r="K48" s="7">
        <f t="shared" si="6"/>
        <v>8624</v>
      </c>
      <c r="L48" s="7"/>
      <c r="M48" s="7">
        <f t="shared" si="9"/>
        <v>8624</v>
      </c>
      <c r="N48" s="7"/>
      <c r="O48" s="7"/>
      <c r="S48" s="5" t="s">
        <v>40</v>
      </c>
      <c r="AF48" s="7">
        <f t="shared" si="10"/>
        <v>0</v>
      </c>
      <c r="AJ48" s="5" t="s">
        <v>40</v>
      </c>
      <c r="AW48" s="7">
        <f t="shared" si="11"/>
        <v>0</v>
      </c>
      <c r="AZ48" s="5" t="s">
        <v>37</v>
      </c>
      <c r="BC48" s="16">
        <v>107391.664</v>
      </c>
      <c r="BE48" s="2" t="s">
        <v>36</v>
      </c>
      <c r="BG48" s="16">
        <v>90146.97595299997</v>
      </c>
      <c r="BH48" s="16">
        <v>17244.688047000043</v>
      </c>
    </row>
    <row r="49" spans="5:60" ht="12.75">
      <c r="E49" s="5" t="s">
        <v>41</v>
      </c>
      <c r="G49" s="7">
        <v>0</v>
      </c>
      <c r="H49" s="7">
        <f t="shared" si="7"/>
        <v>0</v>
      </c>
      <c r="I49" s="7">
        <f t="shared" si="5"/>
        <v>0</v>
      </c>
      <c r="J49" s="7">
        <f t="shared" si="12"/>
        <v>0</v>
      </c>
      <c r="K49" s="7">
        <f t="shared" si="6"/>
        <v>0</v>
      </c>
      <c r="L49" s="7"/>
      <c r="M49" s="7">
        <f t="shared" si="9"/>
        <v>0</v>
      </c>
      <c r="N49" s="7"/>
      <c r="O49" s="7"/>
      <c r="S49" s="5" t="s">
        <v>41</v>
      </c>
      <c r="AF49" s="7">
        <f t="shared" si="10"/>
        <v>0</v>
      </c>
      <c r="AJ49" s="5" t="s">
        <v>41</v>
      </c>
      <c r="AW49" s="7">
        <f t="shared" si="11"/>
        <v>0</v>
      </c>
      <c r="AZ49" s="5" t="s">
        <v>38</v>
      </c>
      <c r="BC49" s="16">
        <v>30513.334104456444</v>
      </c>
      <c r="BE49" s="2" t="s">
        <v>24</v>
      </c>
      <c r="BG49" s="16">
        <v>26254.440898473316</v>
      </c>
      <c r="BH49" s="16">
        <v>4258.893205983129</v>
      </c>
    </row>
    <row r="50" spans="5:60" ht="12.75">
      <c r="E50" s="5" t="s">
        <v>42</v>
      </c>
      <c r="G50" s="7">
        <v>159</v>
      </c>
      <c r="H50" s="7">
        <f t="shared" si="7"/>
        <v>0</v>
      </c>
      <c r="I50" s="7">
        <f t="shared" si="5"/>
        <v>159</v>
      </c>
      <c r="J50" s="7">
        <f t="shared" si="12"/>
        <v>0</v>
      </c>
      <c r="K50" s="7">
        <f t="shared" si="6"/>
        <v>159</v>
      </c>
      <c r="L50" s="7"/>
      <c r="M50" s="7">
        <f t="shared" si="9"/>
        <v>159</v>
      </c>
      <c r="N50" s="7"/>
      <c r="O50" s="7"/>
      <c r="S50" s="5" t="s">
        <v>42</v>
      </c>
      <c r="AF50" s="7">
        <f t="shared" si="10"/>
        <v>0</v>
      </c>
      <c r="AJ50" s="5" t="s">
        <v>42</v>
      </c>
      <c r="AW50" s="7">
        <f t="shared" si="11"/>
        <v>0</v>
      </c>
      <c r="AZ50" s="5" t="s">
        <v>39</v>
      </c>
      <c r="BC50" s="16">
        <v>7942.188599056375</v>
      </c>
      <c r="BE50" s="2" t="s">
        <v>145</v>
      </c>
      <c r="BG50" s="16">
        <v>6833.659031315111</v>
      </c>
      <c r="BH50" s="16">
        <v>1108.5295677412637</v>
      </c>
    </row>
    <row r="51" spans="5:60" ht="12.75">
      <c r="E51" s="5" t="s">
        <v>43</v>
      </c>
      <c r="G51" s="7">
        <v>-1811</v>
      </c>
      <c r="H51" s="7">
        <f t="shared" si="7"/>
        <v>0</v>
      </c>
      <c r="I51" s="7">
        <f t="shared" si="5"/>
        <v>-1811</v>
      </c>
      <c r="J51" s="7">
        <f t="shared" si="12"/>
        <v>0</v>
      </c>
      <c r="K51" s="7">
        <f t="shared" si="6"/>
        <v>-1811</v>
      </c>
      <c r="L51" s="7"/>
      <c r="M51" s="7">
        <f t="shared" si="9"/>
        <v>-1811</v>
      </c>
      <c r="N51" s="7"/>
      <c r="O51" s="7"/>
      <c r="S51" s="5" t="s">
        <v>43</v>
      </c>
      <c r="AF51" s="7">
        <f t="shared" si="10"/>
        <v>0</v>
      </c>
      <c r="AJ51" s="5" t="s">
        <v>43</v>
      </c>
      <c r="AW51" s="7">
        <f t="shared" si="11"/>
        <v>0</v>
      </c>
      <c r="AZ51" s="5" t="s">
        <v>40</v>
      </c>
      <c r="BC51" s="16">
        <v>8624.2</v>
      </c>
      <c r="BE51" s="2" t="s">
        <v>146</v>
      </c>
      <c r="BG51" s="16">
        <v>7265.838190081343</v>
      </c>
      <c r="BH51" s="25">
        <v>1358.3618099186572</v>
      </c>
    </row>
    <row r="52" spans="5:60" ht="12.75">
      <c r="E52" s="5" t="s">
        <v>44</v>
      </c>
      <c r="G52" s="7">
        <v>238</v>
      </c>
      <c r="H52" s="7">
        <f t="shared" si="7"/>
        <v>0</v>
      </c>
      <c r="I52" s="7">
        <f t="shared" si="5"/>
        <v>238</v>
      </c>
      <c r="J52" s="7">
        <f t="shared" si="12"/>
        <v>0</v>
      </c>
      <c r="K52" s="7">
        <f t="shared" si="6"/>
        <v>238</v>
      </c>
      <c r="L52" s="7"/>
      <c r="M52" s="7">
        <f t="shared" si="9"/>
        <v>238</v>
      </c>
      <c r="N52" s="7"/>
      <c r="O52" s="7"/>
      <c r="S52" s="5" t="s">
        <v>44</v>
      </c>
      <c r="AF52" s="7">
        <f t="shared" si="10"/>
        <v>0</v>
      </c>
      <c r="AJ52" s="5" t="s">
        <v>44</v>
      </c>
      <c r="AW52" s="7">
        <f t="shared" si="11"/>
        <v>0</v>
      </c>
      <c r="AZ52" s="5" t="s">
        <v>41</v>
      </c>
      <c r="BC52" s="16">
        <v>0</v>
      </c>
      <c r="BE52" s="2" t="s">
        <v>24</v>
      </c>
      <c r="BG52" s="16">
        <v>0</v>
      </c>
      <c r="BH52" s="16">
        <v>0</v>
      </c>
    </row>
    <row r="53" spans="5:60" ht="12.75">
      <c r="E53" s="5" t="s">
        <v>45</v>
      </c>
      <c r="G53" s="7">
        <v>106</v>
      </c>
      <c r="H53" s="7">
        <f t="shared" si="7"/>
        <v>0</v>
      </c>
      <c r="I53" s="7">
        <f t="shared" si="5"/>
        <v>106</v>
      </c>
      <c r="J53" s="7">
        <f t="shared" si="12"/>
        <v>0</v>
      </c>
      <c r="K53" s="7">
        <f t="shared" si="6"/>
        <v>106</v>
      </c>
      <c r="L53" s="7"/>
      <c r="M53" s="7">
        <f t="shared" si="9"/>
        <v>106</v>
      </c>
      <c r="N53" s="7"/>
      <c r="O53" s="7"/>
      <c r="S53" s="5" t="s">
        <v>45</v>
      </c>
      <c r="AF53" s="7">
        <f t="shared" si="10"/>
        <v>0</v>
      </c>
      <c r="AJ53" s="5" t="s">
        <v>45</v>
      </c>
      <c r="AW53" s="7">
        <f t="shared" si="11"/>
        <v>0</v>
      </c>
      <c r="AZ53" s="5" t="s">
        <v>42</v>
      </c>
      <c r="BC53" s="16">
        <v>159.4</v>
      </c>
      <c r="BE53" s="2" t="s">
        <v>24</v>
      </c>
      <c r="BG53" s="16">
        <v>137.1517732179073</v>
      </c>
      <c r="BH53" s="16">
        <v>22.24822678209271</v>
      </c>
    </row>
    <row r="54" spans="5:60" ht="12.75">
      <c r="E54" s="5" t="s">
        <v>46</v>
      </c>
      <c r="G54" s="7">
        <v>5488</v>
      </c>
      <c r="H54" s="7">
        <f t="shared" si="7"/>
        <v>0</v>
      </c>
      <c r="I54" s="7">
        <f t="shared" si="5"/>
        <v>5488</v>
      </c>
      <c r="J54" s="7">
        <f t="shared" si="12"/>
        <v>0</v>
      </c>
      <c r="K54" s="7">
        <f t="shared" si="6"/>
        <v>5488</v>
      </c>
      <c r="L54" s="7"/>
      <c r="M54" s="7">
        <f t="shared" si="9"/>
        <v>5488</v>
      </c>
      <c r="N54" s="7"/>
      <c r="O54" s="7"/>
      <c r="S54" s="5" t="s">
        <v>46</v>
      </c>
      <c r="AF54" s="7">
        <f t="shared" si="10"/>
        <v>0</v>
      </c>
      <c r="AJ54" s="5" t="s">
        <v>46</v>
      </c>
      <c r="AW54" s="7">
        <f t="shared" si="11"/>
        <v>0</v>
      </c>
      <c r="AZ54" s="5" t="s">
        <v>43</v>
      </c>
      <c r="BC54" s="16">
        <v>-1810.68</v>
      </c>
      <c r="BE54" s="2" t="s">
        <v>24</v>
      </c>
      <c r="BG54" s="16">
        <v>-1557.954659537016</v>
      </c>
      <c r="BH54" s="16">
        <v>-252.72534046298384</v>
      </c>
    </row>
    <row r="55" spans="5:60" ht="12.75">
      <c r="E55" s="5" t="s">
        <v>47</v>
      </c>
      <c r="G55" s="7">
        <v>15500</v>
      </c>
      <c r="H55" s="7">
        <f t="shared" si="7"/>
        <v>0</v>
      </c>
      <c r="I55" s="7">
        <f t="shared" si="5"/>
        <v>15500</v>
      </c>
      <c r="J55" s="7">
        <f t="shared" si="12"/>
        <v>0</v>
      </c>
      <c r="K55" s="7">
        <f t="shared" si="6"/>
        <v>15500</v>
      </c>
      <c r="L55" s="7"/>
      <c r="M55" s="7">
        <f t="shared" si="9"/>
        <v>15500</v>
      </c>
      <c r="N55" s="7"/>
      <c r="O55" s="7"/>
      <c r="S55" s="5" t="s">
        <v>47</v>
      </c>
      <c r="AF55" s="7">
        <f t="shared" si="10"/>
        <v>0</v>
      </c>
      <c r="AJ55" s="5" t="s">
        <v>47</v>
      </c>
      <c r="AW55" s="7">
        <f t="shared" si="11"/>
        <v>0</v>
      </c>
      <c r="AZ55" s="5" t="s">
        <v>44</v>
      </c>
      <c r="BC55" s="16">
        <v>237.5</v>
      </c>
      <c r="BE55" s="3" t="s">
        <v>140</v>
      </c>
      <c r="BG55" s="16">
        <v>205.3033165918991</v>
      </c>
      <c r="BH55" s="16">
        <v>32.1966834081009</v>
      </c>
    </row>
    <row r="56" spans="5:60" ht="12.75">
      <c r="E56" s="5" t="s">
        <v>48</v>
      </c>
      <c r="G56" s="7">
        <v>136796</v>
      </c>
      <c r="H56" s="7">
        <f t="shared" si="7"/>
        <v>-57176</v>
      </c>
      <c r="I56" s="7">
        <f t="shared" si="5"/>
        <v>79620</v>
      </c>
      <c r="J56" s="7">
        <f t="shared" si="12"/>
        <v>0</v>
      </c>
      <c r="K56" s="7">
        <f t="shared" si="6"/>
        <v>79620</v>
      </c>
      <c r="L56" s="7"/>
      <c r="M56" s="7">
        <f t="shared" si="9"/>
        <v>79620</v>
      </c>
      <c r="N56" s="7"/>
      <c r="O56" s="7"/>
      <c r="S56" s="5" t="s">
        <v>48</v>
      </c>
      <c r="W56" s="16">
        <v>-57176</v>
      </c>
      <c r="AF56" s="7">
        <f t="shared" si="10"/>
        <v>-57176</v>
      </c>
      <c r="AJ56" s="5" t="s">
        <v>48</v>
      </c>
      <c r="AN56" s="16"/>
      <c r="AW56" s="7">
        <f t="shared" si="11"/>
        <v>0</v>
      </c>
      <c r="AZ56" s="5" t="s">
        <v>45</v>
      </c>
      <c r="BC56" s="16">
        <v>106</v>
      </c>
      <c r="BE56" s="3" t="s">
        <v>140</v>
      </c>
      <c r="BG56" s="16">
        <v>91.63011182627918</v>
      </c>
      <c r="BH56" s="16">
        <v>14.369888173720824</v>
      </c>
    </row>
    <row r="57" spans="5:60" ht="12.75">
      <c r="E57" s="5" t="s">
        <v>49</v>
      </c>
      <c r="G57" s="7">
        <v>1556</v>
      </c>
      <c r="H57" s="7">
        <f t="shared" si="7"/>
        <v>0</v>
      </c>
      <c r="I57" s="7">
        <f t="shared" si="5"/>
        <v>1556</v>
      </c>
      <c r="J57" s="7">
        <f t="shared" si="12"/>
        <v>0</v>
      </c>
      <c r="K57" s="7">
        <f t="shared" si="6"/>
        <v>1556</v>
      </c>
      <c r="L57" s="7"/>
      <c r="M57" s="7">
        <f t="shared" si="9"/>
        <v>1556</v>
      </c>
      <c r="N57" s="7"/>
      <c r="O57" s="7"/>
      <c r="S57" s="5" t="s">
        <v>49</v>
      </c>
      <c r="AF57" s="7">
        <f t="shared" si="10"/>
        <v>0</v>
      </c>
      <c r="AJ57" s="5" t="s">
        <v>49</v>
      </c>
      <c r="AW57" s="7">
        <f t="shared" si="11"/>
        <v>0</v>
      </c>
      <c r="AZ57" s="5" t="s">
        <v>46</v>
      </c>
      <c r="BC57" s="16">
        <v>5487.53</v>
      </c>
      <c r="BE57" s="2" t="s">
        <v>146</v>
      </c>
      <c r="BG57" s="16">
        <v>4623.212013081454</v>
      </c>
      <c r="BH57" s="25">
        <v>864.3179869185466</v>
      </c>
    </row>
    <row r="58" spans="5:60" ht="12.75">
      <c r="E58" s="5" t="s">
        <v>50</v>
      </c>
      <c r="G58" s="7">
        <v>3816</v>
      </c>
      <c r="H58" s="7">
        <f t="shared" si="7"/>
        <v>0</v>
      </c>
      <c r="I58" s="7">
        <f t="shared" si="5"/>
        <v>3816</v>
      </c>
      <c r="J58" s="7">
        <f t="shared" si="12"/>
        <v>0</v>
      </c>
      <c r="K58" s="7">
        <f t="shared" si="6"/>
        <v>3816</v>
      </c>
      <c r="L58" s="7"/>
      <c r="M58" s="7">
        <f t="shared" si="9"/>
        <v>3816</v>
      </c>
      <c r="N58" s="7"/>
      <c r="O58" s="7"/>
      <c r="S58" s="5" t="s">
        <v>50</v>
      </c>
      <c r="AF58" s="7">
        <f t="shared" si="10"/>
        <v>0</v>
      </c>
      <c r="AJ58" s="5" t="s">
        <v>50</v>
      </c>
      <c r="AW58" s="7">
        <f t="shared" si="11"/>
        <v>0</v>
      </c>
      <c r="AZ58" s="5" t="s">
        <v>47</v>
      </c>
      <c r="BC58" s="16">
        <v>15500.43</v>
      </c>
      <c r="BE58" s="2" t="s">
        <v>145</v>
      </c>
      <c r="BG58" s="16">
        <v>13336.960226725514</v>
      </c>
      <c r="BH58" s="16">
        <v>2163.469773274487</v>
      </c>
    </row>
    <row r="59" spans="5:60" ht="12.75">
      <c r="E59" s="5" t="s">
        <v>51</v>
      </c>
      <c r="G59" s="7">
        <v>1738</v>
      </c>
      <c r="H59" s="7">
        <f t="shared" si="7"/>
        <v>0</v>
      </c>
      <c r="I59" s="7">
        <f t="shared" si="5"/>
        <v>1738</v>
      </c>
      <c r="J59" s="7">
        <f t="shared" si="12"/>
        <v>0</v>
      </c>
      <c r="K59" s="7">
        <f t="shared" si="6"/>
        <v>1738</v>
      </c>
      <c r="L59" s="7"/>
      <c r="M59" s="7">
        <f t="shared" si="9"/>
        <v>1738</v>
      </c>
      <c r="N59" s="7"/>
      <c r="O59" s="7"/>
      <c r="S59" s="5" t="s">
        <v>51</v>
      </c>
      <c r="AF59" s="7">
        <f t="shared" si="10"/>
        <v>0</v>
      </c>
      <c r="AJ59" s="5" t="s">
        <v>51</v>
      </c>
      <c r="AW59" s="7">
        <f t="shared" si="11"/>
        <v>0</v>
      </c>
      <c r="AZ59" s="5" t="s">
        <v>48</v>
      </c>
      <c r="BC59" s="16">
        <v>79619.85847260273</v>
      </c>
      <c r="BE59" s="2" t="s">
        <v>147</v>
      </c>
      <c r="BG59" s="16">
        <v>66202.13972902756</v>
      </c>
      <c r="BH59" s="16">
        <v>13417.718743575171</v>
      </c>
    </row>
    <row r="60" spans="5:60" ht="12.75">
      <c r="E60" s="5" t="s">
        <v>52</v>
      </c>
      <c r="G60" s="7">
        <v>3572</v>
      </c>
      <c r="H60" s="7">
        <f t="shared" si="7"/>
        <v>0</v>
      </c>
      <c r="I60" s="7">
        <f t="shared" si="5"/>
        <v>3572</v>
      </c>
      <c r="J60" s="7">
        <f t="shared" si="12"/>
        <v>1362</v>
      </c>
      <c r="K60" s="7">
        <f t="shared" si="6"/>
        <v>4934</v>
      </c>
      <c r="L60" s="7"/>
      <c r="M60" s="7">
        <f t="shared" si="9"/>
        <v>4934</v>
      </c>
      <c r="N60" s="7"/>
      <c r="O60" s="7"/>
      <c r="S60" s="5" t="s">
        <v>52</v>
      </c>
      <c r="AF60" s="7">
        <f t="shared" si="10"/>
        <v>0</v>
      </c>
      <c r="AJ60" s="5" t="s">
        <v>52</v>
      </c>
      <c r="AP60" s="16">
        <v>1362</v>
      </c>
      <c r="AW60" s="7">
        <f t="shared" si="11"/>
        <v>1362</v>
      </c>
      <c r="AZ60" s="5" t="s">
        <v>49</v>
      </c>
      <c r="BC60" s="16">
        <v>1556.1</v>
      </c>
      <c r="BE60" s="2" t="s">
        <v>141</v>
      </c>
      <c r="BG60" s="16">
        <v>1289.7506897864614</v>
      </c>
      <c r="BH60" s="16">
        <v>266.3493102135389</v>
      </c>
    </row>
    <row r="61" spans="5:60" ht="12.75">
      <c r="E61" s="5" t="s">
        <v>53</v>
      </c>
      <c r="G61" s="7">
        <v>750</v>
      </c>
      <c r="H61" s="7">
        <f t="shared" si="7"/>
        <v>0</v>
      </c>
      <c r="I61" s="7">
        <f t="shared" si="5"/>
        <v>750</v>
      </c>
      <c r="J61" s="7">
        <f t="shared" si="12"/>
        <v>0</v>
      </c>
      <c r="K61" s="7">
        <f t="shared" si="6"/>
        <v>750</v>
      </c>
      <c r="L61" s="7"/>
      <c r="M61" s="7">
        <f t="shared" si="9"/>
        <v>750</v>
      </c>
      <c r="N61" s="7"/>
      <c r="O61" s="7"/>
      <c r="S61" s="5" t="s">
        <v>53</v>
      </c>
      <c r="AF61" s="7">
        <f t="shared" si="10"/>
        <v>0</v>
      </c>
      <c r="AJ61" s="5" t="s">
        <v>53</v>
      </c>
      <c r="AW61" s="7">
        <f t="shared" si="11"/>
        <v>0</v>
      </c>
      <c r="AZ61" s="5" t="s">
        <v>50</v>
      </c>
      <c r="BC61" s="16">
        <v>3816.34</v>
      </c>
      <c r="BE61" s="2" t="s">
        <v>146</v>
      </c>
      <c r="BG61" s="16">
        <v>3215.244187093879</v>
      </c>
      <c r="BH61" s="25">
        <v>601.095812906121</v>
      </c>
    </row>
    <row r="62" spans="5:60" ht="12.75">
      <c r="E62" s="8" t="s">
        <v>54</v>
      </c>
      <c r="G62" s="7">
        <v>579</v>
      </c>
      <c r="H62" s="7">
        <f t="shared" si="7"/>
        <v>0</v>
      </c>
      <c r="I62" s="7">
        <f t="shared" si="5"/>
        <v>579</v>
      </c>
      <c r="J62" s="7">
        <f t="shared" si="12"/>
        <v>0</v>
      </c>
      <c r="K62" s="7">
        <f t="shared" si="6"/>
        <v>579</v>
      </c>
      <c r="L62" s="7"/>
      <c r="M62" s="7">
        <f t="shared" si="9"/>
        <v>579</v>
      </c>
      <c r="N62" s="7"/>
      <c r="O62" s="7"/>
      <c r="S62" s="8" t="s">
        <v>54</v>
      </c>
      <c r="AF62" s="7">
        <f t="shared" si="10"/>
        <v>0</v>
      </c>
      <c r="AJ62" s="8" t="s">
        <v>54</v>
      </c>
      <c r="AW62" s="7">
        <f t="shared" si="11"/>
        <v>0</v>
      </c>
      <c r="AZ62" s="5" t="s">
        <v>51</v>
      </c>
      <c r="BC62" s="16">
        <v>1738.48</v>
      </c>
      <c r="BE62" s="2" t="s">
        <v>146</v>
      </c>
      <c r="BG62" s="16">
        <v>1464.6592584463037</v>
      </c>
      <c r="BH62" s="25">
        <v>273.8207415536962</v>
      </c>
    </row>
    <row r="63" spans="5:60" ht="12.75">
      <c r="E63" s="5" t="s">
        <v>55</v>
      </c>
      <c r="G63" s="7">
        <v>-722</v>
      </c>
      <c r="H63" s="7">
        <f t="shared" si="7"/>
        <v>13283</v>
      </c>
      <c r="I63" s="7">
        <f t="shared" si="5"/>
        <v>12561</v>
      </c>
      <c r="J63" s="7">
        <f t="shared" si="12"/>
        <v>0</v>
      </c>
      <c r="K63" s="7">
        <f t="shared" si="6"/>
        <v>12561</v>
      </c>
      <c r="L63" s="7"/>
      <c r="M63" s="7">
        <f t="shared" si="9"/>
        <v>12561</v>
      </c>
      <c r="N63" s="7"/>
      <c r="O63" s="7"/>
      <c r="S63" s="5" t="s">
        <v>55</v>
      </c>
      <c r="Y63" s="16">
        <f>12561-G63</f>
        <v>13283</v>
      </c>
      <c r="AF63" s="7">
        <f t="shared" si="10"/>
        <v>13283</v>
      </c>
      <c r="AJ63" s="5" t="s">
        <v>55</v>
      </c>
      <c r="AP63" s="16"/>
      <c r="AW63" s="7">
        <f t="shared" si="11"/>
        <v>0</v>
      </c>
      <c r="AZ63" s="5" t="s">
        <v>52</v>
      </c>
      <c r="BC63" s="16">
        <v>4934.03</v>
      </c>
      <c r="BE63" s="2" t="s">
        <v>146</v>
      </c>
      <c r="BG63" s="16">
        <v>4156.891491965289</v>
      </c>
      <c r="BH63" s="25">
        <v>777.1385080347106</v>
      </c>
    </row>
    <row r="64" spans="5:60" ht="12.75">
      <c r="E64" s="5" t="s">
        <v>56</v>
      </c>
      <c r="G64" s="7">
        <v>1073</v>
      </c>
      <c r="H64" s="7">
        <f t="shared" si="7"/>
        <v>0</v>
      </c>
      <c r="I64" s="7">
        <f t="shared" si="5"/>
        <v>1073</v>
      </c>
      <c r="J64" s="7">
        <f t="shared" si="12"/>
        <v>0</v>
      </c>
      <c r="K64" s="7">
        <f t="shared" si="6"/>
        <v>1073</v>
      </c>
      <c r="L64" s="7"/>
      <c r="M64" s="7">
        <f t="shared" si="9"/>
        <v>1073</v>
      </c>
      <c r="N64" s="7"/>
      <c r="O64" s="7"/>
      <c r="S64" s="5" t="s">
        <v>56</v>
      </c>
      <c r="AF64" s="7">
        <f t="shared" si="10"/>
        <v>0</v>
      </c>
      <c r="AJ64" s="5" t="s">
        <v>56</v>
      </c>
      <c r="AW64" s="7">
        <f t="shared" si="11"/>
        <v>0</v>
      </c>
      <c r="AZ64" s="5" t="s">
        <v>53</v>
      </c>
      <c r="BC64" s="16">
        <v>750</v>
      </c>
      <c r="BE64" s="2" t="s">
        <v>146</v>
      </c>
      <c r="BG64" s="16">
        <v>631.8706248186506</v>
      </c>
      <c r="BH64" s="25">
        <v>118.12937518134932</v>
      </c>
    </row>
    <row r="65" spans="5:60" ht="12.75">
      <c r="E65" s="5" t="s">
        <v>57</v>
      </c>
      <c r="G65" s="7">
        <v>8075</v>
      </c>
      <c r="H65" s="7">
        <f t="shared" si="7"/>
        <v>0</v>
      </c>
      <c r="I65" s="7">
        <f t="shared" si="5"/>
        <v>8075</v>
      </c>
      <c r="J65" s="7">
        <f t="shared" si="12"/>
        <v>0</v>
      </c>
      <c r="K65" s="7">
        <f t="shared" si="6"/>
        <v>8075</v>
      </c>
      <c r="L65" s="7"/>
      <c r="M65" s="7">
        <f t="shared" si="9"/>
        <v>8075</v>
      </c>
      <c r="N65" s="7"/>
      <c r="O65" s="7"/>
      <c r="S65" s="5" t="s">
        <v>57</v>
      </c>
      <c r="AF65" s="7">
        <f t="shared" si="10"/>
        <v>0</v>
      </c>
      <c r="AJ65" s="5" t="s">
        <v>57</v>
      </c>
      <c r="AW65" s="7">
        <f t="shared" si="11"/>
        <v>0</v>
      </c>
      <c r="AZ65" s="8" t="s">
        <v>54</v>
      </c>
      <c r="BC65" s="16">
        <v>578.77</v>
      </c>
      <c r="BE65" s="2" t="s">
        <v>146</v>
      </c>
      <c r="BG65" s="16">
        <v>487.61034870172057</v>
      </c>
      <c r="BH65" s="25">
        <v>91.15965129827939</v>
      </c>
    </row>
    <row r="66" spans="5:60" ht="12.75">
      <c r="E66" s="5" t="s">
        <v>58</v>
      </c>
      <c r="G66" s="7">
        <v>7435</v>
      </c>
      <c r="H66" s="7">
        <f t="shared" si="7"/>
        <v>0</v>
      </c>
      <c r="I66" s="7">
        <f t="shared" si="5"/>
        <v>7435</v>
      </c>
      <c r="J66" s="7">
        <f t="shared" si="12"/>
        <v>0</v>
      </c>
      <c r="K66" s="7">
        <f t="shared" si="6"/>
        <v>7435</v>
      </c>
      <c r="L66" s="7"/>
      <c r="M66" s="7">
        <f t="shared" si="9"/>
        <v>7435</v>
      </c>
      <c r="N66" s="7"/>
      <c r="O66" s="7"/>
      <c r="S66" s="5" t="s">
        <v>58</v>
      </c>
      <c r="AF66" s="7">
        <f t="shared" si="10"/>
        <v>0</v>
      </c>
      <c r="AJ66" s="5" t="s">
        <v>58</v>
      </c>
      <c r="AW66" s="7">
        <f t="shared" si="11"/>
        <v>0</v>
      </c>
      <c r="AZ66" s="5" t="s">
        <v>55</v>
      </c>
      <c r="BC66" s="16">
        <v>12561</v>
      </c>
      <c r="BE66" s="2" t="s">
        <v>146</v>
      </c>
      <c r="BG66" s="16">
        <v>10582.56922446276</v>
      </c>
      <c r="BH66" s="25">
        <v>1978.4307755372383</v>
      </c>
    </row>
    <row r="67" spans="5:60" ht="12.75">
      <c r="E67" s="5" t="s">
        <v>59</v>
      </c>
      <c r="G67" s="10">
        <v>66000</v>
      </c>
      <c r="H67" s="7">
        <f t="shared" si="7"/>
        <v>-23885</v>
      </c>
      <c r="I67" s="7">
        <f t="shared" si="5"/>
        <v>42115</v>
      </c>
      <c r="J67" s="7">
        <f t="shared" si="12"/>
        <v>0</v>
      </c>
      <c r="K67" s="7">
        <f t="shared" si="6"/>
        <v>42115</v>
      </c>
      <c r="L67" s="10"/>
      <c r="M67" s="7">
        <f t="shared" si="9"/>
        <v>42115</v>
      </c>
      <c r="N67" s="10"/>
      <c r="O67" s="10"/>
      <c r="S67" s="5" t="s">
        <v>59</v>
      </c>
      <c r="X67" s="16">
        <f>42115-G67</f>
        <v>-23885</v>
      </c>
      <c r="AF67" s="7">
        <f t="shared" si="10"/>
        <v>-23885</v>
      </c>
      <c r="AJ67" s="5" t="s">
        <v>59</v>
      </c>
      <c r="AO67" s="16"/>
      <c r="AW67" s="7">
        <f t="shared" si="11"/>
        <v>0</v>
      </c>
      <c r="AZ67" s="5" t="s">
        <v>56</v>
      </c>
      <c r="BC67" s="16">
        <v>1072.93</v>
      </c>
      <c r="BE67" s="2" t="s">
        <v>146</v>
      </c>
      <c r="BG67" s="16">
        <v>903.9372659822329</v>
      </c>
      <c r="BH67" s="25">
        <v>168.99273401776682</v>
      </c>
    </row>
    <row r="68" spans="5:60" ht="12.75">
      <c r="E68" s="8" t="s">
        <v>60</v>
      </c>
      <c r="G68" s="10">
        <v>9376</v>
      </c>
      <c r="H68" s="7">
        <f t="shared" si="7"/>
        <v>0</v>
      </c>
      <c r="I68" s="7">
        <f t="shared" si="5"/>
        <v>9376</v>
      </c>
      <c r="J68" s="7">
        <f t="shared" si="12"/>
        <v>0</v>
      </c>
      <c r="K68" s="7">
        <f t="shared" si="6"/>
        <v>9376</v>
      </c>
      <c r="L68" s="10"/>
      <c r="M68" s="7">
        <f t="shared" si="9"/>
        <v>9376</v>
      </c>
      <c r="N68" s="10"/>
      <c r="O68" s="10"/>
      <c r="S68" s="8" t="s">
        <v>60</v>
      </c>
      <c r="AF68" s="7">
        <f t="shared" si="10"/>
        <v>0</v>
      </c>
      <c r="AJ68" s="8" t="s">
        <v>60</v>
      </c>
      <c r="AW68" s="7">
        <f t="shared" si="11"/>
        <v>0</v>
      </c>
      <c r="AZ68" s="5" t="s">
        <v>57</v>
      </c>
      <c r="BC68" s="16">
        <v>8075.11</v>
      </c>
      <c r="BE68" s="2" t="s">
        <v>146</v>
      </c>
      <c r="BG68" s="16">
        <v>6803.233068239112</v>
      </c>
      <c r="BH68" s="25">
        <v>1271.8769317608876</v>
      </c>
    </row>
    <row r="69" spans="5:60" ht="12.75">
      <c r="E69" s="5" t="s">
        <v>61</v>
      </c>
      <c r="G69" s="10">
        <v>8225</v>
      </c>
      <c r="H69" s="7">
        <f t="shared" si="7"/>
        <v>0</v>
      </c>
      <c r="I69" s="7">
        <f t="shared" si="5"/>
        <v>8225</v>
      </c>
      <c r="J69" s="7">
        <f t="shared" si="12"/>
        <v>2990</v>
      </c>
      <c r="K69" s="7">
        <f t="shared" si="6"/>
        <v>11215</v>
      </c>
      <c r="L69" s="10"/>
      <c r="M69" s="7">
        <f t="shared" si="9"/>
        <v>11215</v>
      </c>
      <c r="N69" s="10"/>
      <c r="O69" s="10"/>
      <c r="S69" s="5" t="s">
        <v>61</v>
      </c>
      <c r="AF69" s="7">
        <f t="shared" si="10"/>
        <v>0</v>
      </c>
      <c r="AJ69" s="5" t="s">
        <v>61</v>
      </c>
      <c r="AS69" s="7">
        <v>2990</v>
      </c>
      <c r="AW69" s="7">
        <f t="shared" si="11"/>
        <v>2990</v>
      </c>
      <c r="AZ69" s="5" t="s">
        <v>58</v>
      </c>
      <c r="BC69" s="16">
        <v>7434.76</v>
      </c>
      <c r="BE69" s="2" t="s">
        <v>146</v>
      </c>
      <c r="BG69" s="16">
        <v>6263.741928768948</v>
      </c>
      <c r="BH69" s="25">
        <v>1171.0180712310516</v>
      </c>
    </row>
    <row r="70" spans="5:60" ht="12.75">
      <c r="E70" s="5" t="s">
        <v>62</v>
      </c>
      <c r="G70" s="10">
        <v>17030</v>
      </c>
      <c r="H70" s="7">
        <f t="shared" si="7"/>
        <v>0</v>
      </c>
      <c r="I70" s="7">
        <f t="shared" si="5"/>
        <v>17030</v>
      </c>
      <c r="J70" s="7">
        <f t="shared" si="12"/>
        <v>0</v>
      </c>
      <c r="K70" s="7">
        <f t="shared" si="6"/>
        <v>17030</v>
      </c>
      <c r="L70" s="10"/>
      <c r="M70" s="7">
        <f t="shared" si="9"/>
        <v>17030</v>
      </c>
      <c r="N70" s="10"/>
      <c r="O70" s="10"/>
      <c r="S70" s="5" t="s">
        <v>62</v>
      </c>
      <c r="AF70" s="7">
        <f t="shared" si="10"/>
        <v>0</v>
      </c>
      <c r="AJ70" s="5" t="s">
        <v>62</v>
      </c>
      <c r="AW70" s="7">
        <f t="shared" si="11"/>
        <v>0</v>
      </c>
      <c r="AZ70" s="5" t="s">
        <v>59</v>
      </c>
      <c r="BC70" s="16">
        <v>42115</v>
      </c>
      <c r="BE70" s="2" t="s">
        <v>146</v>
      </c>
      <c r="BG70" s="16">
        <v>35481.6418189833</v>
      </c>
      <c r="BH70" s="25">
        <v>6633.3581810167025</v>
      </c>
    </row>
    <row r="71" spans="5:60" ht="12.75">
      <c r="E71" s="5" t="s">
        <v>63</v>
      </c>
      <c r="G71" s="10">
        <v>0</v>
      </c>
      <c r="H71" s="7">
        <f t="shared" si="7"/>
        <v>0</v>
      </c>
      <c r="I71" s="7">
        <f t="shared" si="5"/>
        <v>0</v>
      </c>
      <c r="J71" s="7">
        <f t="shared" si="12"/>
        <v>0</v>
      </c>
      <c r="K71" s="7">
        <f t="shared" si="6"/>
        <v>0</v>
      </c>
      <c r="L71" s="10"/>
      <c r="M71" s="7">
        <f t="shared" si="9"/>
        <v>0</v>
      </c>
      <c r="N71" s="10"/>
      <c r="O71" s="10"/>
      <c r="S71" s="5" t="s">
        <v>63</v>
      </c>
      <c r="AF71" s="7">
        <f t="shared" si="10"/>
        <v>0</v>
      </c>
      <c r="AJ71" s="5" t="s">
        <v>63</v>
      </c>
      <c r="AW71" s="7">
        <f t="shared" si="11"/>
        <v>0</v>
      </c>
      <c r="AZ71" s="8" t="s">
        <v>60</v>
      </c>
      <c r="BC71" s="16">
        <v>9376.37</v>
      </c>
      <c r="BE71" s="2" t="s">
        <v>146</v>
      </c>
      <c r="BG71" s="16">
        <v>7899.537027241136</v>
      </c>
      <c r="BH71" s="25">
        <v>1476.8329727588646</v>
      </c>
    </row>
    <row r="72" spans="5:60" ht="12.75">
      <c r="E72" s="5" t="s">
        <v>64</v>
      </c>
      <c r="G72" s="10">
        <v>5241</v>
      </c>
      <c r="H72" s="7">
        <f t="shared" si="7"/>
        <v>0</v>
      </c>
      <c r="I72" s="7">
        <f t="shared" si="5"/>
        <v>5241</v>
      </c>
      <c r="J72" s="7">
        <f t="shared" si="12"/>
        <v>0</v>
      </c>
      <c r="K72" s="7">
        <f t="shared" si="6"/>
        <v>5241</v>
      </c>
      <c r="L72" s="10"/>
      <c r="M72" s="7">
        <f t="shared" si="9"/>
        <v>5241</v>
      </c>
      <c r="N72" s="10"/>
      <c r="O72" s="10"/>
      <c r="S72" s="5" t="s">
        <v>64</v>
      </c>
      <c r="AF72" s="7">
        <f t="shared" si="10"/>
        <v>0</v>
      </c>
      <c r="AJ72" s="5" t="s">
        <v>64</v>
      </c>
      <c r="AW72" s="7">
        <f t="shared" si="11"/>
        <v>0</v>
      </c>
      <c r="AZ72" s="5" t="s">
        <v>61</v>
      </c>
      <c r="BC72" s="16">
        <v>11215.22</v>
      </c>
      <c r="BE72" s="2" t="s">
        <v>146</v>
      </c>
      <c r="BG72" s="16">
        <v>9448.757425171503</v>
      </c>
      <c r="BH72" s="25">
        <v>1766.4625748284968</v>
      </c>
    </row>
    <row r="73" spans="5:60" ht="12.75">
      <c r="E73" s="5" t="s">
        <v>65</v>
      </c>
      <c r="G73" s="9">
        <v>266000</v>
      </c>
      <c r="H73" s="7">
        <f t="shared" si="7"/>
        <v>-183500</v>
      </c>
      <c r="I73" s="7">
        <f t="shared" si="5"/>
        <v>82500</v>
      </c>
      <c r="J73" s="7">
        <f t="shared" si="12"/>
        <v>0</v>
      </c>
      <c r="K73" s="7">
        <f t="shared" si="6"/>
        <v>82500</v>
      </c>
      <c r="L73" s="9"/>
      <c r="M73" s="7">
        <f t="shared" si="9"/>
        <v>82500</v>
      </c>
      <c r="N73" s="9"/>
      <c r="O73" s="9"/>
      <c r="S73" s="5" t="s">
        <v>65</v>
      </c>
      <c r="V73" s="15"/>
      <c r="W73" s="15"/>
      <c r="X73" s="15"/>
      <c r="Y73" s="15"/>
      <c r="Z73" s="17">
        <f>82500-G73</f>
        <v>-183500</v>
      </c>
      <c r="AA73" s="15"/>
      <c r="AB73" s="15"/>
      <c r="AC73" s="15"/>
      <c r="AD73" s="15"/>
      <c r="AE73" s="15"/>
      <c r="AF73" s="17">
        <f t="shared" si="10"/>
        <v>-183500</v>
      </c>
      <c r="AJ73" s="5" t="s">
        <v>65</v>
      </c>
      <c r="AM73" s="15"/>
      <c r="AN73" s="15"/>
      <c r="AO73" s="15"/>
      <c r="AP73" s="15"/>
      <c r="AQ73" s="17"/>
      <c r="AR73" s="15"/>
      <c r="AS73" s="15"/>
      <c r="AT73" s="15"/>
      <c r="AU73" s="15"/>
      <c r="AV73" s="15"/>
      <c r="AW73" s="17">
        <f t="shared" si="11"/>
        <v>0</v>
      </c>
      <c r="AZ73" s="5" t="s">
        <v>62</v>
      </c>
      <c r="BC73" s="16">
        <v>17029.54</v>
      </c>
      <c r="BE73" s="2" t="s">
        <v>146</v>
      </c>
      <c r="BG73" s="16">
        <v>14347.288106898939</v>
      </c>
      <c r="BH73" s="25">
        <v>2682.251893101061</v>
      </c>
    </row>
    <row r="74" spans="5:60" ht="12.75">
      <c r="E74" s="11" t="s">
        <v>66</v>
      </c>
      <c r="G74" s="12">
        <f aca="true" t="shared" si="13" ref="G74:N74">SUM(G33:G73)</f>
        <v>1731107</v>
      </c>
      <c r="H74" s="12">
        <f t="shared" si="13"/>
        <v>-274851</v>
      </c>
      <c r="I74" s="12">
        <f t="shared" si="13"/>
        <v>1456256</v>
      </c>
      <c r="J74" s="12">
        <f t="shared" si="13"/>
        <v>82902.12670351281</v>
      </c>
      <c r="K74" s="12">
        <f t="shared" si="13"/>
        <v>1539158.1267035129</v>
      </c>
      <c r="L74" s="12">
        <f t="shared" si="13"/>
        <v>5433.16384</v>
      </c>
      <c r="M74" s="12">
        <f t="shared" si="13"/>
        <v>1544591.290543513</v>
      </c>
      <c r="N74" s="12">
        <f t="shared" si="13"/>
        <v>1282.34706</v>
      </c>
      <c r="O74" s="12">
        <f>N74+K74</f>
        <v>1540440.473763513</v>
      </c>
      <c r="S74" s="11" t="s">
        <v>66</v>
      </c>
      <c r="V74" s="12">
        <f aca="true" t="shared" si="14" ref="V74:AF74">SUM(V33:V73)</f>
        <v>-23573</v>
      </c>
      <c r="W74" s="12">
        <f t="shared" si="14"/>
        <v>-57176</v>
      </c>
      <c r="X74" s="12">
        <f t="shared" si="14"/>
        <v>-23885</v>
      </c>
      <c r="Y74" s="12">
        <f t="shared" si="14"/>
        <v>13283</v>
      </c>
      <c r="Z74" s="12">
        <f t="shared" si="14"/>
        <v>-183500</v>
      </c>
      <c r="AA74" s="12">
        <f t="shared" si="14"/>
        <v>0</v>
      </c>
      <c r="AB74" s="12">
        <f t="shared" si="14"/>
        <v>0</v>
      </c>
      <c r="AC74" s="12">
        <f t="shared" si="14"/>
        <v>0</v>
      </c>
      <c r="AD74" s="12">
        <f t="shared" si="14"/>
        <v>0</v>
      </c>
      <c r="AE74" s="12">
        <f t="shared" si="14"/>
        <v>0</v>
      </c>
      <c r="AF74" s="12">
        <f t="shared" si="14"/>
        <v>-274851</v>
      </c>
      <c r="AJ74" s="11" t="s">
        <v>66</v>
      </c>
      <c r="AM74" s="12">
        <f aca="true" t="shared" si="15" ref="AM74:AW74">SUM(AM33:AM73)</f>
        <v>-3637.3057599999997</v>
      </c>
      <c r="AN74" s="12">
        <f t="shared" si="15"/>
        <v>1058.8684635128168</v>
      </c>
      <c r="AO74" s="12">
        <f t="shared" si="15"/>
        <v>44756.564</v>
      </c>
      <c r="AP74" s="12">
        <f t="shared" si="15"/>
        <v>25581</v>
      </c>
      <c r="AQ74" s="12">
        <f t="shared" si="15"/>
        <v>2674</v>
      </c>
      <c r="AR74" s="12">
        <f t="shared" si="15"/>
        <v>9479</v>
      </c>
      <c r="AS74" s="12">
        <f t="shared" si="15"/>
        <v>2990</v>
      </c>
      <c r="AT74" s="12">
        <f t="shared" si="15"/>
        <v>0</v>
      </c>
      <c r="AU74" s="12">
        <f t="shared" si="15"/>
        <v>0</v>
      </c>
      <c r="AV74" s="12">
        <f t="shared" si="15"/>
        <v>0</v>
      </c>
      <c r="AW74" s="12">
        <f t="shared" si="15"/>
        <v>82902.12670351281</v>
      </c>
      <c r="AZ74" s="5" t="s">
        <v>63</v>
      </c>
      <c r="BC74" s="16">
        <v>0</v>
      </c>
      <c r="BE74" s="2" t="s">
        <v>146</v>
      </c>
      <c r="BG74" s="16">
        <v>0</v>
      </c>
      <c r="BH74" s="25">
        <v>0</v>
      </c>
    </row>
    <row r="75" spans="5:60" ht="12.75">
      <c r="E75" s="11" t="s">
        <v>67</v>
      </c>
      <c r="G75" s="12">
        <f aca="true" t="shared" si="16" ref="G75:O75">G30-G74</f>
        <v>-37777</v>
      </c>
      <c r="H75" s="12">
        <f t="shared" si="16"/>
        <v>274851</v>
      </c>
      <c r="I75" s="12">
        <f t="shared" si="16"/>
        <v>237074</v>
      </c>
      <c r="J75" s="12">
        <f t="shared" si="16"/>
        <v>-193755.1267035128</v>
      </c>
      <c r="K75" s="12">
        <f t="shared" si="16"/>
        <v>43318.873296487145</v>
      </c>
      <c r="L75" s="12">
        <f t="shared" si="16"/>
        <v>228150.83616</v>
      </c>
      <c r="M75" s="12">
        <f t="shared" si="16"/>
        <v>271469.7094564871</v>
      </c>
      <c r="N75" s="12">
        <f t="shared" si="16"/>
        <v>53848.65294</v>
      </c>
      <c r="O75" s="12">
        <f t="shared" si="16"/>
        <v>97167.52623648709</v>
      </c>
      <c r="S75" s="11" t="s">
        <v>67</v>
      </c>
      <c r="V75" s="18">
        <f aca="true" t="shared" si="17" ref="V75:AF75">V30-V74</f>
        <v>23573</v>
      </c>
      <c r="W75" s="18">
        <f t="shared" si="17"/>
        <v>57176</v>
      </c>
      <c r="X75" s="18">
        <f t="shared" si="17"/>
        <v>23885</v>
      </c>
      <c r="Y75" s="18">
        <f t="shared" si="17"/>
        <v>-13283</v>
      </c>
      <c r="Z75" s="18">
        <f t="shared" si="17"/>
        <v>183500</v>
      </c>
      <c r="AA75" s="18">
        <f t="shared" si="17"/>
        <v>0</v>
      </c>
      <c r="AB75" s="18">
        <f t="shared" si="17"/>
        <v>0</v>
      </c>
      <c r="AC75" s="18">
        <f t="shared" si="17"/>
        <v>0</v>
      </c>
      <c r="AD75" s="18">
        <f t="shared" si="17"/>
        <v>0</v>
      </c>
      <c r="AE75" s="18">
        <f t="shared" si="17"/>
        <v>0</v>
      </c>
      <c r="AF75" s="18">
        <f t="shared" si="17"/>
        <v>274851</v>
      </c>
      <c r="AJ75" s="11" t="s">
        <v>67</v>
      </c>
      <c r="AM75" s="18">
        <f aca="true" t="shared" si="18" ref="AM75:AW75">AM30-AM74</f>
        <v>-152738.69424</v>
      </c>
      <c r="AN75" s="18">
        <f t="shared" si="18"/>
        <v>44464.28130058077</v>
      </c>
      <c r="AO75" s="18">
        <f t="shared" si="18"/>
        <v>-44756.564</v>
      </c>
      <c r="AP75" s="18">
        <f t="shared" si="18"/>
        <v>-25581</v>
      </c>
      <c r="AQ75" s="18">
        <f t="shared" si="18"/>
        <v>-2674</v>
      </c>
      <c r="AR75" s="18">
        <f t="shared" si="18"/>
        <v>-9479</v>
      </c>
      <c r="AS75" s="18">
        <f t="shared" si="18"/>
        <v>-2990</v>
      </c>
      <c r="AT75" s="18">
        <f t="shared" si="18"/>
        <v>0</v>
      </c>
      <c r="AU75" s="18">
        <f t="shared" si="18"/>
        <v>0</v>
      </c>
      <c r="AV75" s="18">
        <f t="shared" si="18"/>
        <v>0</v>
      </c>
      <c r="AW75" s="18">
        <f t="shared" si="18"/>
        <v>-193754.97693941923</v>
      </c>
      <c r="AZ75" s="5" t="s">
        <v>64</v>
      </c>
      <c r="BC75" s="16">
        <v>5241.01</v>
      </c>
      <c r="BE75" s="2" t="s">
        <v>146</v>
      </c>
      <c r="BG75" s="16">
        <v>4415.520351174395</v>
      </c>
      <c r="BH75" s="25">
        <v>825.4896488256048</v>
      </c>
    </row>
    <row r="76" spans="5:60" ht="12.75">
      <c r="E76" s="1" t="s">
        <v>68</v>
      </c>
      <c r="G76" s="12">
        <v>-70359</v>
      </c>
      <c r="H76" s="7">
        <f>AF76</f>
        <v>0</v>
      </c>
      <c r="I76" s="7">
        <f>H76+G76</f>
        <v>-70359</v>
      </c>
      <c r="J76" s="7">
        <f>AW76</f>
        <v>0</v>
      </c>
      <c r="K76" s="7">
        <f>J76+I76</f>
        <v>-70359</v>
      </c>
      <c r="L76" s="12">
        <v>0</v>
      </c>
      <c r="M76" s="7">
        <f>L76+K76</f>
        <v>-70359</v>
      </c>
      <c r="N76" s="12">
        <v>0</v>
      </c>
      <c r="O76" s="12">
        <v>-70359</v>
      </c>
      <c r="S76" s="1" t="s">
        <v>68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J76" s="1" t="s">
        <v>68</v>
      </c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Z76" s="5" t="s">
        <v>65</v>
      </c>
      <c r="BC76" s="16">
        <v>82500</v>
      </c>
      <c r="BE76" s="2" t="s">
        <v>146</v>
      </c>
      <c r="BG76" s="17">
        <v>69505.76873005157</v>
      </c>
      <c r="BH76" s="26">
        <v>12994.231269948425</v>
      </c>
    </row>
    <row r="77" spans="5:60" ht="13.5" thickBot="1">
      <c r="E77" t="s">
        <v>69</v>
      </c>
      <c r="G77" s="13">
        <v>-108136</v>
      </c>
      <c r="H77" s="13">
        <f aca="true" t="shared" si="19" ref="H77:O77">H76+H75</f>
        <v>274851</v>
      </c>
      <c r="I77" s="13">
        <f t="shared" si="19"/>
        <v>166715</v>
      </c>
      <c r="J77" s="13">
        <f t="shared" si="19"/>
        <v>-193755.1267035128</v>
      </c>
      <c r="K77" s="13">
        <f t="shared" si="19"/>
        <v>-27040.126703512855</v>
      </c>
      <c r="L77" s="13">
        <f t="shared" si="19"/>
        <v>228150.83616</v>
      </c>
      <c r="M77" s="13">
        <f t="shared" si="19"/>
        <v>201110.7094564871</v>
      </c>
      <c r="N77" s="13">
        <f t="shared" si="19"/>
        <v>53848.65294</v>
      </c>
      <c r="O77" s="13">
        <f t="shared" si="19"/>
        <v>26808.526236487087</v>
      </c>
      <c r="S77" t="s">
        <v>69</v>
      </c>
      <c r="V77" s="20">
        <f aca="true" t="shared" si="20" ref="V77:AF77">V75+V76</f>
        <v>23573</v>
      </c>
      <c r="W77" s="20">
        <f t="shared" si="20"/>
        <v>57176</v>
      </c>
      <c r="X77" s="20">
        <f t="shared" si="20"/>
        <v>23885</v>
      </c>
      <c r="Y77" s="20">
        <f t="shared" si="20"/>
        <v>-13283</v>
      </c>
      <c r="Z77" s="20">
        <f t="shared" si="20"/>
        <v>183500</v>
      </c>
      <c r="AA77" s="20">
        <f t="shared" si="20"/>
        <v>0</v>
      </c>
      <c r="AB77" s="20">
        <f t="shared" si="20"/>
        <v>0</v>
      </c>
      <c r="AC77" s="20">
        <f t="shared" si="20"/>
        <v>0</v>
      </c>
      <c r="AD77" s="20">
        <f t="shared" si="20"/>
        <v>0</v>
      </c>
      <c r="AE77" s="20">
        <f t="shared" si="20"/>
        <v>0</v>
      </c>
      <c r="AF77" s="20">
        <f t="shared" si="20"/>
        <v>274851</v>
      </c>
      <c r="AJ77" t="s">
        <v>69</v>
      </c>
      <c r="AM77" s="20">
        <f aca="true" t="shared" si="21" ref="AM77:AW77">AM75+AM76</f>
        <v>-152738.69424</v>
      </c>
      <c r="AN77" s="20">
        <f t="shared" si="21"/>
        <v>44464.28130058077</v>
      </c>
      <c r="AO77" s="20">
        <f t="shared" si="21"/>
        <v>-44756.564</v>
      </c>
      <c r="AP77" s="20">
        <f t="shared" si="21"/>
        <v>-25581</v>
      </c>
      <c r="AQ77" s="20">
        <f t="shared" si="21"/>
        <v>-2674</v>
      </c>
      <c r="AR77" s="20">
        <f t="shared" si="21"/>
        <v>-9479</v>
      </c>
      <c r="AS77" s="20">
        <f t="shared" si="21"/>
        <v>-2990</v>
      </c>
      <c r="AT77" s="20">
        <f t="shared" si="21"/>
        <v>0</v>
      </c>
      <c r="AU77" s="20">
        <f t="shared" si="21"/>
        <v>0</v>
      </c>
      <c r="AV77" s="20">
        <f t="shared" si="21"/>
        <v>0</v>
      </c>
      <c r="AW77" s="20">
        <f t="shared" si="21"/>
        <v>-193754.97693941923</v>
      </c>
      <c r="AZ77" s="11" t="s">
        <v>66</v>
      </c>
      <c r="BC77" s="12">
        <v>1539158.0051761158</v>
      </c>
      <c r="BG77" s="18">
        <v>1297374.1893773663</v>
      </c>
      <c r="BH77" s="18">
        <v>241783.85579874905</v>
      </c>
    </row>
    <row r="78" spans="7:60" ht="14.25" thickBot="1" thickTop="1">
      <c r="G78" s="7"/>
      <c r="H78" s="7"/>
      <c r="I78" s="7"/>
      <c r="J78" s="7"/>
      <c r="K78" s="7"/>
      <c r="L78" s="7"/>
      <c r="M78" s="7"/>
      <c r="N78" s="7"/>
      <c r="O78" s="7"/>
      <c r="AZ78" s="11" t="s">
        <v>67</v>
      </c>
      <c r="BC78" s="20">
        <v>43319.35458797775</v>
      </c>
      <c r="BG78" s="20">
        <v>64229.17303692247</v>
      </c>
      <c r="BH78" s="20">
        <v>-20909.858448944375</v>
      </c>
    </row>
    <row r="79" spans="5:55" ht="13.5" thickTop="1">
      <c r="E79" t="s">
        <v>70</v>
      </c>
      <c r="G79" s="14">
        <f>G74/G30</f>
        <v>1.0223092958844406</v>
      </c>
      <c r="H79" s="14"/>
      <c r="I79" s="14">
        <f>I74/I30</f>
        <v>0.8599953936917198</v>
      </c>
      <c r="J79" s="14"/>
      <c r="K79" s="14">
        <f>K74/K30</f>
        <v>0.972625906539882</v>
      </c>
      <c r="L79" s="14"/>
      <c r="M79" s="14">
        <f>M74/M30</f>
        <v>0.8505172956984997</v>
      </c>
      <c r="N79" s="14"/>
      <c r="O79" s="14">
        <f>O74/O30</f>
        <v>0.9406649660746118</v>
      </c>
      <c r="AZ79" s="1"/>
      <c r="BC79" s="27"/>
    </row>
    <row r="80" spans="52:60" ht="12.75">
      <c r="AZ80" t="s">
        <v>70</v>
      </c>
      <c r="BC80" s="28">
        <v>0.9726256086251777</v>
      </c>
      <c r="BG80" s="28">
        <v>0.952828279651839</v>
      </c>
      <c r="BH80" s="28">
        <v>1.0946687192690627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1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2002-12-27T17:05:00Z</cp:lastPrinted>
  <dcterms:created xsi:type="dcterms:W3CDTF">2002-12-23T18:42:13Z</dcterms:created>
  <dcterms:modified xsi:type="dcterms:W3CDTF">2002-12-27T17:08:53Z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021578</vt:lpwstr>
  </property>
  <property fmtid="{D5CDD505-2E9C-101B-9397-08002B2CF9AE}" pid="6" name="IsConfidenti">
    <vt:lpwstr>0</vt:lpwstr>
  </property>
  <property fmtid="{D5CDD505-2E9C-101B-9397-08002B2CF9AE}" pid="7" name="Dat">
    <vt:lpwstr>2002-12-31T00:00:00Z</vt:lpwstr>
  </property>
  <property fmtid="{D5CDD505-2E9C-101B-9397-08002B2CF9AE}" pid="8" name="CaseTy">
    <vt:lpwstr>Tariff Revision</vt:lpwstr>
  </property>
  <property fmtid="{D5CDD505-2E9C-101B-9397-08002B2CF9AE}" pid="9" name="OpenedDa">
    <vt:lpwstr>2002-12-02T00:00:00Z</vt:lpwstr>
  </property>
  <property fmtid="{D5CDD505-2E9C-101B-9397-08002B2CF9AE}" pid="10" name="Pref">
    <vt:lpwstr>TC</vt:lpwstr>
  </property>
  <property fmtid="{D5CDD505-2E9C-101B-9397-08002B2CF9AE}" pid="11" name="CaseCompanyNam">
    <vt:lpwstr>BREMERTON-KITSAP AIRPORTER, INC.</vt:lpwstr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