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25" activeTab="0"/>
  </bookViews>
  <sheets>
    <sheet name="2000at" sheetId="1" r:id="rId1"/>
    <sheet name="Rates" sheetId="2" r:id="rId2"/>
  </sheets>
  <definedNames>
    <definedName name="_xlnm.Print_Area" localSheetId="0">'2000at'!$D$11:$S$69</definedName>
    <definedName name="_xlnm.Print_Area" localSheetId="1">'Rates'!$B$5:$M$63</definedName>
  </definedNames>
  <calcPr fullCalcOnLoad="1"/>
</workbook>
</file>

<file path=xl/sharedStrings.xml><?xml version="1.0" encoding="utf-8"?>
<sst xmlns="http://schemas.openxmlformats.org/spreadsheetml/2006/main" count="232" uniqueCount="175">
  <si>
    <t>Generic Results of Operation worksheet.</t>
  </si>
  <si>
    <t xml:space="preserve">RESULTS OF OPERATION STATEMENT </t>
  </si>
  <si>
    <t>Attachment 1</t>
  </si>
  <si>
    <t xml:space="preserve"> </t>
  </si>
  <si>
    <t>COMPANY</t>
  </si>
  <si>
    <t xml:space="preserve"> RESTATE</t>
  </si>
  <si>
    <t>PER BOOK</t>
  </si>
  <si>
    <t>PROFORMA</t>
  </si>
  <si>
    <t>PROPOSED</t>
  </si>
  <si>
    <t>REVISED</t>
  </si>
  <si>
    <t>ADJ</t>
  </si>
  <si>
    <t>BEFORE</t>
  </si>
  <si>
    <t xml:space="preserve"> RATES</t>
  </si>
  <si>
    <t>PERIOD</t>
  </si>
  <si>
    <t>RATES</t>
  </si>
  <si>
    <t>REVENUES</t>
  </si>
  <si>
    <t>-----</t>
  </si>
  <si>
    <t xml:space="preserve">   -----</t>
  </si>
  <si>
    <t>P1</t>
  </si>
  <si>
    <t xml:space="preserve"> Metered Sales, Residential </t>
  </si>
  <si>
    <t>S1</t>
  </si>
  <si>
    <t xml:space="preserve"> OPERATING REVENUE</t>
  </si>
  <si>
    <t>EXPENSES</t>
  </si>
  <si>
    <t>Salary  Employees</t>
  </si>
  <si>
    <t>Salary  Officers</t>
  </si>
  <si>
    <t>Employee Pension/Benefit</t>
  </si>
  <si>
    <t>Purchased Power</t>
  </si>
  <si>
    <t>Material &amp; Supplies</t>
  </si>
  <si>
    <t>Contractual  Legal</t>
  </si>
  <si>
    <t>Rents / Building, Property</t>
  </si>
  <si>
    <t>Repairs</t>
  </si>
  <si>
    <t>Depreciation</t>
  </si>
  <si>
    <t>Property Tax</t>
  </si>
  <si>
    <t>Payroll Tax</t>
  </si>
  <si>
    <t>Other Tax &amp; License</t>
  </si>
  <si>
    <t>OPERATING EXPENSES</t>
  </si>
  <si>
    <t xml:space="preserve"> UTIL PLANT IN SERV</t>
  </si>
  <si>
    <t xml:space="preserve">   ACCUM DEPRECIATION</t>
  </si>
  <si>
    <t>CIAC PLANT IN SERV</t>
  </si>
  <si>
    <t xml:space="preserve">   ACCUM  AMORTIZATION</t>
  </si>
  <si>
    <t xml:space="preserve"> NET RATE BASE</t>
  </si>
  <si>
    <t>RATE  OF  RETURN  %</t>
  </si>
  <si>
    <t>Customer Count</t>
  </si>
  <si>
    <t>ASSETS PER CUSTOMER</t>
  </si>
  <si>
    <t>RATE BASE PER CUSTOMER</t>
  </si>
  <si>
    <t>Capital Asset Ratio</t>
  </si>
  <si>
    <t>ROI</t>
  </si>
  <si>
    <t>Revenue and Rate Calculations</t>
  </si>
  <si>
    <t xml:space="preserve">  Revenue Requirement for Customers</t>
  </si>
  <si>
    <t xml:space="preserve">  Revenue Generation</t>
  </si>
  <si>
    <t>Diff</t>
  </si>
  <si>
    <t>Annual Revenue  per customer</t>
  </si>
  <si>
    <t xml:space="preserve">  Growth</t>
  </si>
  <si>
    <t>Months</t>
  </si>
  <si>
    <t>Average Monthly Revenue per customer</t>
  </si>
  <si>
    <t>Monthly</t>
  </si>
  <si>
    <t>Annual</t>
  </si>
  <si>
    <t>Average</t>
  </si>
  <si>
    <t>Allowance</t>
  </si>
  <si>
    <t>Count</t>
  </si>
  <si>
    <t>Cash Flow</t>
  </si>
  <si>
    <t>Overage</t>
  </si>
  <si>
    <t>Share</t>
  </si>
  <si>
    <t>Meter Base</t>
  </si>
  <si>
    <t>Usage</t>
  </si>
  <si>
    <t>Usage Rate</t>
  </si>
  <si>
    <t>Flat</t>
  </si>
  <si>
    <t>Last Case</t>
  </si>
  <si>
    <t>Base</t>
  </si>
  <si>
    <t>XF</t>
  </si>
  <si>
    <t>3/4 Inch Meter</t>
  </si>
  <si>
    <t xml:space="preserve"> Revenue</t>
  </si>
  <si>
    <t>1 inch meter</t>
  </si>
  <si>
    <t>1 1/2 inch meter</t>
  </si>
  <si>
    <t>2 inch meter</t>
  </si>
  <si>
    <t>4 inch meter</t>
  </si>
  <si>
    <t>XF = Factor for allowance size equal to 3/4 inch.</t>
  </si>
  <si>
    <t>Gross Revenue</t>
  </si>
  <si>
    <t>Current</t>
  </si>
  <si>
    <t>Proposed</t>
  </si>
  <si>
    <t>Revised</t>
  </si>
  <si>
    <t>This Case</t>
  </si>
  <si>
    <t>Ready To Serve</t>
  </si>
  <si>
    <t>Surcharge</t>
  </si>
  <si>
    <t>RTS</t>
  </si>
  <si>
    <t>N/A</t>
  </si>
  <si>
    <t>TOTAL EXPENSE</t>
  </si>
  <si>
    <t xml:space="preserve"> INCOME  (LOSS)</t>
  </si>
  <si>
    <t>NET  OPERATING  INCOME</t>
  </si>
  <si>
    <t>Interest Expense</t>
  </si>
  <si>
    <t>OPERATING  INCOME</t>
  </si>
  <si>
    <t>AVG</t>
  </si>
  <si>
    <t>BILL</t>
  </si>
  <si>
    <t xml:space="preserve">Chemicals </t>
  </si>
  <si>
    <t>Cubic Feet</t>
  </si>
  <si>
    <t>Per 100 Cubic feet</t>
  </si>
  <si>
    <t xml:space="preserve">  Other / Testing</t>
  </si>
  <si>
    <t>State Excise Tax 5.029%</t>
  </si>
  <si>
    <t>State  Excise Tax</t>
  </si>
  <si>
    <t>Beginning/End of Year</t>
  </si>
  <si>
    <t>ACQUISITION ADJUSTMENT</t>
  </si>
  <si>
    <t>Travel/ Education/ Bank/ CCR</t>
  </si>
  <si>
    <t>Office/ Postage / Phone</t>
  </si>
  <si>
    <t>Surcharge Cap Imp</t>
  </si>
  <si>
    <t>Water</t>
  </si>
  <si>
    <t>Base  Zero</t>
  </si>
  <si>
    <t>Total</t>
  </si>
  <si>
    <t>Generated</t>
  </si>
  <si>
    <t>Required</t>
  </si>
  <si>
    <t>Tax City</t>
  </si>
  <si>
    <t>Tax State</t>
  </si>
  <si>
    <t>Depn Rate</t>
  </si>
  <si>
    <t>Cap Structure ROR</t>
  </si>
  <si>
    <t>0 - 1,000</t>
  </si>
  <si>
    <t>Total Bill</t>
  </si>
  <si>
    <t>UW-950395</t>
  </si>
  <si>
    <t>for 12 MONTHS ENDED DECEMBER 31, 2000</t>
  </si>
  <si>
    <t>Ann Report</t>
  </si>
  <si>
    <t>Fed Income Tax  (15%)</t>
  </si>
  <si>
    <t>Insurance</t>
  </si>
  <si>
    <t>Regulatory, Fees &amp; Cost</t>
  </si>
  <si>
    <t>Misc Revenue</t>
  </si>
  <si>
    <t>Contractual  Engineering</t>
  </si>
  <si>
    <t xml:space="preserve"> Unmetered Sales Sewer net</t>
  </si>
  <si>
    <t xml:space="preserve">  BOEY 2000</t>
  </si>
  <si>
    <t>2001AT\RATES</t>
  </si>
  <si>
    <t xml:space="preserve"> Other Revenue </t>
  </si>
  <si>
    <t>Regulatory, Rate Case</t>
  </si>
  <si>
    <t>Misc Expense</t>
  </si>
  <si>
    <t>3 inch meter</t>
  </si>
  <si>
    <t>R1</t>
  </si>
  <si>
    <t>P2</t>
  </si>
  <si>
    <t>Adj BEOY</t>
  </si>
  <si>
    <t>Adjusted</t>
  </si>
  <si>
    <t>BEOY</t>
  </si>
  <si>
    <t>1,000 - 2,000</t>
  </si>
  <si>
    <t>2,001 - 4,000</t>
  </si>
  <si>
    <t>&gt; 4,000</t>
  </si>
  <si>
    <t>Included 400 cuft</t>
  </si>
  <si>
    <t xml:space="preserve"> 401 - 1,400 </t>
  </si>
  <si>
    <t xml:space="preserve">&gt; 1,400 </t>
  </si>
  <si>
    <t>Canterwood Water Company, Inc.</t>
  </si>
  <si>
    <t>R4</t>
  </si>
  <si>
    <t>R2</t>
  </si>
  <si>
    <t>R3</t>
  </si>
  <si>
    <t>P3</t>
  </si>
  <si>
    <t>R5</t>
  </si>
  <si>
    <t>P4</t>
  </si>
  <si>
    <t>P5</t>
  </si>
  <si>
    <t xml:space="preserve">Contractual  Accounting </t>
  </si>
  <si>
    <t xml:space="preserve">Contractual  Mgmt  </t>
  </si>
  <si>
    <t xml:space="preserve">Contractual  SMA  </t>
  </si>
  <si>
    <t>R6</t>
  </si>
  <si>
    <t>R7</t>
  </si>
  <si>
    <t>R8</t>
  </si>
  <si>
    <t>P6</t>
  </si>
  <si>
    <t>2001 Plant</t>
  </si>
  <si>
    <t>Well #2</t>
  </si>
  <si>
    <t>PLC Trans Main</t>
  </si>
  <si>
    <t>Meters</t>
  </si>
  <si>
    <t>WSP</t>
  </si>
  <si>
    <t>Cost</t>
  </si>
  <si>
    <t>Life</t>
  </si>
  <si>
    <t>Annual Depn</t>
  </si>
  <si>
    <t>End of Year Total</t>
  </si>
  <si>
    <t>Begin Year</t>
  </si>
  <si>
    <t>P7</t>
  </si>
  <si>
    <t>Transportation</t>
  </si>
  <si>
    <t>BOEY</t>
  </si>
  <si>
    <t>Services</t>
  </si>
  <si>
    <t>Pumping Upgrades</t>
  </si>
  <si>
    <t>Generator, Foxglove</t>
  </si>
  <si>
    <t>UW-011572</t>
  </si>
  <si>
    <t>Min Cash</t>
  </si>
  <si>
    <t>PLC Trans Main Legal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</si>
</sst>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#,##0.0"/>
    <numFmt numFmtId="168" formatCode="&quot;$&quot;#,##0.0_);[Red]\(&quot;$&quot;#,##0.0\)"/>
    <numFmt numFmtId="169" formatCode="0.0%"/>
    <numFmt numFmtId="170" formatCode="#,##0.0_);\(#,##0.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_);\(&quot;$&quot;#,##0.000\)"/>
    <numFmt numFmtId="177" formatCode="&quot;$&quot;#,##0.0_);\(&quot;$&quot;#,##0.0\)"/>
    <numFmt numFmtId="178" formatCode="#,##0.0000000_);\(#,##0.000000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Arial"/>
      <family val="0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3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8" fontId="0" fillId="0" borderId="1" xfId="0" applyNumberFormat="1" applyFont="1" applyBorder="1" applyAlignment="1">
      <alignment/>
    </xf>
    <xf numFmtId="8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5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6" fontId="0" fillId="0" borderId="3" xfId="0" applyNumberFormat="1" applyFont="1" applyBorder="1" applyAlignment="1">
      <alignment/>
    </xf>
    <xf numFmtId="8" fontId="0" fillId="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5" fontId="7" fillId="0" borderId="5" xfId="0" applyNumberFormat="1" applyFont="1" applyAlignment="1">
      <alignment/>
    </xf>
    <xf numFmtId="5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7" fontId="7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center"/>
    </xf>
    <xf numFmtId="164" fontId="7" fillId="0" borderId="5" xfId="0" applyNumberFormat="1" applyFont="1" applyAlignment="1">
      <alignment/>
    </xf>
    <xf numFmtId="0" fontId="7" fillId="0" borderId="6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right"/>
    </xf>
    <xf numFmtId="5" fontId="7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0" fillId="4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7" fontId="10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1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/>
    </xf>
    <xf numFmtId="39" fontId="0" fillId="0" borderId="0" xfId="0" applyNumberFormat="1" applyFont="1" applyAlignment="1">
      <alignment horizontal="center"/>
    </xf>
    <xf numFmtId="39" fontId="0" fillId="2" borderId="0" xfId="0" applyNumberFormat="1" applyFont="1" applyFill="1" applyAlignment="1">
      <alignment horizontal="center"/>
    </xf>
    <xf numFmtId="0" fontId="0" fillId="0" borderId="6" xfId="0" applyNumberFormat="1" applyFont="1" applyBorder="1" applyAlignment="1">
      <alignment/>
    </xf>
    <xf numFmtId="8" fontId="0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3" fontId="7" fillId="4" borderId="0" xfId="0" applyNumberFormat="1" applyFont="1" applyFill="1" applyAlignment="1">
      <alignment/>
    </xf>
    <xf numFmtId="5" fontId="8" fillId="0" borderId="5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37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9" fontId="13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7" fontId="0" fillId="0" borderId="14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2"/>
  <sheetViews>
    <sheetView showGridLines="0" tabSelected="1" showOutlineSymbols="0" zoomScale="75" zoomScaleNormal="75" workbookViewId="0" topLeftCell="D14">
      <pane xSplit="1" ySplit="2" topLeftCell="K16" activePane="bottomRight" state="frozen"/>
      <selection pane="topLeft" activeCell="D14" sqref="D14"/>
      <selection pane="topRight" activeCell="E14" sqref="E14"/>
      <selection pane="bottomLeft" activeCell="D16" sqref="D16"/>
      <selection pane="bottomRight" activeCell="R16" sqref="R16"/>
    </sheetView>
  </sheetViews>
  <sheetFormatPr defaultColWidth="10.6640625" defaultRowHeight="15"/>
  <cols>
    <col min="1" max="1" width="5.6640625" style="0" customWidth="1"/>
    <col min="2" max="2" width="3.6640625" style="0" customWidth="1"/>
    <col min="3" max="3" width="7.6640625" style="0" customWidth="1"/>
    <col min="4" max="4" width="24.6640625" style="0" customWidth="1"/>
    <col min="5" max="5" width="10.4453125" style="0" customWidth="1"/>
    <col min="6" max="6" width="10.10546875" style="0" hidden="1" customWidth="1"/>
    <col min="7" max="7" width="10.6640625" style="0" customWidth="1"/>
    <col min="8" max="8" width="5.99609375" style="129" bestFit="1" customWidth="1"/>
    <col min="9" max="9" width="9.6640625" style="0" customWidth="1"/>
    <col min="10" max="10" width="10.6640625" style="0" customWidth="1"/>
    <col min="11" max="11" width="3.6640625" style="124" customWidth="1"/>
    <col min="12" max="13" width="11.6640625" style="0" customWidth="1"/>
    <col min="14" max="14" width="3.6640625" style="1" customWidth="1"/>
    <col min="15" max="15" width="11.21484375" style="0" bestFit="1" customWidth="1"/>
    <col min="16" max="16" width="11.77734375" style="0" bestFit="1" customWidth="1"/>
    <col min="17" max="17" width="3.6640625" style="82" customWidth="1"/>
    <col min="18" max="20" width="10.6640625" style="0" customWidth="1"/>
    <col min="21" max="21" width="9.4453125" style="0" bestFit="1" customWidth="1"/>
    <col min="22" max="254" width="10.6640625" style="0" customWidth="1"/>
  </cols>
  <sheetData>
    <row r="1" spans="1:21" ht="15.75">
      <c r="A1" s="35"/>
      <c r="B1" s="35"/>
      <c r="C1" s="35"/>
      <c r="D1" s="35"/>
      <c r="E1" s="35"/>
      <c r="F1" s="35"/>
      <c r="G1" s="35"/>
      <c r="H1" s="125"/>
      <c r="I1" s="35"/>
      <c r="J1" s="35"/>
      <c r="K1" s="116"/>
      <c r="L1" s="35"/>
      <c r="M1" s="35"/>
      <c r="N1" s="36"/>
      <c r="O1" s="35"/>
      <c r="P1" s="35"/>
      <c r="Q1" s="78"/>
      <c r="R1" s="35"/>
      <c r="S1" s="35"/>
      <c r="T1" s="35"/>
      <c r="U1" s="35"/>
    </row>
    <row r="2" spans="1:21" ht="15.75">
      <c r="A2" s="35"/>
      <c r="B2" s="35"/>
      <c r="C2" s="35"/>
      <c r="D2" s="35"/>
      <c r="E2" s="35"/>
      <c r="F2" s="35"/>
      <c r="G2" s="35"/>
      <c r="H2" s="125"/>
      <c r="I2" s="35"/>
      <c r="J2" s="35"/>
      <c r="K2" s="116"/>
      <c r="L2" s="35"/>
      <c r="M2" s="35"/>
      <c r="N2" s="36"/>
      <c r="O2" s="35"/>
      <c r="P2" s="35"/>
      <c r="Q2" s="78"/>
      <c r="R2" s="35"/>
      <c r="S2" s="35"/>
      <c r="T2" s="35"/>
      <c r="U2" s="35"/>
    </row>
    <row r="3" spans="1:21" ht="15.75">
      <c r="A3" s="35"/>
      <c r="B3" s="35"/>
      <c r="C3" s="35"/>
      <c r="D3" s="35"/>
      <c r="E3" s="35"/>
      <c r="F3" s="35"/>
      <c r="G3" s="35"/>
      <c r="H3" s="125"/>
      <c r="I3" s="35"/>
      <c r="J3" s="35"/>
      <c r="K3" s="116"/>
      <c r="L3" s="35"/>
      <c r="M3" s="35"/>
      <c r="N3" s="36"/>
      <c r="O3" s="35"/>
      <c r="P3" s="35"/>
      <c r="Q3" s="78"/>
      <c r="R3" s="35"/>
      <c r="S3" s="35"/>
      <c r="T3" s="35"/>
      <c r="U3" s="35"/>
    </row>
    <row r="4" spans="1:21" ht="15.75">
      <c r="A4" s="35"/>
      <c r="B4" s="35"/>
      <c r="C4" s="35"/>
      <c r="D4" s="35"/>
      <c r="E4" s="35"/>
      <c r="F4" s="35"/>
      <c r="G4" s="35"/>
      <c r="H4" s="125"/>
      <c r="I4" s="35"/>
      <c r="J4" s="35"/>
      <c r="K4" s="116"/>
      <c r="L4" s="35"/>
      <c r="M4" s="35"/>
      <c r="N4" s="36"/>
      <c r="O4" s="35"/>
      <c r="P4" s="35"/>
      <c r="Q4" s="78"/>
      <c r="R4" s="37"/>
      <c r="S4" s="32"/>
      <c r="T4" s="35"/>
      <c r="U4" s="35"/>
    </row>
    <row r="5" spans="1:21" ht="15.75">
      <c r="A5" s="35"/>
      <c r="B5" s="35"/>
      <c r="C5" s="35"/>
      <c r="D5" s="38" t="s">
        <v>0</v>
      </c>
      <c r="E5" s="38"/>
      <c r="F5" s="38"/>
      <c r="G5" s="35"/>
      <c r="H5" s="125"/>
      <c r="I5" s="35"/>
      <c r="J5" s="35"/>
      <c r="K5" s="116"/>
      <c r="L5" s="35"/>
      <c r="M5" s="35"/>
      <c r="N5" s="36"/>
      <c r="O5" s="35"/>
      <c r="P5" s="37"/>
      <c r="Q5" s="78"/>
      <c r="R5" s="35"/>
      <c r="S5" s="35"/>
      <c r="T5" s="35"/>
      <c r="U5" s="35"/>
    </row>
    <row r="6" spans="1:21" ht="15.75">
      <c r="A6" s="35"/>
      <c r="B6" s="35"/>
      <c r="C6" s="35"/>
      <c r="D6" s="35"/>
      <c r="E6" s="35"/>
      <c r="F6" s="35"/>
      <c r="G6" s="35"/>
      <c r="H6" s="125"/>
      <c r="I6" s="35"/>
      <c r="J6" s="35"/>
      <c r="K6" s="116"/>
      <c r="L6" s="35"/>
      <c r="M6" s="35"/>
      <c r="N6" s="36"/>
      <c r="O6" s="35"/>
      <c r="P6" s="37"/>
      <c r="Q6" s="78"/>
      <c r="R6" s="35"/>
      <c r="S6" s="35"/>
      <c r="T6" s="35"/>
      <c r="U6" s="35"/>
    </row>
    <row r="7" spans="1:21" ht="15.75">
      <c r="A7" s="35"/>
      <c r="B7" s="35"/>
      <c r="C7" s="35"/>
      <c r="D7" s="35"/>
      <c r="E7" s="35"/>
      <c r="F7" s="35"/>
      <c r="G7" s="39">
        <f>G22/G69/12</f>
        <v>25.03323881537492</v>
      </c>
      <c r="H7" s="125"/>
      <c r="I7" s="35"/>
      <c r="J7" s="35"/>
      <c r="K7" s="116"/>
      <c r="L7" s="35"/>
      <c r="M7" s="35"/>
      <c r="N7" s="36"/>
      <c r="O7" s="35"/>
      <c r="P7" s="39">
        <f>P22/P69/12</f>
        <v>41.06263835263835</v>
      </c>
      <c r="Q7" s="78"/>
      <c r="R7" s="32"/>
      <c r="S7" s="39">
        <f>S22/S69/12</f>
        <v>35.91511583011583</v>
      </c>
      <c r="T7" s="35"/>
      <c r="U7" s="35"/>
    </row>
    <row r="8" spans="1:21" ht="15.75">
      <c r="A8" s="35"/>
      <c r="B8" s="35"/>
      <c r="C8" s="35"/>
      <c r="D8" s="35"/>
      <c r="E8" s="35"/>
      <c r="F8" s="35"/>
      <c r="G8" s="37">
        <f>G68</f>
        <v>-0.18864248128936445</v>
      </c>
      <c r="H8" s="125"/>
      <c r="I8" s="35"/>
      <c r="J8" s="35"/>
      <c r="K8" s="116"/>
      <c r="L8" s="35"/>
      <c r="M8" s="35"/>
      <c r="N8" s="36"/>
      <c r="O8" s="35"/>
      <c r="P8" s="37">
        <f>P68</f>
        <v>0.1132169149384417</v>
      </c>
      <c r="Q8" s="78"/>
      <c r="R8" s="32"/>
      <c r="S8" s="37">
        <f>S68</f>
        <v>0.08012620157069807</v>
      </c>
      <c r="T8" s="35"/>
      <c r="U8" s="35"/>
    </row>
    <row r="9" spans="1:21" ht="15.75">
      <c r="A9" s="35"/>
      <c r="B9" s="35"/>
      <c r="C9" s="35"/>
      <c r="D9" s="35"/>
      <c r="E9" s="35"/>
      <c r="F9" s="35"/>
      <c r="G9" s="35"/>
      <c r="H9" s="125"/>
      <c r="I9" s="35"/>
      <c r="J9" s="35"/>
      <c r="K9" s="116"/>
      <c r="L9" s="35"/>
      <c r="M9" s="35"/>
      <c r="N9" s="36"/>
      <c r="O9" s="35"/>
      <c r="P9" s="37"/>
      <c r="Q9" s="78"/>
      <c r="R9" s="37"/>
      <c r="S9" s="32"/>
      <c r="T9" s="35"/>
      <c r="U9" s="35"/>
    </row>
    <row r="10" spans="1:21" ht="15.75">
      <c r="A10" s="35"/>
      <c r="B10" s="35"/>
      <c r="C10" s="35"/>
      <c r="D10" s="35"/>
      <c r="E10" s="35"/>
      <c r="F10" s="35"/>
      <c r="G10" s="35"/>
      <c r="H10" s="125"/>
      <c r="I10" s="35"/>
      <c r="J10" s="35"/>
      <c r="K10" s="116"/>
      <c r="L10" s="35"/>
      <c r="M10" s="35"/>
      <c r="N10" s="36"/>
      <c r="O10" s="35"/>
      <c r="P10" s="35"/>
      <c r="Q10" s="78"/>
      <c r="R10" s="35"/>
      <c r="S10" s="35"/>
      <c r="T10" s="35"/>
      <c r="U10" s="35"/>
    </row>
    <row r="11" spans="1:21" ht="15.75">
      <c r="A11" s="35"/>
      <c r="B11" s="35"/>
      <c r="C11" s="40"/>
      <c r="D11" s="41" t="s">
        <v>141</v>
      </c>
      <c r="E11" s="41"/>
      <c r="F11" s="41"/>
      <c r="G11" s="40"/>
      <c r="H11" s="116"/>
      <c r="I11" s="40"/>
      <c r="J11" s="38" t="s">
        <v>1</v>
      </c>
      <c r="K11" s="44"/>
      <c r="L11" s="40"/>
      <c r="M11" s="40"/>
      <c r="N11" s="38"/>
      <c r="O11" s="40"/>
      <c r="P11" s="42" t="s">
        <v>2</v>
      </c>
      <c r="Q11" s="79"/>
      <c r="R11" s="35"/>
      <c r="S11" s="35"/>
      <c r="T11" s="35"/>
      <c r="U11" s="35"/>
    </row>
    <row r="12" spans="1:21" ht="15.75">
      <c r="A12" s="35"/>
      <c r="B12" s="35"/>
      <c r="C12" s="40"/>
      <c r="D12" s="38" t="s">
        <v>172</v>
      </c>
      <c r="E12" s="38"/>
      <c r="F12" s="38"/>
      <c r="G12" s="35"/>
      <c r="H12" s="125"/>
      <c r="I12" s="35"/>
      <c r="J12" s="38" t="s">
        <v>116</v>
      </c>
      <c r="K12" s="116"/>
      <c r="L12" s="35"/>
      <c r="M12" s="35"/>
      <c r="N12" s="36"/>
      <c r="O12" s="35"/>
      <c r="P12" s="43">
        <f ca="1">NOW()</f>
        <v>37251.514347916665</v>
      </c>
      <c r="Q12" s="79"/>
      <c r="R12" s="39"/>
      <c r="S12" s="35"/>
      <c r="T12" s="35"/>
      <c r="U12" s="35"/>
    </row>
    <row r="13" spans="1:21" ht="15.75">
      <c r="A13" s="35"/>
      <c r="B13" s="35"/>
      <c r="C13" s="40"/>
      <c r="D13" s="35"/>
      <c r="E13" s="35"/>
      <c r="F13" s="35"/>
      <c r="G13" s="44"/>
      <c r="H13" s="125"/>
      <c r="I13" s="35"/>
      <c r="J13" s="35"/>
      <c r="K13" s="116"/>
      <c r="L13" s="35"/>
      <c r="M13" s="35"/>
      <c r="N13" s="36"/>
      <c r="O13" s="35"/>
      <c r="P13" s="35"/>
      <c r="Q13" s="79"/>
      <c r="R13" s="35"/>
      <c r="S13" s="35"/>
      <c r="T13" s="35"/>
      <c r="U13" s="35"/>
    </row>
    <row r="14" spans="1:21" ht="15.75">
      <c r="A14" s="35"/>
      <c r="B14" s="35"/>
      <c r="C14" s="40"/>
      <c r="D14" s="38"/>
      <c r="E14" s="42" t="s">
        <v>115</v>
      </c>
      <c r="F14" s="44" t="s">
        <v>117</v>
      </c>
      <c r="G14" s="44" t="s">
        <v>4</v>
      </c>
      <c r="H14" s="125"/>
      <c r="I14" s="44" t="s">
        <v>5</v>
      </c>
      <c r="J14" s="44" t="s">
        <v>6</v>
      </c>
      <c r="K14" s="116"/>
      <c r="L14" s="44" t="s">
        <v>7</v>
      </c>
      <c r="M14" s="44" t="s">
        <v>7</v>
      </c>
      <c r="N14" s="36"/>
      <c r="O14" s="44" t="s">
        <v>8</v>
      </c>
      <c r="P14" s="44" t="s">
        <v>8</v>
      </c>
      <c r="Q14" s="79"/>
      <c r="R14" s="45" t="s">
        <v>9</v>
      </c>
      <c r="S14" s="45" t="s">
        <v>9</v>
      </c>
      <c r="T14" s="35"/>
      <c r="U14" s="32"/>
    </row>
    <row r="15" spans="1:21" ht="15.75">
      <c r="A15" s="35"/>
      <c r="B15" s="35"/>
      <c r="C15" s="40"/>
      <c r="D15" s="38" t="s">
        <v>3</v>
      </c>
      <c r="E15" s="109">
        <v>36525</v>
      </c>
      <c r="F15" s="46">
        <v>73050</v>
      </c>
      <c r="G15" s="46">
        <v>36891</v>
      </c>
      <c r="H15" s="126"/>
      <c r="I15" s="44" t="s">
        <v>10</v>
      </c>
      <c r="J15" s="44" t="s">
        <v>10</v>
      </c>
      <c r="K15" s="116"/>
      <c r="L15" s="44" t="s">
        <v>10</v>
      </c>
      <c r="M15" s="44" t="s">
        <v>11</v>
      </c>
      <c r="N15" s="36"/>
      <c r="O15" s="44" t="s">
        <v>12</v>
      </c>
      <c r="P15" s="44" t="s">
        <v>13</v>
      </c>
      <c r="Q15" s="79"/>
      <c r="R15" s="45" t="s">
        <v>14</v>
      </c>
      <c r="S15" s="44" t="s">
        <v>13</v>
      </c>
      <c r="T15" s="35"/>
      <c r="U15" s="35"/>
    </row>
    <row r="16" spans="1:21" ht="15.75">
      <c r="A16" s="35"/>
      <c r="B16" s="35"/>
      <c r="C16" s="40"/>
      <c r="D16" s="44" t="s">
        <v>15</v>
      </c>
      <c r="E16" s="44"/>
      <c r="F16" s="45"/>
      <c r="G16" s="45"/>
      <c r="H16" s="125"/>
      <c r="I16" s="45" t="s">
        <v>16</v>
      </c>
      <c r="J16" s="45" t="s">
        <v>16</v>
      </c>
      <c r="K16" s="68"/>
      <c r="L16" s="45" t="s">
        <v>17</v>
      </c>
      <c r="M16" s="45" t="s">
        <v>16</v>
      </c>
      <c r="N16" s="47"/>
      <c r="O16" s="45" t="s">
        <v>16</v>
      </c>
      <c r="P16" s="45" t="s">
        <v>16</v>
      </c>
      <c r="Q16" s="81"/>
      <c r="R16" s="45" t="s">
        <v>16</v>
      </c>
      <c r="S16" s="45" t="s">
        <v>16</v>
      </c>
      <c r="T16" s="32"/>
      <c r="U16" s="32"/>
    </row>
    <row r="17" spans="1:21" ht="15.75">
      <c r="A17" s="35"/>
      <c r="B17" s="35"/>
      <c r="C17" s="48">
        <v>460</v>
      </c>
      <c r="D17" s="38" t="s">
        <v>123</v>
      </c>
      <c r="E17" s="38"/>
      <c r="F17" s="32"/>
      <c r="G17" s="32"/>
      <c r="H17" s="125"/>
      <c r="I17" s="35"/>
      <c r="J17" s="32">
        <f>I17+G17</f>
        <v>0</v>
      </c>
      <c r="K17" s="117"/>
      <c r="L17" s="50"/>
      <c r="M17" s="32">
        <f>+L17+J17</f>
        <v>0</v>
      </c>
      <c r="N17" s="51"/>
      <c r="O17" s="32"/>
      <c r="P17" s="32">
        <f>M17+O17</f>
        <v>0</v>
      </c>
      <c r="Q17" s="81"/>
      <c r="R17" s="50"/>
      <c r="S17" s="32">
        <f>M17+R17</f>
        <v>0</v>
      </c>
      <c r="T17" s="32">
        <f>+Rates!C10</f>
        <v>216511.5</v>
      </c>
      <c r="U17" s="52" t="s">
        <v>107</v>
      </c>
    </row>
    <row r="18" spans="1:21" ht="15.75">
      <c r="A18" s="35"/>
      <c r="B18" s="35"/>
      <c r="C18" s="48">
        <v>461.1</v>
      </c>
      <c r="D18" s="38" t="s">
        <v>19</v>
      </c>
      <c r="E18" s="94">
        <v>157628</v>
      </c>
      <c r="F18" s="32">
        <v>53038</v>
      </c>
      <c r="G18" s="32">
        <v>152100</v>
      </c>
      <c r="H18" s="125" t="s">
        <v>144</v>
      </c>
      <c r="I18" s="94">
        <v>11837.36</v>
      </c>
      <c r="J18" s="32">
        <f>I18+G18</f>
        <v>163937.36</v>
      </c>
      <c r="K18" s="68"/>
      <c r="L18" s="50"/>
      <c r="M18" s="32">
        <f>+J18+L18</f>
        <v>163937.36</v>
      </c>
      <c r="N18" s="47" t="s">
        <v>18</v>
      </c>
      <c r="O18" s="32">
        <v>84497</v>
      </c>
      <c r="P18" s="32">
        <f>+M18+O18</f>
        <v>248434.36</v>
      </c>
      <c r="Q18" s="81" t="s">
        <v>20</v>
      </c>
      <c r="R18" s="140">
        <v>52500</v>
      </c>
      <c r="S18" s="32">
        <f>+M18+R18</f>
        <v>216437.36</v>
      </c>
      <c r="T18" s="32">
        <f>+S18+S17</f>
        <v>216437.36</v>
      </c>
      <c r="U18" s="52" t="s">
        <v>108</v>
      </c>
    </row>
    <row r="19" spans="1:21" ht="15.75">
      <c r="A19" s="35"/>
      <c r="B19" s="35"/>
      <c r="C19" s="48">
        <v>419</v>
      </c>
      <c r="D19" s="38" t="s">
        <v>121</v>
      </c>
      <c r="E19" s="94">
        <v>7985</v>
      </c>
      <c r="F19" s="32"/>
      <c r="G19" s="32">
        <v>5191</v>
      </c>
      <c r="H19" s="125"/>
      <c r="I19" s="94"/>
      <c r="J19" s="32">
        <f>+I19+G19</f>
        <v>5191</v>
      </c>
      <c r="K19" s="68"/>
      <c r="L19" s="50"/>
      <c r="M19" s="32">
        <f>+L19+J19</f>
        <v>5191</v>
      </c>
      <c r="N19" s="47"/>
      <c r="O19" s="32"/>
      <c r="P19" s="32">
        <f>+O19+M19</f>
        <v>5191</v>
      </c>
      <c r="Q19" s="81"/>
      <c r="R19" s="32"/>
      <c r="S19" s="32">
        <f>+R19+P19</f>
        <v>5191</v>
      </c>
      <c r="T19" s="32"/>
      <c r="U19" s="52"/>
    </row>
    <row r="20" spans="1:21" ht="13.5" customHeight="1">
      <c r="A20" s="35"/>
      <c r="B20" s="35"/>
      <c r="C20" s="48">
        <v>474</v>
      </c>
      <c r="D20" s="97" t="s">
        <v>126</v>
      </c>
      <c r="E20" s="94"/>
      <c r="F20" s="32">
        <v>0</v>
      </c>
      <c r="G20" s="32">
        <v>1620</v>
      </c>
      <c r="H20" s="125"/>
      <c r="I20" s="94"/>
      <c r="J20" s="32">
        <f>I20+G20</f>
        <v>1620</v>
      </c>
      <c r="K20" s="117"/>
      <c r="L20" s="50"/>
      <c r="M20" s="32">
        <f>J20+L20</f>
        <v>1620</v>
      </c>
      <c r="N20" s="47"/>
      <c r="O20" s="94"/>
      <c r="P20" s="32">
        <f>M20+O20</f>
        <v>1620</v>
      </c>
      <c r="Q20" s="81"/>
      <c r="R20" s="94"/>
      <c r="S20" s="32">
        <f>M20+R20</f>
        <v>1620</v>
      </c>
      <c r="T20" s="130">
        <f>+T17-T18</f>
        <v>74.14000000001397</v>
      </c>
      <c r="U20" s="52" t="s">
        <v>50</v>
      </c>
    </row>
    <row r="21" spans="1:21" ht="16.5" thickBot="1">
      <c r="A21" s="35"/>
      <c r="B21" s="35"/>
      <c r="C21" s="48"/>
      <c r="D21" s="103" t="s">
        <v>97</v>
      </c>
      <c r="E21" s="103"/>
      <c r="F21" s="32">
        <v>0</v>
      </c>
      <c r="G21" s="32">
        <v>0</v>
      </c>
      <c r="H21" s="125"/>
      <c r="I21" s="94"/>
      <c r="J21" s="32">
        <f>I21+G21</f>
        <v>0</v>
      </c>
      <c r="K21" s="117"/>
      <c r="L21" s="50"/>
      <c r="M21" s="32">
        <f>J21+L21</f>
        <v>0</v>
      </c>
      <c r="N21" s="47"/>
      <c r="O21" s="94"/>
      <c r="P21" s="32">
        <f>M21+O21</f>
        <v>0</v>
      </c>
      <c r="Q21" s="81"/>
      <c r="R21" s="94"/>
      <c r="S21" s="32">
        <f>M21+R21</f>
        <v>0</v>
      </c>
      <c r="T21" s="53"/>
      <c r="U21" s="54" t="s">
        <v>83</v>
      </c>
    </row>
    <row r="22" spans="1:21" ht="16.5" thickTop="1">
      <c r="A22" s="35"/>
      <c r="B22" s="35"/>
      <c r="C22" s="40"/>
      <c r="D22" s="38" t="s">
        <v>21</v>
      </c>
      <c r="E22" s="55">
        <f>SUM(E17:E21)</f>
        <v>165613</v>
      </c>
      <c r="F22" s="55">
        <f>SUM(F17:F21)</f>
        <v>53038</v>
      </c>
      <c r="G22" s="55">
        <f>SUM(G17:G21)</f>
        <v>158911</v>
      </c>
      <c r="H22" s="125"/>
      <c r="I22" s="55">
        <f>SUM(I17:I21)</f>
        <v>11837.36</v>
      </c>
      <c r="J22" s="55">
        <f>SUM(J17:J21)</f>
        <v>170748.36</v>
      </c>
      <c r="K22" s="117"/>
      <c r="L22" s="55">
        <f>SUM(L17:L21)</f>
        <v>0</v>
      </c>
      <c r="M22" s="55">
        <f>SUM(M17:M21)</f>
        <v>170748.36</v>
      </c>
      <c r="N22" s="47"/>
      <c r="O22" s="55">
        <f>SUM(O17:O21)</f>
        <v>84497</v>
      </c>
      <c r="P22" s="55">
        <f>SUM(P17:P21)</f>
        <v>255245.36</v>
      </c>
      <c r="Q22" s="81"/>
      <c r="R22" s="55">
        <f>SUM(R17:R21)</f>
        <v>52500</v>
      </c>
      <c r="S22" s="55">
        <f>SUM(S17:S21)</f>
        <v>223248.36</v>
      </c>
      <c r="T22" s="52"/>
      <c r="U22" s="32"/>
    </row>
    <row r="23" spans="1:21" ht="15.75">
      <c r="A23" s="35"/>
      <c r="B23" s="35"/>
      <c r="C23" s="40"/>
      <c r="D23" s="35"/>
      <c r="E23" s="35"/>
      <c r="F23" s="32"/>
      <c r="G23" s="32"/>
      <c r="H23" s="125"/>
      <c r="I23" s="32"/>
      <c r="J23" s="32"/>
      <c r="K23" s="117"/>
      <c r="L23" s="50"/>
      <c r="M23" s="98"/>
      <c r="N23" s="99"/>
      <c r="O23" s="100"/>
      <c r="P23" s="102">
        <f>+P68</f>
        <v>0.1132169149384417</v>
      </c>
      <c r="Q23" s="85"/>
      <c r="R23" s="56"/>
      <c r="S23" s="57">
        <f>+S68</f>
        <v>0.08012620157069807</v>
      </c>
      <c r="T23" s="74">
        <v>0.08</v>
      </c>
      <c r="U23" s="35" t="s">
        <v>112</v>
      </c>
    </row>
    <row r="24" spans="1:21" ht="15.75">
      <c r="A24" s="35"/>
      <c r="B24" s="35"/>
      <c r="C24" s="32"/>
      <c r="D24" s="45" t="s">
        <v>22</v>
      </c>
      <c r="E24" s="52">
        <f>+E18/12/E69</f>
        <v>25.9086127547666</v>
      </c>
      <c r="F24" s="32"/>
      <c r="G24" s="52">
        <f>+G18/12/G69</f>
        <v>23.96030245746692</v>
      </c>
      <c r="H24" s="125"/>
      <c r="I24" s="37"/>
      <c r="J24" s="58">
        <f>+J22/J69/12</f>
        <v>27.469169884169883</v>
      </c>
      <c r="K24" s="117"/>
      <c r="L24" s="50"/>
      <c r="M24" s="101"/>
      <c r="N24" s="99"/>
      <c r="O24" s="100"/>
      <c r="P24" s="58">
        <f>+P22/P69/12</f>
        <v>41.06263835263835</v>
      </c>
      <c r="Q24" s="86"/>
      <c r="R24" s="59"/>
      <c r="S24" s="60">
        <f>(+S17+S18)/S69/12</f>
        <v>34.81939510939511</v>
      </c>
      <c r="T24" s="93">
        <f>+Rates!I60</f>
        <v>35.2125</v>
      </c>
      <c r="U24" s="35" t="s">
        <v>114</v>
      </c>
    </row>
    <row r="25" spans="1:21" ht="15.75">
      <c r="A25" s="35"/>
      <c r="B25" s="35"/>
      <c r="C25" s="32">
        <v>601</v>
      </c>
      <c r="D25" s="61" t="s">
        <v>23</v>
      </c>
      <c r="E25" s="94"/>
      <c r="F25" s="32"/>
      <c r="G25" s="32"/>
      <c r="H25" s="125"/>
      <c r="I25" s="50"/>
      <c r="J25" s="32">
        <f aca="true" t="shared" si="0" ref="J25:J49">I25+G25</f>
        <v>0</v>
      </c>
      <c r="K25" s="117"/>
      <c r="L25" s="32"/>
      <c r="M25" s="32">
        <f aca="true" t="shared" si="1" ref="M25:M50">J25+L25</f>
        <v>0</v>
      </c>
      <c r="N25" s="49"/>
      <c r="O25" s="50"/>
      <c r="P25" s="32">
        <f aca="true" t="shared" si="2" ref="P25:P50">M25+O25</f>
        <v>0</v>
      </c>
      <c r="Q25" s="84"/>
      <c r="R25" s="50"/>
      <c r="S25" s="32">
        <f aca="true" t="shared" si="3" ref="S25:S50">M25+R25</f>
        <v>0</v>
      </c>
      <c r="T25" s="60">
        <f>+S18/+S69/12</f>
        <v>34.81939510939511</v>
      </c>
      <c r="U25" s="32"/>
    </row>
    <row r="26" spans="1:21" ht="15.75">
      <c r="A26" s="35"/>
      <c r="B26" s="35"/>
      <c r="C26" s="32">
        <v>603</v>
      </c>
      <c r="D26" s="61" t="s">
        <v>24</v>
      </c>
      <c r="E26" s="94"/>
      <c r="F26" s="32"/>
      <c r="G26" s="32"/>
      <c r="H26" s="125"/>
      <c r="I26" s="62"/>
      <c r="J26" s="32">
        <f t="shared" si="0"/>
        <v>0</v>
      </c>
      <c r="K26" s="68"/>
      <c r="L26" s="32"/>
      <c r="M26" s="32">
        <f t="shared" si="1"/>
        <v>0</v>
      </c>
      <c r="N26" s="49"/>
      <c r="O26" s="50"/>
      <c r="P26" s="32">
        <f t="shared" si="2"/>
        <v>0</v>
      </c>
      <c r="Q26" s="84"/>
      <c r="R26" s="62"/>
      <c r="S26" s="32">
        <f t="shared" si="3"/>
        <v>0</v>
      </c>
      <c r="T26" s="35"/>
      <c r="U26" s="35"/>
    </row>
    <row r="27" spans="1:21" ht="15.75">
      <c r="A27" s="35"/>
      <c r="B27" s="35"/>
      <c r="C27" s="32">
        <v>604</v>
      </c>
      <c r="D27" s="61" t="s">
        <v>25</v>
      </c>
      <c r="E27" s="94"/>
      <c r="F27" s="32"/>
      <c r="G27" s="32"/>
      <c r="H27" s="125"/>
      <c r="I27" s="62"/>
      <c r="J27" s="32">
        <f t="shared" si="0"/>
        <v>0</v>
      </c>
      <c r="K27" s="68"/>
      <c r="L27" s="32"/>
      <c r="M27" s="32">
        <f t="shared" si="1"/>
        <v>0</v>
      </c>
      <c r="N27" s="49"/>
      <c r="O27" s="50"/>
      <c r="P27" s="32">
        <f t="shared" si="2"/>
        <v>0</v>
      </c>
      <c r="Q27" s="84"/>
      <c r="R27" s="62"/>
      <c r="S27" s="32">
        <f t="shared" si="3"/>
        <v>0</v>
      </c>
      <c r="T27" s="32"/>
      <c r="U27" s="32"/>
    </row>
    <row r="28" spans="1:21" ht="15.75">
      <c r="A28" s="35"/>
      <c r="B28" s="35"/>
      <c r="C28" s="32">
        <v>615</v>
      </c>
      <c r="D28" s="61" t="s">
        <v>26</v>
      </c>
      <c r="E28" s="94">
        <v>14412</v>
      </c>
      <c r="F28" s="32">
        <v>3523</v>
      </c>
      <c r="G28" s="32">
        <v>16394</v>
      </c>
      <c r="H28" s="125"/>
      <c r="I28" s="62"/>
      <c r="J28" s="32">
        <f t="shared" si="0"/>
        <v>16394</v>
      </c>
      <c r="K28" s="68" t="s">
        <v>131</v>
      </c>
      <c r="L28" s="32">
        <v>6777</v>
      </c>
      <c r="M28" s="32">
        <f t="shared" si="1"/>
        <v>23171</v>
      </c>
      <c r="N28" s="49"/>
      <c r="O28" s="50"/>
      <c r="P28" s="32">
        <f t="shared" si="2"/>
        <v>23171</v>
      </c>
      <c r="Q28" s="84"/>
      <c r="R28" s="62"/>
      <c r="S28" s="32">
        <f t="shared" si="3"/>
        <v>23171</v>
      </c>
      <c r="T28" s="32"/>
      <c r="U28" s="32"/>
    </row>
    <row r="29" spans="1:21" ht="15.75">
      <c r="A29" s="35"/>
      <c r="B29" s="35"/>
      <c r="C29" s="32">
        <v>618</v>
      </c>
      <c r="D29" s="61" t="s">
        <v>93</v>
      </c>
      <c r="E29" s="94"/>
      <c r="F29" s="32">
        <v>1349</v>
      </c>
      <c r="G29" s="32"/>
      <c r="H29" s="125"/>
      <c r="I29" s="62"/>
      <c r="J29" s="32">
        <f t="shared" si="0"/>
        <v>0</v>
      </c>
      <c r="K29" s="68"/>
      <c r="L29" s="32"/>
      <c r="M29" s="32">
        <f t="shared" si="1"/>
        <v>0</v>
      </c>
      <c r="N29" s="49"/>
      <c r="O29" s="50"/>
      <c r="P29" s="32">
        <f t="shared" si="2"/>
        <v>0</v>
      </c>
      <c r="Q29" s="84"/>
      <c r="R29" s="62"/>
      <c r="S29" s="32">
        <f t="shared" si="3"/>
        <v>0</v>
      </c>
      <c r="T29" s="32"/>
      <c r="U29" s="32"/>
    </row>
    <row r="30" spans="1:21" ht="15.75">
      <c r="A30" s="35"/>
      <c r="B30" s="35"/>
      <c r="C30" s="32">
        <v>620</v>
      </c>
      <c r="D30" s="61" t="s">
        <v>27</v>
      </c>
      <c r="E30" s="94">
        <v>6050</v>
      </c>
      <c r="F30" s="32">
        <v>1533</v>
      </c>
      <c r="G30" s="32">
        <v>56</v>
      </c>
      <c r="H30" s="125"/>
      <c r="I30" s="62"/>
      <c r="J30" s="32">
        <f t="shared" si="0"/>
        <v>56</v>
      </c>
      <c r="K30" s="68"/>
      <c r="L30" s="62"/>
      <c r="M30" s="32">
        <f t="shared" si="1"/>
        <v>56</v>
      </c>
      <c r="N30" s="49"/>
      <c r="O30" s="50"/>
      <c r="P30" s="32">
        <f t="shared" si="2"/>
        <v>56</v>
      </c>
      <c r="Q30" s="84"/>
      <c r="R30" s="62"/>
      <c r="S30" s="32">
        <f t="shared" si="3"/>
        <v>56</v>
      </c>
      <c r="T30" s="32"/>
      <c r="U30" s="32"/>
    </row>
    <row r="31" spans="1:21" ht="15.75">
      <c r="A31" s="35"/>
      <c r="B31" s="35"/>
      <c r="C31" s="32">
        <v>631</v>
      </c>
      <c r="D31" s="61" t="s">
        <v>122</v>
      </c>
      <c r="E31" s="94">
        <v>17550</v>
      </c>
      <c r="F31" s="32"/>
      <c r="G31" s="32">
        <v>183061</v>
      </c>
      <c r="H31" s="125" t="s">
        <v>130</v>
      </c>
      <c r="I31" s="62">
        <v>-183061</v>
      </c>
      <c r="J31" s="32">
        <f t="shared" si="0"/>
        <v>0</v>
      </c>
      <c r="K31" s="68"/>
      <c r="L31" s="62"/>
      <c r="M31" s="32">
        <f t="shared" si="1"/>
        <v>0</v>
      </c>
      <c r="N31" s="49"/>
      <c r="O31" s="50"/>
      <c r="P31" s="32">
        <f t="shared" si="2"/>
        <v>0</v>
      </c>
      <c r="Q31" s="84"/>
      <c r="R31" s="62"/>
      <c r="S31" s="32">
        <f t="shared" si="3"/>
        <v>0</v>
      </c>
      <c r="T31" s="32"/>
      <c r="U31" s="32"/>
    </row>
    <row r="32" spans="1:21" ht="15.75">
      <c r="A32" s="35"/>
      <c r="B32" s="35"/>
      <c r="C32" s="32">
        <v>632</v>
      </c>
      <c r="D32" s="61" t="s">
        <v>149</v>
      </c>
      <c r="E32" s="94">
        <v>36512</v>
      </c>
      <c r="F32" s="32"/>
      <c r="G32" s="32">
        <v>39756</v>
      </c>
      <c r="H32" s="125" t="s">
        <v>142</v>
      </c>
      <c r="I32" s="62">
        <v>-37236</v>
      </c>
      <c r="J32" s="32">
        <f t="shared" si="0"/>
        <v>2520</v>
      </c>
      <c r="K32" s="68"/>
      <c r="L32" s="62"/>
      <c r="M32" s="32">
        <f t="shared" si="1"/>
        <v>2520</v>
      </c>
      <c r="N32" s="49"/>
      <c r="O32" s="50"/>
      <c r="P32" s="32">
        <f t="shared" si="2"/>
        <v>2520</v>
      </c>
      <c r="Q32" s="84"/>
      <c r="R32" s="62"/>
      <c r="S32" s="32">
        <f t="shared" si="3"/>
        <v>2520</v>
      </c>
      <c r="T32" s="32"/>
      <c r="U32" s="32"/>
    </row>
    <row r="33" spans="1:21" ht="15.75">
      <c r="A33" s="35"/>
      <c r="B33" s="35"/>
      <c r="C33" s="32">
        <v>633</v>
      </c>
      <c r="D33" s="61" t="s">
        <v>28</v>
      </c>
      <c r="E33" s="94">
        <v>8847</v>
      </c>
      <c r="F33" s="32"/>
      <c r="G33" s="32">
        <v>9908</v>
      </c>
      <c r="H33" s="125" t="s">
        <v>130</v>
      </c>
      <c r="I33" s="62">
        <v>-4193</v>
      </c>
      <c r="J33" s="32">
        <f t="shared" si="0"/>
        <v>5715</v>
      </c>
      <c r="K33" s="68" t="s">
        <v>148</v>
      </c>
      <c r="L33" s="62">
        <v>-3602</v>
      </c>
      <c r="M33" s="32">
        <f t="shared" si="1"/>
        <v>2113</v>
      </c>
      <c r="N33" s="49"/>
      <c r="O33" s="50"/>
      <c r="P33" s="32">
        <f t="shared" si="2"/>
        <v>2113</v>
      </c>
      <c r="Q33" s="84"/>
      <c r="R33" s="62"/>
      <c r="S33" s="32">
        <f t="shared" si="3"/>
        <v>2113</v>
      </c>
      <c r="T33" s="32"/>
      <c r="U33" s="32"/>
    </row>
    <row r="34" spans="1:21" ht="15.75">
      <c r="A34" s="35"/>
      <c r="B34" s="35"/>
      <c r="C34" s="32">
        <v>634</v>
      </c>
      <c r="D34" s="61" t="s">
        <v>150</v>
      </c>
      <c r="E34" s="94">
        <v>13200</v>
      </c>
      <c r="F34" s="32">
        <v>33050</v>
      </c>
      <c r="G34" s="32">
        <v>13200</v>
      </c>
      <c r="H34" s="125"/>
      <c r="I34" s="62"/>
      <c r="J34" s="32">
        <f>+I34+G34</f>
        <v>13200</v>
      </c>
      <c r="K34" s="68" t="s">
        <v>147</v>
      </c>
      <c r="L34" s="62">
        <v>5585.16</v>
      </c>
      <c r="M34" s="32">
        <f t="shared" si="1"/>
        <v>18785.16</v>
      </c>
      <c r="N34" s="84"/>
      <c r="O34" s="62"/>
      <c r="P34" s="32">
        <f t="shared" si="2"/>
        <v>18785.16</v>
      </c>
      <c r="Q34" s="84"/>
      <c r="R34" s="62"/>
      <c r="S34" s="32">
        <f t="shared" si="3"/>
        <v>18785.16</v>
      </c>
      <c r="T34" s="32"/>
      <c r="U34" s="32"/>
    </row>
    <row r="35" spans="1:21" ht="15.75">
      <c r="A35" s="35"/>
      <c r="B35" s="35"/>
      <c r="C35" s="32"/>
      <c r="D35" s="61" t="s">
        <v>151</v>
      </c>
      <c r="E35" s="94"/>
      <c r="F35" s="32">
        <v>33050</v>
      </c>
      <c r="G35" s="32"/>
      <c r="H35" s="125" t="s">
        <v>142</v>
      </c>
      <c r="I35" s="62">
        <v>36424</v>
      </c>
      <c r="J35" s="32">
        <f>+I35+G35</f>
        <v>36424</v>
      </c>
      <c r="K35" s="68" t="s">
        <v>145</v>
      </c>
      <c r="L35" s="62">
        <v>-4684.28</v>
      </c>
      <c r="M35" s="32">
        <f>J35+L35</f>
        <v>31739.72</v>
      </c>
      <c r="N35" s="84"/>
      <c r="O35" s="62"/>
      <c r="P35" s="32">
        <f>M35+O35</f>
        <v>31739.72</v>
      </c>
      <c r="Q35" s="84"/>
      <c r="R35" s="62"/>
      <c r="S35" s="32">
        <f>M35+R35</f>
        <v>31739.72</v>
      </c>
      <c r="T35" s="32"/>
      <c r="U35" s="32"/>
    </row>
    <row r="36" spans="1:21" ht="15.75">
      <c r="A36" s="35"/>
      <c r="B36" s="35"/>
      <c r="C36" s="32">
        <v>635</v>
      </c>
      <c r="D36" s="61" t="s">
        <v>96</v>
      </c>
      <c r="E36" s="94"/>
      <c r="F36" s="32"/>
      <c r="G36" s="32"/>
      <c r="H36" s="125" t="s">
        <v>142</v>
      </c>
      <c r="I36" s="62">
        <v>812</v>
      </c>
      <c r="J36" s="32">
        <f t="shared" si="0"/>
        <v>812</v>
      </c>
      <c r="K36" s="68" t="s">
        <v>131</v>
      </c>
      <c r="L36" s="62">
        <v>600</v>
      </c>
      <c r="M36" s="32">
        <f t="shared" si="1"/>
        <v>1412</v>
      </c>
      <c r="N36" s="49"/>
      <c r="O36" s="50"/>
      <c r="P36" s="32">
        <f t="shared" si="2"/>
        <v>1412</v>
      </c>
      <c r="Q36" s="84"/>
      <c r="R36" s="62"/>
      <c r="S36" s="32">
        <f t="shared" si="3"/>
        <v>1412</v>
      </c>
      <c r="T36" s="32"/>
      <c r="U36" s="32"/>
    </row>
    <row r="37" spans="1:21" ht="15.75">
      <c r="A37" s="35"/>
      <c r="B37" s="35"/>
      <c r="C37" s="32">
        <v>641</v>
      </c>
      <c r="D37" s="61" t="s">
        <v>29</v>
      </c>
      <c r="E37" s="94">
        <v>9600</v>
      </c>
      <c r="F37" s="32"/>
      <c r="G37" s="32">
        <v>9600</v>
      </c>
      <c r="H37" s="125" t="s">
        <v>146</v>
      </c>
      <c r="I37" s="62">
        <f>-2400+450</f>
        <v>-1950</v>
      </c>
      <c r="J37" s="32">
        <f t="shared" si="0"/>
        <v>7650</v>
      </c>
      <c r="K37" s="68"/>
      <c r="L37" s="62"/>
      <c r="M37" s="32">
        <f t="shared" si="1"/>
        <v>7650</v>
      </c>
      <c r="N37" s="49"/>
      <c r="O37" s="50"/>
      <c r="P37" s="32">
        <f t="shared" si="2"/>
        <v>7650</v>
      </c>
      <c r="Q37" s="84"/>
      <c r="R37" s="62"/>
      <c r="S37" s="32">
        <f t="shared" si="3"/>
        <v>7650</v>
      </c>
      <c r="T37" s="32"/>
      <c r="U37" s="32"/>
    </row>
    <row r="38" spans="1:21" ht="15.75">
      <c r="A38" s="35"/>
      <c r="B38" s="35"/>
      <c r="C38" s="32">
        <v>650</v>
      </c>
      <c r="D38" s="61" t="s">
        <v>167</v>
      </c>
      <c r="E38" s="94"/>
      <c r="F38" s="32"/>
      <c r="G38" s="32"/>
      <c r="H38" s="125"/>
      <c r="I38" s="62"/>
      <c r="J38" s="32">
        <f>I38+G38</f>
        <v>0</v>
      </c>
      <c r="K38" s="68"/>
      <c r="L38" s="62"/>
      <c r="M38" s="32">
        <f>J38+L38</f>
        <v>0</v>
      </c>
      <c r="N38" s="49"/>
      <c r="O38" s="50"/>
      <c r="P38" s="32">
        <f>M38+O38</f>
        <v>0</v>
      </c>
      <c r="Q38" s="84"/>
      <c r="R38" s="62"/>
      <c r="S38" s="32">
        <f>M38+R38</f>
        <v>0</v>
      </c>
      <c r="T38" s="32"/>
      <c r="U38" s="32"/>
    </row>
    <row r="39" spans="1:21" ht="15.75">
      <c r="A39" s="35"/>
      <c r="B39" s="35"/>
      <c r="C39" s="32">
        <v>655</v>
      </c>
      <c r="D39" s="61" t="s">
        <v>119</v>
      </c>
      <c r="E39" s="94">
        <v>8054</v>
      </c>
      <c r="F39" s="32"/>
      <c r="G39" s="32">
        <v>6158</v>
      </c>
      <c r="H39" s="125" t="s">
        <v>143</v>
      </c>
      <c r="I39" s="62">
        <v>99.5</v>
      </c>
      <c r="J39" s="32">
        <f t="shared" si="0"/>
        <v>6257.5</v>
      </c>
      <c r="K39" s="68"/>
      <c r="L39" s="32"/>
      <c r="M39" s="32">
        <f t="shared" si="1"/>
        <v>6257.5</v>
      </c>
      <c r="N39" s="49"/>
      <c r="O39" s="50"/>
      <c r="P39" s="32">
        <f t="shared" si="2"/>
        <v>6257.5</v>
      </c>
      <c r="Q39" s="84"/>
      <c r="R39" s="62"/>
      <c r="S39" s="32">
        <f t="shared" si="3"/>
        <v>6257.5</v>
      </c>
      <c r="T39" s="32"/>
      <c r="U39" s="32"/>
    </row>
    <row r="40" spans="1:21" ht="15.75">
      <c r="A40" s="35"/>
      <c r="B40" s="35"/>
      <c r="C40" s="32">
        <v>665</v>
      </c>
      <c r="D40" s="61" t="s">
        <v>120</v>
      </c>
      <c r="E40" s="94">
        <v>1845</v>
      </c>
      <c r="F40" s="32"/>
      <c r="G40" s="32"/>
      <c r="H40" s="125" t="s">
        <v>153</v>
      </c>
      <c r="I40" s="62">
        <v>282.1</v>
      </c>
      <c r="J40" s="32">
        <f t="shared" si="0"/>
        <v>282.1</v>
      </c>
      <c r="K40" s="68"/>
      <c r="L40" s="32"/>
      <c r="M40" s="32">
        <f t="shared" si="1"/>
        <v>282.1</v>
      </c>
      <c r="N40" s="47" t="s">
        <v>18</v>
      </c>
      <c r="O40" s="32">
        <f>(+O22*0.002)</f>
        <v>168.994</v>
      </c>
      <c r="P40" s="32">
        <f t="shared" si="2"/>
        <v>451.09400000000005</v>
      </c>
      <c r="Q40" s="81" t="s">
        <v>20</v>
      </c>
      <c r="R40" s="62">
        <f>(+R22*0.002)</f>
        <v>105</v>
      </c>
      <c r="S40" s="62">
        <f t="shared" si="3"/>
        <v>387.1</v>
      </c>
      <c r="T40" s="32"/>
      <c r="U40" s="32"/>
    </row>
    <row r="41" spans="1:21" ht="15.75">
      <c r="A41" s="35"/>
      <c r="B41" s="35"/>
      <c r="C41" s="32">
        <v>666</v>
      </c>
      <c r="D41" s="61" t="s">
        <v>127</v>
      </c>
      <c r="E41" s="94"/>
      <c r="F41" s="32"/>
      <c r="G41" s="32"/>
      <c r="H41" s="116"/>
      <c r="I41" s="62"/>
      <c r="J41" s="32">
        <f>I41+G41</f>
        <v>0</v>
      </c>
      <c r="K41" s="68" t="s">
        <v>131</v>
      </c>
      <c r="L41" s="32">
        <v>500</v>
      </c>
      <c r="M41" s="32">
        <f>J41+L41</f>
        <v>500</v>
      </c>
      <c r="N41" s="47"/>
      <c r="O41" s="32"/>
      <c r="P41" s="32">
        <f>M41+O41</f>
        <v>500</v>
      </c>
      <c r="Q41" s="81"/>
      <c r="R41" s="62"/>
      <c r="S41" s="62">
        <f>M41+R41</f>
        <v>500</v>
      </c>
      <c r="T41" s="32"/>
      <c r="U41" s="32"/>
    </row>
    <row r="42" spans="1:21" ht="15.75">
      <c r="A42" s="35"/>
      <c r="B42" s="35"/>
      <c r="C42" s="104">
        <v>675.1</v>
      </c>
      <c r="D42" s="61" t="s">
        <v>101</v>
      </c>
      <c r="E42" s="94">
        <v>751</v>
      </c>
      <c r="F42" s="32">
        <v>736</v>
      </c>
      <c r="G42" s="32">
        <v>2130</v>
      </c>
      <c r="H42" s="125"/>
      <c r="I42" s="62"/>
      <c r="J42" s="32">
        <f t="shared" si="0"/>
        <v>2130</v>
      </c>
      <c r="K42" s="68"/>
      <c r="L42" s="32"/>
      <c r="M42" s="32">
        <f t="shared" si="1"/>
        <v>2130</v>
      </c>
      <c r="N42" s="49"/>
      <c r="O42" s="32"/>
      <c r="P42" s="32">
        <f t="shared" si="2"/>
        <v>2130</v>
      </c>
      <c r="Q42" s="84"/>
      <c r="R42" s="62"/>
      <c r="S42" s="62">
        <f t="shared" si="3"/>
        <v>2130</v>
      </c>
      <c r="T42" s="32"/>
      <c r="U42" s="32"/>
    </row>
    <row r="43" spans="1:21" ht="15.75">
      <c r="A43" s="35"/>
      <c r="B43" s="35"/>
      <c r="C43" s="104">
        <v>675.2</v>
      </c>
      <c r="D43" s="61" t="s">
        <v>102</v>
      </c>
      <c r="E43" s="94">
        <v>68</v>
      </c>
      <c r="F43" s="32">
        <v>1268</v>
      </c>
      <c r="G43" s="32"/>
      <c r="H43" s="125" t="s">
        <v>152</v>
      </c>
      <c r="I43" s="62">
        <f>600+40.8</f>
        <v>640.8</v>
      </c>
      <c r="J43" s="32">
        <f t="shared" si="0"/>
        <v>640.8</v>
      </c>
      <c r="K43" s="68"/>
      <c r="L43" s="32"/>
      <c r="M43" s="32">
        <f t="shared" si="1"/>
        <v>640.8</v>
      </c>
      <c r="N43" s="49"/>
      <c r="O43" s="32"/>
      <c r="P43" s="32">
        <f t="shared" si="2"/>
        <v>640.8</v>
      </c>
      <c r="Q43" s="84"/>
      <c r="R43" s="62"/>
      <c r="S43" s="62">
        <f t="shared" si="3"/>
        <v>640.8</v>
      </c>
      <c r="T43" s="32"/>
      <c r="U43" s="32"/>
    </row>
    <row r="44" spans="1:21" ht="15.75">
      <c r="A44" s="35"/>
      <c r="B44" s="35"/>
      <c r="C44" s="104"/>
      <c r="D44" s="61" t="s">
        <v>128</v>
      </c>
      <c r="E44" s="94"/>
      <c r="F44" s="32"/>
      <c r="G44" s="32">
        <v>4223</v>
      </c>
      <c r="H44" s="125" t="s">
        <v>130</v>
      </c>
      <c r="I44" s="62">
        <v>-4223</v>
      </c>
      <c r="J44" s="32">
        <f>I44+G44</f>
        <v>0</v>
      </c>
      <c r="K44" s="68"/>
      <c r="L44" s="32"/>
      <c r="M44" s="32">
        <f>J44+L44</f>
        <v>0</v>
      </c>
      <c r="N44" s="49"/>
      <c r="O44" s="32"/>
      <c r="P44" s="32">
        <f>M44+O44</f>
        <v>0</v>
      </c>
      <c r="Q44" s="84"/>
      <c r="R44" s="62"/>
      <c r="S44" s="62">
        <f>M44+R44</f>
        <v>0</v>
      </c>
      <c r="T44" s="32"/>
      <c r="U44" s="32"/>
    </row>
    <row r="45" spans="1:21" ht="15.75">
      <c r="A45" s="35"/>
      <c r="B45" s="35"/>
      <c r="C45" s="104">
        <v>675.3</v>
      </c>
      <c r="D45" s="61" t="s">
        <v>30</v>
      </c>
      <c r="E45" s="94"/>
      <c r="F45" s="32"/>
      <c r="G45" s="32"/>
      <c r="H45" s="125"/>
      <c r="I45" s="62"/>
      <c r="J45" s="32">
        <f t="shared" si="0"/>
        <v>0</v>
      </c>
      <c r="K45" s="68" t="s">
        <v>131</v>
      </c>
      <c r="L45" s="32">
        <v>500</v>
      </c>
      <c r="M45" s="32">
        <f t="shared" si="1"/>
        <v>500</v>
      </c>
      <c r="N45" s="49"/>
      <c r="O45" s="32"/>
      <c r="P45" s="32">
        <f t="shared" si="2"/>
        <v>500</v>
      </c>
      <c r="Q45" s="84"/>
      <c r="R45" s="62"/>
      <c r="S45" s="62">
        <f t="shared" si="3"/>
        <v>500</v>
      </c>
      <c r="T45" s="32"/>
      <c r="U45" s="32"/>
    </row>
    <row r="46" spans="1:21" ht="15.75">
      <c r="A46" s="35"/>
      <c r="B46" s="35"/>
      <c r="C46" s="32">
        <v>403</v>
      </c>
      <c r="D46" s="61" t="s">
        <v>31</v>
      </c>
      <c r="E46" s="94">
        <f>27164-5374</f>
        <v>21790</v>
      </c>
      <c r="F46" s="32">
        <v>9718</v>
      </c>
      <c r="G46" s="32">
        <v>28097.76</v>
      </c>
      <c r="H46" s="125"/>
      <c r="I46" s="62"/>
      <c r="J46" s="32">
        <f t="shared" si="0"/>
        <v>28097.76</v>
      </c>
      <c r="K46" s="68" t="s">
        <v>166</v>
      </c>
      <c r="L46" s="32">
        <f>+P100</f>
        <v>4948.495416666667</v>
      </c>
      <c r="M46" s="32">
        <f t="shared" si="1"/>
        <v>33046.25541666667</v>
      </c>
      <c r="N46" s="49"/>
      <c r="O46" s="62"/>
      <c r="P46" s="32">
        <f t="shared" si="2"/>
        <v>33046.25541666667</v>
      </c>
      <c r="Q46" s="81"/>
      <c r="R46" s="62"/>
      <c r="S46" s="62">
        <f t="shared" si="3"/>
        <v>33046.25541666667</v>
      </c>
      <c r="T46" s="32"/>
      <c r="U46" s="32"/>
    </row>
    <row r="47" spans="1:21" ht="15.75">
      <c r="A47" s="35"/>
      <c r="B47" s="35"/>
      <c r="C47" s="52">
        <v>408.1</v>
      </c>
      <c r="D47" s="61" t="s">
        <v>98</v>
      </c>
      <c r="E47" s="94"/>
      <c r="F47" s="32"/>
      <c r="G47" s="32">
        <v>8129</v>
      </c>
      <c r="H47" s="125" t="s">
        <v>144</v>
      </c>
      <c r="I47" s="62">
        <v>219.23</v>
      </c>
      <c r="J47" s="32">
        <f>I47+G47</f>
        <v>8348.23</v>
      </c>
      <c r="K47" s="68"/>
      <c r="L47" s="32"/>
      <c r="M47" s="32">
        <f>J47+L47</f>
        <v>8348.23</v>
      </c>
      <c r="N47" s="47" t="s">
        <v>18</v>
      </c>
      <c r="O47" s="62">
        <f>(+P22*0.05029)-M47</f>
        <v>4488.0591544</v>
      </c>
      <c r="P47" s="32">
        <f>+O47+M47</f>
        <v>12836.2891544</v>
      </c>
      <c r="Q47" s="81" t="s">
        <v>20</v>
      </c>
      <c r="R47" s="62">
        <f>(+S22*0.05029)-M47</f>
        <v>2878.9300244000005</v>
      </c>
      <c r="S47" s="62">
        <f t="shared" si="3"/>
        <v>11227.1600244</v>
      </c>
      <c r="T47" s="32"/>
      <c r="U47" s="32"/>
    </row>
    <row r="48" spans="1:21" ht="15.75">
      <c r="A48" s="35"/>
      <c r="B48" s="35"/>
      <c r="C48" s="52">
        <v>408.11</v>
      </c>
      <c r="D48" s="61" t="s">
        <v>32</v>
      </c>
      <c r="E48" s="94">
        <v>5898</v>
      </c>
      <c r="F48" s="32">
        <v>928</v>
      </c>
      <c r="G48" s="32">
        <v>6354</v>
      </c>
      <c r="H48" s="125"/>
      <c r="I48" s="62"/>
      <c r="J48" s="32">
        <f t="shared" si="0"/>
        <v>6354</v>
      </c>
      <c r="K48" s="68" t="s">
        <v>155</v>
      </c>
      <c r="L48" s="62">
        <v>-1054</v>
      </c>
      <c r="M48" s="32">
        <f t="shared" si="1"/>
        <v>5300</v>
      </c>
      <c r="N48" s="49"/>
      <c r="O48" s="32"/>
      <c r="P48" s="32">
        <f t="shared" si="2"/>
        <v>5300</v>
      </c>
      <c r="Q48" s="84"/>
      <c r="R48" s="62"/>
      <c r="S48" s="62">
        <f t="shared" si="3"/>
        <v>5300</v>
      </c>
      <c r="T48" s="32"/>
      <c r="U48" s="32"/>
    </row>
    <row r="49" spans="1:21" ht="15.75">
      <c r="A49" s="35"/>
      <c r="B49" s="35"/>
      <c r="C49" s="52">
        <v>408.12</v>
      </c>
      <c r="D49" s="61" t="s">
        <v>33</v>
      </c>
      <c r="E49" s="94"/>
      <c r="F49" s="32"/>
      <c r="G49" s="32"/>
      <c r="H49" s="125"/>
      <c r="I49" s="62"/>
      <c r="J49" s="32">
        <f t="shared" si="0"/>
        <v>0</v>
      </c>
      <c r="K49" s="68"/>
      <c r="L49" s="62"/>
      <c r="M49" s="32">
        <f t="shared" si="1"/>
        <v>0</v>
      </c>
      <c r="N49" s="49"/>
      <c r="O49" s="32"/>
      <c r="P49" s="32">
        <f t="shared" si="2"/>
        <v>0</v>
      </c>
      <c r="Q49" s="84"/>
      <c r="R49" s="62"/>
      <c r="S49" s="62">
        <f t="shared" si="3"/>
        <v>0</v>
      </c>
      <c r="T49" s="32"/>
      <c r="U49" s="32"/>
    </row>
    <row r="50" spans="1:21" ht="16.5" thickBot="1">
      <c r="A50" s="35"/>
      <c r="B50" s="35"/>
      <c r="C50" s="52">
        <v>408.13</v>
      </c>
      <c r="D50" s="38" t="s">
        <v>34</v>
      </c>
      <c r="E50" s="94">
        <v>8081</v>
      </c>
      <c r="F50" s="32">
        <v>394</v>
      </c>
      <c r="G50" s="32">
        <v>8407</v>
      </c>
      <c r="H50" s="125" t="s">
        <v>154</v>
      </c>
      <c r="I50" s="62">
        <f>+J50-G50</f>
        <v>-6020.889999999999</v>
      </c>
      <c r="J50" s="32">
        <f>1134.55+776.89+474.67</f>
        <v>2386.11</v>
      </c>
      <c r="K50" s="68"/>
      <c r="L50" s="62"/>
      <c r="M50" s="32">
        <f t="shared" si="1"/>
        <v>2386.11</v>
      </c>
      <c r="N50" s="49"/>
      <c r="O50" s="32"/>
      <c r="P50" s="32">
        <f t="shared" si="2"/>
        <v>2386.11</v>
      </c>
      <c r="Q50" s="84"/>
      <c r="R50" s="62"/>
      <c r="S50" s="62">
        <f t="shared" si="3"/>
        <v>2386.11</v>
      </c>
      <c r="T50" s="32"/>
      <c r="U50" s="32"/>
    </row>
    <row r="51" spans="1:21" ht="16.5" thickTop="1">
      <c r="A51" s="35"/>
      <c r="B51" s="35"/>
      <c r="C51" s="40"/>
      <c r="D51" s="38" t="s">
        <v>35</v>
      </c>
      <c r="E51" s="55">
        <f>SUM(E25:E50)</f>
        <v>152658</v>
      </c>
      <c r="F51" s="55">
        <f>SUM(F25:F50)</f>
        <v>85549</v>
      </c>
      <c r="G51" s="55">
        <f>SUM(G25:G50)</f>
        <v>335473.76</v>
      </c>
      <c r="H51" s="125"/>
      <c r="I51" s="33">
        <f>SUM(I25:I50)</f>
        <v>-198206.26</v>
      </c>
      <c r="J51" s="55">
        <f>SUM(J25:J50)</f>
        <v>137267.5</v>
      </c>
      <c r="K51" s="68"/>
      <c r="L51" s="33">
        <f>SUM(L25:L50)</f>
        <v>9570.375416666666</v>
      </c>
      <c r="M51" s="55">
        <f>SUM(M25:M50)</f>
        <v>146837.87541666668</v>
      </c>
      <c r="N51" s="47"/>
      <c r="O51" s="55">
        <f>SUM(O25:O50)</f>
        <v>4657.0531544</v>
      </c>
      <c r="P51" s="55">
        <f>SUM(P25:P50)</f>
        <v>151494.92857106664</v>
      </c>
      <c r="Q51" s="81"/>
      <c r="R51" s="33">
        <f>SUM(R25:R50)</f>
        <v>2983.9300244000005</v>
      </c>
      <c r="S51" s="55">
        <f>SUM(S25:S50)</f>
        <v>149821.80544106668</v>
      </c>
      <c r="T51" s="32"/>
      <c r="U51" s="95"/>
    </row>
    <row r="52" spans="1:21" ht="15.75">
      <c r="A52" s="35"/>
      <c r="B52" s="35"/>
      <c r="C52" s="40"/>
      <c r="D52" s="35"/>
      <c r="E52" s="62"/>
      <c r="F52" s="35"/>
      <c r="G52" s="35"/>
      <c r="H52" s="125"/>
      <c r="I52" s="35"/>
      <c r="J52" s="32"/>
      <c r="K52" s="117"/>
      <c r="L52" s="50"/>
      <c r="M52" s="32"/>
      <c r="N52" s="49"/>
      <c r="O52" s="50"/>
      <c r="P52" s="32"/>
      <c r="Q52" s="84"/>
      <c r="R52" s="50"/>
      <c r="S52" s="32"/>
      <c r="T52" s="32"/>
      <c r="U52" s="32"/>
    </row>
    <row r="53" spans="1:21" ht="15.75">
      <c r="A53" s="35"/>
      <c r="B53" s="35"/>
      <c r="C53" s="40"/>
      <c r="D53" s="38" t="s">
        <v>90</v>
      </c>
      <c r="E53" s="62">
        <f>E22-E51</f>
        <v>12955</v>
      </c>
      <c r="F53" s="62">
        <f>F22-F51</f>
        <v>-32511</v>
      </c>
      <c r="G53" s="62">
        <f>G22-G51</f>
        <v>-176562.76</v>
      </c>
      <c r="H53" s="127"/>
      <c r="I53" s="62">
        <f>I22-I51</f>
        <v>210043.62</v>
      </c>
      <c r="J53" s="62">
        <f>J22-J51</f>
        <v>33480.859999999986</v>
      </c>
      <c r="K53" s="118"/>
      <c r="L53" s="62">
        <f>L22-L51</f>
        <v>-9570.375416666666</v>
      </c>
      <c r="M53" s="62">
        <f>M22-M51</f>
        <v>23910.48458333331</v>
      </c>
      <c r="N53" s="47"/>
      <c r="O53" s="32">
        <f>O22-O51</f>
        <v>79839.9468456</v>
      </c>
      <c r="P53" s="32">
        <f>P22-P51</f>
        <v>103750.43142893334</v>
      </c>
      <c r="Q53" s="81"/>
      <c r="R53" s="62">
        <f>R22+R51</f>
        <v>55483.930024400004</v>
      </c>
      <c r="S53" s="32">
        <f>S22-S51</f>
        <v>73426.5545589333</v>
      </c>
      <c r="T53" s="32"/>
      <c r="U53" s="62"/>
    </row>
    <row r="54" spans="1:21" ht="15.75">
      <c r="A54" s="35"/>
      <c r="B54" s="35"/>
      <c r="C54" s="40"/>
      <c r="D54" s="38" t="s">
        <v>89</v>
      </c>
      <c r="E54" s="62">
        <v>0</v>
      </c>
      <c r="F54" s="62"/>
      <c r="G54" s="62"/>
      <c r="H54" s="127"/>
      <c r="I54" s="62"/>
      <c r="J54" s="62">
        <f>+I54+G54</f>
        <v>0</v>
      </c>
      <c r="K54" s="119"/>
      <c r="L54" s="62"/>
      <c r="M54" s="62">
        <f>+L54+J54</f>
        <v>0</v>
      </c>
      <c r="N54" s="47"/>
      <c r="O54" s="32"/>
      <c r="P54" s="62">
        <f>+O54+M54</f>
        <v>0</v>
      </c>
      <c r="Q54" s="81"/>
      <c r="R54" s="32"/>
      <c r="S54" s="62">
        <f>M54+R54</f>
        <v>0</v>
      </c>
      <c r="T54" s="32"/>
      <c r="U54" s="32"/>
    </row>
    <row r="55" spans="1:21" ht="15.75">
      <c r="A55" s="35"/>
      <c r="B55" s="35"/>
      <c r="C55" s="40">
        <v>409</v>
      </c>
      <c r="D55" s="38" t="s">
        <v>118</v>
      </c>
      <c r="E55" s="62"/>
      <c r="F55" s="62"/>
      <c r="G55" s="62"/>
      <c r="H55" s="127"/>
      <c r="I55" s="62"/>
      <c r="J55" s="62">
        <f>I55+G55</f>
        <v>0</v>
      </c>
      <c r="K55" s="118"/>
      <c r="L55" s="32"/>
      <c r="M55" s="32">
        <f>L55+J55</f>
        <v>0</v>
      </c>
      <c r="N55" s="47" t="s">
        <v>18</v>
      </c>
      <c r="O55" s="32"/>
      <c r="P55" s="32">
        <f>+O55+M55</f>
        <v>0</v>
      </c>
      <c r="Q55" s="81" t="s">
        <v>20</v>
      </c>
      <c r="R55" s="32"/>
      <c r="S55" s="62">
        <f>M55+R55</f>
        <v>0</v>
      </c>
      <c r="T55" s="32"/>
      <c r="U55" s="105"/>
    </row>
    <row r="56" spans="1:21" ht="16.5" thickBot="1">
      <c r="A56" s="35"/>
      <c r="B56" s="35"/>
      <c r="C56" s="40"/>
      <c r="D56" s="38" t="s">
        <v>86</v>
      </c>
      <c r="E56" s="32">
        <f>+E51+E54+E55</f>
        <v>152658</v>
      </c>
      <c r="F56" s="32">
        <f>+F51+F54+F55</f>
        <v>85549</v>
      </c>
      <c r="G56" s="32">
        <f>+G51+G54+G55</f>
        <v>335473.76</v>
      </c>
      <c r="H56" s="125"/>
      <c r="I56" s="32"/>
      <c r="J56" s="32">
        <f>+J51+J54+J55</f>
        <v>137267.5</v>
      </c>
      <c r="K56" s="118"/>
      <c r="L56" s="32"/>
      <c r="M56" s="32">
        <f>+M51+M54+M55</f>
        <v>146837.87541666668</v>
      </c>
      <c r="N56" s="47"/>
      <c r="O56" s="32"/>
      <c r="P56" s="32">
        <f>+P51+P54+P55</f>
        <v>151494.92857106664</v>
      </c>
      <c r="Q56" s="84"/>
      <c r="R56" s="50"/>
      <c r="S56" s="32">
        <f>+S51+S54+S55</f>
        <v>149821.80544106668</v>
      </c>
      <c r="T56" s="32"/>
      <c r="U56" s="107"/>
    </row>
    <row r="57" spans="1:21" ht="16.5" thickTop="1">
      <c r="A57" s="35"/>
      <c r="B57" s="35"/>
      <c r="C57" s="40"/>
      <c r="D57" s="38" t="s">
        <v>87</v>
      </c>
      <c r="E57" s="33">
        <f>+E22-E56+E52</f>
        <v>12955</v>
      </c>
      <c r="F57" s="33">
        <f>+F22-F56</f>
        <v>-32511</v>
      </c>
      <c r="G57" s="33">
        <f>+G22-G56</f>
        <v>-176562.76</v>
      </c>
      <c r="H57" s="125"/>
      <c r="I57" s="33">
        <f>I53-I55</f>
        <v>210043.62</v>
      </c>
      <c r="J57" s="33">
        <f>+J22-J56</f>
        <v>33480.859999999986</v>
      </c>
      <c r="K57" s="118"/>
      <c r="L57" s="33">
        <f>L53-L55</f>
        <v>-9570.375416666666</v>
      </c>
      <c r="M57" s="33">
        <f>+M22-M56</f>
        <v>23910.48458333331</v>
      </c>
      <c r="N57" s="49"/>
      <c r="O57" s="55">
        <f>O53-O55</f>
        <v>79839.9468456</v>
      </c>
      <c r="P57" s="33">
        <f>+P22-P56</f>
        <v>103750.43142893334</v>
      </c>
      <c r="Q57" s="84"/>
      <c r="R57" s="33">
        <f>R53-R55</f>
        <v>55483.930024400004</v>
      </c>
      <c r="S57" s="33">
        <f>+S22-S56</f>
        <v>73426.5545589333</v>
      </c>
      <c r="T57" s="32"/>
      <c r="U57" s="108"/>
    </row>
    <row r="58" spans="1:21" ht="15.75">
      <c r="A58" s="35"/>
      <c r="B58" s="35"/>
      <c r="C58" s="40"/>
      <c r="D58" s="38" t="s">
        <v>88</v>
      </c>
      <c r="E58" s="34">
        <f>+E53-E55</f>
        <v>12955</v>
      </c>
      <c r="F58" s="34">
        <f>+F53-F55</f>
        <v>-32511</v>
      </c>
      <c r="G58" s="34">
        <f>+G53-G55</f>
        <v>-176562.76</v>
      </c>
      <c r="H58" s="125"/>
      <c r="I58" s="32"/>
      <c r="J58" s="34">
        <f>+J53-J55</f>
        <v>33480.859999999986</v>
      </c>
      <c r="K58" s="118"/>
      <c r="L58" s="32"/>
      <c r="M58" s="34">
        <f>+M53-M55</f>
        <v>23910.48458333331</v>
      </c>
      <c r="N58" s="49"/>
      <c r="O58" s="32"/>
      <c r="P58" s="34">
        <f>+P53-P55</f>
        <v>103750.43142893334</v>
      </c>
      <c r="Q58" s="84"/>
      <c r="R58" s="32"/>
      <c r="S58" s="34">
        <f>+S53-S55</f>
        <v>73426.5545589333</v>
      </c>
      <c r="T58" s="32"/>
      <c r="U58" s="106"/>
    </row>
    <row r="59" spans="1:21" ht="9.75" customHeight="1">
      <c r="A59" s="35"/>
      <c r="B59" s="35"/>
      <c r="C59" s="40"/>
      <c r="D59" s="38"/>
      <c r="E59" s="32"/>
      <c r="F59" s="32"/>
      <c r="G59" s="32"/>
      <c r="H59" s="125"/>
      <c r="I59" s="32"/>
      <c r="J59" s="32"/>
      <c r="K59" s="118"/>
      <c r="L59" s="32"/>
      <c r="M59" s="32"/>
      <c r="N59" s="49"/>
      <c r="O59" s="32"/>
      <c r="P59" s="32"/>
      <c r="Q59" s="84"/>
      <c r="R59" s="32"/>
      <c r="S59" s="32"/>
      <c r="T59" s="32"/>
      <c r="U59" s="32"/>
    </row>
    <row r="60" spans="1:21" ht="15.75">
      <c r="A60" s="35"/>
      <c r="B60" s="35"/>
      <c r="C60" s="40"/>
      <c r="D60" s="44" t="s">
        <v>99</v>
      </c>
      <c r="E60" s="32"/>
      <c r="F60" s="32"/>
      <c r="G60" s="32"/>
      <c r="H60" s="125"/>
      <c r="K60" s="118"/>
      <c r="L60" s="50"/>
      <c r="M60" s="32"/>
      <c r="N60" s="49"/>
      <c r="O60" s="50"/>
      <c r="P60" s="32"/>
      <c r="Q60" s="84"/>
      <c r="R60" s="50"/>
      <c r="S60" s="32"/>
      <c r="T60" s="32"/>
      <c r="U60" s="50"/>
    </row>
    <row r="61" spans="1:21" ht="15.75">
      <c r="A61" s="35"/>
      <c r="B61" s="35"/>
      <c r="C61" s="40">
        <v>101</v>
      </c>
      <c r="D61" s="38" t="s">
        <v>36</v>
      </c>
      <c r="E61" s="32">
        <v>1095346</v>
      </c>
      <c r="F61" s="32">
        <v>262341</v>
      </c>
      <c r="G61" s="32">
        <v>1295957</v>
      </c>
      <c r="H61" s="116" t="s">
        <v>168</v>
      </c>
      <c r="I61" s="62">
        <f>+L79</f>
        <v>-100305.5</v>
      </c>
      <c r="J61" s="32">
        <f>+I61+G61</f>
        <v>1195651.5</v>
      </c>
      <c r="K61" s="119" t="str">
        <f>+K46</f>
        <v>P7</v>
      </c>
      <c r="L61" s="62">
        <f>+M102</f>
        <v>69953.81</v>
      </c>
      <c r="M61" s="32">
        <f>J61+L61</f>
        <v>1265605.31</v>
      </c>
      <c r="N61" s="49"/>
      <c r="O61" s="62"/>
      <c r="P61" s="32">
        <f>M61+O61</f>
        <v>1265605.31</v>
      </c>
      <c r="Q61" s="84"/>
      <c r="R61" s="96"/>
      <c r="S61" s="32">
        <f>M61+R61</f>
        <v>1265605.31</v>
      </c>
      <c r="T61" s="106"/>
      <c r="U61" s="105"/>
    </row>
    <row r="62" spans="1:253" s="4" customFormat="1" ht="15.75">
      <c r="A62" s="63"/>
      <c r="B62" s="62"/>
      <c r="C62" s="62">
        <v>108</v>
      </c>
      <c r="D62" s="64" t="s">
        <v>37</v>
      </c>
      <c r="E62" s="62">
        <v>-197282</v>
      </c>
      <c r="F62" s="62">
        <v>-160767</v>
      </c>
      <c r="G62" s="62">
        <v>-225379</v>
      </c>
      <c r="H62" s="116" t="s">
        <v>134</v>
      </c>
      <c r="I62" s="62">
        <f>+L80</f>
        <v>14048.5</v>
      </c>
      <c r="J62" s="62">
        <f>+I62+G62</f>
        <v>-211330.5</v>
      </c>
      <c r="K62" s="120" t="str">
        <f>+K61</f>
        <v>P7</v>
      </c>
      <c r="L62" s="62">
        <f>-P100</f>
        <v>-4948.495416666667</v>
      </c>
      <c r="M62" s="62">
        <f>J62+L62</f>
        <v>-216278.99541666667</v>
      </c>
      <c r="N62" s="65"/>
      <c r="O62" s="62"/>
      <c r="P62" s="62">
        <f>M62+O62</f>
        <v>-216278.99541666667</v>
      </c>
      <c r="Q62" s="87"/>
      <c r="R62" s="96"/>
      <c r="S62" s="62">
        <f>M62+R62</f>
        <v>-216278.99541666667</v>
      </c>
      <c r="T62" s="105"/>
      <c r="U62" s="105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1" ht="15.75">
      <c r="A63" s="35"/>
      <c r="B63" s="35"/>
      <c r="C63" s="40">
        <v>114</v>
      </c>
      <c r="D63" s="38" t="s">
        <v>100</v>
      </c>
      <c r="E63" s="62"/>
      <c r="F63" s="62"/>
      <c r="G63" s="62"/>
      <c r="H63" s="127"/>
      <c r="I63" s="62"/>
      <c r="J63" s="62">
        <f>I63+G63</f>
        <v>0</v>
      </c>
      <c r="K63" s="118"/>
      <c r="L63" s="62"/>
      <c r="M63" s="62">
        <f>+L63+J63</f>
        <v>0</v>
      </c>
      <c r="N63" s="62"/>
      <c r="O63" s="62"/>
      <c r="P63" s="62">
        <f>+O63+M63</f>
        <v>0</v>
      </c>
      <c r="Q63" s="80"/>
      <c r="R63" s="62"/>
      <c r="S63" s="62">
        <f>M63+R63</f>
        <v>0</v>
      </c>
      <c r="T63" s="105"/>
      <c r="U63" s="105"/>
    </row>
    <row r="64" spans="1:21" ht="15.75">
      <c r="A64" s="35"/>
      <c r="B64" s="35"/>
      <c r="C64" s="40">
        <v>271</v>
      </c>
      <c r="D64" s="38" t="s">
        <v>38</v>
      </c>
      <c r="E64" s="62">
        <v>-161138</v>
      </c>
      <c r="F64" s="62">
        <v>-21420</v>
      </c>
      <c r="G64" s="62">
        <v>-170156</v>
      </c>
      <c r="H64" s="116" t="s">
        <v>134</v>
      </c>
      <c r="I64" s="62">
        <f>+L82</f>
        <v>4509</v>
      </c>
      <c r="J64" s="62">
        <f>+I64+G64</f>
        <v>-165647</v>
      </c>
      <c r="K64" s="118"/>
      <c r="L64" s="62"/>
      <c r="M64" s="62">
        <f>J64+L64</f>
        <v>-165647</v>
      </c>
      <c r="N64" s="49"/>
      <c r="O64" s="62"/>
      <c r="P64" s="62">
        <f>M64+O64</f>
        <v>-165647</v>
      </c>
      <c r="Q64" s="80"/>
      <c r="R64" s="62"/>
      <c r="S64" s="62">
        <f>M64+R64</f>
        <v>-165647</v>
      </c>
      <c r="T64" s="105"/>
      <c r="U64" s="105"/>
    </row>
    <row r="65" spans="1:21" ht="16.5" thickBot="1">
      <c r="A65" s="35"/>
      <c r="B65" s="35"/>
      <c r="C65" s="40">
        <v>272</v>
      </c>
      <c r="D65" s="38" t="s">
        <v>39</v>
      </c>
      <c r="E65" s="32">
        <v>29871</v>
      </c>
      <c r="F65" s="32"/>
      <c r="G65" s="32">
        <v>35543</v>
      </c>
      <c r="H65" s="116" t="s">
        <v>134</v>
      </c>
      <c r="I65" s="62">
        <f>+L83</f>
        <v>-2836</v>
      </c>
      <c r="J65" s="32">
        <f>+I65+G65</f>
        <v>32707</v>
      </c>
      <c r="K65" s="118"/>
      <c r="L65" s="62"/>
      <c r="M65" s="32">
        <f>J65+L65</f>
        <v>32707</v>
      </c>
      <c r="N65" s="49"/>
      <c r="O65" s="50"/>
      <c r="P65" s="32">
        <f>M65+O65</f>
        <v>32707</v>
      </c>
      <c r="Q65" s="84"/>
      <c r="R65" s="62"/>
      <c r="S65" s="32">
        <f>M65+R65</f>
        <v>32707</v>
      </c>
      <c r="T65" s="106"/>
      <c r="U65" s="105"/>
    </row>
    <row r="66" spans="1:21" ht="16.5" thickTop="1">
      <c r="A66" s="35"/>
      <c r="B66" s="35"/>
      <c r="C66" s="40"/>
      <c r="D66" s="38" t="s">
        <v>40</v>
      </c>
      <c r="E66" s="55">
        <f>SUM(E61:E65)</f>
        <v>766797</v>
      </c>
      <c r="F66" s="55">
        <f>SUM(F61:F65)</f>
        <v>80154</v>
      </c>
      <c r="G66" s="55">
        <f>SUM(G61:G65)</f>
        <v>935965</v>
      </c>
      <c r="H66" s="125"/>
      <c r="I66" s="33">
        <f>SUM(I61:I65)</f>
        <v>-84584</v>
      </c>
      <c r="J66" s="55">
        <f>SUM(J61:J65)</f>
        <v>851381</v>
      </c>
      <c r="K66" s="118"/>
      <c r="L66" s="33">
        <f>SUM(L61:L65)</f>
        <v>65005.31458333333</v>
      </c>
      <c r="M66" s="55">
        <f>SUM(M61:M65)</f>
        <v>916386.3145833334</v>
      </c>
      <c r="N66" s="49" t="s">
        <v>3</v>
      </c>
      <c r="O66" s="33">
        <f>SUM(O61:O65)</f>
        <v>0</v>
      </c>
      <c r="P66" s="55">
        <f>SUM(P61:P65)</f>
        <v>916386.3145833334</v>
      </c>
      <c r="Q66" s="84"/>
      <c r="R66" s="33">
        <f>SUM(R61:R65)</f>
        <v>0</v>
      </c>
      <c r="S66" s="55">
        <f>SUM(S61:S65)</f>
        <v>916386.3145833334</v>
      </c>
      <c r="T66" s="106"/>
      <c r="U66" s="115"/>
    </row>
    <row r="67" spans="1:21" ht="15.75">
      <c r="A67" s="35"/>
      <c r="B67" s="35"/>
      <c r="C67" s="40"/>
      <c r="D67" s="35"/>
      <c r="E67" s="35"/>
      <c r="F67" s="35"/>
      <c r="G67" s="35"/>
      <c r="H67" s="125"/>
      <c r="I67" s="32"/>
      <c r="J67" s="32"/>
      <c r="K67" s="117"/>
      <c r="L67" s="50"/>
      <c r="M67" s="32"/>
      <c r="N67" s="49"/>
      <c r="O67" s="50"/>
      <c r="P67" s="32"/>
      <c r="Q67" s="84"/>
      <c r="R67" s="50"/>
      <c r="S67" s="32"/>
      <c r="T67" s="106"/>
      <c r="U67" s="107"/>
    </row>
    <row r="68" spans="1:21" ht="15.75">
      <c r="A68" s="35"/>
      <c r="B68" s="35"/>
      <c r="C68" s="40"/>
      <c r="D68" s="38" t="s">
        <v>41</v>
      </c>
      <c r="E68" s="37">
        <f>E58/E66</f>
        <v>0.016894953944785907</v>
      </c>
      <c r="F68" s="37">
        <f>F58/F66</f>
        <v>-0.40560670708885393</v>
      </c>
      <c r="G68" s="37">
        <f>G58/G66</f>
        <v>-0.18864248128936445</v>
      </c>
      <c r="H68" s="125"/>
      <c r="I68" s="37"/>
      <c r="J68" s="37">
        <f>J58/J66</f>
        <v>0.03932535492335392</v>
      </c>
      <c r="K68" s="121"/>
      <c r="L68" s="67"/>
      <c r="M68" s="37">
        <f>M58/M66</f>
        <v>0.026092144986042305</v>
      </c>
      <c r="N68" s="66"/>
      <c r="O68" s="67"/>
      <c r="P68" s="37">
        <f>P58/P66</f>
        <v>0.1132169149384417</v>
      </c>
      <c r="Q68" s="88"/>
      <c r="R68" s="67"/>
      <c r="S68" s="37">
        <f>S58/S66</f>
        <v>0.08012620157069807</v>
      </c>
      <c r="T68" s="37"/>
      <c r="U68" s="67"/>
    </row>
    <row r="69" spans="1:21" ht="15.75">
      <c r="A69" s="35"/>
      <c r="B69" s="35"/>
      <c r="C69" s="40"/>
      <c r="D69" s="38" t="s">
        <v>42</v>
      </c>
      <c r="E69" s="32">
        <v>507</v>
      </c>
      <c r="F69" s="32">
        <v>248</v>
      </c>
      <c r="G69" s="32">
        <v>529</v>
      </c>
      <c r="H69" s="116" t="s">
        <v>134</v>
      </c>
      <c r="I69" s="62">
        <f>+L86</f>
        <v>-11</v>
      </c>
      <c r="J69" s="32">
        <f>I69+G69</f>
        <v>518</v>
      </c>
      <c r="K69" s="68"/>
      <c r="L69" s="32"/>
      <c r="M69" s="32">
        <f>+J69+L69</f>
        <v>518</v>
      </c>
      <c r="N69" s="47"/>
      <c r="O69" s="32"/>
      <c r="P69" s="32">
        <f>M69+O69</f>
        <v>518</v>
      </c>
      <c r="Q69" s="81"/>
      <c r="R69" s="32"/>
      <c r="S69" s="32">
        <f>M69+R69</f>
        <v>518</v>
      </c>
      <c r="T69" s="32"/>
      <c r="U69" s="32"/>
    </row>
    <row r="70" spans="1:21" ht="15.75">
      <c r="A70" s="35"/>
      <c r="B70" s="35"/>
      <c r="C70" s="40"/>
      <c r="D70" s="38"/>
      <c r="E70" s="32"/>
      <c r="F70" s="32"/>
      <c r="G70" s="32"/>
      <c r="H70" s="125"/>
      <c r="I70" s="32"/>
      <c r="J70" s="32"/>
      <c r="K70" s="68"/>
      <c r="L70" s="32"/>
      <c r="M70" s="32"/>
      <c r="N70" s="47"/>
      <c r="O70" s="32"/>
      <c r="P70" s="32"/>
      <c r="Q70" s="81"/>
      <c r="R70" s="32"/>
      <c r="S70" s="32"/>
      <c r="T70" s="32"/>
      <c r="U70" s="32"/>
    </row>
    <row r="71" spans="1:21" s="6" customFormat="1" ht="15.75">
      <c r="A71" s="74"/>
      <c r="B71" s="74"/>
      <c r="C71" s="37"/>
      <c r="D71" s="113" t="s">
        <v>111</v>
      </c>
      <c r="E71" s="37">
        <f>+E46/E61</f>
        <v>0.01989325747298114</v>
      </c>
      <c r="F71" s="37">
        <f>+F46/F61</f>
        <v>0.037043390091522105</v>
      </c>
      <c r="G71" s="37">
        <f>+G46/G61</f>
        <v>0.021681089727514105</v>
      </c>
      <c r="H71" s="128"/>
      <c r="I71" s="113"/>
      <c r="J71" s="37">
        <f>+J46/J61</f>
        <v>0.023499957972703583</v>
      </c>
      <c r="K71" s="122"/>
      <c r="L71" s="37"/>
      <c r="M71" s="37">
        <f>+M46/M61</f>
        <v>0.026111027786906698</v>
      </c>
      <c r="N71" s="114"/>
      <c r="O71" s="37"/>
      <c r="P71" s="37">
        <f>+P46/P61</f>
        <v>0.026111027786906698</v>
      </c>
      <c r="Q71" s="66"/>
      <c r="R71" s="74"/>
      <c r="S71" s="37">
        <f>+S46/S61</f>
        <v>0.026111027786906698</v>
      </c>
      <c r="T71" s="74"/>
      <c r="U71" s="74"/>
    </row>
    <row r="72" spans="1:21" ht="15.75">
      <c r="A72" s="35"/>
      <c r="B72" s="35"/>
      <c r="C72" s="35"/>
      <c r="D72" s="35"/>
      <c r="E72" s="35"/>
      <c r="F72" s="35"/>
      <c r="G72" s="35"/>
      <c r="H72" s="125"/>
      <c r="I72" s="69"/>
      <c r="J72" s="32"/>
      <c r="K72" s="116"/>
      <c r="L72" s="35"/>
      <c r="M72" s="35"/>
      <c r="N72" s="36"/>
      <c r="O72" s="35"/>
      <c r="P72" s="35"/>
      <c r="Q72" s="78"/>
      <c r="R72" s="70" t="s">
        <v>46</v>
      </c>
      <c r="S72" s="71">
        <f>+T72*S66</f>
        <v>73310.90516666668</v>
      </c>
      <c r="T72" s="72">
        <f>+T23</f>
        <v>0.08</v>
      </c>
      <c r="U72" s="35"/>
    </row>
    <row r="73" spans="1:253" ht="15.75">
      <c r="A73" s="35"/>
      <c r="B73" s="52"/>
      <c r="C73" s="52"/>
      <c r="D73" s="73" t="s">
        <v>43</v>
      </c>
      <c r="E73" s="32">
        <f>E61/E69</f>
        <v>2160.445759368836</v>
      </c>
      <c r="F73" s="32">
        <f>F61/F69</f>
        <v>1057.8266129032259</v>
      </c>
      <c r="G73" s="32">
        <f>G61/G69</f>
        <v>2449.8241965973534</v>
      </c>
      <c r="H73" s="68"/>
      <c r="I73" s="32"/>
      <c r="J73" s="32">
        <f>J61/J69</f>
        <v>2308.207528957529</v>
      </c>
      <c r="K73" s="68"/>
      <c r="L73" s="32"/>
      <c r="M73" s="32">
        <f>M61/M69</f>
        <v>2443.2534942084944</v>
      </c>
      <c r="N73" s="47"/>
      <c r="O73" s="32"/>
      <c r="P73" s="32">
        <f>P61/P69</f>
        <v>2443.2534942084944</v>
      </c>
      <c r="Q73" s="89"/>
      <c r="R73" s="52"/>
      <c r="S73" s="32">
        <f>S61/S69</f>
        <v>2443.2534942084944</v>
      </c>
      <c r="T73" s="52"/>
      <c r="U73" s="5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5.75">
      <c r="A74" s="35"/>
      <c r="B74" s="52"/>
      <c r="C74" s="52"/>
      <c r="D74" s="73" t="s">
        <v>44</v>
      </c>
      <c r="E74" s="32">
        <f>E66/E69</f>
        <v>1512.4201183431953</v>
      </c>
      <c r="F74" s="32">
        <f>F66/F69</f>
        <v>323.2016129032258</v>
      </c>
      <c r="G74" s="32">
        <f>G66/G69</f>
        <v>1769.3100189035918</v>
      </c>
      <c r="H74" s="68"/>
      <c r="I74" s="32"/>
      <c r="J74" s="32">
        <f>J66/J69</f>
        <v>1643.592664092664</v>
      </c>
      <c r="K74" s="68"/>
      <c r="L74" s="32"/>
      <c r="M74" s="32">
        <f>M66/M69</f>
        <v>1769.0855493886745</v>
      </c>
      <c r="N74" s="47"/>
      <c r="O74" s="32"/>
      <c r="P74" s="32">
        <f>P66/P69</f>
        <v>1769.0855493886745</v>
      </c>
      <c r="Q74" s="89"/>
      <c r="R74" s="52"/>
      <c r="S74" s="32">
        <f>S66/S69</f>
        <v>1769.0855493886745</v>
      </c>
      <c r="T74" s="52"/>
      <c r="U74" s="5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1" ht="15.75">
      <c r="A75" s="35"/>
      <c r="B75" s="35"/>
      <c r="C75" s="35"/>
      <c r="D75" s="42" t="s">
        <v>45</v>
      </c>
      <c r="E75" s="37">
        <f>E66/E61</f>
        <v>0.7000500298535806</v>
      </c>
      <c r="F75" s="37">
        <f>F66/F61</f>
        <v>0.30553363751758206</v>
      </c>
      <c r="G75" s="37">
        <f>G66/G61</f>
        <v>0.7222191785684248</v>
      </c>
      <c r="H75" s="125"/>
      <c r="I75" s="35"/>
      <c r="J75" s="37">
        <f>J66/J61</f>
        <v>0.7120645104363604</v>
      </c>
      <c r="K75" s="123"/>
      <c r="L75" s="35"/>
      <c r="M75" s="37">
        <f>M66/M61</f>
        <v>0.7240695873686982</v>
      </c>
      <c r="N75" s="51"/>
      <c r="O75" s="35"/>
      <c r="P75" s="37">
        <f>P66/P61</f>
        <v>0.7240695873686982</v>
      </c>
      <c r="Q75" s="78"/>
      <c r="R75" s="35"/>
      <c r="S75" s="37">
        <f>S66/S61</f>
        <v>0.7240695873686982</v>
      </c>
      <c r="T75" s="35"/>
      <c r="U75" s="35"/>
    </row>
    <row r="78" spans="4:12" ht="15.75">
      <c r="D78" s="44" t="s">
        <v>99</v>
      </c>
      <c r="E78" s="135">
        <f>+E15</f>
        <v>36525</v>
      </c>
      <c r="F78" s="136"/>
      <c r="G78" s="135">
        <f>+G15</f>
        <v>36891</v>
      </c>
      <c r="H78" s="137"/>
      <c r="I78" s="138" t="s">
        <v>50</v>
      </c>
      <c r="J78" s="138" t="s">
        <v>133</v>
      </c>
      <c r="K78" s="139"/>
      <c r="L78" s="137" t="s">
        <v>132</v>
      </c>
    </row>
    <row r="79" spans="4:12" ht="15.75">
      <c r="D79" s="38" t="s">
        <v>36</v>
      </c>
      <c r="E79" s="32">
        <v>1095346</v>
      </c>
      <c r="F79" s="32">
        <v>262341</v>
      </c>
      <c r="G79" s="32">
        <v>1295957</v>
      </c>
      <c r="I79" s="62">
        <f aca="true" t="shared" si="4" ref="I79:I84">+G79-E79</f>
        <v>200611</v>
      </c>
      <c r="J79" s="62">
        <f aca="true" t="shared" si="5" ref="J79:J84">(+E79)+I79/2</f>
        <v>1195651.5</v>
      </c>
      <c r="K79" s="62"/>
      <c r="L79" s="127">
        <f aca="true" t="shared" si="6" ref="L79:L84">+J79-G79</f>
        <v>-100305.5</v>
      </c>
    </row>
    <row r="80" spans="4:12" ht="15.75">
      <c r="D80" s="64" t="s">
        <v>37</v>
      </c>
      <c r="E80" s="62">
        <v>-197282</v>
      </c>
      <c r="F80" s="62">
        <v>-160767</v>
      </c>
      <c r="G80" s="62">
        <v>-225379</v>
      </c>
      <c r="I80" s="62">
        <f t="shared" si="4"/>
        <v>-28097</v>
      </c>
      <c r="J80" s="62">
        <f t="shared" si="5"/>
        <v>-211330.5</v>
      </c>
      <c r="K80" s="62"/>
      <c r="L80" s="127">
        <f t="shared" si="6"/>
        <v>14048.5</v>
      </c>
    </row>
    <row r="81" spans="4:12" ht="15.75">
      <c r="D81" s="38" t="s">
        <v>100</v>
      </c>
      <c r="E81" s="62"/>
      <c r="F81" s="62"/>
      <c r="G81" s="62"/>
      <c r="I81" s="62">
        <f t="shared" si="4"/>
        <v>0</v>
      </c>
      <c r="J81" s="62">
        <f t="shared" si="5"/>
        <v>0</v>
      </c>
      <c r="K81" s="62"/>
      <c r="L81" s="127">
        <f t="shared" si="6"/>
        <v>0</v>
      </c>
    </row>
    <row r="82" spans="4:12" ht="15.75">
      <c r="D82" s="38" t="s">
        <v>38</v>
      </c>
      <c r="E82" s="62">
        <v>-161138</v>
      </c>
      <c r="F82" s="62">
        <v>-21420</v>
      </c>
      <c r="G82" s="62">
        <v>-170156</v>
      </c>
      <c r="I82" s="62">
        <f t="shared" si="4"/>
        <v>-9018</v>
      </c>
      <c r="J82" s="62">
        <f t="shared" si="5"/>
        <v>-165647</v>
      </c>
      <c r="K82" s="62"/>
      <c r="L82" s="127">
        <f t="shared" si="6"/>
        <v>4509</v>
      </c>
    </row>
    <row r="83" spans="4:12" ht="16.5" thickBot="1">
      <c r="D83" s="38" t="s">
        <v>39</v>
      </c>
      <c r="E83" s="32">
        <v>29871</v>
      </c>
      <c r="F83" s="32"/>
      <c r="G83" s="32">
        <v>35543</v>
      </c>
      <c r="I83" s="62">
        <f t="shared" si="4"/>
        <v>5672</v>
      </c>
      <c r="J83" s="62">
        <f t="shared" si="5"/>
        <v>32707</v>
      </c>
      <c r="K83" s="62"/>
      <c r="L83" s="127">
        <f t="shared" si="6"/>
        <v>-2836</v>
      </c>
    </row>
    <row r="84" spans="4:12" ht="16.5" thickTop="1">
      <c r="D84" s="38" t="s">
        <v>40</v>
      </c>
      <c r="E84" s="55">
        <f>SUM(E79:E83)</f>
        <v>766797</v>
      </c>
      <c r="F84" s="55">
        <f>SUM(F79:F83)</f>
        <v>80154</v>
      </c>
      <c r="G84" s="55">
        <f>SUM(G79:G83)</f>
        <v>935965</v>
      </c>
      <c r="I84" s="55">
        <f t="shared" si="4"/>
        <v>169168</v>
      </c>
      <c r="J84" s="55">
        <f t="shared" si="5"/>
        <v>851381</v>
      </c>
      <c r="K84" s="55"/>
      <c r="L84" s="141">
        <f t="shared" si="6"/>
        <v>-84584</v>
      </c>
    </row>
    <row r="85" spans="4:12" ht="15.75">
      <c r="D85" s="35"/>
      <c r="E85" s="35"/>
      <c r="F85" s="35"/>
      <c r="G85" s="35"/>
      <c r="L85" s="82"/>
    </row>
    <row r="86" spans="4:12" ht="15.75">
      <c r="D86" s="38" t="s">
        <v>42</v>
      </c>
      <c r="E86" s="32">
        <v>507</v>
      </c>
      <c r="F86" s="32">
        <v>248</v>
      </c>
      <c r="G86" s="32">
        <v>529</v>
      </c>
      <c r="I86" s="8">
        <f>+G86-E86</f>
        <v>22</v>
      </c>
      <c r="J86">
        <f>(+E86)+I86/2</f>
        <v>518</v>
      </c>
      <c r="L86" s="127">
        <f>+J86-G86</f>
        <v>-11</v>
      </c>
    </row>
    <row r="87" spans="4:12" ht="15.75">
      <c r="D87" s="38"/>
      <c r="E87" s="32"/>
      <c r="F87" s="32"/>
      <c r="G87" s="32"/>
      <c r="I87" s="8"/>
      <c r="L87" s="127"/>
    </row>
    <row r="88" spans="4:12" ht="15.75">
      <c r="D88" s="38"/>
      <c r="E88" s="32"/>
      <c r="F88" s="32"/>
      <c r="G88" s="32"/>
      <c r="I88" s="8"/>
      <c r="L88" s="127"/>
    </row>
    <row r="89" spans="4:12" ht="15.75">
      <c r="D89" s="38"/>
      <c r="E89" s="32"/>
      <c r="F89" s="32"/>
      <c r="G89" s="32"/>
      <c r="I89" s="8"/>
      <c r="J89" t="str">
        <f>+D11</f>
        <v>Canterwood Water Company, Inc.</v>
      </c>
      <c r="L89" s="127"/>
    </row>
    <row r="90" spans="10:15" ht="15.75">
      <c r="J90" t="str">
        <f>+D12</f>
        <v>UW-011572</v>
      </c>
      <c r="L90" s="82"/>
      <c r="O90" s="144" t="s">
        <v>156</v>
      </c>
    </row>
    <row r="91" spans="12:16" ht="15.75">
      <c r="L91" s="142"/>
      <c r="M91" s="142" t="s">
        <v>161</v>
      </c>
      <c r="N91" s="145" t="s">
        <v>162</v>
      </c>
      <c r="O91" s="142" t="s">
        <v>163</v>
      </c>
      <c r="P91" s="142" t="str">
        <f>+L78</f>
        <v>Adj BEOY</v>
      </c>
    </row>
    <row r="92" spans="12:16" ht="15.75">
      <c r="L92" s="5" t="s">
        <v>157</v>
      </c>
      <c r="M92" s="62">
        <v>7586.88</v>
      </c>
      <c r="N92" s="143">
        <v>25</v>
      </c>
      <c r="O92" s="22">
        <f>+M92/N92</f>
        <v>303.47520000000003</v>
      </c>
      <c r="P92" s="22">
        <f>+O92/2</f>
        <v>151.73760000000001</v>
      </c>
    </row>
    <row r="93" spans="12:16" ht="15.75">
      <c r="L93" s="5" t="s">
        <v>171</v>
      </c>
      <c r="M93" s="62">
        <v>9060.94</v>
      </c>
      <c r="N93" s="143">
        <v>10</v>
      </c>
      <c r="O93" s="22">
        <f aca="true" t="shared" si="7" ref="O93:O99">+M93/N93</f>
        <v>906.094</v>
      </c>
      <c r="P93" s="22">
        <f aca="true" t="shared" si="8" ref="P93:P99">+O93/2</f>
        <v>453.047</v>
      </c>
    </row>
    <row r="94" spans="12:16" ht="15.75">
      <c r="L94" s="5" t="s">
        <v>170</v>
      </c>
      <c r="M94" s="62">
        <v>2585.37</v>
      </c>
      <c r="N94" s="143">
        <v>20</v>
      </c>
      <c r="O94" s="22">
        <f t="shared" si="7"/>
        <v>129.2685</v>
      </c>
      <c r="P94" s="22">
        <f t="shared" si="8"/>
        <v>64.63425</v>
      </c>
    </row>
    <row r="95" spans="12:16" ht="15.75">
      <c r="L95" s="5" t="s">
        <v>158</v>
      </c>
      <c r="M95" s="62">
        <v>100000</v>
      </c>
      <c r="N95" s="143">
        <v>50</v>
      </c>
      <c r="O95" s="22">
        <v>4940</v>
      </c>
      <c r="P95" s="22">
        <f t="shared" si="8"/>
        <v>2470</v>
      </c>
    </row>
    <row r="96" spans="12:16" ht="15.75">
      <c r="L96" s="5" t="s">
        <v>174</v>
      </c>
      <c r="M96" s="62">
        <v>11055.68</v>
      </c>
      <c r="N96" s="143">
        <v>5</v>
      </c>
      <c r="O96" s="22">
        <f>+M96/N96</f>
        <v>2211.136</v>
      </c>
      <c r="P96" s="22">
        <f t="shared" si="8"/>
        <v>1105.568</v>
      </c>
    </row>
    <row r="97" spans="12:16" ht="15.75">
      <c r="L97" s="5" t="s">
        <v>169</v>
      </c>
      <c r="M97" s="62">
        <v>352</v>
      </c>
      <c r="N97" s="143">
        <v>25</v>
      </c>
      <c r="O97" s="22">
        <f t="shared" si="7"/>
        <v>14.08</v>
      </c>
      <c r="P97" s="22">
        <f t="shared" si="8"/>
        <v>7.04</v>
      </c>
    </row>
    <row r="98" spans="12:16" ht="15.75">
      <c r="L98" s="5" t="s">
        <v>159</v>
      </c>
      <c r="M98" s="62">
        <v>1196.22</v>
      </c>
      <c r="N98" s="143">
        <v>25</v>
      </c>
      <c r="O98" s="22">
        <f t="shared" si="7"/>
        <v>47.848800000000004</v>
      </c>
      <c r="P98" s="22">
        <f t="shared" si="8"/>
        <v>23.924400000000002</v>
      </c>
    </row>
    <row r="99" spans="12:16" ht="16.5" thickBot="1">
      <c r="L99" s="5" t="s">
        <v>160</v>
      </c>
      <c r="M99" s="62">
        <v>8070.53</v>
      </c>
      <c r="N99" s="143">
        <v>6</v>
      </c>
      <c r="O99" s="22">
        <f t="shared" si="7"/>
        <v>1345.0883333333334</v>
      </c>
      <c r="P99" s="22">
        <f t="shared" si="8"/>
        <v>672.5441666666667</v>
      </c>
    </row>
    <row r="100" spans="12:17" ht="16.5" thickTop="1">
      <c r="L100" s="5" t="s">
        <v>164</v>
      </c>
      <c r="M100" s="55">
        <f>SUM(M92:M99)</f>
        <v>139907.62</v>
      </c>
      <c r="O100" s="55">
        <f>SUM(O92:O99)</f>
        <v>9896.990833333333</v>
      </c>
      <c r="P100" s="55">
        <f>SUM(P92:P99)</f>
        <v>4948.495416666667</v>
      </c>
      <c r="Q100" s="147" t="str">
        <f>+K61</f>
        <v>P7</v>
      </c>
    </row>
    <row r="101" spans="12:13" ht="16.5" thickBot="1">
      <c r="L101" s="5" t="s">
        <v>165</v>
      </c>
      <c r="M101" s="146">
        <v>0</v>
      </c>
    </row>
    <row r="102" spans="12:14" ht="16.5" thickTop="1">
      <c r="L102" s="142" t="str">
        <f>+L78</f>
        <v>Adj BEOY</v>
      </c>
      <c r="M102" s="55">
        <f>(+M101+M100)/2</f>
        <v>69953.81</v>
      </c>
      <c r="N102" s="148" t="str">
        <f>+K61</f>
        <v>P7</v>
      </c>
    </row>
  </sheetData>
  <printOptions/>
  <pageMargins left="0.5" right="0.3" top="0.5" bottom="0.1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65"/>
  <sheetViews>
    <sheetView zoomScale="75" zoomScaleNormal="75" workbookViewId="0" topLeftCell="B7">
      <selection activeCell="F11" sqref="F11"/>
    </sheetView>
  </sheetViews>
  <sheetFormatPr defaultColWidth="8.88671875" defaultRowHeight="15"/>
  <cols>
    <col min="1" max="1" width="8.88671875" style="13" customWidth="1"/>
    <col min="2" max="2" width="5.21484375" style="0" customWidth="1"/>
    <col min="3" max="3" width="17.3359375" style="0" customWidth="1"/>
    <col min="5" max="5" width="10.3359375" style="0" customWidth="1"/>
    <col min="6" max="6" width="9.21484375" style="0" customWidth="1"/>
    <col min="7" max="7" width="1.88671875" style="0" customWidth="1"/>
    <col min="8" max="8" width="6.4453125" style="0" customWidth="1"/>
    <col min="9" max="9" width="10.3359375" style="0" customWidth="1"/>
    <col min="10" max="10" width="9.77734375" style="0" bestFit="1" customWidth="1"/>
    <col min="11" max="11" width="8.21484375" style="0" customWidth="1"/>
    <col min="12" max="12" width="9.3359375" style="0" customWidth="1"/>
    <col min="14" max="14" width="5.77734375" style="0" bestFit="1" customWidth="1"/>
    <col min="16" max="16" width="9.3359375" style="0" bestFit="1" customWidth="1"/>
  </cols>
  <sheetData>
    <row r="5" ht="15">
      <c r="B5" t="str">
        <f>+'2000at'!D11</f>
        <v>Canterwood Water Company, Inc.</v>
      </c>
    </row>
    <row r="6" spans="2:12" ht="15">
      <c r="B6" t="str">
        <f>+'2000at'!D12</f>
        <v>UW-011572</v>
      </c>
      <c r="L6" s="7">
        <f ca="1">NOW()</f>
        <v>37251.514347916665</v>
      </c>
    </row>
    <row r="7" spans="2:12" ht="15">
      <c r="B7" t="s">
        <v>47</v>
      </c>
      <c r="L7" t="s">
        <v>125</v>
      </c>
    </row>
    <row r="9" spans="1:9" ht="15">
      <c r="A9" s="29"/>
      <c r="C9" s="8">
        <f>+'2000at'!T18</f>
        <v>216437.36</v>
      </c>
      <c r="D9" t="s">
        <v>48</v>
      </c>
      <c r="I9" s="13" t="s">
        <v>46</v>
      </c>
    </row>
    <row r="10" spans="3:10" ht="15">
      <c r="C10" s="8">
        <f>+L52</f>
        <v>216511.5</v>
      </c>
      <c r="D10" t="s">
        <v>49</v>
      </c>
      <c r="F10" s="90">
        <f>+C10-C9</f>
        <v>74.14000000001397</v>
      </c>
      <c r="G10" s="91"/>
      <c r="H10" s="92" t="s">
        <v>50</v>
      </c>
      <c r="I10" s="29">
        <f>+'2000at'!S72</f>
        <v>73310.90516666668</v>
      </c>
      <c r="J10" s="8"/>
    </row>
    <row r="11" spans="3:8" ht="15">
      <c r="C11" s="20">
        <f>+'2000at'!M69</f>
        <v>518</v>
      </c>
      <c r="D11" t="s">
        <v>124</v>
      </c>
      <c r="F11" s="11">
        <f>+C10/H19</f>
        <v>424.5323529411765</v>
      </c>
      <c r="H11" t="s">
        <v>51</v>
      </c>
    </row>
    <row r="12" spans="3:8" ht="15">
      <c r="C12">
        <v>0</v>
      </c>
      <c r="D12" t="s">
        <v>52</v>
      </c>
      <c r="F12">
        <v>12</v>
      </c>
      <c r="H12" t="s">
        <v>53</v>
      </c>
    </row>
    <row r="13" spans="6:8" ht="15">
      <c r="F13" s="9">
        <f>+F11/F12</f>
        <v>35.37769607843138</v>
      </c>
      <c r="H13" t="s">
        <v>54</v>
      </c>
    </row>
    <row r="14" ht="15">
      <c r="F14" s="9"/>
    </row>
    <row r="15" spans="5:12" s="13" customFormat="1" ht="15">
      <c r="E15" s="13" t="s">
        <v>57</v>
      </c>
      <c r="I15" s="13" t="s">
        <v>55</v>
      </c>
      <c r="L15" s="13" t="s">
        <v>56</v>
      </c>
    </row>
    <row r="16" spans="5:13" s="13" customFormat="1" ht="15">
      <c r="E16" s="24" t="s">
        <v>94</v>
      </c>
      <c r="F16" s="24" t="s">
        <v>58</v>
      </c>
      <c r="G16" s="24"/>
      <c r="H16" s="24" t="s">
        <v>59</v>
      </c>
      <c r="I16" s="24" t="s">
        <v>60</v>
      </c>
      <c r="J16" s="24" t="s">
        <v>61</v>
      </c>
      <c r="K16" s="24" t="s">
        <v>62</v>
      </c>
      <c r="L16" s="24" t="s">
        <v>60</v>
      </c>
      <c r="M16" s="24" t="s">
        <v>62</v>
      </c>
    </row>
    <row r="17" spans="5:6" ht="15.75">
      <c r="E17" s="83">
        <v>2217</v>
      </c>
      <c r="F17" s="13">
        <v>0</v>
      </c>
    </row>
    <row r="18" spans="1:6" ht="15">
      <c r="A18" s="75"/>
      <c r="E18" s="24" t="s">
        <v>58</v>
      </c>
      <c r="F18" s="76" t="s">
        <v>63</v>
      </c>
    </row>
    <row r="19" spans="4:13" ht="15">
      <c r="D19" s="22">
        <f>+E58</f>
        <v>18</v>
      </c>
      <c r="E19" s="13">
        <v>0</v>
      </c>
      <c r="F19" s="31">
        <v>15</v>
      </c>
      <c r="H19" s="20">
        <v>510</v>
      </c>
      <c r="I19" s="8">
        <f>+H19*F19</f>
        <v>7650</v>
      </c>
      <c r="K19" s="6">
        <f>+I19/J26</f>
        <v>0.42598509052183176</v>
      </c>
      <c r="L19" s="8">
        <f>+I19*12</f>
        <v>91800</v>
      </c>
      <c r="M19" s="6">
        <f>+L19/L26</f>
        <v>0.42598509052183176</v>
      </c>
    </row>
    <row r="20" spans="3:4" ht="15">
      <c r="C20" s="13" t="s">
        <v>65</v>
      </c>
      <c r="D20" t="s">
        <v>95</v>
      </c>
    </row>
    <row r="21" spans="1:13" ht="15">
      <c r="A21" s="21"/>
      <c r="B21" s="22">
        <f>+D60</f>
        <v>0.4</v>
      </c>
      <c r="C21" s="13" t="s">
        <v>113</v>
      </c>
      <c r="D21" s="31">
        <v>0.75</v>
      </c>
      <c r="E21" s="20">
        <v>1000</v>
      </c>
      <c r="F21" s="9">
        <f>+E21/100*D21</f>
        <v>7.5</v>
      </c>
      <c r="H21" s="8">
        <f>+H19</f>
        <v>510</v>
      </c>
      <c r="J21" s="8">
        <f>+H21*F21</f>
        <v>3825</v>
      </c>
      <c r="K21" s="6">
        <f>+J21/J26</f>
        <v>0.21299254526091588</v>
      </c>
      <c r="L21" s="8">
        <f>+J21*12</f>
        <v>45900</v>
      </c>
      <c r="M21" s="6">
        <f>+L21/L26</f>
        <v>0.21299254526091588</v>
      </c>
    </row>
    <row r="22" spans="1:13" ht="15">
      <c r="A22" s="21"/>
      <c r="B22" s="22">
        <f>+D61</f>
        <v>0.5</v>
      </c>
      <c r="C22" s="13" t="s">
        <v>135</v>
      </c>
      <c r="D22" s="31">
        <v>1</v>
      </c>
      <c r="E22" s="20">
        <v>1000</v>
      </c>
      <c r="F22" s="9">
        <f>+E22/100*D22</f>
        <v>10</v>
      </c>
      <c r="H22" s="8">
        <f>+H19</f>
        <v>510</v>
      </c>
      <c r="J22" s="8">
        <f>+H22*F22</f>
        <v>5100</v>
      </c>
      <c r="K22" s="6">
        <f>+J22/J26</f>
        <v>0.2839900603478878</v>
      </c>
      <c r="L22" s="8">
        <f>+J22*12</f>
        <v>61200</v>
      </c>
      <c r="M22" s="6">
        <f>+L22/L26</f>
        <v>0.2839900603478878</v>
      </c>
    </row>
    <row r="23" spans="2:13" ht="15">
      <c r="B23" s="22"/>
      <c r="C23" s="13" t="s">
        <v>136</v>
      </c>
      <c r="D23" s="31">
        <v>1.25</v>
      </c>
      <c r="E23" s="20">
        <f>E17-(+E21+E22)</f>
        <v>217</v>
      </c>
      <c r="F23" s="9">
        <f>+E23/100*D23</f>
        <v>2.7125</v>
      </c>
      <c r="H23" s="8">
        <f>+H21</f>
        <v>510</v>
      </c>
      <c r="J23" s="8">
        <f>+H23*F23</f>
        <v>1383.375</v>
      </c>
      <c r="K23" s="6">
        <f>+J23/J26</f>
        <v>0.07703230386936458</v>
      </c>
      <c r="L23" s="8">
        <f>+J23*12</f>
        <v>16600.5</v>
      </c>
      <c r="M23" s="6">
        <f>+L23/L26</f>
        <v>0.07703230386936458</v>
      </c>
    </row>
    <row r="24" spans="3:13" ht="15">
      <c r="C24" s="13" t="s">
        <v>137</v>
      </c>
      <c r="D24" s="31">
        <v>1.5</v>
      </c>
      <c r="E24" s="20"/>
      <c r="F24" s="9">
        <f>+E24/100*D24</f>
        <v>0</v>
      </c>
      <c r="H24" s="8">
        <f>+H22</f>
        <v>510</v>
      </c>
      <c r="J24" s="8">
        <f>+H24*F24</f>
        <v>0</v>
      </c>
      <c r="K24" s="6" t="e">
        <f>+J24/J27</f>
        <v>#DIV/0!</v>
      </c>
      <c r="L24" s="8">
        <f>+J24*12</f>
        <v>0</v>
      </c>
      <c r="M24" s="6"/>
    </row>
    <row r="25" ht="15.75" thickBot="1">
      <c r="F25" s="15">
        <f>SUM(F21:F23)</f>
        <v>20.2125</v>
      </c>
    </row>
    <row r="26" spans="6:13" ht="15.75" thickTop="1">
      <c r="F26" s="14">
        <f>+F25+F19</f>
        <v>35.2125</v>
      </c>
      <c r="J26" s="30">
        <f>SUM(I19:J23)</f>
        <v>17958.375</v>
      </c>
      <c r="K26" s="17">
        <f>SUM(K19:K23)</f>
        <v>1</v>
      </c>
      <c r="L26" s="16">
        <f>SUM(L19:L25)</f>
        <v>215500.5</v>
      </c>
      <c r="M26" s="17">
        <f>SUM(M19:M25)</f>
        <v>1</v>
      </c>
    </row>
    <row r="27" ht="15">
      <c r="G27" s="23"/>
    </row>
    <row r="28" spans="5:13" ht="15">
      <c r="E28" s="5" t="s">
        <v>82</v>
      </c>
      <c r="F28" s="9">
        <v>1</v>
      </c>
      <c r="H28">
        <v>0</v>
      </c>
      <c r="I28" s="8">
        <f>+H28*F28</f>
        <v>0</v>
      </c>
      <c r="K28" s="6"/>
      <c r="L28" s="8">
        <f>+I28*12</f>
        <v>0</v>
      </c>
      <c r="M28" s="6" t="e">
        <f>+L28/L30</f>
        <v>#DIV/0!</v>
      </c>
    </row>
    <row r="29" spans="5:13" ht="15">
      <c r="E29" s="5" t="s">
        <v>66</v>
      </c>
      <c r="F29" s="9">
        <f>+F26</f>
        <v>35.2125</v>
      </c>
      <c r="H29">
        <v>0</v>
      </c>
      <c r="I29" s="8">
        <f>+H29*F29</f>
        <v>0</v>
      </c>
      <c r="K29" s="6"/>
      <c r="L29" s="8">
        <f>+I29*12</f>
        <v>0</v>
      </c>
      <c r="M29" s="6" t="e">
        <f>+L29/L30</f>
        <v>#DIV/0!</v>
      </c>
    </row>
    <row r="30" spans="8:13" ht="15">
      <c r="H30" s="16">
        <f>+H29+H28+H19</f>
        <v>510</v>
      </c>
      <c r="I30" s="16">
        <f>SUM(I19:I29)</f>
        <v>7650</v>
      </c>
      <c r="J30" s="16"/>
      <c r="K30" s="28">
        <f>+J26+I28+I29</f>
        <v>17958.375</v>
      </c>
      <c r="L30" s="16">
        <f>SUM(L28:L29)</f>
        <v>0</v>
      </c>
      <c r="M30" s="17" t="e">
        <f>SUM(M28:M29)</f>
        <v>#DIV/0!</v>
      </c>
    </row>
    <row r="31" spans="8:13" ht="15">
      <c r="H31" s="25"/>
      <c r="I31" s="25"/>
      <c r="K31" s="26">
        <f>+K30*12</f>
        <v>215500.5</v>
      </c>
      <c r="L31" s="25"/>
      <c r="M31" s="27"/>
    </row>
    <row r="32" spans="9:12" ht="15">
      <c r="I32" s="8"/>
      <c r="J32" s="8"/>
      <c r="L32" s="8"/>
    </row>
    <row r="33" spans="9:16" ht="15">
      <c r="I33" s="152" t="s">
        <v>67</v>
      </c>
      <c r="J33" s="152"/>
      <c r="L33" s="152" t="s">
        <v>81</v>
      </c>
      <c r="M33" s="152"/>
      <c r="O33" s="4"/>
      <c r="P33" t="s">
        <v>173</v>
      </c>
    </row>
    <row r="34" spans="8:16" ht="15">
      <c r="H34" t="s">
        <v>68</v>
      </c>
      <c r="I34" s="8">
        <f>+C11*D59*12</f>
        <v>108780</v>
      </c>
      <c r="J34" s="6">
        <f>+I34/I38</f>
        <v>0.6635461251785438</v>
      </c>
      <c r="K34" s="10"/>
      <c r="L34" s="4">
        <f>+L19</f>
        <v>91800</v>
      </c>
      <c r="M34" s="6">
        <f>+L34/L38</f>
        <v>0.42598509052183176</v>
      </c>
      <c r="N34" s="10"/>
      <c r="O34" s="4"/>
      <c r="P34" s="4">
        <f>+'2000at'!S51-'2000at'!S46</f>
        <v>116775.55002440001</v>
      </c>
    </row>
    <row r="35" spans="8:16" ht="15.75" thickBot="1">
      <c r="H35" t="s">
        <v>64</v>
      </c>
      <c r="I35" s="8">
        <f>+'2000at'!J18-Rates!I34</f>
        <v>55157.359999999986</v>
      </c>
      <c r="J35" s="6">
        <f>+I35/I38</f>
        <v>0.3364538748214561</v>
      </c>
      <c r="K35" s="10">
        <f>+J35+J34</f>
        <v>1</v>
      </c>
      <c r="L35" s="4">
        <f>+L21+L23+L22</f>
        <v>123700.5</v>
      </c>
      <c r="M35" s="6">
        <f>+L35/L38</f>
        <v>0.5740149094781682</v>
      </c>
      <c r="N35" s="10">
        <f>+M35+M34</f>
        <v>1</v>
      </c>
      <c r="O35" s="4"/>
      <c r="P35" s="150">
        <f>+L34+I51+L21</f>
        <v>138711</v>
      </c>
    </row>
    <row r="36" spans="8:16" ht="15">
      <c r="H36" t="s">
        <v>66</v>
      </c>
      <c r="I36" s="8">
        <f>+H29*D56*12</f>
        <v>0</v>
      </c>
      <c r="J36" s="6">
        <f>+I36/I38</f>
        <v>0</v>
      </c>
      <c r="K36" s="10">
        <f>+J36</f>
        <v>0</v>
      </c>
      <c r="L36" s="4">
        <f>+L29</f>
        <v>0</v>
      </c>
      <c r="M36" s="6">
        <f>+L36/L38</f>
        <v>0</v>
      </c>
      <c r="N36" s="10">
        <f>+M36</f>
        <v>0</v>
      </c>
      <c r="O36" s="4"/>
      <c r="P36" s="151">
        <f>+P35-P34</f>
        <v>21935.449975599986</v>
      </c>
    </row>
    <row r="37" spans="8:16" ht="15">
      <c r="H37" t="s">
        <v>84</v>
      </c>
      <c r="I37" s="8">
        <f>+L28</f>
        <v>0</v>
      </c>
      <c r="J37" s="6">
        <f>+I37/I38</f>
        <v>0</v>
      </c>
      <c r="K37" s="10">
        <f>+J37</f>
        <v>0</v>
      </c>
      <c r="L37" s="4">
        <f>+L28</f>
        <v>0</v>
      </c>
      <c r="M37" s="6">
        <f>+L37/L38</f>
        <v>0</v>
      </c>
      <c r="N37" s="10">
        <f>+M37</f>
        <v>0</v>
      </c>
      <c r="O37" s="4"/>
      <c r="P37" s="4"/>
    </row>
    <row r="38" spans="8:16" ht="15">
      <c r="H38">
        <f>+I38/12/C11</f>
        <v>26.37344916344916</v>
      </c>
      <c r="I38" s="16">
        <f aca="true" t="shared" si="0" ref="I38:N38">SUM(I34:I37)</f>
        <v>163937.36</v>
      </c>
      <c r="J38" s="17">
        <f t="shared" si="0"/>
        <v>1</v>
      </c>
      <c r="K38" s="17">
        <f t="shared" si="0"/>
        <v>1</v>
      </c>
      <c r="L38" s="16">
        <f t="shared" si="0"/>
        <v>215500.5</v>
      </c>
      <c r="M38" s="17">
        <f t="shared" si="0"/>
        <v>1</v>
      </c>
      <c r="N38" s="17">
        <f t="shared" si="0"/>
        <v>1</v>
      </c>
      <c r="O38" s="4"/>
      <c r="P38" s="4"/>
    </row>
    <row r="39" spans="10:16" ht="15">
      <c r="J39" s="6"/>
      <c r="L39" s="4"/>
      <c r="P39" s="4"/>
    </row>
    <row r="40" spans="4:16" ht="15">
      <c r="D40" t="s">
        <v>69</v>
      </c>
      <c r="E40" t="s">
        <v>58</v>
      </c>
      <c r="F40" s="5" t="s">
        <v>68</v>
      </c>
      <c r="I40" s="13"/>
      <c r="P40" s="4"/>
    </row>
    <row r="41" spans="3:9" ht="15">
      <c r="C41" t="s">
        <v>70</v>
      </c>
      <c r="D41">
        <v>1</v>
      </c>
      <c r="E41">
        <v>0</v>
      </c>
      <c r="F41" s="9">
        <f>+F19</f>
        <v>15</v>
      </c>
      <c r="I41" s="13" t="s">
        <v>56</v>
      </c>
    </row>
    <row r="42" spans="8:9" ht="15">
      <c r="H42" t="s">
        <v>59</v>
      </c>
      <c r="I42" s="13" t="s">
        <v>71</v>
      </c>
    </row>
    <row r="43" spans="3:9" ht="15">
      <c r="C43" t="s">
        <v>72</v>
      </c>
      <c r="D43">
        <v>1.7</v>
      </c>
      <c r="E43">
        <v>0</v>
      </c>
      <c r="F43" s="9">
        <f>+F$41*D43</f>
        <v>25.5</v>
      </c>
      <c r="H43">
        <v>3</v>
      </c>
      <c r="I43" s="22">
        <f>+H43*F43</f>
        <v>76.5</v>
      </c>
    </row>
    <row r="44" ht="15">
      <c r="I44" s="22"/>
    </row>
    <row r="45" spans="3:9" ht="15">
      <c r="C45" t="s">
        <v>73</v>
      </c>
      <c r="D45">
        <v>3.3</v>
      </c>
      <c r="E45">
        <v>0</v>
      </c>
      <c r="F45" s="9">
        <f>+F$41*D45</f>
        <v>49.5</v>
      </c>
      <c r="H45">
        <v>3</v>
      </c>
      <c r="I45" s="22">
        <f>+H45*F45</f>
        <v>148.5</v>
      </c>
    </row>
    <row r="46" spans="3:9" ht="15">
      <c r="C46" t="s">
        <v>3</v>
      </c>
      <c r="I46" s="22"/>
    </row>
    <row r="47" spans="3:9" ht="15">
      <c r="C47" t="s">
        <v>74</v>
      </c>
      <c r="D47">
        <v>5.3</v>
      </c>
      <c r="E47">
        <v>0</v>
      </c>
      <c r="F47" s="9">
        <f>+F$41*D47</f>
        <v>79.5</v>
      </c>
      <c r="H47">
        <v>8</v>
      </c>
      <c r="I47" s="22">
        <f>+H47*F47</f>
        <v>636</v>
      </c>
    </row>
    <row r="48" ht="15">
      <c r="I48" s="22"/>
    </row>
    <row r="49" spans="3:9" ht="15">
      <c r="C49" t="s">
        <v>129</v>
      </c>
      <c r="D49">
        <f>300/30</f>
        <v>10</v>
      </c>
      <c r="E49">
        <v>0</v>
      </c>
      <c r="F49" s="9">
        <f>+F$41*D49</f>
        <v>150</v>
      </c>
      <c r="H49">
        <v>1</v>
      </c>
      <c r="I49" s="22">
        <f>+H49*F49</f>
        <v>150</v>
      </c>
    </row>
    <row r="50" spans="3:12" ht="15">
      <c r="C50" t="s">
        <v>75</v>
      </c>
      <c r="D50">
        <v>16.67</v>
      </c>
      <c r="L50" s="18">
        <f>+I51</f>
        <v>1011</v>
      </c>
    </row>
    <row r="51" spans="3:9" ht="15">
      <c r="C51" t="s">
        <v>76</v>
      </c>
      <c r="H51" s="133">
        <f>SUM(H43:H50)</f>
        <v>15</v>
      </c>
      <c r="I51" s="134">
        <f>SUM(I43:I49)</f>
        <v>1011</v>
      </c>
    </row>
    <row r="52" spans="11:12" ht="15.75">
      <c r="K52" s="5" t="s">
        <v>77</v>
      </c>
      <c r="L52" s="19">
        <f>+L38+L50</f>
        <v>216511.5</v>
      </c>
    </row>
    <row r="53" spans="4:10" ht="15.75">
      <c r="D53" t="s">
        <v>78</v>
      </c>
      <c r="E53" t="s">
        <v>79</v>
      </c>
      <c r="F53" t="s">
        <v>80</v>
      </c>
      <c r="I53" s="110" t="s">
        <v>91</v>
      </c>
      <c r="J53" s="13"/>
    </row>
    <row r="54" spans="3:10" ht="15.75">
      <c r="C54" t="str">
        <f>+E28</f>
        <v>Ready To Serve</v>
      </c>
      <c r="D54" s="22">
        <v>0</v>
      </c>
      <c r="E54" s="12">
        <f>+D54</f>
        <v>0</v>
      </c>
      <c r="F54" s="9">
        <f>+F28</f>
        <v>1</v>
      </c>
      <c r="I54" s="110" t="s">
        <v>92</v>
      </c>
      <c r="J54" s="13"/>
    </row>
    <row r="55" spans="3:10" ht="15.75">
      <c r="C55" t="s">
        <v>103</v>
      </c>
      <c r="D55" s="22">
        <v>0</v>
      </c>
      <c r="E55" s="12">
        <v>0</v>
      </c>
      <c r="F55" s="9">
        <v>0</v>
      </c>
      <c r="I55" s="111">
        <f>+F26</f>
        <v>35.2125</v>
      </c>
      <c r="J55" t="s">
        <v>104</v>
      </c>
    </row>
    <row r="56" spans="3:10" ht="15.75">
      <c r="C56" t="str">
        <f>+E29</f>
        <v>Flat</v>
      </c>
      <c r="D56" s="22">
        <v>0</v>
      </c>
      <c r="E56" s="77">
        <v>0</v>
      </c>
      <c r="F56" s="9">
        <f>+I55</f>
        <v>35.2125</v>
      </c>
      <c r="I56" s="111">
        <f>+F55</f>
        <v>0</v>
      </c>
      <c r="J56" t="s">
        <v>83</v>
      </c>
    </row>
    <row r="57" spans="9:10" ht="15.75">
      <c r="I57" s="111">
        <v>0</v>
      </c>
      <c r="J57" s="6" t="s">
        <v>109</v>
      </c>
    </row>
    <row r="58" spans="3:10" ht="15.75">
      <c r="C58" t="s">
        <v>105</v>
      </c>
      <c r="D58" s="132"/>
      <c r="E58" s="132">
        <v>18</v>
      </c>
      <c r="F58" s="9">
        <f>+F19</f>
        <v>15</v>
      </c>
      <c r="H58" s="22">
        <f>+F58-E58</f>
        <v>-3</v>
      </c>
      <c r="I58" s="111">
        <v>0</v>
      </c>
      <c r="J58" s="6" t="s">
        <v>110</v>
      </c>
    </row>
    <row r="59" spans="3:9" ht="16.5" thickBot="1">
      <c r="C59" t="s">
        <v>138</v>
      </c>
      <c r="D59" s="132">
        <v>17.5</v>
      </c>
      <c r="E59" s="132" t="s">
        <v>85</v>
      </c>
      <c r="F59" s="149">
        <f>+F62*4</f>
        <v>3</v>
      </c>
      <c r="G59" s="12"/>
      <c r="I59" s="111"/>
    </row>
    <row r="60" spans="3:10" ht="16.5" thickTop="1">
      <c r="C60" s="13" t="s">
        <v>139</v>
      </c>
      <c r="D60" s="132">
        <v>0.4</v>
      </c>
      <c r="E60" s="132" t="s">
        <v>85</v>
      </c>
      <c r="F60" s="22"/>
      <c r="G60" s="12"/>
      <c r="H60" s="12"/>
      <c r="I60" s="112">
        <f>SUM(I55:I59)</f>
        <v>35.2125</v>
      </c>
      <c r="J60" s="6" t="s">
        <v>106</v>
      </c>
    </row>
    <row r="61" spans="3:6" ht="15">
      <c r="C61" s="13" t="s">
        <v>140</v>
      </c>
      <c r="D61" s="132">
        <v>0.5</v>
      </c>
      <c r="E61" s="132" t="s">
        <v>85</v>
      </c>
      <c r="F61" s="131"/>
    </row>
    <row r="62" spans="3:8" ht="15">
      <c r="C62" s="13" t="str">
        <f>+C21</f>
        <v>0 - 1,000</v>
      </c>
      <c r="D62" s="132" t="s">
        <v>85</v>
      </c>
      <c r="E62" s="132">
        <v>0.75</v>
      </c>
      <c r="F62" s="9">
        <f>+D21</f>
        <v>0.75</v>
      </c>
      <c r="H62" s="22">
        <f>+F62-E62</f>
        <v>0</v>
      </c>
    </row>
    <row r="63" spans="3:8" ht="15">
      <c r="C63" s="13" t="str">
        <f>+C22</f>
        <v>1,000 - 2,000</v>
      </c>
      <c r="D63" s="132" t="s">
        <v>85</v>
      </c>
      <c r="E63" s="132">
        <v>1</v>
      </c>
      <c r="F63" s="9">
        <f>+D22</f>
        <v>1</v>
      </c>
      <c r="H63" s="22">
        <f>+F63-E63</f>
        <v>0</v>
      </c>
    </row>
    <row r="64" spans="3:8" ht="15">
      <c r="C64" s="13" t="str">
        <f>+C23</f>
        <v>2,001 - 4,000</v>
      </c>
      <c r="D64" s="132" t="s">
        <v>85</v>
      </c>
      <c r="E64" s="132">
        <v>1.25</v>
      </c>
      <c r="F64" s="9">
        <f>+D23</f>
        <v>1.25</v>
      </c>
      <c r="H64" s="22">
        <f>+F64-E64</f>
        <v>0</v>
      </c>
    </row>
    <row r="65" spans="3:8" ht="15">
      <c r="C65" s="13" t="str">
        <f>+C24</f>
        <v>&gt; 4,000</v>
      </c>
      <c r="D65" s="132" t="s">
        <v>85</v>
      </c>
      <c r="E65" s="132">
        <v>1.5</v>
      </c>
      <c r="F65" s="9">
        <f>+D24</f>
        <v>1.5</v>
      </c>
      <c r="H65" s="22">
        <f>+F65-E65</f>
        <v>0</v>
      </c>
    </row>
  </sheetData>
  <mergeCells count="2">
    <mergeCell ref="I33:J33"/>
    <mergeCell ref="L33:M33"/>
  </mergeCells>
  <printOptions/>
  <pageMargins left="0.75" right="0.75" top="0.75" bottom="0.7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Services</cp:lastModifiedBy>
  <cp:lastPrinted>2001-12-26T20:21:01Z</cp:lastPrinted>
  <dcterms:created xsi:type="dcterms:W3CDTF">2000-05-31T19:57:14Z</dcterms:created>
  <dcterms:modified xsi:type="dcterms:W3CDTF">2001-12-26T20:23:59Z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011572</vt:lpwstr>
  </property>
  <property fmtid="{D5CDD505-2E9C-101B-9397-08002B2CF9AE}" pid="6" name="IsConfidenti">
    <vt:lpwstr>0</vt:lpwstr>
  </property>
  <property fmtid="{D5CDD505-2E9C-101B-9397-08002B2CF9AE}" pid="7" name="Dat">
    <vt:lpwstr>2001-12-28T00:00:00Z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UW</vt:lpwstr>
  </property>
  <property fmtid="{D5CDD505-2E9C-101B-9397-08002B2CF9AE}" pid="11" name="CaseCompanyNam">
    <vt:lpwstr>Canterwood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